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drawings/drawing5.xml" ContentType="application/vnd.openxmlformats-officedocument.drawing+xml"/>
  <Override PartName="/xl/ctrlProps/ctrlProp14.xml" ContentType="application/vnd.ms-excel.controlproperties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40.xml" ContentType="application/vnd.ms-excel.controlproperties+xml"/>
  <Override PartName="/xl/drawings/drawing8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9.xml" ContentType="application/vnd.openxmlformats-officedocument.drawing+xml"/>
  <Override PartName="/xl/ctrlProps/ctrlProp51.xml" ContentType="application/vnd.ms-excel.controlproperties+xml"/>
  <Override PartName="/xl/drawings/drawing10.xml" ContentType="application/vnd.openxmlformats-officedocument.drawing+xml"/>
  <Override PartName="/xl/ctrlProps/ctrlProp52.xml" ContentType="application/vnd.ms-excel.controlproperties+xml"/>
  <Override PartName="/xl/drawings/drawing11.xml" ContentType="application/vnd.openxmlformats-officedocument.drawing+xml"/>
  <Override PartName="/xl/ctrlProps/ctrlProp5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filterPrivacy="1" codeName="Ten_skoroszyt" defaultThemeVersion="124226"/>
  <xr:revisionPtr revIDLastSave="0" documentId="8_{5E9F5544-46B7-46BD-883E-1B3CCE0B33C2}" xr6:coauthVersionLast="47" xr6:coauthVersionMax="47" xr10:uidLastSave="{00000000-0000-0000-0000-000000000000}"/>
  <workbookProtection workbookAlgorithmName="SHA-512" workbookHashValue="TvHimWZKE5pmlDkfBuelEkvGcVzJlHg9D7oLSarNPiZ7AJWNPQX0/n9lmiupErId8HSvpHty1J3o4/8/AI9N3g==" workbookSaltValue="g5qGvl70MD2I/2r4j3emQw==" workbookSpinCount="100000" lockStructure="1"/>
  <bookViews>
    <workbookView xWindow="-108" yWindow="-108" windowWidth="23256" windowHeight="12720" xr2:uid="{E766AB68-68CA-459A-B4D0-74431449CE8D}"/>
  </bookViews>
  <sheets>
    <sheet name="Dane Firmy" sheetId="2" r:id="rId1"/>
    <sheet name="Założenia" sheetId="8" r:id="rId2"/>
    <sheet name="Sprawozdania finansowe" sheetId="9" r:id="rId3"/>
    <sheet name="Przychody" sheetId="11" r:id="rId4"/>
    <sheet name="Koszty operacyjne" sheetId="12" r:id="rId5"/>
    <sheet name="Środki trwałe" sheetId="16" r:id="rId6"/>
    <sheet name="Rozliczenie dotacji" sheetId="20" r:id="rId7"/>
    <sheet name="Kapitał pracujący" sheetId="18" r:id="rId8"/>
    <sheet name="Finansowanie" sheetId="22" r:id="rId9"/>
    <sheet name="Moduły" sheetId="25" r:id="rId10"/>
    <sheet name="Ocena kondycji finansowej" sheetId="10" r:id="rId11"/>
  </sheets>
  <definedNames>
    <definedName name="am_budynki">Założenia!$K$52</definedName>
    <definedName name="am_grunty">Założenia!$K$51</definedName>
    <definedName name="am_inneST">Założenia!$K$55</definedName>
    <definedName name="am_maszyny">Założenia!$K$53</definedName>
    <definedName name="am_prace_rozwojowe">Założenia!$K$48</definedName>
    <definedName name="am_transport">Założenia!$K$54</definedName>
    <definedName name="am_wartosc_firmy">Założenia!$K$49</definedName>
    <definedName name="am_wnip">Założenia!$K$50</definedName>
    <definedName name="b_plus_r">Moduły!$B$567:$B$569</definedName>
    <definedName name="CIT">Założenia!$37:$37</definedName>
    <definedName name="DaneBiezace">Założenia!$C$14</definedName>
    <definedName name="dni">Założenia!$31:$31</definedName>
    <definedName name="ebit">'Ocena kondycji finansowej'!$33:$33</definedName>
    <definedName name="Firma">'Dane Firmy'!$D$7</definedName>
    <definedName name="ko_pio">'Koszty operacyjne'!$K$207:$X$211</definedName>
    <definedName name="ko_pio_kw">'Koszty operacyjne'!$D$207:$D$211</definedName>
    <definedName name="ko_pkr">'Koszty operacyjne'!$K$521:$X$550</definedName>
    <definedName name="ko_pkr_kw">'Koszty operacyjne'!$D$521:$D$550</definedName>
    <definedName name="ko_uoe">'Koszty operacyjne'!$K$162:$X$181</definedName>
    <definedName name="ko_uoe_kw">'Koszty operacyjne'!$D$162:$D$181</definedName>
    <definedName name="ko_wyn">'Koszty operacyjne'!$K$391:$X$430</definedName>
    <definedName name="ko_wyn_kw">'Koszty operacyjne'!$D$391:$D$430</definedName>
    <definedName name="ko_zme">'Koszty operacyjne'!$K$117:$X$136</definedName>
    <definedName name="ko_zme_kw">'Koszty operacyjne'!$D$117:$D$136</definedName>
    <definedName name="ko_zus">'Koszty operacyjne'!$K$436:$X$475</definedName>
    <definedName name="ko_zus_kw">'Koszty operacyjne'!$D$436:$D$475</definedName>
    <definedName name="Koniec">Założenia!$C$21</definedName>
    <definedName name="Koniec_PR">Założenia!$C$24</definedName>
    <definedName name="Koniec_Projekt">Założenia!$C$18</definedName>
    <definedName name="Koniec_Trwalosc">Założenia!$C$20</definedName>
    <definedName name="Kontrola_modulow_koszty_operacyjne" comment="Sprawdza czy wybrany moduł nie został usunięty w arkuszu Założenia" localSheetId="4">OR(AND(ISERROR(Lista_Modulow_Menu),ISTEXT(wybor_modul)),AND(ISTEXT(wybor_modul),ISNA(MATCH(wybor_modul,Lista_Modulow_Menu,0))))</definedName>
    <definedName name="Kontrola_modulow_Przychody" comment="Sprawdza czy wybrany moduł nie został usunięty w arkuszu &quot;Założenia&quot;" localSheetId="3">OR(AND(ISERROR(Lista_Modulow_Menu),ISTEXT(Przychody!Wybrany_modul_Przychody)),AND(ISTEXT(Przychody!Wybrany_modul_Przychody),ISNA(MATCH(Przychody!Wybrany_modul_Przychody,Lista_Modulow_Menu,0))))</definedName>
    <definedName name="Kontrola_modulow_Srodki_Trwale" comment="Sprawdza czy wybrany moduł nie został usunięty w arkuszu Założenia" localSheetId="5">OR(AND(ISERROR(Lista_Modulow_Menu),ISTEXT('Środki trwałe'!Wybrany_modul_Srodki_Trwale)),AND(ISTEXT('Środki trwałe'!Wybrany_modul_Srodki_Trwale),ISNA(MATCH('Środki trwałe'!Wybrany_modul_Srodki_Trwale,Lista_Modulow_Menu,0))))</definedName>
    <definedName name="LataProjekcji">Założenia!$G$28:$X$28</definedName>
    <definedName name="lista_modulow" comment="Lista modułów">Moduły!$B$555:$B$562</definedName>
    <definedName name="Lista_Modulow_Menu">OFFSET(Moduły!$E$556,,,Moduły!$F$556)</definedName>
    <definedName name="lista_st">Założenia!$B$192:$B$199</definedName>
    <definedName name="mod_dot">'Rozliczenie dotacji'!$J$311:$J$1182</definedName>
    <definedName name="mod_dot_am">'Środki trwałe'!$I$1137:$I$2027</definedName>
    <definedName name="mod_dot_am_war">'Środki trwałe'!$K$1137:$X$2027</definedName>
    <definedName name="mod_dot_ko">'Koszty operacyjne'!$C$1424:$C$1627</definedName>
    <definedName name="mod_dot_ko_br">'Koszty operacyjne'!$C$1184:$C$1387</definedName>
    <definedName name="mod_dot_ko_br_war">'Koszty operacyjne'!$K$1184:$X$1387</definedName>
    <definedName name="mod_dot_ko_war">'Koszty operacyjne'!$K$1424:$X$1627</definedName>
    <definedName name="mod_dot_st">'Rozliczenie dotacji'!$K$311:$X$1182</definedName>
    <definedName name="mod_dot_st_npv">'Rozliczenie dotacji'!$J$28:$J$197</definedName>
    <definedName name="mod_dot_st_npv_war">'Rozliczenie dotacji'!$K$28:$X$197</definedName>
    <definedName name="mod_ko_pio">'Koszty operacyjne'!$C$207:$C$211</definedName>
    <definedName name="mod_ko_pkr">'Koszty operacyjne'!$C$521:$C$550</definedName>
    <definedName name="mod_ko_uoe">'Koszty operacyjne'!$C$162:$C$181</definedName>
    <definedName name="mod_ko_wyn">'Koszty operacyjne'!$C$391:$C$430</definedName>
    <definedName name="mod_ko_zme">'Koszty operacyjne'!$C$117:$C$136</definedName>
    <definedName name="mod_ko_zus">'Koszty operacyjne'!$C$436:$C$475</definedName>
    <definedName name="mod_pp_ppu">Przychody!$C$149:$C$158</definedName>
    <definedName name="mod_pp_ptim">Przychody!$C$193:$C$197</definedName>
    <definedName name="mod_pp_ptim_wstim">Przychody!$C$214:$C$218</definedName>
    <definedName name="mod_st_am">'Środki trwałe'!$C$2111:$C$2227</definedName>
    <definedName name="mod_st_bib">'Środki trwałe'!$C$353:$C$367</definedName>
    <definedName name="mod_st_gry">'Środki trwałe'!$C$326:$C$330</definedName>
    <definedName name="mod_st_ist">'Środki trwałe'!$C$616:$C$625</definedName>
    <definedName name="mod_st_stu">'Środki trwałe'!$C$574:$C$583</definedName>
    <definedName name="mod_st_utm">'Środki trwałe'!$C$418:$C$462</definedName>
    <definedName name="mod_st_wnp">'Środki trwałe'!$C$269:$C$283</definedName>
    <definedName name="mod_st_zpr">'Środki trwałe'!$C$197:$C$216</definedName>
    <definedName name="Modul_badawczo_rozwojowy" comment="Z listy realizowanych modułów wybrano moduł &quot;B+R&quot;, co automatycznie zmienia treść w komórce C23 na &quot;tak&quot;">Założenia!$C$23</definedName>
    <definedName name="nie">Moduły!$B$565</definedName>
    <definedName name="nie_b_plus_r">Moduły!$D$567</definedName>
    <definedName name="nowy_wbudowie">Założenia!$B$201:$B$202</definedName>
    <definedName name="_xlnm.Print_Area" localSheetId="0">'Dane Firmy'!$C$5:$G$14</definedName>
    <definedName name="_xlnm.Print_Area" localSheetId="8">Finansowanie!$B$12:$X$196</definedName>
    <definedName name="_xlnm.Print_Area" localSheetId="7">'Kapitał pracujący'!$B$12:$X$187</definedName>
    <definedName name="_xlnm.Print_Area" localSheetId="4">'Koszty operacyjne'!$B$12:$X$685</definedName>
    <definedName name="_xlnm.Print_Area" localSheetId="9">Moduły!$B$13:$P$551</definedName>
    <definedName name="_xlnm.Print_Area" localSheetId="10">'Ocena kondycji finansowej'!$B$12:$X$484</definedName>
    <definedName name="_xlnm.Print_Area" localSheetId="3">Przychody!$B$12:$X$306</definedName>
    <definedName name="_xlnm.Print_Area" localSheetId="6">'Rozliczenie dotacji'!$B$12:$X$308</definedName>
    <definedName name="_xlnm.Print_Area" localSheetId="2">'Sprawozdania finansowe'!$B$11:$F$197</definedName>
    <definedName name="_xlnm.Print_Area" localSheetId="5">'Środki trwałe'!$B$12:$X$865</definedName>
    <definedName name="_xlnm.Print_Area" localSheetId="1">Założenia!$B$11:$X$118</definedName>
    <definedName name="Poczatek">Założenia!$C$16</definedName>
    <definedName name="pp_ppu">Przychody!$K$149:$X$158</definedName>
    <definedName name="pp_ptim">Przychody!$K$193:$X$197</definedName>
    <definedName name="pp_ptim_wstim">Przychody!$K$214:$X$218</definedName>
    <definedName name="przeniesiony">Założenia!$B$202</definedName>
    <definedName name="Przychody_Lata">Przychody!$K$124:$X$124,Przychody!$K$162:$X$162,Przychody!$K$171:$X$171,Przychody!$K$180:$X$180,Przychody!$K$201:$X$201,Przychody!$K$222:$X$222,Przychody!$K$231:$X$231</definedName>
    <definedName name="Rok_n">Założenia!$J$28</definedName>
    <definedName name="RokObrotowyPoczatek">Założenia!$C$12</definedName>
    <definedName name="st_am">'Środki trwałe'!$K$2111:$X$2227</definedName>
    <definedName name="st_bib">'Środki trwałe'!$K$353:$X$367</definedName>
    <definedName name="st_bib_am">'Środki trwałe'!$K$2142:$X$2156</definedName>
    <definedName name="st_bib_kw">'Środki trwałe'!$F$353:$F$367</definedName>
    <definedName name="st_bib_kw_am">'Środki trwałe'!$G$353:$G$367</definedName>
    <definedName name="st_gry">'Środki trwałe'!$K$326:$X$330</definedName>
    <definedName name="st_gry_am">'Środki trwałe'!$K$2135:$X$2139</definedName>
    <definedName name="st_gry_kw">'Środki trwałe'!$F$326:$F$330</definedName>
    <definedName name="st_gry_kw_am">'Środki trwałe'!$G$326:$G$330</definedName>
    <definedName name="st_ist">'Środki trwałe'!$K$616:$X$625</definedName>
    <definedName name="st_ist_am">'Środki trwałe'!$K$2218:$X$2227</definedName>
    <definedName name="st_ist_kw">'Środki trwałe'!$F$616:$F$625</definedName>
    <definedName name="st_ist_kw_am">'Środki trwałe'!$G$616:$G$625</definedName>
    <definedName name="st_stu">'Środki trwałe'!$K$574:$X$583</definedName>
    <definedName name="st_stu_am">'Środki trwałe'!$K$2206:$X$2215</definedName>
    <definedName name="st_stu_kw">'Środki trwałe'!$F$574:$F$583</definedName>
    <definedName name="st_stu_kw_am">'Środki trwałe'!$G$574:$G$583</definedName>
    <definedName name="st_utm">'Środki trwałe'!$K$418:$X$462</definedName>
    <definedName name="st_utm_am">'Środki trwałe'!$K$2159:$X$2203</definedName>
    <definedName name="st_utm_kw">'Środki trwałe'!$F$418:$F$462</definedName>
    <definedName name="st_utm_kw_am">'Środki trwałe'!$G$418:$G$462</definedName>
    <definedName name="st_wnp">'Środki trwałe'!$K$269:$X$283</definedName>
    <definedName name="st_wnp_am">'Środki trwałe'!$K$2118:$X$2132</definedName>
    <definedName name="st_wnp_kw">'Środki trwałe'!$F$269:$F$283</definedName>
    <definedName name="st_wnp_kw_am">'Środki trwałe'!$G$269:$G$283</definedName>
    <definedName name="st_zpr">'Środki trwałe'!$K$197:$X$216</definedName>
    <definedName name="st_zpr_kw">'Środki trwałe'!$F$197:$F$216</definedName>
    <definedName name="stwb_start">Założenia!$C$185</definedName>
    <definedName name="stwb_stop">Założenia!$C$186</definedName>
    <definedName name="tak">Moduły!$B$564</definedName>
    <definedName name="tak_nie">Moduły!$B$564:$B$565</definedName>
    <definedName name="test_kosztyBR" comment="Sprawdzenie czy prawidłowo wprowadzono &quot;nie dotyczy' w przypadku wyboru modułu &quot;Wdrożenie innowacji&quot;" localSheetId="4">AND(wybor_modul="Wdrożenie innowacji",OR(wybor_BR="badania przemysłowe",wybor_BR="prace rozwojowe"))</definedName>
    <definedName name="WACC">Założenia!$C$34</definedName>
    <definedName name="Wdrozenie_KoniecPR">Założenia!$C$187</definedName>
    <definedName name="wybor_BR" comment="Wybór z menu w Kosztach operacyjnych rodzaju kosztów B+R">'Koszty operacyjne'!$E1</definedName>
    <definedName name="wybor_modul" comment="Wybór z menu w Kosztach operacyjnych rodzaju kosztów B+R">'Koszty operacyjne'!$C1</definedName>
    <definedName name="Wybrany_modul_Przychody" comment="Zaznacza komórkę z wybranym modułem w arkuszu &quot;Przychody&quot;" localSheetId="3">Przychody!$C1</definedName>
    <definedName name="Wybrany_modul_Srodki_Trwale" localSheetId="5">'Środki trwałe'!$C1</definedName>
    <definedName name="wydatki_koniec">Założenia!$C$184</definedName>
    <definedName name="wydatki_start">Założenia!$C$183</definedName>
    <definedName name="ZUS">Założenia!$39:$39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7" i="8" l="1"/>
  <c r="I127" i="8"/>
  <c r="J127" i="8"/>
  <c r="G127" i="8"/>
  <c r="J190" i="20" l="1"/>
  <c r="J191" i="20"/>
  <c r="J192" i="20"/>
  <c r="J193" i="20"/>
  <c r="J194" i="20"/>
  <c r="J195" i="20"/>
  <c r="J196" i="20"/>
  <c r="J197" i="20"/>
  <c r="J189" i="20"/>
  <c r="J188" i="20"/>
  <c r="J172" i="20"/>
  <c r="J173" i="20"/>
  <c r="J174" i="20"/>
  <c r="J175" i="20"/>
  <c r="J176" i="20"/>
  <c r="J177" i="20"/>
  <c r="J178" i="20"/>
  <c r="J179" i="20"/>
  <c r="J171" i="20"/>
  <c r="J170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18" i="20"/>
  <c r="J117" i="20"/>
  <c r="J96" i="20"/>
  <c r="J97" i="20"/>
  <c r="J98" i="20"/>
  <c r="J99" i="20"/>
  <c r="J100" i="20"/>
  <c r="J101" i="20"/>
  <c r="J102" i="20"/>
  <c r="J103" i="20"/>
  <c r="J95" i="20"/>
  <c r="J94" i="20"/>
  <c r="J81" i="20"/>
  <c r="J82" i="20"/>
  <c r="J83" i="20"/>
  <c r="J84" i="20"/>
  <c r="J85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59" i="20"/>
  <c r="J58" i="20"/>
  <c r="J206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30" i="20"/>
  <c r="D1409" i="12"/>
  <c r="D926" i="12" l="1"/>
  <c r="D1168" i="12"/>
  <c r="C23" i="8" l="1"/>
  <c r="D25" i="8" l="1"/>
  <c r="C196" i="16"/>
  <c r="J29" i="20" s="1"/>
  <c r="C195" i="16"/>
  <c r="J28" i="20" s="1"/>
  <c r="I1964" i="16" l="1" a="1"/>
  <c r="I1964" i="16" s="1"/>
  <c r="I1889" i="16" a="1"/>
  <c r="I1889" i="16" s="1"/>
  <c r="I1557" i="16" a="1"/>
  <c r="I1557" i="16" s="1"/>
  <c r="I1434" i="16" a="1"/>
  <c r="I1434" i="16" s="1"/>
  <c r="I1394" i="16" a="1"/>
  <c r="I1394" i="16" s="1"/>
  <c r="I1283" i="16" a="1"/>
  <c r="I1283" i="16" s="1"/>
  <c r="I1137" i="16" a="1"/>
  <c r="I1137" i="16" s="1"/>
  <c r="D1121" i="20"/>
  <c r="D1128" i="20" s="1"/>
  <c r="D1135" i="20" s="1"/>
  <c r="D1048" i="20"/>
  <c r="D1055" i="20" s="1"/>
  <c r="D730" i="20"/>
  <c r="J733" i="20" s="1" a="1"/>
  <c r="J733" i="20" s="1"/>
  <c r="D621" i="20"/>
  <c r="D628" i="20" s="1"/>
  <c r="D583" i="20"/>
  <c r="D590" i="20" s="1"/>
  <c r="E318" i="20"/>
  <c r="E325" i="20" s="1"/>
  <c r="E332" i="20" s="1"/>
  <c r="J321" i="20" a="1"/>
  <c r="J321" i="20" s="1"/>
  <c r="J314" i="20" a="1"/>
  <c r="J314" i="20" s="1"/>
  <c r="J1124" i="20" a="1"/>
  <c r="J1124" i="20" s="1"/>
  <c r="J1117" i="20" a="1"/>
  <c r="J1117" i="20" s="1"/>
  <c r="J1044" i="20" a="1"/>
  <c r="J1044" i="20" s="1"/>
  <c r="J726" i="20" a="1"/>
  <c r="J726" i="20" s="1"/>
  <c r="J617" i="20" a="1"/>
  <c r="J617" i="20" s="1"/>
  <c r="J579" i="20" a="1"/>
  <c r="J579" i="20" s="1"/>
  <c r="D475" i="20"/>
  <c r="J478" i="20" s="1" a="1"/>
  <c r="J478" i="20" s="1"/>
  <c r="J471" i="20" a="1"/>
  <c r="J471" i="20" s="1"/>
  <c r="J162" i="16"/>
  <c r="X150" i="16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X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J149" i="16"/>
  <c r="J169" i="16" s="1"/>
  <c r="J143" i="16"/>
  <c r="K144" i="16"/>
  <c r="J1051" i="20" l="1" a="1"/>
  <c r="J1051" i="20" s="1"/>
  <c r="J624" i="20" a="1"/>
  <c r="J624" i="20" s="1"/>
  <c r="J328" i="20" a="1"/>
  <c r="J328" i="20" s="1"/>
  <c r="J335" i="20" a="1"/>
  <c r="J335" i="20" s="1"/>
  <c r="E339" i="20"/>
  <c r="D482" i="20"/>
  <c r="J586" i="20" a="1"/>
  <c r="J586" i="20" s="1"/>
  <c r="D597" i="20"/>
  <c r="J593" i="20" a="1"/>
  <c r="J593" i="20" s="1"/>
  <c r="J1138" i="20" a="1"/>
  <c r="J1138" i="20" s="1"/>
  <c r="D1142" i="20"/>
  <c r="J1131" i="20" a="1"/>
  <c r="J1131" i="20" s="1"/>
  <c r="D1062" i="20"/>
  <c r="J1058" i="20" a="1"/>
  <c r="J1058" i="20" s="1"/>
  <c r="D737" i="20"/>
  <c r="D635" i="20"/>
  <c r="J631" i="20" a="1"/>
  <c r="J631" i="20" s="1"/>
  <c r="F555" i="25"/>
  <c r="D556" i="25"/>
  <c r="D562" i="25"/>
  <c r="D561" i="25"/>
  <c r="D560" i="25"/>
  <c r="D559" i="25"/>
  <c r="D558" i="25"/>
  <c r="E555" i="25"/>
  <c r="D557" i="25"/>
  <c r="D555" i="25"/>
  <c r="J485" i="20" l="1" a="1"/>
  <c r="J485" i="20" s="1"/>
  <c r="D489" i="20"/>
  <c r="D1069" i="20"/>
  <c r="J1065" i="20" a="1"/>
  <c r="J1065" i="20" s="1"/>
  <c r="E346" i="20"/>
  <c r="J342" i="20" a="1"/>
  <c r="J342" i="20" s="1"/>
  <c r="D604" i="20"/>
  <c r="J607" i="20" s="1" a="1"/>
  <c r="J607" i="20" s="1"/>
  <c r="J600" i="20" a="1"/>
  <c r="J600" i="20" s="1"/>
  <c r="J1145" i="20" a="1"/>
  <c r="J1145" i="20" s="1"/>
  <c r="D1149" i="20"/>
  <c r="J1072" i="20" a="1"/>
  <c r="J1072" i="20" s="1"/>
  <c r="D1076" i="20"/>
  <c r="D744" i="20"/>
  <c r="J740" i="20" a="1"/>
  <c r="J740" i="20" s="1"/>
  <c r="D642" i="20"/>
  <c r="J638" i="20" a="1"/>
  <c r="J638" i="20" s="1"/>
  <c r="E556" i="25" a="1"/>
  <c r="E556" i="25" s="1"/>
  <c r="E557" i="25" s="1" a="1"/>
  <c r="E557" i="25" s="1"/>
  <c r="J349" i="20" l="1" a="1"/>
  <c r="J349" i="20" s="1"/>
  <c r="E353" i="20"/>
  <c r="D496" i="20"/>
  <c r="J492" i="20" a="1"/>
  <c r="J492" i="20" s="1"/>
  <c r="J1152" i="20" a="1"/>
  <c r="J1152" i="20" s="1"/>
  <c r="D1156" i="20"/>
  <c r="J1079" i="20" a="1"/>
  <c r="J1079" i="20" s="1"/>
  <c r="D1083" i="20"/>
  <c r="D751" i="20"/>
  <c r="J747" i="20" a="1"/>
  <c r="J747" i="20" s="1"/>
  <c r="J645" i="20" a="1"/>
  <c r="J645" i="20" s="1"/>
  <c r="D649" i="20"/>
  <c r="E558" i="25" a="1"/>
  <c r="E558" i="25" s="1"/>
  <c r="J499" i="20" l="1" a="1"/>
  <c r="J499" i="20" s="1"/>
  <c r="D503" i="20"/>
  <c r="J356" i="20" a="1"/>
  <c r="J356" i="20" s="1"/>
  <c r="E360" i="20"/>
  <c r="J363" i="20" s="1" a="1"/>
  <c r="J363" i="20" s="1"/>
  <c r="D1163" i="20"/>
  <c r="J1159" i="20" a="1"/>
  <c r="J1159" i="20" s="1"/>
  <c r="J1086" i="20" a="1"/>
  <c r="J1086" i="20" s="1"/>
  <c r="D1090" i="20"/>
  <c r="D758" i="20"/>
  <c r="J754" i="20" a="1"/>
  <c r="J754" i="20" s="1"/>
  <c r="J652" i="20" a="1"/>
  <c r="J652" i="20" s="1"/>
  <c r="D656" i="20"/>
  <c r="E559" i="25" a="1"/>
  <c r="E559" i="25" s="1"/>
  <c r="E560" i="25" s="1" a="1"/>
  <c r="E560" i="25" s="1"/>
  <c r="E561" i="25" s="1" a="1"/>
  <c r="E561" i="25" s="1"/>
  <c r="E562" i="25" s="1" a="1"/>
  <c r="E562" i="25" s="1"/>
  <c r="F556" i="25" s="1"/>
  <c r="G556" i="25" l="1" a="1"/>
  <c r="G556" i="25" s="1"/>
  <c r="D1097" i="20"/>
  <c r="J1093" i="20" a="1"/>
  <c r="J1093" i="20" s="1"/>
  <c r="D510" i="20"/>
  <c r="J506" i="20" a="1"/>
  <c r="J506" i="20" s="1"/>
  <c r="E367" i="20"/>
  <c r="D1170" i="20"/>
  <c r="J1166" i="20" a="1"/>
  <c r="J1166" i="20" s="1"/>
  <c r="D1104" i="20"/>
  <c r="J1107" i="20" s="1" a="1"/>
  <c r="J1107" i="20" s="1"/>
  <c r="J1100" i="20" a="1"/>
  <c r="J1100" i="20" s="1"/>
  <c r="D765" i="20"/>
  <c r="J761" i="20" a="1"/>
  <c r="J761" i="20" s="1"/>
  <c r="J659" i="20" a="1"/>
  <c r="J659" i="20" s="1"/>
  <c r="D663" i="20"/>
  <c r="J370" i="20" l="1" a="1"/>
  <c r="J370" i="20" s="1"/>
  <c r="E374" i="20"/>
  <c r="D517" i="20"/>
  <c r="J513" i="20" a="1"/>
  <c r="J513" i="20" s="1"/>
  <c r="D1177" i="20"/>
  <c r="J1180" i="20" s="1" a="1"/>
  <c r="J1180" i="20" s="1"/>
  <c r="J1173" i="20" a="1"/>
  <c r="J1173" i="20" s="1"/>
  <c r="J768" i="20" a="1"/>
  <c r="J768" i="20" s="1"/>
  <c r="D772" i="20"/>
  <c r="J666" i="20" a="1"/>
  <c r="J666" i="20" s="1"/>
  <c r="D670" i="20"/>
  <c r="D265" i="12"/>
  <c r="B936" i="12"/>
  <c r="J520" i="20" l="1" a="1"/>
  <c r="J520" i="20" s="1"/>
  <c r="D524" i="20"/>
  <c r="J377" i="20" a="1"/>
  <c r="J377" i="20" s="1"/>
  <c r="E381" i="20"/>
  <c r="J775" i="20" a="1"/>
  <c r="J775" i="20" s="1"/>
  <c r="D779" i="20"/>
  <c r="J673" i="20" a="1"/>
  <c r="J673" i="20" s="1"/>
  <c r="D677" i="20"/>
  <c r="E72" i="20"/>
  <c r="F72" i="20" s="1"/>
  <c r="D72" i="20"/>
  <c r="C72" i="20"/>
  <c r="B72" i="20"/>
  <c r="E388" i="20" l="1"/>
  <c r="J384" i="20" a="1"/>
  <c r="J384" i="20" s="1"/>
  <c r="D531" i="20"/>
  <c r="J527" i="20" a="1"/>
  <c r="J527" i="20" s="1"/>
  <c r="J782" i="20" a="1"/>
  <c r="J782" i="20" s="1"/>
  <c r="D786" i="20"/>
  <c r="J680" i="20" a="1"/>
  <c r="J680" i="20" s="1"/>
  <c r="D684" i="20"/>
  <c r="H23" i="8"/>
  <c r="D538" i="20" l="1"/>
  <c r="J534" i="20" a="1"/>
  <c r="J534" i="20" s="1"/>
  <c r="E395" i="20"/>
  <c r="J391" i="20" a="1"/>
  <c r="J391" i="20" s="1"/>
  <c r="J789" i="20" a="1"/>
  <c r="J789" i="20" s="1"/>
  <c r="D793" i="20"/>
  <c r="D691" i="20"/>
  <c r="J105" i="16" a="1"/>
  <c r="J105" i="16" s="1"/>
  <c r="J106" i="16" a="1"/>
  <c r="J106" i="16" s="1"/>
  <c r="J107" i="16" a="1"/>
  <c r="J107" i="16" s="1"/>
  <c r="J108" i="16" a="1"/>
  <c r="J108" i="16" s="1"/>
  <c r="J109" i="16" a="1"/>
  <c r="J109" i="16" s="1"/>
  <c r="J110" i="16" a="1"/>
  <c r="J110" i="16" s="1"/>
  <c r="J111" i="16" a="1"/>
  <c r="J111" i="16" s="1"/>
  <c r="J112" i="16" a="1"/>
  <c r="J112" i="16" s="1"/>
  <c r="J113" i="16" a="1"/>
  <c r="J113" i="16" s="1"/>
  <c r="J114" i="16" a="1"/>
  <c r="J114" i="16" s="1"/>
  <c r="J115" i="16" a="1"/>
  <c r="J115" i="16" s="1"/>
  <c r="J116" i="16" a="1"/>
  <c r="J116" i="16" s="1"/>
  <c r="J117" i="16" a="1"/>
  <c r="J117" i="16" s="1"/>
  <c r="J118" i="16" a="1"/>
  <c r="J118" i="16" s="1"/>
  <c r="J119" i="16" a="1"/>
  <c r="J119" i="16" s="1"/>
  <c r="J120" i="16" a="1"/>
  <c r="J120" i="16" s="1"/>
  <c r="J121" i="16" a="1"/>
  <c r="J121" i="16" s="1"/>
  <c r="J122" i="16" a="1"/>
  <c r="J122" i="16" s="1"/>
  <c r="J123" i="16" a="1"/>
  <c r="J123" i="16" s="1"/>
  <c r="J124" i="16" a="1"/>
  <c r="J124" i="16" s="1"/>
  <c r="J125" i="16" a="1"/>
  <c r="J125" i="16" s="1"/>
  <c r="J126" i="16" a="1"/>
  <c r="J126" i="16" s="1"/>
  <c r="J127" i="16" a="1"/>
  <c r="J127" i="16" s="1"/>
  <c r="J128" i="16" a="1"/>
  <c r="J128" i="16" s="1"/>
  <c r="J129" i="16" a="1"/>
  <c r="J129" i="16" s="1"/>
  <c r="J130" i="16" a="1"/>
  <c r="J130" i="16" s="1"/>
  <c r="J131" i="16" a="1"/>
  <c r="J131" i="16" s="1"/>
  <c r="J132" i="16" a="1"/>
  <c r="J132" i="16" s="1"/>
  <c r="J133" i="16" a="1"/>
  <c r="J133" i="16" s="1"/>
  <c r="J134" i="16" a="1"/>
  <c r="J134" i="16" s="1"/>
  <c r="B871" i="16"/>
  <c r="P247" i="16"/>
  <c r="Q247" i="16"/>
  <c r="R247" i="16"/>
  <c r="S247" i="16"/>
  <c r="T247" i="16"/>
  <c r="U247" i="16"/>
  <c r="V247" i="16"/>
  <c r="W247" i="16"/>
  <c r="X247" i="16"/>
  <c r="P248" i="16"/>
  <c r="Q248" i="16"/>
  <c r="R248" i="16"/>
  <c r="S248" i="16"/>
  <c r="T248" i="16"/>
  <c r="U248" i="16"/>
  <c r="V248" i="16"/>
  <c r="W248" i="16"/>
  <c r="X248" i="16"/>
  <c r="P249" i="16"/>
  <c r="Q249" i="16"/>
  <c r="R249" i="16"/>
  <c r="S249" i="16"/>
  <c r="T249" i="16"/>
  <c r="U249" i="16"/>
  <c r="V249" i="16"/>
  <c r="W249" i="16"/>
  <c r="X249" i="16"/>
  <c r="P250" i="16"/>
  <c r="Q250" i="16"/>
  <c r="R250" i="16"/>
  <c r="S250" i="16"/>
  <c r="T250" i="16"/>
  <c r="U250" i="16"/>
  <c r="V250" i="16"/>
  <c r="W250" i="16"/>
  <c r="X250" i="16"/>
  <c r="P251" i="16"/>
  <c r="Q251" i="16"/>
  <c r="R251" i="16"/>
  <c r="S251" i="16"/>
  <c r="T251" i="16"/>
  <c r="U251" i="16"/>
  <c r="V251" i="16"/>
  <c r="W251" i="16"/>
  <c r="X251" i="16"/>
  <c r="P252" i="16"/>
  <c r="Q252" i="16"/>
  <c r="V252" i="16"/>
  <c r="W252" i="16"/>
  <c r="X252" i="16"/>
  <c r="P253" i="16"/>
  <c r="Q253" i="16"/>
  <c r="V253" i="16"/>
  <c r="W253" i="16"/>
  <c r="X253" i="16"/>
  <c r="P254" i="16"/>
  <c r="Q254" i="16"/>
  <c r="V254" i="16"/>
  <c r="W254" i="16"/>
  <c r="X254" i="16"/>
  <c r="P255" i="16"/>
  <c r="Q255" i="16"/>
  <c r="V255" i="16"/>
  <c r="W255" i="16"/>
  <c r="X255" i="16"/>
  <c r="P256" i="16"/>
  <c r="Q256" i="16"/>
  <c r="V256" i="16"/>
  <c r="W256" i="16"/>
  <c r="X256" i="16"/>
  <c r="P257" i="16"/>
  <c r="Q257" i="16"/>
  <c r="R257" i="16"/>
  <c r="S257" i="16"/>
  <c r="T257" i="16"/>
  <c r="U257" i="16"/>
  <c r="V257" i="16"/>
  <c r="W257" i="16"/>
  <c r="X257" i="16"/>
  <c r="P258" i="16"/>
  <c r="Q258" i="16"/>
  <c r="R258" i="16"/>
  <c r="S258" i="16"/>
  <c r="T258" i="16"/>
  <c r="U258" i="16"/>
  <c r="V258" i="16"/>
  <c r="W258" i="16"/>
  <c r="X258" i="16"/>
  <c r="P259" i="16"/>
  <c r="Q259" i="16"/>
  <c r="R259" i="16"/>
  <c r="S259" i="16"/>
  <c r="T259" i="16"/>
  <c r="U259" i="16"/>
  <c r="V259" i="16"/>
  <c r="W259" i="16"/>
  <c r="X259" i="16"/>
  <c r="P260" i="16"/>
  <c r="Q260" i="16"/>
  <c r="R260" i="16"/>
  <c r="S260" i="16"/>
  <c r="T260" i="16"/>
  <c r="U260" i="16"/>
  <c r="V260" i="16"/>
  <c r="W260" i="16"/>
  <c r="X260" i="16"/>
  <c r="P261" i="16"/>
  <c r="Q261" i="16"/>
  <c r="R261" i="16"/>
  <c r="S261" i="16"/>
  <c r="T261" i="16"/>
  <c r="U261" i="16"/>
  <c r="V261" i="16"/>
  <c r="W261" i="16"/>
  <c r="X261" i="16"/>
  <c r="P262" i="16"/>
  <c r="Q262" i="16"/>
  <c r="R262" i="16"/>
  <c r="S262" i="16"/>
  <c r="T262" i="16"/>
  <c r="U262" i="16"/>
  <c r="V262" i="16"/>
  <c r="W262" i="16"/>
  <c r="X262" i="16"/>
  <c r="P263" i="16"/>
  <c r="Q263" i="16"/>
  <c r="R263" i="16"/>
  <c r="S263" i="16"/>
  <c r="T263" i="16"/>
  <c r="U263" i="16"/>
  <c r="V263" i="16"/>
  <c r="W263" i="16"/>
  <c r="X263" i="16"/>
  <c r="B32" i="20"/>
  <c r="C32" i="20"/>
  <c r="D32" i="20"/>
  <c r="E32" i="20"/>
  <c r="B33" i="20"/>
  <c r="C33" i="20"/>
  <c r="D33" i="20"/>
  <c r="E33" i="20"/>
  <c r="B34" i="20"/>
  <c r="C34" i="20"/>
  <c r="D34" i="20"/>
  <c r="E34" i="20"/>
  <c r="B35" i="20"/>
  <c r="C35" i="20"/>
  <c r="D35" i="20"/>
  <c r="E35" i="20"/>
  <c r="B36" i="20"/>
  <c r="C36" i="20"/>
  <c r="D36" i="20"/>
  <c r="E36" i="20"/>
  <c r="B37" i="20"/>
  <c r="C37" i="20"/>
  <c r="D37" i="20"/>
  <c r="E37" i="20"/>
  <c r="B38" i="20"/>
  <c r="C38" i="20"/>
  <c r="D38" i="20"/>
  <c r="E38" i="20"/>
  <c r="B39" i="20"/>
  <c r="C39" i="20"/>
  <c r="D39" i="20"/>
  <c r="E39" i="20"/>
  <c r="B40" i="20"/>
  <c r="C40" i="20"/>
  <c r="D40" i="20"/>
  <c r="E40" i="20"/>
  <c r="B41" i="20"/>
  <c r="C41" i="20"/>
  <c r="D41" i="20"/>
  <c r="E41" i="20"/>
  <c r="B42" i="20"/>
  <c r="C42" i="20"/>
  <c r="D42" i="20"/>
  <c r="E42" i="20"/>
  <c r="B43" i="20"/>
  <c r="C43" i="20"/>
  <c r="D43" i="20"/>
  <c r="E43" i="20"/>
  <c r="B44" i="20"/>
  <c r="C44" i="20"/>
  <c r="D44" i="20"/>
  <c r="E44" i="20"/>
  <c r="B45" i="20"/>
  <c r="C45" i="20"/>
  <c r="D45" i="20"/>
  <c r="E45" i="20"/>
  <c r="B46" i="20"/>
  <c r="C46" i="20"/>
  <c r="D46" i="20"/>
  <c r="E46" i="20"/>
  <c r="B47" i="20"/>
  <c r="C47" i="20"/>
  <c r="D47" i="20"/>
  <c r="E47" i="20"/>
  <c r="B48" i="20"/>
  <c r="C48" i="20"/>
  <c r="D48" i="20"/>
  <c r="E48" i="20"/>
  <c r="J199" i="16" a="1"/>
  <c r="J199" i="16" s="1"/>
  <c r="J225" i="16" s="1" a="1"/>
  <c r="J225" i="16" s="1"/>
  <c r="J247" i="16" s="1"/>
  <c r="J200" i="16" a="1"/>
  <c r="J200" i="16" s="1"/>
  <c r="J226" i="16" s="1" a="1"/>
  <c r="J226" i="16" s="1"/>
  <c r="J248" i="16" s="1"/>
  <c r="J201" i="16" a="1"/>
  <c r="J201" i="16" s="1"/>
  <c r="J227" i="16" s="1" a="1"/>
  <c r="J227" i="16" s="1"/>
  <c r="J249" i="16" s="1"/>
  <c r="J202" i="16" a="1"/>
  <c r="J202" i="16" s="1"/>
  <c r="J228" i="16" s="1" a="1"/>
  <c r="J228" i="16" s="1"/>
  <c r="J250" i="16" s="1"/>
  <c r="J203" i="16" a="1"/>
  <c r="J203" i="16" s="1"/>
  <c r="J229" i="16" s="1" a="1"/>
  <c r="J229" i="16" s="1"/>
  <c r="J251" i="16" s="1"/>
  <c r="J204" i="16" a="1"/>
  <c r="J204" i="16" s="1"/>
  <c r="J230" i="16" s="1" a="1"/>
  <c r="J230" i="16" s="1"/>
  <c r="J252" i="16" s="1"/>
  <c r="J205" i="16" a="1"/>
  <c r="J205" i="16" s="1"/>
  <c r="J231" i="16" s="1" a="1"/>
  <c r="J231" i="16" s="1"/>
  <c r="J253" i="16" s="1"/>
  <c r="J206" i="16" a="1"/>
  <c r="J206" i="16" s="1"/>
  <c r="J232" i="16" s="1" a="1"/>
  <c r="J232" i="16" s="1"/>
  <c r="J254" i="16" s="1"/>
  <c r="J207" i="16" a="1"/>
  <c r="J207" i="16" s="1"/>
  <c r="J233" i="16" s="1" a="1"/>
  <c r="J233" i="16" s="1"/>
  <c r="J255" i="16" s="1"/>
  <c r="J208" i="16" a="1"/>
  <c r="J208" i="16" s="1"/>
  <c r="J234" i="16" s="1" a="1"/>
  <c r="J234" i="16" s="1"/>
  <c r="J256" i="16" s="1"/>
  <c r="J209" i="16" a="1"/>
  <c r="J209" i="16" s="1"/>
  <c r="J235" i="16" s="1" a="1"/>
  <c r="J235" i="16" s="1"/>
  <c r="J257" i="16" s="1"/>
  <c r="J210" i="16" a="1"/>
  <c r="J210" i="16" s="1"/>
  <c r="J236" i="16" s="1" a="1"/>
  <c r="J236" i="16" s="1"/>
  <c r="J258" i="16" s="1"/>
  <c r="J211" i="16" a="1"/>
  <c r="J211" i="16" s="1"/>
  <c r="J237" i="16" s="1" a="1"/>
  <c r="J237" i="16" s="1"/>
  <c r="J259" i="16" s="1"/>
  <c r="J212" i="16" a="1"/>
  <c r="J212" i="16" s="1"/>
  <c r="J238" i="16" s="1" a="1"/>
  <c r="J238" i="16" s="1"/>
  <c r="J260" i="16" s="1"/>
  <c r="J213" i="16" a="1"/>
  <c r="J213" i="16" s="1"/>
  <c r="J239" i="16" s="1" a="1"/>
  <c r="J239" i="16" s="1"/>
  <c r="J261" i="16" s="1"/>
  <c r="J214" i="16" a="1"/>
  <c r="J214" i="16" s="1"/>
  <c r="J240" i="16" s="1" a="1"/>
  <c r="J240" i="16" s="1"/>
  <c r="J262" i="16" s="1"/>
  <c r="J215" i="16" a="1"/>
  <c r="J215" i="16" s="1"/>
  <c r="J241" i="16" s="1" a="1"/>
  <c r="J241" i="16" s="1"/>
  <c r="J263" i="16" s="1"/>
  <c r="B225" i="16"/>
  <c r="B247" i="16" s="1"/>
  <c r="C225" i="16"/>
  <c r="C247" i="16" s="1"/>
  <c r="B226" i="16"/>
  <c r="B248" i="16" s="1"/>
  <c r="C226" i="16"/>
  <c r="C248" i="16" s="1"/>
  <c r="B227" i="16"/>
  <c r="B249" i="16" s="1"/>
  <c r="C227" i="16"/>
  <c r="C249" i="16" s="1"/>
  <c r="B228" i="16"/>
  <c r="B250" i="16" s="1"/>
  <c r="C228" i="16"/>
  <c r="C250" i="16" s="1"/>
  <c r="B229" i="16"/>
  <c r="B251" i="16" s="1"/>
  <c r="C229" i="16"/>
  <c r="C251" i="16" s="1"/>
  <c r="B230" i="16"/>
  <c r="B252" i="16" s="1"/>
  <c r="C230" i="16"/>
  <c r="C252" i="16" s="1"/>
  <c r="B231" i="16"/>
  <c r="B253" i="16" s="1"/>
  <c r="C231" i="16"/>
  <c r="C253" i="16" s="1"/>
  <c r="B232" i="16"/>
  <c r="B254" i="16" s="1"/>
  <c r="C232" i="16"/>
  <c r="C254" i="16" s="1"/>
  <c r="B233" i="16"/>
  <c r="B255" i="16" s="1"/>
  <c r="C233" i="16"/>
  <c r="C255" i="16" s="1"/>
  <c r="B234" i="16"/>
  <c r="B256" i="16" s="1"/>
  <c r="C234" i="16"/>
  <c r="C256" i="16" s="1"/>
  <c r="B235" i="16"/>
  <c r="B257" i="16" s="1"/>
  <c r="C235" i="16"/>
  <c r="C257" i="16" s="1"/>
  <c r="B236" i="16"/>
  <c r="B258" i="16" s="1"/>
  <c r="C236" i="16"/>
  <c r="C258" i="16" s="1"/>
  <c r="B237" i="16"/>
  <c r="B259" i="16" s="1"/>
  <c r="C237" i="16"/>
  <c r="C259" i="16" s="1"/>
  <c r="B238" i="16"/>
  <c r="B260" i="16" s="1"/>
  <c r="C238" i="16"/>
  <c r="C260" i="16" s="1"/>
  <c r="B239" i="16"/>
  <c r="B261" i="16" s="1"/>
  <c r="C239" i="16"/>
  <c r="C261" i="16" s="1"/>
  <c r="B240" i="16"/>
  <c r="B262" i="16" s="1"/>
  <c r="C240" i="16"/>
  <c r="C262" i="16" s="1"/>
  <c r="B241" i="16"/>
  <c r="B263" i="16" s="1"/>
  <c r="C241" i="16"/>
  <c r="C263" i="16" s="1"/>
  <c r="I2257" i="16"/>
  <c r="I2258" i="16" s="1"/>
  <c r="E402" i="20" l="1"/>
  <c r="J398" i="20" a="1"/>
  <c r="J398" i="20" s="1"/>
  <c r="J541" i="20" a="1"/>
  <c r="J541" i="20" s="1"/>
  <c r="D545" i="20"/>
  <c r="D800" i="20"/>
  <c r="J796" i="20" a="1"/>
  <c r="J796" i="20" s="1"/>
  <c r="D698" i="20"/>
  <c r="F33" i="20"/>
  <c r="F46" i="20"/>
  <c r="F38" i="20"/>
  <c r="F44" i="20"/>
  <c r="F45" i="20"/>
  <c r="F37" i="20"/>
  <c r="F48" i="20"/>
  <c r="F40" i="20"/>
  <c r="F32" i="20"/>
  <c r="F43" i="20"/>
  <c r="F35" i="20"/>
  <c r="F41" i="20"/>
  <c r="F36" i="20"/>
  <c r="F47" i="20"/>
  <c r="F39" i="20"/>
  <c r="F42" i="20"/>
  <c r="F34" i="20"/>
  <c r="I2259" i="16"/>
  <c r="J548" i="20" l="1" a="1"/>
  <c r="J548" i="20" s="1"/>
  <c r="D552" i="20"/>
  <c r="J405" i="20" a="1"/>
  <c r="J405" i="20" s="1"/>
  <c r="E409" i="20"/>
  <c r="J803" i="20" a="1"/>
  <c r="J803" i="20" s="1"/>
  <c r="D807" i="20"/>
  <c r="D705" i="20"/>
  <c r="I2260" i="16"/>
  <c r="J555" i="20" l="1" a="1"/>
  <c r="J555" i="20" s="1"/>
  <c r="D559" i="20"/>
  <c r="E416" i="20"/>
  <c r="J412" i="20" a="1"/>
  <c r="J412" i="20" s="1"/>
  <c r="D814" i="20"/>
  <c r="J810" i="20" a="1"/>
  <c r="J810" i="20" s="1"/>
  <c r="D712" i="20"/>
  <c r="I2261" i="16"/>
  <c r="B2" i="10"/>
  <c r="B2" i="22"/>
  <c r="B2" i="20"/>
  <c r="B2" i="16"/>
  <c r="B2" i="12"/>
  <c r="B2" i="11"/>
  <c r="B2" i="8"/>
  <c r="B2" i="25" s="1"/>
  <c r="B25" i="8"/>
  <c r="C25" i="8"/>
  <c r="C190" i="8"/>
  <c r="E423" i="20" l="1"/>
  <c r="J419" i="20" a="1"/>
  <c r="J419" i="20" s="1"/>
  <c r="D566" i="20"/>
  <c r="J569" i="20" s="1" a="1"/>
  <c r="J569" i="20" s="1"/>
  <c r="J562" i="20" a="1"/>
  <c r="J562" i="20" s="1"/>
  <c r="D821" i="20"/>
  <c r="J817" i="20" a="1"/>
  <c r="J817" i="20" s="1"/>
  <c r="B2" i="9"/>
  <c r="I2262" i="16"/>
  <c r="C187" i="8"/>
  <c r="E196" i="16" l="1"/>
  <c r="E195" i="16"/>
  <c r="J426" i="20" a="1"/>
  <c r="J426" i="20" s="1"/>
  <c r="E430" i="20"/>
  <c r="J824" i="20" a="1"/>
  <c r="J824" i="20" s="1"/>
  <c r="D828" i="20"/>
  <c r="I2263" i="16"/>
  <c r="J876" i="16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K61" i="10"/>
  <c r="D136" i="16"/>
  <c r="E437" i="20" l="1"/>
  <c r="J433" i="20" a="1"/>
  <c r="J433" i="20" s="1"/>
  <c r="J831" i="20" a="1"/>
  <c r="J831" i="20" s="1"/>
  <c r="D835" i="20"/>
  <c r="J49" i="8"/>
  <c r="J50" i="8"/>
  <c r="J51" i="8"/>
  <c r="J52" i="8"/>
  <c r="J53" i="8"/>
  <c r="J54" i="8"/>
  <c r="J55" i="8"/>
  <c r="J48" i="8"/>
  <c r="E873" i="16"/>
  <c r="E872" i="16"/>
  <c r="F872" i="16" s="1"/>
  <c r="D872" i="16"/>
  <c r="D877" i="16"/>
  <c r="B877" i="16" s="1"/>
  <c r="H872" i="16"/>
  <c r="I872" i="16" s="1"/>
  <c r="J97" i="16" a="1"/>
  <c r="J97" i="16" s="1"/>
  <c r="J98" i="16" a="1"/>
  <c r="J98" i="16" s="1"/>
  <c r="J99" i="16" a="1"/>
  <c r="J99" i="16" s="1"/>
  <c r="J100" i="16" a="1"/>
  <c r="J100" i="16" s="1"/>
  <c r="J101" i="16" a="1"/>
  <c r="J101" i="16" s="1"/>
  <c r="J102" i="16" a="1"/>
  <c r="J102" i="16" s="1"/>
  <c r="J103" i="16" a="1"/>
  <c r="J103" i="16" s="1"/>
  <c r="J104" i="16" a="1"/>
  <c r="J104" i="16" s="1"/>
  <c r="J135" i="16" a="1"/>
  <c r="J135" i="16" s="1"/>
  <c r="J96" i="16" a="1"/>
  <c r="J96" i="16" s="1"/>
  <c r="C185" i="8"/>
  <c r="C874" i="16" l="1"/>
  <c r="E444" i="20"/>
  <c r="J440" i="20" a="1"/>
  <c r="J440" i="20" s="1"/>
  <c r="J838" i="20" a="1"/>
  <c r="J838" i="20" s="1"/>
  <c r="D842" i="20"/>
  <c r="D878" i="16"/>
  <c r="J882" i="16"/>
  <c r="E878" i="16"/>
  <c r="F878" i="16" s="1"/>
  <c r="E879" i="16"/>
  <c r="C880" i="16"/>
  <c r="D883" i="16"/>
  <c r="D873" i="16"/>
  <c r="D161" i="8"/>
  <c r="D162" i="8" s="1"/>
  <c r="D163" i="8" s="1"/>
  <c r="D164" i="8" s="1"/>
  <c r="D165" i="8" s="1"/>
  <c r="D166" i="8" s="1"/>
  <c r="D167" i="8" s="1"/>
  <c r="D168" i="8" s="1"/>
  <c r="D169" i="8" s="1"/>
  <c r="D170" i="8" s="1"/>
  <c r="D171" i="8" s="1"/>
  <c r="D172" i="8" s="1"/>
  <c r="D173" i="8" s="1"/>
  <c r="D174" i="8" s="1"/>
  <c r="E451" i="20" l="1"/>
  <c r="J447" i="20" a="1"/>
  <c r="J447" i="20" s="1"/>
  <c r="J845" i="20" a="1"/>
  <c r="J845" i="20" s="1"/>
  <c r="D849" i="20"/>
  <c r="J888" i="16"/>
  <c r="B883" i="16"/>
  <c r="D884" i="16"/>
  <c r="E884" i="16"/>
  <c r="F884" i="16" s="1"/>
  <c r="C886" i="16"/>
  <c r="E885" i="16"/>
  <c r="D874" i="16"/>
  <c r="F873" i="16" s="1"/>
  <c r="D879" i="16"/>
  <c r="D889" i="16"/>
  <c r="B1837" i="16"/>
  <c r="B462" i="16" s="1"/>
  <c r="B1836" i="16"/>
  <c r="B461" i="16" s="1"/>
  <c r="B160" i="20" s="1"/>
  <c r="B1024" i="20" s="1"/>
  <c r="B1835" i="16"/>
  <c r="B460" i="16" s="1"/>
  <c r="B159" i="20" s="1"/>
  <c r="B1017" i="20" s="1"/>
  <c r="B1834" i="16"/>
  <c r="B459" i="16" s="1"/>
  <c r="B2200" i="16" s="1"/>
  <c r="B1833" i="16"/>
  <c r="B458" i="16" s="1"/>
  <c r="B157" i="20" s="1"/>
  <c r="B1003" i="20" s="1"/>
  <c r="C653" i="16"/>
  <c r="B653" i="16"/>
  <c r="C652" i="16"/>
  <c r="B652" i="16"/>
  <c r="C651" i="16"/>
  <c r="B651" i="16"/>
  <c r="C650" i="16"/>
  <c r="B650" i="16"/>
  <c r="C649" i="16"/>
  <c r="B649" i="16"/>
  <c r="C648" i="16"/>
  <c r="B648" i="16"/>
  <c r="C647" i="16"/>
  <c r="B647" i="16"/>
  <c r="C646" i="16"/>
  <c r="B646" i="16"/>
  <c r="C645" i="16"/>
  <c r="B645" i="16"/>
  <c r="C644" i="16"/>
  <c r="B644" i="16"/>
  <c r="B483" i="16"/>
  <c r="B530" i="16" s="1"/>
  <c r="C459" i="16"/>
  <c r="J158" i="20" s="1"/>
  <c r="C460" i="16"/>
  <c r="J159" i="20" s="1"/>
  <c r="C461" i="16"/>
  <c r="J160" i="20" s="1"/>
  <c r="C462" i="16"/>
  <c r="J161" i="20" s="1"/>
  <c r="E459" i="16"/>
  <c r="D158" i="20" s="1"/>
  <c r="F459" i="16"/>
  <c r="G459" i="16"/>
  <c r="E460" i="16"/>
  <c r="D159" i="20" s="1"/>
  <c r="F460" i="16"/>
  <c r="G460" i="16"/>
  <c r="E461" i="16"/>
  <c r="D160" i="20" s="1"/>
  <c r="F461" i="16"/>
  <c r="G461" i="16"/>
  <c r="E462" i="16"/>
  <c r="D161" i="20" s="1"/>
  <c r="F462" i="16"/>
  <c r="G462" i="16"/>
  <c r="G458" i="16"/>
  <c r="F458" i="16"/>
  <c r="E458" i="16"/>
  <c r="D157" i="20" s="1"/>
  <c r="C458" i="16"/>
  <c r="G363" i="16"/>
  <c r="G364" i="16"/>
  <c r="G365" i="16"/>
  <c r="G366" i="16"/>
  <c r="G367" i="16"/>
  <c r="F367" i="16"/>
  <c r="F366" i="16"/>
  <c r="F365" i="16"/>
  <c r="F364" i="16"/>
  <c r="F363" i="16"/>
  <c r="C364" i="16"/>
  <c r="J105" i="20" s="1"/>
  <c r="C365" i="16"/>
  <c r="J106" i="20" s="1"/>
  <c r="C366" i="16"/>
  <c r="J107" i="20" s="1"/>
  <c r="C367" i="16"/>
  <c r="J108" i="20" s="1"/>
  <c r="C363" i="16"/>
  <c r="J104" i="20" s="1"/>
  <c r="B1504" i="16"/>
  <c r="B1503" i="16"/>
  <c r="B366" i="16" s="1"/>
  <c r="B387" i="16" s="1"/>
  <c r="B404" i="16" s="1"/>
  <c r="B1502" i="16"/>
  <c r="B365" i="16" s="1"/>
  <c r="B2154" i="16" s="1"/>
  <c r="B1501" i="16"/>
  <c r="B1500" i="16"/>
  <c r="B1510" i="16" s="1"/>
  <c r="I196" i="16"/>
  <c r="E49" i="20"/>
  <c r="E31" i="20"/>
  <c r="E30" i="20"/>
  <c r="J216" i="16" a="1"/>
  <c r="J216" i="16" s="1"/>
  <c r="J242" i="16" s="1" a="1"/>
  <c r="J242" i="16" s="1"/>
  <c r="J264" i="16" s="1"/>
  <c r="J198" i="16" a="1"/>
  <c r="J198" i="16" s="1"/>
  <c r="J224" i="16" s="1" a="1"/>
  <c r="J224" i="16" s="1"/>
  <c r="J246" i="16" s="1"/>
  <c r="J197" i="16" a="1"/>
  <c r="J197" i="16" s="1"/>
  <c r="J223" i="16" s="1" a="1"/>
  <c r="J223" i="16" s="1"/>
  <c r="J245" i="16" s="1"/>
  <c r="R245" i="16"/>
  <c r="S245" i="16"/>
  <c r="T245" i="16"/>
  <c r="U245" i="16"/>
  <c r="V245" i="16"/>
  <c r="W245" i="16"/>
  <c r="X245" i="16"/>
  <c r="Q246" i="16"/>
  <c r="R246" i="16"/>
  <c r="S246" i="16"/>
  <c r="T246" i="16"/>
  <c r="U246" i="16"/>
  <c r="V246" i="16"/>
  <c r="W246" i="16"/>
  <c r="X246" i="16"/>
  <c r="Q264" i="16"/>
  <c r="R264" i="16"/>
  <c r="S264" i="16"/>
  <c r="T264" i="16"/>
  <c r="U264" i="16"/>
  <c r="V264" i="16"/>
  <c r="W264" i="16"/>
  <c r="X264" i="16"/>
  <c r="H1144" i="16"/>
  <c r="C242" i="16"/>
  <c r="C264" i="16" s="1"/>
  <c r="B242" i="16"/>
  <c r="B264" i="16" s="1"/>
  <c r="C224" i="16"/>
  <c r="C246" i="16" s="1"/>
  <c r="B224" i="16"/>
  <c r="B246" i="16" s="1"/>
  <c r="C223" i="16"/>
  <c r="C245" i="16" s="1"/>
  <c r="B223" i="16"/>
  <c r="B245" i="16" s="1"/>
  <c r="H363" i="16"/>
  <c r="H364" i="16"/>
  <c r="H365" i="16"/>
  <c r="H366" i="16"/>
  <c r="H367" i="16"/>
  <c r="K1387" i="16"/>
  <c r="C611" i="16"/>
  <c r="B611" i="16"/>
  <c r="C610" i="16"/>
  <c r="B610" i="16"/>
  <c r="C609" i="16"/>
  <c r="B609" i="16"/>
  <c r="C608" i="16"/>
  <c r="B608" i="16"/>
  <c r="C607" i="16"/>
  <c r="B607" i="16"/>
  <c r="C606" i="16"/>
  <c r="B606" i="16"/>
  <c r="C605" i="16"/>
  <c r="B605" i="16"/>
  <c r="C604" i="16"/>
  <c r="B604" i="16"/>
  <c r="C603" i="16"/>
  <c r="B603" i="16"/>
  <c r="C602" i="16"/>
  <c r="B602" i="16"/>
  <c r="B590" i="16"/>
  <c r="E594" i="12"/>
  <c r="D594" i="12"/>
  <c r="C594" i="12"/>
  <c r="E585" i="12"/>
  <c r="D585" i="12"/>
  <c r="C585" i="12"/>
  <c r="E520" i="12"/>
  <c r="D520" i="12"/>
  <c r="C520" i="12"/>
  <c r="E434" i="12"/>
  <c r="D434" i="12"/>
  <c r="C434" i="12"/>
  <c r="E306" i="12"/>
  <c r="D306" i="12"/>
  <c r="C306" i="12"/>
  <c r="E264" i="12"/>
  <c r="D264" i="12"/>
  <c r="C264" i="12"/>
  <c r="E221" i="12"/>
  <c r="D221" i="12"/>
  <c r="C221" i="12"/>
  <c r="E206" i="12"/>
  <c r="D206" i="12"/>
  <c r="C206" i="12"/>
  <c r="E161" i="12"/>
  <c r="D161" i="12"/>
  <c r="C161" i="12"/>
  <c r="E116" i="12"/>
  <c r="D116" i="12"/>
  <c r="C116" i="12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X492" i="10"/>
  <c r="W492" i="10"/>
  <c r="V492" i="10"/>
  <c r="U492" i="10"/>
  <c r="T492" i="10"/>
  <c r="S492" i="10"/>
  <c r="R492" i="10"/>
  <c r="Q492" i="10"/>
  <c r="P492" i="10"/>
  <c r="O492" i="10"/>
  <c r="N492" i="10"/>
  <c r="M492" i="10"/>
  <c r="L492" i="10"/>
  <c r="K492" i="10"/>
  <c r="I404" i="10"/>
  <c r="H404" i="10"/>
  <c r="G404" i="10"/>
  <c r="G402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I393" i="10"/>
  <c r="H393" i="10"/>
  <c r="G393" i="10"/>
  <c r="X351" i="10"/>
  <c r="W351" i="10"/>
  <c r="V351" i="10"/>
  <c r="U351" i="10"/>
  <c r="T351" i="10"/>
  <c r="S351" i="10"/>
  <c r="R351" i="10"/>
  <c r="Q351" i="10"/>
  <c r="P351" i="10"/>
  <c r="O351" i="10"/>
  <c r="N351" i="10"/>
  <c r="M351" i="10"/>
  <c r="L351" i="10"/>
  <c r="K351" i="10"/>
  <c r="X350" i="10"/>
  <c r="W350" i="10"/>
  <c r="V350" i="10"/>
  <c r="U350" i="10"/>
  <c r="T350" i="10"/>
  <c r="S350" i="10"/>
  <c r="R350" i="10"/>
  <c r="Q350" i="10"/>
  <c r="P350" i="10"/>
  <c r="O350" i="10"/>
  <c r="N350" i="10"/>
  <c r="M350" i="10"/>
  <c r="L350" i="10"/>
  <c r="K350" i="10"/>
  <c r="X349" i="10"/>
  <c r="W349" i="10"/>
  <c r="V349" i="10"/>
  <c r="U349" i="10"/>
  <c r="T349" i="10"/>
  <c r="S349" i="10"/>
  <c r="R349" i="10"/>
  <c r="Q349" i="10"/>
  <c r="P349" i="10"/>
  <c r="O349" i="10"/>
  <c r="N349" i="10"/>
  <c r="M349" i="10"/>
  <c r="L349" i="10"/>
  <c r="K34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X263" i="10"/>
  <c r="W263" i="10"/>
  <c r="V263" i="10"/>
  <c r="U263" i="10"/>
  <c r="T263" i="10"/>
  <c r="S263" i="10"/>
  <c r="R263" i="10"/>
  <c r="Q263" i="10"/>
  <c r="P263" i="10"/>
  <c r="O263" i="10"/>
  <c r="N263" i="10"/>
  <c r="M263" i="10"/>
  <c r="L263" i="10"/>
  <c r="K263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X116" i="10"/>
  <c r="W116" i="10"/>
  <c r="V116" i="10"/>
  <c r="U116" i="10"/>
  <c r="T116" i="10"/>
  <c r="S116" i="10"/>
  <c r="R116" i="10"/>
  <c r="Q116" i="10"/>
  <c r="P116" i="10"/>
  <c r="O116" i="10"/>
  <c r="N116" i="10"/>
  <c r="M116" i="10"/>
  <c r="L116" i="10"/>
  <c r="G116" i="10"/>
  <c r="G403" i="10" s="1"/>
  <c r="X115" i="10"/>
  <c r="W115" i="10"/>
  <c r="V115" i="10"/>
  <c r="U115" i="10"/>
  <c r="T115" i="10"/>
  <c r="S115" i="10"/>
  <c r="R115" i="10"/>
  <c r="Q115" i="10"/>
  <c r="P115" i="10"/>
  <c r="O115" i="10"/>
  <c r="N115" i="10"/>
  <c r="M115" i="10"/>
  <c r="L115" i="10"/>
  <c r="X110" i="10"/>
  <c r="X397" i="10" s="1"/>
  <c r="W110" i="10"/>
  <c r="W397" i="10" s="1"/>
  <c r="V110" i="10"/>
  <c r="V397" i="10" s="1"/>
  <c r="U110" i="10"/>
  <c r="U397" i="10" s="1"/>
  <c r="T110" i="10"/>
  <c r="T397" i="10" s="1"/>
  <c r="S110" i="10"/>
  <c r="S397" i="10" s="1"/>
  <c r="R110" i="10"/>
  <c r="R397" i="10" s="1"/>
  <c r="Q110" i="10"/>
  <c r="Q397" i="10" s="1"/>
  <c r="P110" i="10"/>
  <c r="P397" i="10" s="1"/>
  <c r="O110" i="10"/>
  <c r="O397" i="10" s="1"/>
  <c r="N110" i="10"/>
  <c r="N397" i="10" s="1"/>
  <c r="M110" i="10"/>
  <c r="M397" i="10" s="1"/>
  <c r="L110" i="10"/>
  <c r="L397" i="10"/>
  <c r="I93" i="10"/>
  <c r="I380" i="10" s="1"/>
  <c r="H93" i="10"/>
  <c r="H380" i="10" s="1"/>
  <c r="G93" i="10"/>
  <c r="G380" i="10" s="1"/>
  <c r="I89" i="10"/>
  <c r="I113" i="10" s="1"/>
  <c r="H89" i="10"/>
  <c r="H376" i="10" s="1"/>
  <c r="H400" i="10" s="1"/>
  <c r="G89" i="10"/>
  <c r="G376" i="10"/>
  <c r="G400" i="10" s="1"/>
  <c r="I85" i="10"/>
  <c r="H85" i="10"/>
  <c r="H114" i="10" s="1"/>
  <c r="G85" i="10"/>
  <c r="G372" i="10"/>
  <c r="G401" i="10" s="1"/>
  <c r="I80" i="10"/>
  <c r="I367" i="10"/>
  <c r="H80" i="10"/>
  <c r="H367" i="10"/>
  <c r="G80" i="10"/>
  <c r="G367" i="10"/>
  <c r="I79" i="10"/>
  <c r="I366" i="10" s="1"/>
  <c r="H79" i="10"/>
  <c r="H366" i="10" s="1"/>
  <c r="G79" i="10"/>
  <c r="G366" i="10" s="1"/>
  <c r="I77" i="10"/>
  <c r="I365" i="10" s="1"/>
  <c r="H77" i="10"/>
  <c r="H365" i="10" s="1"/>
  <c r="G77" i="10"/>
  <c r="G365" i="10" s="1"/>
  <c r="I72" i="10"/>
  <c r="I360" i="10"/>
  <c r="H72" i="10"/>
  <c r="H360" i="10"/>
  <c r="G72" i="10"/>
  <c r="G360" i="10"/>
  <c r="I61" i="10"/>
  <c r="I349" i="10" s="1"/>
  <c r="H61" i="10"/>
  <c r="H349" i="10" s="1"/>
  <c r="G61" i="10"/>
  <c r="G349" i="10" s="1"/>
  <c r="I60" i="10"/>
  <c r="H60" i="10"/>
  <c r="H348" i="10" s="1"/>
  <c r="G60" i="10"/>
  <c r="G348" i="10" s="1"/>
  <c r="I59" i="10"/>
  <c r="I347" i="10" s="1"/>
  <c r="H59" i="10"/>
  <c r="H347" i="10" s="1"/>
  <c r="G59" i="10"/>
  <c r="G347" i="10" s="1"/>
  <c r="I58" i="10"/>
  <c r="I346" i="10" s="1"/>
  <c r="H58" i="10"/>
  <c r="H346" i="10" s="1"/>
  <c r="G58" i="10"/>
  <c r="G346" i="10"/>
  <c r="I57" i="10"/>
  <c r="I345" i="10" s="1"/>
  <c r="H57" i="10"/>
  <c r="G57" i="10"/>
  <c r="G345" i="10" s="1"/>
  <c r="I56" i="10"/>
  <c r="I344" i="10" s="1"/>
  <c r="H56" i="10"/>
  <c r="H344" i="10" s="1"/>
  <c r="G56" i="10"/>
  <c r="I55" i="10"/>
  <c r="H55" i="10"/>
  <c r="G55" i="10"/>
  <c r="G343" i="10" s="1"/>
  <c r="I52" i="10"/>
  <c r="I340" i="10" s="1"/>
  <c r="H52" i="10"/>
  <c r="H340" i="10" s="1"/>
  <c r="G52" i="10"/>
  <c r="G340" i="10" s="1"/>
  <c r="I51" i="10"/>
  <c r="I339" i="10" s="1"/>
  <c r="H51" i="10"/>
  <c r="H339" i="10" s="1"/>
  <c r="G51" i="10"/>
  <c r="G339" i="10" s="1"/>
  <c r="I50" i="10"/>
  <c r="I338" i="10" s="1"/>
  <c r="H50" i="10"/>
  <c r="H338" i="10" s="1"/>
  <c r="G50" i="10"/>
  <c r="G338" i="10" s="1"/>
  <c r="I49" i="10"/>
  <c r="I337" i="10" s="1"/>
  <c r="H49" i="10"/>
  <c r="H337" i="10"/>
  <c r="G49" i="10"/>
  <c r="G337" i="10" s="1"/>
  <c r="I41" i="10"/>
  <c r="I329" i="10"/>
  <c r="H41" i="10"/>
  <c r="H329" i="10"/>
  <c r="G41" i="10"/>
  <c r="G329" i="10"/>
  <c r="I40" i="10"/>
  <c r="I328" i="10"/>
  <c r="H40" i="10"/>
  <c r="H328" i="10"/>
  <c r="G40" i="10"/>
  <c r="G328" i="10"/>
  <c r="I36" i="10"/>
  <c r="I324" i="10"/>
  <c r="H36" i="10"/>
  <c r="H324" i="10"/>
  <c r="G36" i="10"/>
  <c r="G324" i="10"/>
  <c r="I31" i="10"/>
  <c r="I319" i="10" s="1"/>
  <c r="H31" i="10"/>
  <c r="H319" i="10" s="1"/>
  <c r="G31" i="10"/>
  <c r="G319" i="10"/>
  <c r="I28" i="10"/>
  <c r="I316" i="10" s="1"/>
  <c r="H28" i="10"/>
  <c r="H316" i="10"/>
  <c r="G28" i="10"/>
  <c r="G316" i="10" s="1"/>
  <c r="I27" i="10"/>
  <c r="I315" i="10" s="1"/>
  <c r="H27" i="10"/>
  <c r="H315" i="10"/>
  <c r="G27" i="10"/>
  <c r="G315" i="10" s="1"/>
  <c r="I26" i="10"/>
  <c r="I314" i="10"/>
  <c r="H26" i="10"/>
  <c r="H314" i="10" s="1"/>
  <c r="G26" i="10"/>
  <c r="G314" i="10"/>
  <c r="I25" i="10"/>
  <c r="I313" i="10" s="1"/>
  <c r="H25" i="10"/>
  <c r="H313" i="10" s="1"/>
  <c r="G25" i="10"/>
  <c r="G313" i="10" s="1"/>
  <c r="I24" i="10"/>
  <c r="I312" i="10" s="1"/>
  <c r="H24" i="10"/>
  <c r="H312" i="10" s="1"/>
  <c r="G24" i="10"/>
  <c r="G312" i="10"/>
  <c r="I23" i="10"/>
  <c r="I311" i="10" s="1"/>
  <c r="H23" i="10"/>
  <c r="H311" i="10" s="1"/>
  <c r="G23" i="10"/>
  <c r="G311" i="10" s="1"/>
  <c r="I22" i="10"/>
  <c r="I310" i="10"/>
  <c r="H22" i="10"/>
  <c r="H310" i="10" s="1"/>
  <c r="G22" i="10"/>
  <c r="G310" i="10" s="1"/>
  <c r="I21" i="10"/>
  <c r="I309" i="10" s="1"/>
  <c r="H21" i="10"/>
  <c r="H101" i="10" s="1"/>
  <c r="G21" i="10"/>
  <c r="G309" i="10" s="1"/>
  <c r="I19" i="10"/>
  <c r="I307" i="10" s="1"/>
  <c r="H19" i="10"/>
  <c r="H307" i="10" s="1"/>
  <c r="G19" i="10"/>
  <c r="G307" i="10"/>
  <c r="I18" i="10"/>
  <c r="I15" i="10" s="1"/>
  <c r="H18" i="10"/>
  <c r="H306" i="10"/>
  <c r="G18" i="10"/>
  <c r="G306" i="10"/>
  <c r="I17" i="10"/>
  <c r="I305" i="10"/>
  <c r="H17" i="10"/>
  <c r="H15" i="10" s="1"/>
  <c r="G17" i="10"/>
  <c r="G305" i="10"/>
  <c r="I16" i="10"/>
  <c r="H16" i="10"/>
  <c r="H304" i="10" s="1"/>
  <c r="G16" i="10"/>
  <c r="K11" i="10"/>
  <c r="K134" i="22"/>
  <c r="L131" i="22"/>
  <c r="L134" i="22"/>
  <c r="M131" i="22"/>
  <c r="M134" i="22"/>
  <c r="N131" i="22"/>
  <c r="N134" i="22"/>
  <c r="O131" i="22"/>
  <c r="O134" i="22"/>
  <c r="P131" i="22"/>
  <c r="P134" i="22"/>
  <c r="Q131" i="22"/>
  <c r="Q134" i="22"/>
  <c r="R131" i="22"/>
  <c r="R134" i="22"/>
  <c r="S131" i="22"/>
  <c r="S134" i="22"/>
  <c r="T131" i="22"/>
  <c r="T134" i="22"/>
  <c r="U131" i="22"/>
  <c r="U134" i="22"/>
  <c r="V131" i="22"/>
  <c r="V134" i="22"/>
  <c r="W131" i="22"/>
  <c r="W134" i="22"/>
  <c r="X131" i="22"/>
  <c r="X134" i="22"/>
  <c r="L126" i="22"/>
  <c r="K126" i="22"/>
  <c r="X125" i="22"/>
  <c r="X127" i="22" s="1"/>
  <c r="W125" i="22"/>
  <c r="W127" i="22" s="1"/>
  <c r="V125" i="22"/>
  <c r="V127" i="22" s="1"/>
  <c r="U125" i="22"/>
  <c r="T125" i="22"/>
  <c r="S125" i="22"/>
  <c r="R125" i="22"/>
  <c r="Q125" i="22"/>
  <c r="P125" i="22"/>
  <c r="O125" i="22"/>
  <c r="N125" i="22"/>
  <c r="M125" i="22"/>
  <c r="L125" i="22"/>
  <c r="K125" i="22"/>
  <c r="L122" i="22"/>
  <c r="M122" i="22"/>
  <c r="K117" i="22"/>
  <c r="X116" i="22"/>
  <c r="W116" i="22"/>
  <c r="V116" i="22"/>
  <c r="U116" i="22"/>
  <c r="T116" i="22"/>
  <c r="S116" i="22"/>
  <c r="R116" i="22"/>
  <c r="Q116" i="22"/>
  <c r="P116" i="22"/>
  <c r="O116" i="22"/>
  <c r="N116" i="22"/>
  <c r="M116" i="22"/>
  <c r="L116" i="22"/>
  <c r="K116" i="22"/>
  <c r="K108" i="22"/>
  <c r="X107" i="22"/>
  <c r="X109" i="22" s="1"/>
  <c r="W107" i="22"/>
  <c r="W109" i="22" s="1"/>
  <c r="V107" i="22"/>
  <c r="V109" i="22" s="1"/>
  <c r="U107" i="22"/>
  <c r="U109" i="22" s="1"/>
  <c r="T107" i="22"/>
  <c r="T109" i="22" s="1"/>
  <c r="S107" i="22"/>
  <c r="S109" i="22" s="1"/>
  <c r="R107" i="22"/>
  <c r="R109" i="22" s="1"/>
  <c r="Q107" i="22"/>
  <c r="Q109" i="22" s="1"/>
  <c r="P107" i="22"/>
  <c r="P109" i="22" s="1"/>
  <c r="O107" i="22"/>
  <c r="O109" i="22" s="1"/>
  <c r="N107" i="22"/>
  <c r="M107" i="22"/>
  <c r="M109" i="22" s="1"/>
  <c r="L107" i="22"/>
  <c r="L109" i="22" s="1"/>
  <c r="K107" i="22"/>
  <c r="K109" i="22" s="1"/>
  <c r="L104" i="22"/>
  <c r="L108" i="22"/>
  <c r="M104" i="22"/>
  <c r="M108" i="22"/>
  <c r="N104" i="22"/>
  <c r="N108" i="22"/>
  <c r="K99" i="22"/>
  <c r="L95" i="22"/>
  <c r="L99" i="22"/>
  <c r="M95" i="22" s="1"/>
  <c r="M99" i="22" s="1"/>
  <c r="X98" i="22"/>
  <c r="W98" i="22"/>
  <c r="V98" i="22"/>
  <c r="U98" i="22"/>
  <c r="T98" i="22"/>
  <c r="S98" i="22"/>
  <c r="R98" i="22"/>
  <c r="Q98" i="22"/>
  <c r="P98" i="22"/>
  <c r="O98" i="22"/>
  <c r="N98" i="22"/>
  <c r="M98" i="22"/>
  <c r="L98" i="22"/>
  <c r="K98" i="22"/>
  <c r="K100" i="22" s="1"/>
  <c r="X90" i="22"/>
  <c r="W90" i="22"/>
  <c r="V90" i="22"/>
  <c r="U90" i="22"/>
  <c r="T90" i="22"/>
  <c r="S90" i="22"/>
  <c r="R90" i="22"/>
  <c r="Q90" i="22"/>
  <c r="P90" i="22"/>
  <c r="O90" i="22"/>
  <c r="N90" i="22"/>
  <c r="M90" i="22"/>
  <c r="L90" i="22"/>
  <c r="K90" i="22"/>
  <c r="K91" i="22" s="1"/>
  <c r="K89" i="22"/>
  <c r="K83" i="22"/>
  <c r="K85" i="22"/>
  <c r="K73" i="22"/>
  <c r="L71" i="22" s="1"/>
  <c r="L73" i="22" s="1"/>
  <c r="M71" i="22" s="1"/>
  <c r="M73" i="22" s="1"/>
  <c r="N71" i="22" s="1"/>
  <c r="N73" i="22" s="1"/>
  <c r="O71" i="22" s="1"/>
  <c r="O73" i="22" s="1"/>
  <c r="P71" i="22" s="1"/>
  <c r="P73" i="22" s="1"/>
  <c r="Q71" i="22" s="1"/>
  <c r="Q73" i="22" s="1"/>
  <c r="R71" i="22" s="1"/>
  <c r="R73" i="22" s="1"/>
  <c r="S71" i="22" s="1"/>
  <c r="S73" i="22" s="1"/>
  <c r="T71" i="22" s="1"/>
  <c r="T73" i="22" s="1"/>
  <c r="U71" i="22" s="1"/>
  <c r="U73" i="22" s="1"/>
  <c r="V71" i="22" s="1"/>
  <c r="V73" i="22" s="1"/>
  <c r="W71" i="22" s="1"/>
  <c r="W73" i="22" s="1"/>
  <c r="X71" i="22" s="1"/>
  <c r="X73" i="22" s="1"/>
  <c r="X63" i="22"/>
  <c r="W63" i="22"/>
  <c r="V63" i="22"/>
  <c r="U63" i="22"/>
  <c r="T63" i="22"/>
  <c r="S63" i="22"/>
  <c r="R63" i="22"/>
  <c r="Q63" i="22"/>
  <c r="P63" i="22"/>
  <c r="O63" i="22"/>
  <c r="N63" i="22"/>
  <c r="M63" i="22"/>
  <c r="L63" i="22"/>
  <c r="K63" i="22"/>
  <c r="X54" i="22"/>
  <c r="W54" i="22"/>
  <c r="V54" i="22"/>
  <c r="U54" i="22"/>
  <c r="T54" i="22"/>
  <c r="S54" i="22"/>
  <c r="R54" i="22"/>
  <c r="Q54" i="22"/>
  <c r="P54" i="22"/>
  <c r="O54" i="22"/>
  <c r="N54" i="22"/>
  <c r="M54" i="22"/>
  <c r="L54" i="22"/>
  <c r="K54" i="22"/>
  <c r="K46" i="22"/>
  <c r="L42" i="22" s="1"/>
  <c r="L46" i="22" s="1"/>
  <c r="M42" i="22" s="1"/>
  <c r="M46" i="22" s="1"/>
  <c r="N42" i="22" s="1"/>
  <c r="N46" i="22" s="1"/>
  <c r="O42" i="22" s="1"/>
  <c r="O46" i="22" s="1"/>
  <c r="P42" i="22" s="1"/>
  <c r="P46" i="22" s="1"/>
  <c r="Q42" i="22" s="1"/>
  <c r="Q46" i="22" s="1"/>
  <c r="R42" i="22" s="1"/>
  <c r="R46" i="22" s="1"/>
  <c r="S42" i="22" s="1"/>
  <c r="S46" i="22" s="1"/>
  <c r="T42" i="22" s="1"/>
  <c r="T46" i="22" s="1"/>
  <c r="U42" i="22" s="1"/>
  <c r="U46" i="22" s="1"/>
  <c r="V42" i="22" s="1"/>
  <c r="V46" i="22" s="1"/>
  <c r="W42" i="22" s="1"/>
  <c r="W46" i="22" s="1"/>
  <c r="X42" i="22" s="1"/>
  <c r="X46" i="22" s="1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K42" i="22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K11" i="22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K11" i="18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C1121" i="20"/>
  <c r="C1128" i="20" s="1"/>
  <c r="C1135" i="20" s="1"/>
  <c r="E197" i="20"/>
  <c r="D197" i="20"/>
  <c r="C197" i="20"/>
  <c r="B197" i="20"/>
  <c r="E196" i="20"/>
  <c r="D196" i="20"/>
  <c r="C196" i="20"/>
  <c r="B196" i="20"/>
  <c r="E195" i="20"/>
  <c r="D195" i="20"/>
  <c r="C195" i="20"/>
  <c r="B195" i="20"/>
  <c r="E194" i="20"/>
  <c r="D194" i="20"/>
  <c r="C194" i="20"/>
  <c r="B194" i="20"/>
  <c r="E193" i="20"/>
  <c r="D193" i="20"/>
  <c r="C193" i="20"/>
  <c r="B193" i="20"/>
  <c r="E192" i="20"/>
  <c r="D192" i="20"/>
  <c r="C192" i="20"/>
  <c r="B192" i="20"/>
  <c r="E191" i="20"/>
  <c r="D191" i="20"/>
  <c r="C191" i="20"/>
  <c r="B191" i="20"/>
  <c r="E190" i="20"/>
  <c r="D190" i="20"/>
  <c r="C190" i="20"/>
  <c r="B190" i="20"/>
  <c r="E189" i="20"/>
  <c r="D189" i="20"/>
  <c r="C189" i="20"/>
  <c r="B189" i="20"/>
  <c r="E188" i="20"/>
  <c r="D188" i="20"/>
  <c r="C188" i="20"/>
  <c r="B188" i="20"/>
  <c r="C1048" i="20"/>
  <c r="C1055" i="20" s="1"/>
  <c r="C1062" i="20" s="1"/>
  <c r="C1069" i="20" s="1"/>
  <c r="C1076" i="20" s="1"/>
  <c r="C1083" i="20" s="1"/>
  <c r="C1090" i="20" s="1"/>
  <c r="C1097" i="20" s="1"/>
  <c r="C1104" i="20" s="1"/>
  <c r="G179" i="20"/>
  <c r="E179" i="20"/>
  <c r="D179" i="20"/>
  <c r="C179" i="20"/>
  <c r="B179" i="20"/>
  <c r="E178" i="20"/>
  <c r="D178" i="20"/>
  <c r="C178" i="20"/>
  <c r="B178" i="20"/>
  <c r="E177" i="20"/>
  <c r="D177" i="20"/>
  <c r="C177" i="20"/>
  <c r="B177" i="20"/>
  <c r="G176" i="20"/>
  <c r="E176" i="20"/>
  <c r="D176" i="20"/>
  <c r="C176" i="20"/>
  <c r="B176" i="20"/>
  <c r="G175" i="20"/>
  <c r="E175" i="20"/>
  <c r="D175" i="20"/>
  <c r="C175" i="20"/>
  <c r="B175" i="20"/>
  <c r="G174" i="20"/>
  <c r="E174" i="20"/>
  <c r="D174" i="20"/>
  <c r="C174" i="20"/>
  <c r="B174" i="20"/>
  <c r="G173" i="20"/>
  <c r="E173" i="20"/>
  <c r="F173" i="20" s="1"/>
  <c r="I577" i="16" s="1"/>
  <c r="D173" i="20"/>
  <c r="C173" i="20"/>
  <c r="B173" i="20"/>
  <c r="G172" i="20"/>
  <c r="E172" i="20"/>
  <c r="D172" i="20"/>
  <c r="C172" i="20"/>
  <c r="B172" i="20"/>
  <c r="E171" i="20"/>
  <c r="D171" i="20"/>
  <c r="C171" i="20"/>
  <c r="B171" i="20"/>
  <c r="E170" i="20"/>
  <c r="D170" i="20"/>
  <c r="C170" i="20"/>
  <c r="B170" i="20"/>
  <c r="C730" i="20"/>
  <c r="C737" i="20" s="1"/>
  <c r="C744" i="20" s="1"/>
  <c r="C751" i="20" s="1"/>
  <c r="C758" i="20" s="1"/>
  <c r="E156" i="20"/>
  <c r="D156" i="20"/>
  <c r="C156" i="20"/>
  <c r="B156" i="20"/>
  <c r="E155" i="20"/>
  <c r="D155" i="20"/>
  <c r="C155" i="20"/>
  <c r="B155" i="20"/>
  <c r="E154" i="20"/>
  <c r="D154" i="20"/>
  <c r="C154" i="20"/>
  <c r="B154" i="20"/>
  <c r="E153" i="20"/>
  <c r="D153" i="20"/>
  <c r="C153" i="20"/>
  <c r="B153" i="20"/>
  <c r="E152" i="20"/>
  <c r="D152" i="20"/>
  <c r="C152" i="20"/>
  <c r="B152" i="20"/>
  <c r="E151" i="20"/>
  <c r="D151" i="20"/>
  <c r="C151" i="20"/>
  <c r="B151" i="20"/>
  <c r="E150" i="20"/>
  <c r="D150" i="20"/>
  <c r="C150" i="20"/>
  <c r="B150" i="20"/>
  <c r="E149" i="20"/>
  <c r="D149" i="20"/>
  <c r="C149" i="20"/>
  <c r="B149" i="20"/>
  <c r="E148" i="20"/>
  <c r="D148" i="20"/>
  <c r="C148" i="20"/>
  <c r="B148" i="20"/>
  <c r="E147" i="20"/>
  <c r="D147" i="20"/>
  <c r="C147" i="20"/>
  <c r="B147" i="20"/>
  <c r="E146" i="20"/>
  <c r="D146" i="20"/>
  <c r="C146" i="20"/>
  <c r="B146" i="20"/>
  <c r="E145" i="20"/>
  <c r="D145" i="20"/>
  <c r="C145" i="20"/>
  <c r="B145" i="20"/>
  <c r="E144" i="20"/>
  <c r="D144" i="20"/>
  <c r="C144" i="20"/>
  <c r="B144" i="20"/>
  <c r="E143" i="20"/>
  <c r="D143" i="20"/>
  <c r="C143" i="20"/>
  <c r="B143" i="20"/>
  <c r="E142" i="20"/>
  <c r="D142" i="20"/>
  <c r="C142" i="20"/>
  <c r="B142" i="20"/>
  <c r="E141" i="20"/>
  <c r="D141" i="20"/>
  <c r="C141" i="20"/>
  <c r="B141" i="20"/>
  <c r="E140" i="20"/>
  <c r="D140" i="20"/>
  <c r="C140" i="20"/>
  <c r="B140" i="20"/>
  <c r="E139" i="20"/>
  <c r="D139" i="20"/>
  <c r="C139" i="20"/>
  <c r="B139" i="20"/>
  <c r="E138" i="20"/>
  <c r="D138" i="20"/>
  <c r="C138" i="20"/>
  <c r="B138" i="20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E127" i="20"/>
  <c r="D127" i="20"/>
  <c r="C127" i="20"/>
  <c r="B127" i="20"/>
  <c r="E126" i="20"/>
  <c r="D126" i="20"/>
  <c r="C126" i="20"/>
  <c r="B126" i="20"/>
  <c r="E125" i="20"/>
  <c r="D125" i="20"/>
  <c r="C125" i="20"/>
  <c r="B125" i="20"/>
  <c r="E124" i="20"/>
  <c r="D124" i="20"/>
  <c r="C124" i="20"/>
  <c r="B124" i="20"/>
  <c r="E123" i="20"/>
  <c r="D123" i="20"/>
  <c r="C123" i="20"/>
  <c r="B123" i="20"/>
  <c r="E122" i="20"/>
  <c r="D122" i="20"/>
  <c r="C122" i="20"/>
  <c r="B122" i="20"/>
  <c r="E121" i="20"/>
  <c r="D121" i="20"/>
  <c r="C121" i="20"/>
  <c r="B121" i="20"/>
  <c r="E120" i="20"/>
  <c r="D120" i="20"/>
  <c r="C120" i="20"/>
  <c r="B120" i="20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C621" i="20"/>
  <c r="C628" i="20" s="1"/>
  <c r="C635" i="20" s="1"/>
  <c r="C642" i="20" s="1"/>
  <c r="C649" i="20" s="1"/>
  <c r="C656" i="20" s="1"/>
  <c r="C663" i="20" s="1"/>
  <c r="C670" i="20" s="1"/>
  <c r="C677" i="20" s="1"/>
  <c r="C684" i="20" s="1"/>
  <c r="C691" i="20" s="1"/>
  <c r="C698" i="20" s="1"/>
  <c r="C705" i="20" s="1"/>
  <c r="C712" i="20" s="1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B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C583" i="20"/>
  <c r="C590" i="20" s="1"/>
  <c r="C597" i="20" s="1"/>
  <c r="C604" i="20" s="1"/>
  <c r="E85" i="20"/>
  <c r="D85" i="20"/>
  <c r="C85" i="20"/>
  <c r="B85" i="20"/>
  <c r="E84" i="20"/>
  <c r="D84" i="20"/>
  <c r="C84" i="20"/>
  <c r="B84" i="20"/>
  <c r="E83" i="20"/>
  <c r="D83" i="20"/>
  <c r="C83" i="20"/>
  <c r="B83" i="20"/>
  <c r="E82" i="20"/>
  <c r="F82" i="20" s="1"/>
  <c r="I327" i="16" s="1"/>
  <c r="D82" i="20"/>
  <c r="C82" i="20"/>
  <c r="B82" i="20"/>
  <c r="E81" i="20"/>
  <c r="D81" i="20"/>
  <c r="C81" i="20"/>
  <c r="B81" i="20"/>
  <c r="C475" i="20"/>
  <c r="C482" i="20" s="1"/>
  <c r="E71" i="20"/>
  <c r="D71" i="20"/>
  <c r="C71" i="20"/>
  <c r="B71" i="20"/>
  <c r="E70" i="20"/>
  <c r="D70" i="20"/>
  <c r="C70" i="20"/>
  <c r="B70" i="20"/>
  <c r="E69" i="20"/>
  <c r="D69" i="20"/>
  <c r="C69" i="20"/>
  <c r="B69" i="20"/>
  <c r="E68" i="20"/>
  <c r="D68" i="20"/>
  <c r="C68" i="20"/>
  <c r="B68" i="20"/>
  <c r="E67" i="20"/>
  <c r="D67" i="20"/>
  <c r="C67" i="20"/>
  <c r="B67" i="20"/>
  <c r="E66" i="20"/>
  <c r="D66" i="20"/>
  <c r="C66" i="20"/>
  <c r="B66" i="20"/>
  <c r="E65" i="20"/>
  <c r="D65" i="20"/>
  <c r="C65" i="20"/>
  <c r="B65" i="20"/>
  <c r="E64" i="20"/>
  <c r="D64" i="20"/>
  <c r="C64" i="20"/>
  <c r="B64" i="20"/>
  <c r="E63" i="20"/>
  <c r="D63" i="20"/>
  <c r="C63" i="20"/>
  <c r="B63" i="20"/>
  <c r="E62" i="20"/>
  <c r="D62" i="20"/>
  <c r="C62" i="20"/>
  <c r="B62" i="20"/>
  <c r="E61" i="20"/>
  <c r="D61" i="20"/>
  <c r="C61" i="20"/>
  <c r="B61" i="20"/>
  <c r="E60" i="20"/>
  <c r="D60" i="20"/>
  <c r="C60" i="20"/>
  <c r="B60" i="20"/>
  <c r="E59" i="20"/>
  <c r="D59" i="20"/>
  <c r="C59" i="20"/>
  <c r="B59" i="20"/>
  <c r="E58" i="20"/>
  <c r="D58" i="20"/>
  <c r="D469" i="20" s="1"/>
  <c r="E469" i="20" s="1"/>
  <c r="C58" i="20"/>
  <c r="B58" i="20"/>
  <c r="C318" i="20"/>
  <c r="C325" i="20" s="1"/>
  <c r="D49" i="20"/>
  <c r="C49" i="20"/>
  <c r="B49" i="20"/>
  <c r="D458" i="20" s="1"/>
  <c r="D31" i="20"/>
  <c r="C31" i="20"/>
  <c r="B31" i="20"/>
  <c r="D30" i="20"/>
  <c r="C30" i="20"/>
  <c r="B30" i="20"/>
  <c r="B29" i="20"/>
  <c r="B28" i="20"/>
  <c r="X20" i="20"/>
  <c r="X100" i="11" s="1"/>
  <c r="X31" i="10" s="1"/>
  <c r="W20" i="20"/>
  <c r="W100" i="11" s="1"/>
  <c r="W31" i="10" s="1"/>
  <c r="V20" i="20"/>
  <c r="V100" i="11" s="1"/>
  <c r="V31" i="10" s="1"/>
  <c r="U20" i="20"/>
  <c r="U100" i="11" s="1"/>
  <c r="U31" i="10" s="1"/>
  <c r="T20" i="20"/>
  <c r="T100" i="11" s="1"/>
  <c r="T31" i="10" s="1"/>
  <c r="S20" i="20"/>
  <c r="S100" i="11" s="1"/>
  <c r="S31" i="10" s="1"/>
  <c r="R20" i="20"/>
  <c r="R100" i="11" s="1"/>
  <c r="R31" i="10" s="1"/>
  <c r="Q20" i="20"/>
  <c r="Q100" i="11" s="1"/>
  <c r="Q31" i="10" s="1"/>
  <c r="P20" i="20"/>
  <c r="P100" i="11" s="1"/>
  <c r="P31" i="10" s="1"/>
  <c r="O20" i="20"/>
  <c r="O100" i="11" s="1"/>
  <c r="O31" i="10" s="1"/>
  <c r="N20" i="20"/>
  <c r="N100" i="11" s="1"/>
  <c r="N31" i="10" s="1"/>
  <c r="M20" i="20"/>
  <c r="M100" i="11" s="1"/>
  <c r="M31" i="10" s="1"/>
  <c r="L20" i="20"/>
  <c r="L100" i="11" s="1"/>
  <c r="L31" i="10" s="1"/>
  <c r="K20" i="20"/>
  <c r="K100" i="11" s="1"/>
  <c r="K31" i="10" s="1"/>
  <c r="K11" i="20"/>
  <c r="B2" i="18"/>
  <c r="C2227" i="16"/>
  <c r="B2227" i="16"/>
  <c r="C2226" i="16"/>
  <c r="B2226" i="16"/>
  <c r="C2225" i="16"/>
  <c r="B2225" i="16"/>
  <c r="C2224" i="16"/>
  <c r="B2224" i="16"/>
  <c r="C2223" i="16"/>
  <c r="B2223" i="16"/>
  <c r="C2222" i="16"/>
  <c r="B2222" i="16"/>
  <c r="C2221" i="16"/>
  <c r="B2221" i="16"/>
  <c r="C2220" i="16"/>
  <c r="B2220" i="16"/>
  <c r="J2219" i="16"/>
  <c r="J2220" i="16" s="1"/>
  <c r="J2221" i="16" s="1"/>
  <c r="J2222" i="16" s="1"/>
  <c r="J2223" i="16" s="1"/>
  <c r="J2224" i="16" s="1"/>
  <c r="J2225" i="16" s="1"/>
  <c r="J2226" i="16" s="1"/>
  <c r="J2227" i="16" s="1"/>
  <c r="C2219" i="16"/>
  <c r="B2219" i="16"/>
  <c r="C2218" i="16"/>
  <c r="B2218" i="16"/>
  <c r="C2215" i="16"/>
  <c r="B2215" i="16"/>
  <c r="C2214" i="16"/>
  <c r="B2214" i="16"/>
  <c r="C2213" i="16"/>
  <c r="B2213" i="16"/>
  <c r="C2212" i="16"/>
  <c r="B2212" i="16"/>
  <c r="C2211" i="16"/>
  <c r="B2211" i="16"/>
  <c r="C2210" i="16"/>
  <c r="B2210" i="16"/>
  <c r="C2209" i="16"/>
  <c r="B2209" i="16"/>
  <c r="C2208" i="16"/>
  <c r="B2208" i="16"/>
  <c r="J2207" i="16"/>
  <c r="J2208" i="16" s="1"/>
  <c r="J2209" i="16" s="1"/>
  <c r="J2210" i="16" s="1"/>
  <c r="J2211" i="16" s="1"/>
  <c r="J2212" i="16" s="1"/>
  <c r="J2213" i="16" s="1"/>
  <c r="J2214" i="16" s="1"/>
  <c r="J2215" i="16" s="1"/>
  <c r="C2207" i="16"/>
  <c r="B2207" i="16"/>
  <c r="C2206" i="16"/>
  <c r="B2206" i="16"/>
  <c r="J2200" i="16"/>
  <c r="J2201" i="16" s="1"/>
  <c r="J2202" i="16" s="1"/>
  <c r="J2203" i="16" s="1"/>
  <c r="C2198" i="16"/>
  <c r="B2198" i="16"/>
  <c r="C2197" i="16"/>
  <c r="B2197" i="16"/>
  <c r="C2196" i="16"/>
  <c r="B2196" i="16"/>
  <c r="C2195" i="16"/>
  <c r="B2195" i="16"/>
  <c r="C2194" i="16"/>
  <c r="B2194" i="16"/>
  <c r="C2193" i="16"/>
  <c r="B2193" i="16"/>
  <c r="C2192" i="16"/>
  <c r="B2192" i="16"/>
  <c r="C2191" i="16"/>
  <c r="B2191" i="16"/>
  <c r="C2190" i="16"/>
  <c r="B2190" i="16"/>
  <c r="C2189" i="16"/>
  <c r="B2189" i="16"/>
  <c r="C2188" i="16"/>
  <c r="B2188" i="16"/>
  <c r="C2187" i="16"/>
  <c r="B2187" i="16"/>
  <c r="C2186" i="16"/>
  <c r="B2186" i="16"/>
  <c r="C2185" i="16"/>
  <c r="B2185" i="16"/>
  <c r="C2184" i="16"/>
  <c r="B2184" i="16"/>
  <c r="C2183" i="16"/>
  <c r="B2183" i="16"/>
  <c r="C2182" i="16"/>
  <c r="B2182" i="16"/>
  <c r="C2181" i="16"/>
  <c r="B2181" i="16"/>
  <c r="C2180" i="16"/>
  <c r="B2180" i="16"/>
  <c r="C2179" i="16"/>
  <c r="B2179" i="16"/>
  <c r="C2178" i="16"/>
  <c r="B2178" i="16"/>
  <c r="C2177" i="16"/>
  <c r="B2177" i="16"/>
  <c r="C2176" i="16"/>
  <c r="B2176" i="16"/>
  <c r="C2175" i="16"/>
  <c r="B2175" i="16"/>
  <c r="C2174" i="16"/>
  <c r="B2174" i="16"/>
  <c r="C2173" i="16"/>
  <c r="B2173" i="16"/>
  <c r="C2172" i="16"/>
  <c r="B2172" i="16"/>
  <c r="C2171" i="16"/>
  <c r="B2171" i="16"/>
  <c r="C2170" i="16"/>
  <c r="B2170" i="16"/>
  <c r="C2169" i="16"/>
  <c r="B2169" i="16"/>
  <c r="C2168" i="16"/>
  <c r="B2168" i="16"/>
  <c r="C2167" i="16"/>
  <c r="B2167" i="16"/>
  <c r="C2166" i="16"/>
  <c r="B2166" i="16"/>
  <c r="C2165" i="16"/>
  <c r="B2165" i="16"/>
  <c r="C2164" i="16"/>
  <c r="B2164" i="16"/>
  <c r="C2163" i="16"/>
  <c r="B2163" i="16"/>
  <c r="C2162" i="16"/>
  <c r="B2162" i="16"/>
  <c r="C2161" i="16"/>
  <c r="B2161" i="16"/>
  <c r="J2160" i="16"/>
  <c r="J2161" i="16" s="1"/>
  <c r="J2162" i="16" s="1"/>
  <c r="J2163" i="16" s="1"/>
  <c r="J2164" i="16" s="1"/>
  <c r="J2165" i="16" s="1"/>
  <c r="J2166" i="16" s="1"/>
  <c r="J2167" i="16" s="1"/>
  <c r="J2168" i="16" s="1"/>
  <c r="J2169" i="16" s="1"/>
  <c r="J2170" i="16" s="1"/>
  <c r="J2171" i="16" s="1"/>
  <c r="J2172" i="16" s="1"/>
  <c r="J2173" i="16" s="1"/>
  <c r="J2174" i="16" s="1"/>
  <c r="J2175" i="16" s="1"/>
  <c r="J2176" i="16" s="1"/>
  <c r="J2177" i="16" s="1"/>
  <c r="J2178" i="16" s="1"/>
  <c r="J2179" i="16" s="1"/>
  <c r="J2180" i="16" s="1"/>
  <c r="J2181" i="16" s="1"/>
  <c r="J2182" i="16" s="1"/>
  <c r="J2183" i="16" s="1"/>
  <c r="J2184" i="16" s="1"/>
  <c r="J2185" i="16" s="1"/>
  <c r="J2186" i="16" s="1"/>
  <c r="J2187" i="16" s="1"/>
  <c r="J2188" i="16" s="1"/>
  <c r="J2189" i="16" s="1"/>
  <c r="J2190" i="16" s="1"/>
  <c r="J2191" i="16" s="1"/>
  <c r="J2192" i="16" s="1"/>
  <c r="J2193" i="16" s="1"/>
  <c r="J2194" i="16" s="1"/>
  <c r="J2195" i="16" s="1"/>
  <c r="J2196" i="16" s="1"/>
  <c r="J2197" i="16" s="1"/>
  <c r="J2198" i="16" s="1"/>
  <c r="C2160" i="16"/>
  <c r="B2160" i="16"/>
  <c r="C2159" i="16"/>
  <c r="B2159" i="16"/>
  <c r="J2153" i="16"/>
  <c r="J2154" i="16" s="1"/>
  <c r="J2155" i="16" s="1"/>
  <c r="J2156" i="16" s="1"/>
  <c r="C2151" i="16"/>
  <c r="B2151" i="16"/>
  <c r="C2150" i="16"/>
  <c r="B2150" i="16"/>
  <c r="C2149" i="16"/>
  <c r="B2149" i="16"/>
  <c r="C2148" i="16"/>
  <c r="B2148" i="16"/>
  <c r="C2147" i="16"/>
  <c r="B2147" i="16"/>
  <c r="C2146" i="16"/>
  <c r="B2146" i="16"/>
  <c r="C2145" i="16"/>
  <c r="B2145" i="16"/>
  <c r="C2144" i="16"/>
  <c r="B2144" i="16"/>
  <c r="J2143" i="16"/>
  <c r="J2144" i="16" s="1"/>
  <c r="J2145" i="16" s="1"/>
  <c r="J2146" i="16" s="1"/>
  <c r="J2147" i="16" s="1"/>
  <c r="J2148" i="16" s="1"/>
  <c r="J2149" i="16" s="1"/>
  <c r="J2150" i="16" s="1"/>
  <c r="J2151" i="16" s="1"/>
  <c r="C2143" i="16"/>
  <c r="B2143" i="16"/>
  <c r="C2142" i="16"/>
  <c r="B2142" i="16"/>
  <c r="C2139" i="16"/>
  <c r="B2139" i="16"/>
  <c r="C2138" i="16"/>
  <c r="B2138" i="16"/>
  <c r="C2137" i="16"/>
  <c r="B2137" i="16"/>
  <c r="J2136" i="16"/>
  <c r="J2137" i="16" s="1"/>
  <c r="J2138" i="16" s="1"/>
  <c r="J2139" i="16" s="1"/>
  <c r="C2136" i="16"/>
  <c r="B2136" i="16"/>
  <c r="C2135" i="16"/>
  <c r="B2135" i="16"/>
  <c r="C2132" i="16"/>
  <c r="B2132" i="16"/>
  <c r="C2131" i="16"/>
  <c r="B2131" i="16"/>
  <c r="C2130" i="16"/>
  <c r="B2130" i="16"/>
  <c r="C2129" i="16"/>
  <c r="B2129" i="16"/>
  <c r="C2128" i="16"/>
  <c r="B2128" i="16"/>
  <c r="C2127" i="16"/>
  <c r="B2127" i="16"/>
  <c r="C2126" i="16"/>
  <c r="B2126" i="16"/>
  <c r="C2125" i="16"/>
  <c r="B2125" i="16"/>
  <c r="C2124" i="16"/>
  <c r="B2124" i="16"/>
  <c r="C2123" i="16"/>
  <c r="B2123" i="16"/>
  <c r="C2122" i="16"/>
  <c r="B2122" i="16"/>
  <c r="C2121" i="16"/>
  <c r="B2121" i="16"/>
  <c r="C2120" i="16"/>
  <c r="B2120" i="16"/>
  <c r="J2119" i="16"/>
  <c r="J2120" i="16" s="1"/>
  <c r="J2121" i="16" s="1"/>
  <c r="J2122" i="16" s="1"/>
  <c r="J2123" i="16" s="1"/>
  <c r="J2124" i="16" s="1"/>
  <c r="J2125" i="16" s="1"/>
  <c r="J2126" i="16" s="1"/>
  <c r="J2127" i="16" s="1"/>
  <c r="J2128" i="16" s="1"/>
  <c r="J2129" i="16" s="1"/>
  <c r="J2130" i="16" s="1"/>
  <c r="J2131" i="16" s="1"/>
  <c r="J2132" i="16" s="1"/>
  <c r="C2119" i="16"/>
  <c r="B2119" i="16"/>
  <c r="C2118" i="16"/>
  <c r="B2118" i="16"/>
  <c r="C2115" i="16"/>
  <c r="B2115" i="16"/>
  <c r="C2114" i="16"/>
  <c r="B2114" i="16"/>
  <c r="C2113" i="16"/>
  <c r="B2113" i="16"/>
  <c r="J2112" i="16"/>
  <c r="J2113" i="16" s="1"/>
  <c r="J2114" i="16" s="1"/>
  <c r="J2115" i="16" s="1"/>
  <c r="C2112" i="16"/>
  <c r="B2112" i="16"/>
  <c r="C2111" i="16"/>
  <c r="B2111" i="16"/>
  <c r="H2041" i="16"/>
  <c r="G2041" i="16"/>
  <c r="G2095" i="16" s="1"/>
  <c r="F2041" i="16"/>
  <c r="F2054" i="16" s="1"/>
  <c r="E2041" i="16"/>
  <c r="E2054" i="16" s="1"/>
  <c r="E2067" i="16" s="1"/>
  <c r="E2081" i="16" s="1"/>
  <c r="E2095" i="16" s="1"/>
  <c r="D2041" i="16"/>
  <c r="D2054" i="16" s="1"/>
  <c r="D2067" i="16" s="1"/>
  <c r="D2081" i="16" s="1"/>
  <c r="D2095" i="16" s="1"/>
  <c r="B2041" i="16"/>
  <c r="B2054" i="16" s="1"/>
  <c r="B2067" i="16" s="1"/>
  <c r="B2081" i="16" s="1"/>
  <c r="B2095" i="16" s="1"/>
  <c r="H2040" i="16"/>
  <c r="G2040" i="16"/>
  <c r="G2094" i="16" s="1"/>
  <c r="F2040" i="16"/>
  <c r="F2053" i="16" s="1"/>
  <c r="E2040" i="16"/>
  <c r="E2053" i="16" s="1"/>
  <c r="E2066" i="16" s="1"/>
  <c r="E2080" i="16" s="1"/>
  <c r="E2094" i="16" s="1"/>
  <c r="D2040" i="16"/>
  <c r="D2053" i="16" s="1"/>
  <c r="D2066" i="16" s="1"/>
  <c r="D2080" i="16" s="1"/>
  <c r="D2094" i="16" s="1"/>
  <c r="B2040" i="16"/>
  <c r="B2053" i="16" s="1"/>
  <c r="B2066" i="16" s="1"/>
  <c r="B2080" i="16" s="1"/>
  <c r="B2094" i="16" s="1"/>
  <c r="H2039" i="16"/>
  <c r="F2039" i="16"/>
  <c r="F2065" i="16" s="1"/>
  <c r="F2079" i="16" s="1"/>
  <c r="F2093" i="16" s="1"/>
  <c r="E2039" i="16"/>
  <c r="E2052" i="16" s="1"/>
  <c r="E2065" i="16" s="1"/>
  <c r="E2079" i="16" s="1"/>
  <c r="E2093" i="16" s="1"/>
  <c r="D2039" i="16"/>
  <c r="D2052" i="16" s="1"/>
  <c r="D2065" i="16" s="1"/>
  <c r="D2079" i="16" s="1"/>
  <c r="D2093" i="16" s="1"/>
  <c r="B2039" i="16"/>
  <c r="B2052" i="16" s="1"/>
  <c r="B2065" i="16" s="1"/>
  <c r="B2079" i="16" s="1"/>
  <c r="B2093" i="16" s="1"/>
  <c r="H2038" i="16"/>
  <c r="F2038" i="16"/>
  <c r="F2051" i="16" s="1"/>
  <c r="E2038" i="16"/>
  <c r="E2051" i="16" s="1"/>
  <c r="E2064" i="16" s="1"/>
  <c r="E2078" i="16" s="1"/>
  <c r="E2092" i="16" s="1"/>
  <c r="D2038" i="16"/>
  <c r="D2051" i="16" s="1"/>
  <c r="D2064" i="16" s="1"/>
  <c r="D2078" i="16" s="1"/>
  <c r="D2092" i="16" s="1"/>
  <c r="B2038" i="16"/>
  <c r="B2051" i="16" s="1"/>
  <c r="B2064" i="16" s="1"/>
  <c r="B2078" i="16" s="1"/>
  <c r="B2092" i="16" s="1"/>
  <c r="H2037" i="16"/>
  <c r="F2037" i="16"/>
  <c r="F2050" i="16" s="1"/>
  <c r="E2037" i="16"/>
  <c r="E2050" i="16" s="1"/>
  <c r="E2063" i="16" s="1"/>
  <c r="E2077" i="16" s="1"/>
  <c r="E2091" i="16" s="1"/>
  <c r="D2037" i="16"/>
  <c r="D2050" i="16" s="1"/>
  <c r="D2063" i="16" s="1"/>
  <c r="D2077" i="16" s="1"/>
  <c r="D2091" i="16" s="1"/>
  <c r="B2037" i="16"/>
  <c r="B2050" i="16" s="1"/>
  <c r="B2063" i="16" s="1"/>
  <c r="B2077" i="16" s="1"/>
  <c r="B2091" i="16" s="1"/>
  <c r="F2036" i="16"/>
  <c r="F2062" i="16" s="1"/>
  <c r="F2076" i="16" s="1"/>
  <c r="F2090" i="16" s="1"/>
  <c r="E2036" i="16"/>
  <c r="E2049" i="16" s="1"/>
  <c r="E2062" i="16" s="1"/>
  <c r="E2076" i="16" s="1"/>
  <c r="E2090" i="16" s="1"/>
  <c r="D2036" i="16"/>
  <c r="D2049" i="16" s="1"/>
  <c r="D2062" i="16" s="1"/>
  <c r="D2076" i="16" s="1"/>
  <c r="D2090" i="16" s="1"/>
  <c r="B2036" i="16"/>
  <c r="B2049" i="16" s="1"/>
  <c r="B2062" i="16" s="1"/>
  <c r="B2076" i="16" s="1"/>
  <c r="B2090" i="16" s="1"/>
  <c r="F2035" i="16"/>
  <c r="F2061" i="16" s="1"/>
  <c r="F2075" i="16" s="1"/>
  <c r="F2089" i="16" s="1"/>
  <c r="E2035" i="16"/>
  <c r="E2048" i="16" s="1"/>
  <c r="E2061" i="16" s="1"/>
  <c r="E2075" i="16" s="1"/>
  <c r="E2089" i="16" s="1"/>
  <c r="D2035" i="16"/>
  <c r="D2048" i="16" s="1"/>
  <c r="D2061" i="16" s="1"/>
  <c r="D2075" i="16" s="1"/>
  <c r="D2089" i="16" s="1"/>
  <c r="B2035" i="16"/>
  <c r="B2048" i="16" s="1"/>
  <c r="B2061" i="16" s="1"/>
  <c r="B2075" i="16" s="1"/>
  <c r="B2089" i="16" s="1"/>
  <c r="F2034" i="16"/>
  <c r="F2060" i="16" s="1"/>
  <c r="F2074" i="16" s="1"/>
  <c r="F2088" i="16" s="1"/>
  <c r="E2034" i="16"/>
  <c r="E2047" i="16" s="1"/>
  <c r="E2060" i="16" s="1"/>
  <c r="E2074" i="16" s="1"/>
  <c r="E2088" i="16" s="1"/>
  <c r="D2034" i="16"/>
  <c r="D2047" i="16" s="1"/>
  <c r="D2060" i="16" s="1"/>
  <c r="D2074" i="16" s="1"/>
  <c r="D2088" i="16" s="1"/>
  <c r="B2034" i="16"/>
  <c r="B2047" i="16" s="1"/>
  <c r="B2060" i="16" s="1"/>
  <c r="B2074" i="16" s="1"/>
  <c r="B2088" i="16" s="1"/>
  <c r="F2033" i="16"/>
  <c r="F2046" i="16" s="1"/>
  <c r="E2033" i="16"/>
  <c r="E2046" i="16" s="1"/>
  <c r="E2059" i="16" s="1"/>
  <c r="E2073" i="16" s="1"/>
  <c r="E2087" i="16" s="1"/>
  <c r="D2033" i="16"/>
  <c r="D2046" i="16" s="1"/>
  <c r="D2059" i="16" s="1"/>
  <c r="D2073" i="16" s="1"/>
  <c r="D2087" i="16" s="1"/>
  <c r="B2033" i="16"/>
  <c r="B2046" i="16" s="1"/>
  <c r="B2059" i="16" s="1"/>
  <c r="B2073" i="16" s="1"/>
  <c r="B2087" i="16" s="1"/>
  <c r="F2032" i="16"/>
  <c r="F2058" i="16" s="1"/>
  <c r="F2072" i="16" s="1"/>
  <c r="F2086" i="16" s="1"/>
  <c r="E2032" i="16"/>
  <c r="E2045" i="16" s="1"/>
  <c r="E2058" i="16" s="1"/>
  <c r="E2072" i="16" s="1"/>
  <c r="E2086" i="16" s="1"/>
  <c r="D2032" i="16"/>
  <c r="D2045" i="16" s="1"/>
  <c r="D2058" i="16" s="1"/>
  <c r="D2072" i="16" s="1"/>
  <c r="D2086" i="16" s="1"/>
  <c r="B2032" i="16"/>
  <c r="B2045" i="16" s="1"/>
  <c r="B2058" i="16" s="1"/>
  <c r="B2072" i="16" s="1"/>
  <c r="B2086" i="16" s="1"/>
  <c r="C741" i="16"/>
  <c r="C783" i="16" s="1"/>
  <c r="B741" i="16"/>
  <c r="B783" i="16" s="1"/>
  <c r="C740" i="16"/>
  <c r="C782" i="16" s="1"/>
  <c r="B740" i="16"/>
  <c r="B782" i="16" s="1"/>
  <c r="C739" i="16"/>
  <c r="C781" i="16" s="1"/>
  <c r="B739" i="16"/>
  <c r="B781" i="16" s="1"/>
  <c r="C738" i="16"/>
  <c r="C780" i="16" s="1"/>
  <c r="B738" i="16"/>
  <c r="B780" i="16" s="1"/>
  <c r="C737" i="16"/>
  <c r="C779" i="16" s="1"/>
  <c r="B737" i="16"/>
  <c r="B779" i="16" s="1"/>
  <c r="C736" i="16"/>
  <c r="C778" i="16" s="1"/>
  <c r="B736" i="16"/>
  <c r="B778" i="16" s="1"/>
  <c r="C735" i="16"/>
  <c r="C777" i="16" s="1"/>
  <c r="B735" i="16"/>
  <c r="B777" i="16" s="1"/>
  <c r="C734" i="16"/>
  <c r="C776" i="16" s="1"/>
  <c r="B734" i="16"/>
  <c r="B776" i="16" s="1"/>
  <c r="C733" i="16"/>
  <c r="C775" i="16" s="1"/>
  <c r="B733" i="16"/>
  <c r="B775" i="16" s="1"/>
  <c r="C732" i="16"/>
  <c r="C774" i="16" s="1"/>
  <c r="B732" i="16"/>
  <c r="B774" i="16" s="1"/>
  <c r="C731" i="16"/>
  <c r="C773" i="16" s="1"/>
  <c r="B731" i="16"/>
  <c r="B773" i="16" s="1"/>
  <c r="C730" i="16"/>
  <c r="C772" i="16" s="1"/>
  <c r="B730" i="16"/>
  <c r="B772" i="16" s="1"/>
  <c r="C729" i="16"/>
  <c r="C771" i="16" s="1"/>
  <c r="B729" i="16"/>
  <c r="B771" i="16" s="1"/>
  <c r="C728" i="16"/>
  <c r="C770" i="16" s="1"/>
  <c r="B728" i="16"/>
  <c r="B770" i="16" s="1"/>
  <c r="C727" i="16"/>
  <c r="C769" i="16" s="1"/>
  <c r="B727" i="16"/>
  <c r="B769" i="16" s="1"/>
  <c r="C726" i="16"/>
  <c r="C768" i="16" s="1"/>
  <c r="B726" i="16"/>
  <c r="B768" i="16" s="1"/>
  <c r="C725" i="16"/>
  <c r="C767" i="16" s="1"/>
  <c r="B725" i="16"/>
  <c r="B767" i="16" s="1"/>
  <c r="C724" i="16"/>
  <c r="C766" i="16" s="1"/>
  <c r="B724" i="16"/>
  <c r="B766" i="16" s="1"/>
  <c r="C723" i="16"/>
  <c r="C765" i="16" s="1"/>
  <c r="B723" i="16"/>
  <c r="B765" i="16" s="1"/>
  <c r="C722" i="16"/>
  <c r="C764" i="16" s="1"/>
  <c r="B722" i="16"/>
  <c r="B764" i="16" s="1"/>
  <c r="C721" i="16"/>
  <c r="C763" i="16" s="1"/>
  <c r="B721" i="16"/>
  <c r="B763" i="16" s="1"/>
  <c r="C720" i="16"/>
  <c r="C762" i="16" s="1"/>
  <c r="B720" i="16"/>
  <c r="B762" i="16" s="1"/>
  <c r="C719" i="16"/>
  <c r="C761" i="16" s="1"/>
  <c r="B719" i="16"/>
  <c r="B761" i="16" s="1"/>
  <c r="C718" i="16"/>
  <c r="C760" i="16" s="1"/>
  <c r="B718" i="16"/>
  <c r="B760" i="16" s="1"/>
  <c r="C717" i="16"/>
  <c r="C759" i="16" s="1"/>
  <c r="B717" i="16"/>
  <c r="B759" i="16" s="1"/>
  <c r="C716" i="16"/>
  <c r="C758" i="16" s="1"/>
  <c r="B716" i="16"/>
  <c r="B758" i="16" s="1"/>
  <c r="C715" i="16"/>
  <c r="C757" i="16" s="1"/>
  <c r="B715" i="16"/>
  <c r="B757" i="16" s="1"/>
  <c r="C714" i="16"/>
  <c r="C756" i="16" s="1"/>
  <c r="B714" i="16"/>
  <c r="B756" i="16" s="1"/>
  <c r="C713" i="16"/>
  <c r="C755" i="16" s="1"/>
  <c r="B713" i="16"/>
  <c r="B755" i="16" s="1"/>
  <c r="C712" i="16"/>
  <c r="C754" i="16" s="1"/>
  <c r="B712" i="16"/>
  <c r="B754" i="16" s="1"/>
  <c r="C711" i="16"/>
  <c r="C753" i="16" s="1"/>
  <c r="B711" i="16"/>
  <c r="B753" i="16" s="1"/>
  <c r="C710" i="16"/>
  <c r="C752" i="16" s="1"/>
  <c r="B710" i="16"/>
  <c r="B752" i="16" s="1"/>
  <c r="C709" i="16"/>
  <c r="C751" i="16" s="1"/>
  <c r="B709" i="16"/>
  <c r="B751" i="16" s="1"/>
  <c r="C708" i="16"/>
  <c r="C750" i="16" s="1"/>
  <c r="B708" i="16"/>
  <c r="B750" i="16" s="1"/>
  <c r="C707" i="16"/>
  <c r="C749" i="16" s="1"/>
  <c r="B707" i="16"/>
  <c r="B749" i="16" s="1"/>
  <c r="C706" i="16"/>
  <c r="C748" i="16" s="1"/>
  <c r="B706" i="16"/>
  <c r="B748" i="16" s="1"/>
  <c r="C705" i="16"/>
  <c r="C747" i="16" s="1"/>
  <c r="B705" i="16"/>
  <c r="B747" i="16" s="1"/>
  <c r="C704" i="16"/>
  <c r="C746" i="16" s="1"/>
  <c r="B704" i="16"/>
  <c r="B746" i="16" s="1"/>
  <c r="C703" i="16"/>
  <c r="C745" i="16" s="1"/>
  <c r="B703" i="16"/>
  <c r="B745" i="16" s="1"/>
  <c r="C702" i="16"/>
  <c r="C744" i="16" s="1"/>
  <c r="B702" i="16"/>
  <c r="B744" i="16" s="1"/>
  <c r="J697" i="16" a="1"/>
  <c r="J697" i="16" s="1"/>
  <c r="J741" i="16" s="1" a="1"/>
  <c r="J741" i="16" s="1"/>
  <c r="J783" i="16" s="1"/>
  <c r="J696" i="16" a="1"/>
  <c r="J696" i="16" s="1"/>
  <c r="J695" i="16" a="1"/>
  <c r="J695" i="16" s="1"/>
  <c r="E695" i="16" s="1"/>
  <c r="C243" i="20" s="1"/>
  <c r="J694" i="16" a="1"/>
  <c r="J694" i="16" s="1"/>
  <c r="J738" i="16" s="1" a="1"/>
  <c r="J738" i="16" s="1"/>
  <c r="J780" i="16" s="1"/>
  <c r="J693" i="16" a="1"/>
  <c r="J693" i="16" s="1"/>
  <c r="J737" i="16" s="1" a="1"/>
  <c r="J737" i="16" s="1"/>
  <c r="J779" i="16" s="1"/>
  <c r="J692" i="16" a="1"/>
  <c r="J692" i="16" s="1"/>
  <c r="J736" i="16" s="1" a="1"/>
  <c r="J736" i="16" s="1"/>
  <c r="J778" i="16" s="1"/>
  <c r="J691" i="16" a="1"/>
  <c r="J691" i="16" s="1"/>
  <c r="J735" i="16" s="1" a="1"/>
  <c r="J735" i="16" s="1"/>
  <c r="J777" i="16" s="1"/>
  <c r="J690" i="16" a="1"/>
  <c r="J690" i="16" s="1"/>
  <c r="J734" i="16" s="1" a="1"/>
  <c r="J734" i="16" s="1"/>
  <c r="J776" i="16" s="1"/>
  <c r="J689" i="16" a="1"/>
  <c r="J689" i="16" s="1"/>
  <c r="J733" i="16" s="1" a="1"/>
  <c r="J733" i="16" s="1"/>
  <c r="J775" i="16" s="1"/>
  <c r="J688" i="16" a="1"/>
  <c r="J688" i="16" s="1"/>
  <c r="J687" i="16" a="1"/>
  <c r="J687" i="16" s="1"/>
  <c r="J686" i="16" a="1"/>
  <c r="J686" i="16" s="1"/>
  <c r="J685" i="16" a="1"/>
  <c r="J685" i="16" s="1"/>
  <c r="J729" i="16" s="1" a="1"/>
  <c r="J729" i="16" s="1"/>
  <c r="J771" i="16" s="1"/>
  <c r="J684" i="16" a="1"/>
  <c r="J684" i="16" s="1"/>
  <c r="E684" i="16" s="1"/>
  <c r="C232" i="20" s="1"/>
  <c r="J683" i="16" a="1"/>
  <c r="J683" i="16" s="1"/>
  <c r="J682" i="16" a="1"/>
  <c r="J682" i="16" s="1"/>
  <c r="J726" i="16" s="1" a="1"/>
  <c r="J726" i="16" s="1"/>
  <c r="J768" i="16" s="1"/>
  <c r="J681" i="16" a="1"/>
  <c r="J681" i="16" s="1"/>
  <c r="J725" i="16" s="1" a="1"/>
  <c r="J725" i="16" s="1"/>
  <c r="J767" i="16" s="1"/>
  <c r="J680" i="16" a="1"/>
  <c r="J680" i="16" s="1"/>
  <c r="J679" i="16" a="1"/>
  <c r="J679" i="16" s="1"/>
  <c r="J678" i="16" a="1"/>
  <c r="J678" i="16" s="1"/>
  <c r="J677" i="16" a="1"/>
  <c r="J677" i="16" s="1"/>
  <c r="J721" i="16" s="1" a="1"/>
  <c r="J721" i="16" s="1"/>
  <c r="J763" i="16" s="1"/>
  <c r="J676" i="16" a="1"/>
  <c r="J676" i="16" s="1"/>
  <c r="E676" i="16" s="1"/>
  <c r="C224" i="20" s="1"/>
  <c r="J675" i="16" a="1"/>
  <c r="J675" i="16" s="1"/>
  <c r="J719" i="16" s="1" a="1"/>
  <c r="J719" i="16" s="1"/>
  <c r="J761" i="16" s="1"/>
  <c r="J674" i="16" a="1"/>
  <c r="J674" i="16" s="1"/>
  <c r="J673" i="16" a="1"/>
  <c r="J673" i="16" s="1"/>
  <c r="J717" i="16" s="1" a="1"/>
  <c r="J717" i="16" s="1"/>
  <c r="J759" i="16" s="1"/>
  <c r="J672" i="16" a="1"/>
  <c r="J672" i="16" s="1"/>
  <c r="J671" i="16" a="1"/>
  <c r="J671" i="16" s="1"/>
  <c r="J715" i="16" s="1" a="1"/>
  <c r="J715" i="16" s="1"/>
  <c r="J757" i="16" s="1"/>
  <c r="J670" i="16" a="1"/>
  <c r="J670" i="16" s="1"/>
  <c r="J714" i="16" s="1" a="1"/>
  <c r="J714" i="16" s="1"/>
  <c r="J756" i="16" s="1"/>
  <c r="J669" i="16" a="1"/>
  <c r="J669" i="16" s="1"/>
  <c r="J668" i="16" a="1"/>
  <c r="J668" i="16" s="1"/>
  <c r="J712" i="16" s="1" a="1"/>
  <c r="J712" i="16" s="1"/>
  <c r="J754" i="16" s="1"/>
  <c r="J667" i="16" a="1"/>
  <c r="J667" i="16" s="1"/>
  <c r="J711" i="16" s="1" a="1"/>
  <c r="J711" i="16" s="1"/>
  <c r="J753" i="16" s="1"/>
  <c r="J666" i="16" a="1"/>
  <c r="J666" i="16" s="1"/>
  <c r="J710" i="16" s="1" a="1"/>
  <c r="J710" i="16" s="1"/>
  <c r="J752" i="16" s="1"/>
  <c r="J665" i="16" a="1"/>
  <c r="J665" i="16" s="1"/>
  <c r="J664" i="16" a="1"/>
  <c r="J664" i="16" s="1"/>
  <c r="J663" i="16" a="1"/>
  <c r="J663" i="16" s="1"/>
  <c r="J707" i="16" s="1" a="1"/>
  <c r="J707" i="16" s="1"/>
  <c r="J749" i="16" s="1"/>
  <c r="J662" i="16" a="1"/>
  <c r="J662" i="16" s="1"/>
  <c r="J661" i="16" a="1"/>
  <c r="J661" i="16" s="1"/>
  <c r="J705" i="16" s="1" a="1"/>
  <c r="J705" i="16" s="1"/>
  <c r="J747" i="16" s="1"/>
  <c r="J660" i="16" a="1"/>
  <c r="J660" i="16" s="1"/>
  <c r="J659" i="16" a="1"/>
  <c r="J659" i="16" s="1"/>
  <c r="J703" i="16" s="1" a="1"/>
  <c r="J703" i="16" s="1"/>
  <c r="J745" i="16" s="1"/>
  <c r="J658" i="16" a="1"/>
  <c r="J658" i="16" s="1"/>
  <c r="J702" i="16" s="1" a="1"/>
  <c r="J702" i="16" s="1"/>
  <c r="J744" i="16" s="1"/>
  <c r="H1971" i="16"/>
  <c r="D1965" i="16"/>
  <c r="B1965" i="16" s="1"/>
  <c r="X653" i="16"/>
  <c r="W653" i="16"/>
  <c r="V653" i="16"/>
  <c r="U653" i="16"/>
  <c r="T653" i="16"/>
  <c r="S653" i="16"/>
  <c r="R653" i="16"/>
  <c r="Q653" i="16"/>
  <c r="L653" i="16"/>
  <c r="K653" i="16"/>
  <c r="X652" i="16"/>
  <c r="W652" i="16"/>
  <c r="V652" i="16"/>
  <c r="U652" i="16"/>
  <c r="T652" i="16"/>
  <c r="S652" i="16"/>
  <c r="R652" i="16"/>
  <c r="Q652" i="16"/>
  <c r="L652" i="16"/>
  <c r="K652" i="16"/>
  <c r="X651" i="16"/>
  <c r="W651" i="16"/>
  <c r="V651" i="16"/>
  <c r="U651" i="16"/>
  <c r="T651" i="16"/>
  <c r="S651" i="16"/>
  <c r="R651" i="16"/>
  <c r="Q651" i="16"/>
  <c r="L651" i="16"/>
  <c r="K651" i="16"/>
  <c r="X650" i="16"/>
  <c r="W650" i="16"/>
  <c r="V650" i="16"/>
  <c r="U650" i="16"/>
  <c r="T650" i="16"/>
  <c r="S650" i="16"/>
  <c r="R650" i="16"/>
  <c r="Q650" i="16"/>
  <c r="L650" i="16"/>
  <c r="K650" i="16"/>
  <c r="X649" i="16"/>
  <c r="W649" i="16"/>
  <c r="V649" i="16"/>
  <c r="U649" i="16"/>
  <c r="T649" i="16"/>
  <c r="S649" i="16"/>
  <c r="R649" i="16"/>
  <c r="Q649" i="16"/>
  <c r="L649" i="16"/>
  <c r="K649" i="16"/>
  <c r="X648" i="16"/>
  <c r="W648" i="16"/>
  <c r="V648" i="16"/>
  <c r="U648" i="16"/>
  <c r="T648" i="16"/>
  <c r="S648" i="16"/>
  <c r="R648" i="16"/>
  <c r="Q648" i="16"/>
  <c r="L648" i="16"/>
  <c r="K648" i="16"/>
  <c r="X647" i="16"/>
  <c r="W647" i="16"/>
  <c r="V647" i="16"/>
  <c r="U647" i="16"/>
  <c r="T647" i="16"/>
  <c r="S647" i="16"/>
  <c r="R647" i="16"/>
  <c r="Q647" i="16"/>
  <c r="L647" i="16"/>
  <c r="K647" i="16"/>
  <c r="X646" i="16"/>
  <c r="W646" i="16"/>
  <c r="V646" i="16"/>
  <c r="U646" i="16"/>
  <c r="T646" i="16"/>
  <c r="S646" i="16"/>
  <c r="R646" i="16"/>
  <c r="Q646" i="16"/>
  <c r="L646" i="16"/>
  <c r="K646" i="16"/>
  <c r="X645" i="16"/>
  <c r="W645" i="16"/>
  <c r="V645" i="16"/>
  <c r="U645" i="16"/>
  <c r="T645" i="16"/>
  <c r="S645" i="16"/>
  <c r="R645" i="16"/>
  <c r="Q645" i="16"/>
  <c r="L645" i="16"/>
  <c r="K645" i="16"/>
  <c r="C641" i="16"/>
  <c r="B641" i="16"/>
  <c r="C640" i="16"/>
  <c r="B640" i="16"/>
  <c r="C639" i="16"/>
  <c r="B639" i="16"/>
  <c r="C638" i="16"/>
  <c r="B638" i="16"/>
  <c r="C637" i="16"/>
  <c r="B637" i="16"/>
  <c r="C636" i="16"/>
  <c r="B636" i="16"/>
  <c r="C635" i="16"/>
  <c r="B635" i="16"/>
  <c r="C634" i="16"/>
  <c r="B634" i="16"/>
  <c r="C633" i="16"/>
  <c r="B633" i="16"/>
  <c r="C632" i="16"/>
  <c r="B632" i="16"/>
  <c r="D626" i="16"/>
  <c r="H1959" i="16" s="1"/>
  <c r="I1959" i="16" s="1"/>
  <c r="J625" i="16" a="1"/>
  <c r="J625" i="16" s="1"/>
  <c r="J641" i="16" s="1" a="1"/>
  <c r="J641" i="16" s="1"/>
  <c r="J653" i="16" s="1"/>
  <c r="J624" i="16" a="1"/>
  <c r="J624" i="16" s="1"/>
  <c r="J640" i="16" s="1" a="1"/>
  <c r="J640" i="16" s="1"/>
  <c r="J652" i="16" s="1"/>
  <c r="J623" i="16" a="1"/>
  <c r="J623" i="16" s="1"/>
  <c r="J639" i="16" s="1" a="1"/>
  <c r="J639" i="16" s="1"/>
  <c r="J651" i="16" s="1"/>
  <c r="J622" i="16" a="1"/>
  <c r="J622" i="16" s="1"/>
  <c r="J638" i="16" s="1" a="1"/>
  <c r="J638" i="16" s="1"/>
  <c r="J650" i="16" s="1"/>
  <c r="J621" i="16" a="1"/>
  <c r="J621" i="16" s="1"/>
  <c r="J637" i="16" s="1" a="1"/>
  <c r="J637" i="16" s="1"/>
  <c r="J649" i="16" s="1"/>
  <c r="J620" i="16" a="1"/>
  <c r="J620" i="16" s="1"/>
  <c r="J636" i="16" s="1" a="1"/>
  <c r="J636" i="16" s="1"/>
  <c r="J648" i="16" s="1"/>
  <c r="J619" i="16" a="1"/>
  <c r="J619" i="16" s="1"/>
  <c r="J635" i="16" s="1" a="1"/>
  <c r="J635" i="16" s="1"/>
  <c r="J647" i="16" s="1"/>
  <c r="J618" i="16" a="1"/>
  <c r="J618" i="16" s="1"/>
  <c r="J634" i="16" s="1" a="1"/>
  <c r="J634" i="16" s="1"/>
  <c r="J646" i="16" s="1"/>
  <c r="J617" i="16" a="1"/>
  <c r="J617" i="16" s="1"/>
  <c r="J633" i="16" s="1" a="1"/>
  <c r="J633" i="16" s="1"/>
  <c r="J645" i="16" s="1"/>
  <c r="J616" i="16" a="1"/>
  <c r="J616" i="16" s="1"/>
  <c r="J632" i="16" s="1" a="1"/>
  <c r="J632" i="16" s="1"/>
  <c r="J644" i="16" s="1"/>
  <c r="H1896" i="16"/>
  <c r="D1890" i="16"/>
  <c r="X611" i="16"/>
  <c r="W611" i="16"/>
  <c r="V611" i="16"/>
  <c r="U611" i="16"/>
  <c r="T611" i="16"/>
  <c r="S611" i="16"/>
  <c r="R611" i="16"/>
  <c r="Q611" i="16"/>
  <c r="L611" i="16"/>
  <c r="K611" i="16"/>
  <c r="X610" i="16"/>
  <c r="W610" i="16"/>
  <c r="V610" i="16"/>
  <c r="U610" i="16"/>
  <c r="T610" i="16"/>
  <c r="S610" i="16"/>
  <c r="R610" i="16"/>
  <c r="Q610" i="16"/>
  <c r="L610" i="16"/>
  <c r="K610" i="16"/>
  <c r="X609" i="16"/>
  <c r="W609" i="16"/>
  <c r="V609" i="16"/>
  <c r="U609" i="16"/>
  <c r="T609" i="16"/>
  <c r="S609" i="16"/>
  <c r="R609" i="16"/>
  <c r="Q609" i="16"/>
  <c r="L609" i="16"/>
  <c r="K609" i="16"/>
  <c r="X608" i="16"/>
  <c r="W608" i="16"/>
  <c r="V608" i="16"/>
  <c r="U608" i="16"/>
  <c r="T608" i="16"/>
  <c r="S608" i="16"/>
  <c r="R608" i="16"/>
  <c r="Q608" i="16"/>
  <c r="L608" i="16"/>
  <c r="K608" i="16"/>
  <c r="X607" i="16"/>
  <c r="W607" i="16"/>
  <c r="V607" i="16"/>
  <c r="U607" i="16"/>
  <c r="T607" i="16"/>
  <c r="S607" i="16"/>
  <c r="R607" i="16"/>
  <c r="Q607" i="16"/>
  <c r="L607" i="16"/>
  <c r="K607" i="16"/>
  <c r="X606" i="16"/>
  <c r="W606" i="16"/>
  <c r="V606" i="16"/>
  <c r="U606" i="16"/>
  <c r="T606" i="16"/>
  <c r="S606" i="16"/>
  <c r="R606" i="16"/>
  <c r="Q606" i="16"/>
  <c r="L606" i="16"/>
  <c r="K606" i="16"/>
  <c r="X605" i="16"/>
  <c r="W605" i="16"/>
  <c r="V605" i="16"/>
  <c r="U605" i="16"/>
  <c r="T605" i="16"/>
  <c r="S605" i="16"/>
  <c r="R605" i="16"/>
  <c r="Q605" i="16"/>
  <c r="L605" i="16"/>
  <c r="K605" i="16"/>
  <c r="X604" i="16"/>
  <c r="W604" i="16"/>
  <c r="V604" i="16"/>
  <c r="U604" i="16"/>
  <c r="T604" i="16"/>
  <c r="S604" i="16"/>
  <c r="R604" i="16"/>
  <c r="Q604" i="16"/>
  <c r="L604" i="16"/>
  <c r="K604" i="16"/>
  <c r="X603" i="16"/>
  <c r="W603" i="16"/>
  <c r="V603" i="16"/>
  <c r="U603" i="16"/>
  <c r="T603" i="16"/>
  <c r="S603" i="16"/>
  <c r="R603" i="16"/>
  <c r="Q603" i="16"/>
  <c r="L603" i="16"/>
  <c r="K603" i="16"/>
  <c r="C599" i="16"/>
  <c r="B599" i="16"/>
  <c r="C598" i="16"/>
  <c r="B598" i="16"/>
  <c r="C597" i="16"/>
  <c r="B597" i="16"/>
  <c r="C596" i="16"/>
  <c r="B596" i="16"/>
  <c r="C595" i="16"/>
  <c r="B595" i="16"/>
  <c r="C594" i="16"/>
  <c r="B594" i="16"/>
  <c r="C593" i="16"/>
  <c r="B593" i="16"/>
  <c r="C592" i="16"/>
  <c r="B592" i="16"/>
  <c r="C591" i="16"/>
  <c r="B591" i="16"/>
  <c r="C590" i="16"/>
  <c r="D584" i="16"/>
  <c r="H1884" i="16" s="1"/>
  <c r="I1884" i="16" s="1"/>
  <c r="J583" i="16" a="1"/>
  <c r="J583" i="16" s="1"/>
  <c r="J599" i="16" s="1" a="1"/>
  <c r="J599" i="16" s="1"/>
  <c r="J611" i="16" s="1"/>
  <c r="J582" i="16" a="1"/>
  <c r="J582" i="16" s="1"/>
  <c r="J598" i="16" s="1" a="1"/>
  <c r="J598" i="16" s="1"/>
  <c r="J610" i="16" s="1"/>
  <c r="J581" i="16" a="1"/>
  <c r="J581" i="16" s="1"/>
  <c r="J597" i="16" s="1" a="1"/>
  <c r="J597" i="16" s="1"/>
  <c r="J609" i="16" s="1"/>
  <c r="J580" i="16" a="1"/>
  <c r="J580" i="16" s="1"/>
  <c r="J596" i="16" s="1" a="1"/>
  <c r="J596" i="16" s="1"/>
  <c r="J608" i="16" s="1"/>
  <c r="J579" i="16" a="1"/>
  <c r="J579" i="16" s="1"/>
  <c r="J595" i="16" s="1" a="1"/>
  <c r="J595" i="16" s="1"/>
  <c r="J607" i="16" s="1"/>
  <c r="J578" i="16" a="1"/>
  <c r="J578" i="16" s="1"/>
  <c r="J594" i="16" s="1" a="1"/>
  <c r="J594" i="16" s="1"/>
  <c r="J606" i="16" s="1"/>
  <c r="J577" i="16" a="1"/>
  <c r="J577" i="16" s="1"/>
  <c r="J593" i="16" s="1" a="1"/>
  <c r="J593" i="16" s="1"/>
  <c r="J605" i="16" s="1"/>
  <c r="J576" i="16" a="1"/>
  <c r="J576" i="16" s="1"/>
  <c r="J592" i="16" s="1" a="1"/>
  <c r="J592" i="16" s="1"/>
  <c r="J604" i="16" s="1"/>
  <c r="J575" i="16" a="1"/>
  <c r="J575" i="16" s="1"/>
  <c r="J591" i="16" s="1" a="1"/>
  <c r="J591" i="16" s="1"/>
  <c r="J603" i="16" s="1"/>
  <c r="J574" i="16" a="1"/>
  <c r="J574" i="16" s="1"/>
  <c r="J590" i="16" s="1" a="1"/>
  <c r="J590" i="16" s="1"/>
  <c r="J602" i="16" s="1"/>
  <c r="H1856" i="16"/>
  <c r="H1863" i="16" s="1"/>
  <c r="H1870" i="16" s="1"/>
  <c r="H1877" i="16" s="1"/>
  <c r="D1850" i="16"/>
  <c r="D1857" i="16" s="1"/>
  <c r="G1837" i="16"/>
  <c r="F1837" i="16"/>
  <c r="E1837" i="16"/>
  <c r="G1836" i="16"/>
  <c r="F1836" i="16"/>
  <c r="E1836" i="16"/>
  <c r="G1835" i="16"/>
  <c r="F1835" i="16"/>
  <c r="E1835" i="16"/>
  <c r="G1834" i="16"/>
  <c r="F1834" i="16"/>
  <c r="E1834" i="16"/>
  <c r="G1833" i="16"/>
  <c r="F1833" i="16"/>
  <c r="E1833" i="16"/>
  <c r="H1564" i="16"/>
  <c r="D1558" i="16"/>
  <c r="E1553" i="16"/>
  <c r="D1553" i="16" s="1"/>
  <c r="H1552" i="16"/>
  <c r="I1552" i="16" s="1"/>
  <c r="B1551" i="16"/>
  <c r="X570" i="16"/>
  <c r="W570" i="16"/>
  <c r="V570" i="16"/>
  <c r="U570" i="16"/>
  <c r="T570" i="16"/>
  <c r="S570" i="16"/>
  <c r="R570" i="16"/>
  <c r="Q570" i="16"/>
  <c r="P570" i="16"/>
  <c r="O570" i="16"/>
  <c r="N570" i="16"/>
  <c r="M570" i="16"/>
  <c r="L570" i="16"/>
  <c r="K570" i="16"/>
  <c r="J569" i="16" a="1"/>
  <c r="J569" i="16" s="1"/>
  <c r="J568" i="16" a="1"/>
  <c r="J568" i="16" s="1"/>
  <c r="J1836" i="16" s="1"/>
  <c r="J567" i="16" a="1"/>
  <c r="J567" i="16" s="1"/>
  <c r="J566" i="16" a="1"/>
  <c r="J566" i="16" s="1"/>
  <c r="J565" i="16" a="1"/>
  <c r="J565" i="16" s="1"/>
  <c r="X560" i="16"/>
  <c r="W560" i="16"/>
  <c r="V560" i="16"/>
  <c r="U560" i="16"/>
  <c r="T560" i="16"/>
  <c r="S560" i="16"/>
  <c r="R560" i="16"/>
  <c r="Q560" i="16"/>
  <c r="L560" i="16"/>
  <c r="K560" i="16"/>
  <c r="X559" i="16"/>
  <c r="W559" i="16"/>
  <c r="V559" i="16"/>
  <c r="U559" i="16"/>
  <c r="T559" i="16"/>
  <c r="S559" i="16"/>
  <c r="R559" i="16"/>
  <c r="Q559" i="16"/>
  <c r="L559" i="16"/>
  <c r="K559" i="16"/>
  <c r="X558" i="16"/>
  <c r="W558" i="16"/>
  <c r="V558" i="16"/>
  <c r="U558" i="16"/>
  <c r="T558" i="16"/>
  <c r="S558" i="16"/>
  <c r="R558" i="16"/>
  <c r="Q558" i="16"/>
  <c r="L558" i="16"/>
  <c r="K558" i="16"/>
  <c r="X557" i="16"/>
  <c r="W557" i="16"/>
  <c r="V557" i="16"/>
  <c r="U557" i="16"/>
  <c r="T557" i="16"/>
  <c r="S557" i="16"/>
  <c r="R557" i="16"/>
  <c r="Q557" i="16"/>
  <c r="L557" i="16"/>
  <c r="K557" i="16"/>
  <c r="X556" i="16"/>
  <c r="W556" i="16"/>
  <c r="V556" i="16"/>
  <c r="U556" i="16"/>
  <c r="T556" i="16"/>
  <c r="S556" i="16"/>
  <c r="R556" i="16"/>
  <c r="Q556" i="16"/>
  <c r="L556" i="16"/>
  <c r="K556" i="16"/>
  <c r="X555" i="16"/>
  <c r="W555" i="16"/>
  <c r="V555" i="16"/>
  <c r="U555" i="16"/>
  <c r="T555" i="16"/>
  <c r="S555" i="16"/>
  <c r="R555" i="16"/>
  <c r="Q555" i="16"/>
  <c r="L555" i="16"/>
  <c r="K555" i="16"/>
  <c r="X554" i="16"/>
  <c r="W554" i="16"/>
  <c r="V554" i="16"/>
  <c r="U554" i="16"/>
  <c r="T554" i="16"/>
  <c r="S554" i="16"/>
  <c r="R554" i="16"/>
  <c r="Q554" i="16"/>
  <c r="L554" i="16"/>
  <c r="K554" i="16"/>
  <c r="X553" i="16"/>
  <c r="W553" i="16"/>
  <c r="V553" i="16"/>
  <c r="U553" i="16"/>
  <c r="T553" i="16"/>
  <c r="S553" i="16"/>
  <c r="R553" i="16"/>
  <c r="Q553" i="16"/>
  <c r="L553" i="16"/>
  <c r="K553" i="16"/>
  <c r="X552" i="16"/>
  <c r="W552" i="16"/>
  <c r="V552" i="16"/>
  <c r="U552" i="16"/>
  <c r="T552" i="16"/>
  <c r="S552" i="16"/>
  <c r="R552" i="16"/>
  <c r="Q552" i="16"/>
  <c r="L552" i="16"/>
  <c r="K552" i="16"/>
  <c r="X551" i="16"/>
  <c r="W551" i="16"/>
  <c r="V551" i="16"/>
  <c r="U551" i="16"/>
  <c r="T551" i="16"/>
  <c r="S551" i="16"/>
  <c r="R551" i="16"/>
  <c r="Q551" i="16"/>
  <c r="L551" i="16"/>
  <c r="K551" i="16"/>
  <c r="X550" i="16"/>
  <c r="W550" i="16"/>
  <c r="V550" i="16"/>
  <c r="U550" i="16"/>
  <c r="T550" i="16"/>
  <c r="S550" i="16"/>
  <c r="R550" i="16"/>
  <c r="Q550" i="16"/>
  <c r="L550" i="16"/>
  <c r="K550" i="16"/>
  <c r="X549" i="16"/>
  <c r="W549" i="16"/>
  <c r="V549" i="16"/>
  <c r="U549" i="16"/>
  <c r="T549" i="16"/>
  <c r="S549" i="16"/>
  <c r="R549" i="16"/>
  <c r="Q549" i="16"/>
  <c r="L549" i="16"/>
  <c r="K549" i="16"/>
  <c r="X548" i="16"/>
  <c r="W548" i="16"/>
  <c r="V548" i="16"/>
  <c r="U548" i="16"/>
  <c r="T548" i="16"/>
  <c r="S548" i="16"/>
  <c r="R548" i="16"/>
  <c r="Q548" i="16"/>
  <c r="L548" i="16"/>
  <c r="K548" i="16"/>
  <c r="X547" i="16"/>
  <c r="W547" i="16"/>
  <c r="V547" i="16"/>
  <c r="U547" i="16"/>
  <c r="T547" i="16"/>
  <c r="S547" i="16"/>
  <c r="R547" i="16"/>
  <c r="Q547" i="16"/>
  <c r="L547" i="16"/>
  <c r="K547" i="16"/>
  <c r="X546" i="16"/>
  <c r="W546" i="16"/>
  <c r="V546" i="16"/>
  <c r="U546" i="16"/>
  <c r="T546" i="16"/>
  <c r="S546" i="16"/>
  <c r="R546" i="16"/>
  <c r="Q546" i="16"/>
  <c r="L546" i="16"/>
  <c r="K546" i="16"/>
  <c r="X545" i="16"/>
  <c r="W545" i="16"/>
  <c r="V545" i="16"/>
  <c r="U545" i="16"/>
  <c r="T545" i="16"/>
  <c r="S545" i="16"/>
  <c r="R545" i="16"/>
  <c r="Q545" i="16"/>
  <c r="L545" i="16"/>
  <c r="K545" i="16"/>
  <c r="X544" i="16"/>
  <c r="W544" i="16"/>
  <c r="V544" i="16"/>
  <c r="U544" i="16"/>
  <c r="T544" i="16"/>
  <c r="S544" i="16"/>
  <c r="R544" i="16"/>
  <c r="Q544" i="16"/>
  <c r="L544" i="16"/>
  <c r="K544" i="16"/>
  <c r="X543" i="16"/>
  <c r="W543" i="16"/>
  <c r="V543" i="16"/>
  <c r="U543" i="16"/>
  <c r="T543" i="16"/>
  <c r="S543" i="16"/>
  <c r="R543" i="16"/>
  <c r="Q543" i="16"/>
  <c r="L543" i="16"/>
  <c r="K543" i="16"/>
  <c r="X542" i="16"/>
  <c r="W542" i="16"/>
  <c r="V542" i="16"/>
  <c r="U542" i="16"/>
  <c r="T542" i="16"/>
  <c r="S542" i="16"/>
  <c r="R542" i="16"/>
  <c r="Q542" i="16"/>
  <c r="L542" i="16"/>
  <c r="K542" i="16"/>
  <c r="X541" i="16"/>
  <c r="W541" i="16"/>
  <c r="V541" i="16"/>
  <c r="U541" i="16"/>
  <c r="T541" i="16"/>
  <c r="S541" i="16"/>
  <c r="R541" i="16"/>
  <c r="Q541" i="16"/>
  <c r="L541" i="16"/>
  <c r="K541" i="16"/>
  <c r="X540" i="16"/>
  <c r="W540" i="16"/>
  <c r="V540" i="16"/>
  <c r="U540" i="16"/>
  <c r="T540" i="16"/>
  <c r="S540" i="16"/>
  <c r="R540" i="16"/>
  <c r="Q540" i="16"/>
  <c r="L540" i="16"/>
  <c r="K540" i="16"/>
  <c r="X539" i="16"/>
  <c r="W539" i="16"/>
  <c r="V539" i="16"/>
  <c r="U539" i="16"/>
  <c r="T539" i="16"/>
  <c r="S539" i="16"/>
  <c r="R539" i="16"/>
  <c r="Q539" i="16"/>
  <c r="L539" i="16"/>
  <c r="K539" i="16"/>
  <c r="X538" i="16"/>
  <c r="W538" i="16"/>
  <c r="V538" i="16"/>
  <c r="U538" i="16"/>
  <c r="T538" i="16"/>
  <c r="S538" i="16"/>
  <c r="R538" i="16"/>
  <c r="Q538" i="16"/>
  <c r="L538" i="16"/>
  <c r="K538" i="16"/>
  <c r="X537" i="16"/>
  <c r="W537" i="16"/>
  <c r="V537" i="16"/>
  <c r="U537" i="16"/>
  <c r="T537" i="16"/>
  <c r="S537" i="16"/>
  <c r="R537" i="16"/>
  <c r="Q537" i="16"/>
  <c r="L537" i="16"/>
  <c r="K537" i="16"/>
  <c r="X536" i="16"/>
  <c r="W536" i="16"/>
  <c r="V536" i="16"/>
  <c r="U536" i="16"/>
  <c r="T536" i="16"/>
  <c r="S536" i="16"/>
  <c r="R536" i="16"/>
  <c r="Q536" i="16"/>
  <c r="L536" i="16"/>
  <c r="K536" i="16"/>
  <c r="X535" i="16"/>
  <c r="W535" i="16"/>
  <c r="V535" i="16"/>
  <c r="U535" i="16"/>
  <c r="T535" i="16"/>
  <c r="S535" i="16"/>
  <c r="R535" i="16"/>
  <c r="Q535" i="16"/>
  <c r="L535" i="16"/>
  <c r="K535" i="16"/>
  <c r="X534" i="16"/>
  <c r="W534" i="16"/>
  <c r="V534" i="16"/>
  <c r="U534" i="16"/>
  <c r="T534" i="16"/>
  <c r="S534" i="16"/>
  <c r="R534" i="16"/>
  <c r="Q534" i="16"/>
  <c r="L534" i="16"/>
  <c r="K534" i="16"/>
  <c r="X533" i="16"/>
  <c r="W533" i="16"/>
  <c r="V533" i="16"/>
  <c r="U533" i="16"/>
  <c r="T533" i="16"/>
  <c r="S533" i="16"/>
  <c r="R533" i="16"/>
  <c r="Q533" i="16"/>
  <c r="L533" i="16"/>
  <c r="K533" i="16"/>
  <c r="X532" i="16"/>
  <c r="W532" i="16"/>
  <c r="V532" i="16"/>
  <c r="U532" i="16"/>
  <c r="T532" i="16"/>
  <c r="S532" i="16"/>
  <c r="R532" i="16"/>
  <c r="Q532" i="16"/>
  <c r="L532" i="16"/>
  <c r="K532" i="16"/>
  <c r="X531" i="16"/>
  <c r="W531" i="16"/>
  <c r="V531" i="16"/>
  <c r="U531" i="16"/>
  <c r="T531" i="16"/>
  <c r="S531" i="16"/>
  <c r="R531" i="16"/>
  <c r="Q531" i="16"/>
  <c r="L531" i="16"/>
  <c r="K531" i="16"/>
  <c r="X530" i="16"/>
  <c r="W530" i="16"/>
  <c r="V530" i="16"/>
  <c r="U530" i="16"/>
  <c r="T530" i="16"/>
  <c r="S530" i="16"/>
  <c r="R530" i="16"/>
  <c r="Q530" i="16"/>
  <c r="L530" i="16"/>
  <c r="K530" i="16"/>
  <c r="X529" i="16"/>
  <c r="W529" i="16"/>
  <c r="V529" i="16"/>
  <c r="U529" i="16"/>
  <c r="T529" i="16"/>
  <c r="S529" i="16"/>
  <c r="R529" i="16"/>
  <c r="Q529" i="16"/>
  <c r="L529" i="16"/>
  <c r="K529" i="16"/>
  <c r="X528" i="16"/>
  <c r="W528" i="16"/>
  <c r="V528" i="16"/>
  <c r="U528" i="16"/>
  <c r="T528" i="16"/>
  <c r="S528" i="16"/>
  <c r="R528" i="16"/>
  <c r="Q528" i="16"/>
  <c r="L528" i="16"/>
  <c r="K528" i="16"/>
  <c r="X527" i="16"/>
  <c r="W527" i="16"/>
  <c r="V527" i="16"/>
  <c r="U527" i="16"/>
  <c r="T527" i="16"/>
  <c r="S527" i="16"/>
  <c r="R527" i="16"/>
  <c r="Q527" i="16"/>
  <c r="L527" i="16"/>
  <c r="K527" i="16"/>
  <c r="X526" i="16"/>
  <c r="W526" i="16"/>
  <c r="V526" i="16"/>
  <c r="U526" i="16"/>
  <c r="T526" i="16"/>
  <c r="S526" i="16"/>
  <c r="R526" i="16"/>
  <c r="Q526" i="16"/>
  <c r="L526" i="16"/>
  <c r="K526" i="16"/>
  <c r="X525" i="16"/>
  <c r="W525" i="16"/>
  <c r="V525" i="16"/>
  <c r="U525" i="16"/>
  <c r="T525" i="16"/>
  <c r="S525" i="16"/>
  <c r="R525" i="16"/>
  <c r="Q525" i="16"/>
  <c r="L525" i="16"/>
  <c r="K525" i="16"/>
  <c r="X524" i="16"/>
  <c r="W524" i="16"/>
  <c r="V524" i="16"/>
  <c r="U524" i="16"/>
  <c r="T524" i="16"/>
  <c r="S524" i="16"/>
  <c r="R524" i="16"/>
  <c r="Q524" i="16"/>
  <c r="L524" i="16"/>
  <c r="K524" i="16"/>
  <c r="X523" i="16"/>
  <c r="W523" i="16"/>
  <c r="V523" i="16"/>
  <c r="U523" i="16"/>
  <c r="T523" i="16"/>
  <c r="S523" i="16"/>
  <c r="R523" i="16"/>
  <c r="Q523" i="16"/>
  <c r="L523" i="16"/>
  <c r="K523" i="16"/>
  <c r="X522" i="16"/>
  <c r="W522" i="16"/>
  <c r="V522" i="16"/>
  <c r="U522" i="16"/>
  <c r="T522" i="16"/>
  <c r="S522" i="16"/>
  <c r="R522" i="16"/>
  <c r="Q522" i="16"/>
  <c r="L522" i="16"/>
  <c r="K522" i="16"/>
  <c r="X521" i="16"/>
  <c r="W521" i="16"/>
  <c r="V521" i="16"/>
  <c r="U521" i="16"/>
  <c r="T521" i="16"/>
  <c r="S521" i="16"/>
  <c r="R521" i="16"/>
  <c r="Q521" i="16"/>
  <c r="L521" i="16"/>
  <c r="K521" i="16"/>
  <c r="X520" i="16"/>
  <c r="W520" i="16"/>
  <c r="V520" i="16"/>
  <c r="U520" i="16"/>
  <c r="T520" i="16"/>
  <c r="S520" i="16"/>
  <c r="R520" i="16"/>
  <c r="Q520" i="16"/>
  <c r="L520" i="16"/>
  <c r="K520" i="16"/>
  <c r="X519" i="16"/>
  <c r="W519" i="16"/>
  <c r="V519" i="16"/>
  <c r="U519" i="16"/>
  <c r="T519" i="16"/>
  <c r="S519" i="16"/>
  <c r="R519" i="16"/>
  <c r="Q519" i="16"/>
  <c r="L519" i="16"/>
  <c r="K519" i="16"/>
  <c r="X518" i="16"/>
  <c r="W518" i="16"/>
  <c r="V518" i="16"/>
  <c r="U518" i="16"/>
  <c r="T518" i="16"/>
  <c r="S518" i="16"/>
  <c r="R518" i="16"/>
  <c r="Q518" i="16"/>
  <c r="L518" i="16"/>
  <c r="K518" i="16"/>
  <c r="X517" i="16"/>
  <c r="W517" i="16"/>
  <c r="V517" i="16"/>
  <c r="U517" i="16"/>
  <c r="T517" i="16"/>
  <c r="S517" i="16"/>
  <c r="R517" i="16"/>
  <c r="Q517" i="16"/>
  <c r="L517" i="16"/>
  <c r="K517" i="16"/>
  <c r="C508" i="16"/>
  <c r="C555" i="16" s="1"/>
  <c r="B508" i="16"/>
  <c r="B555" i="16" s="1"/>
  <c r="C507" i="16"/>
  <c r="C554" i="16" s="1"/>
  <c r="B507" i="16"/>
  <c r="B554" i="16" s="1"/>
  <c r="C506" i="16"/>
  <c r="C553" i="16" s="1"/>
  <c r="B506" i="16"/>
  <c r="B553" i="16" s="1"/>
  <c r="C505" i="16"/>
  <c r="C552" i="16" s="1"/>
  <c r="B505" i="16"/>
  <c r="B552" i="16" s="1"/>
  <c r="C504" i="16"/>
  <c r="C551" i="16" s="1"/>
  <c r="B504" i="16"/>
  <c r="B551" i="16" s="1"/>
  <c r="C503" i="16"/>
  <c r="C550" i="16" s="1"/>
  <c r="B503" i="16"/>
  <c r="B550" i="16" s="1"/>
  <c r="C502" i="16"/>
  <c r="C549" i="16" s="1"/>
  <c r="B502" i="16"/>
  <c r="B549" i="16" s="1"/>
  <c r="C501" i="16"/>
  <c r="C548" i="16" s="1"/>
  <c r="B501" i="16"/>
  <c r="B548" i="16" s="1"/>
  <c r="C500" i="16"/>
  <c r="C547" i="16" s="1"/>
  <c r="B500" i="16"/>
  <c r="B547" i="16" s="1"/>
  <c r="C499" i="16"/>
  <c r="C546" i="16" s="1"/>
  <c r="B499" i="16"/>
  <c r="B546" i="16" s="1"/>
  <c r="C498" i="16"/>
  <c r="C545" i="16" s="1"/>
  <c r="B498" i="16"/>
  <c r="B545" i="16" s="1"/>
  <c r="C497" i="16"/>
  <c r="C544" i="16" s="1"/>
  <c r="B497" i="16"/>
  <c r="B544" i="16" s="1"/>
  <c r="C496" i="16"/>
  <c r="C543" i="16" s="1"/>
  <c r="B496" i="16"/>
  <c r="B543" i="16" s="1"/>
  <c r="C495" i="16"/>
  <c r="C542" i="16" s="1"/>
  <c r="B495" i="16"/>
  <c r="B542" i="16" s="1"/>
  <c r="C494" i="16"/>
  <c r="C541" i="16" s="1"/>
  <c r="B494" i="16"/>
  <c r="B541" i="16" s="1"/>
  <c r="C493" i="16"/>
  <c r="C540" i="16" s="1"/>
  <c r="B493" i="16"/>
  <c r="B540" i="16" s="1"/>
  <c r="C492" i="16"/>
  <c r="C539" i="16" s="1"/>
  <c r="B492" i="16"/>
  <c r="B539" i="16" s="1"/>
  <c r="C491" i="16"/>
  <c r="C538" i="16" s="1"/>
  <c r="B491" i="16"/>
  <c r="B538" i="16" s="1"/>
  <c r="C490" i="16"/>
  <c r="C537" i="16" s="1"/>
  <c r="B490" i="16"/>
  <c r="B537" i="16" s="1"/>
  <c r="C489" i="16"/>
  <c r="C536" i="16" s="1"/>
  <c r="B489" i="16"/>
  <c r="B536" i="16" s="1"/>
  <c r="C488" i="16"/>
  <c r="C535" i="16" s="1"/>
  <c r="B488" i="16"/>
  <c r="B535" i="16" s="1"/>
  <c r="C487" i="16"/>
  <c r="C534" i="16" s="1"/>
  <c r="B487" i="16"/>
  <c r="B534" i="16" s="1"/>
  <c r="C486" i="16"/>
  <c r="C533" i="16" s="1"/>
  <c r="B486" i="16"/>
  <c r="B533" i="16" s="1"/>
  <c r="C485" i="16"/>
  <c r="C532" i="16" s="1"/>
  <c r="B485" i="16"/>
  <c r="B532" i="16" s="1"/>
  <c r="C484" i="16"/>
  <c r="C531" i="16" s="1"/>
  <c r="B484" i="16"/>
  <c r="B531" i="16" s="1"/>
  <c r="C483" i="16"/>
  <c r="C530" i="16" s="1"/>
  <c r="C482" i="16"/>
  <c r="C529" i="16" s="1"/>
  <c r="B482" i="16"/>
  <c r="B529" i="16" s="1"/>
  <c r="C481" i="16"/>
  <c r="C528" i="16" s="1"/>
  <c r="B481" i="16"/>
  <c r="B528" i="16" s="1"/>
  <c r="C480" i="16"/>
  <c r="C527" i="16" s="1"/>
  <c r="B480" i="16"/>
  <c r="B527" i="16" s="1"/>
  <c r="C479" i="16"/>
  <c r="C526" i="16" s="1"/>
  <c r="B479" i="16"/>
  <c r="B526" i="16" s="1"/>
  <c r="C478" i="16"/>
  <c r="C525" i="16" s="1"/>
  <c r="B478" i="16"/>
  <c r="B525" i="16" s="1"/>
  <c r="C477" i="16"/>
  <c r="C524" i="16" s="1"/>
  <c r="B477" i="16"/>
  <c r="B524" i="16" s="1"/>
  <c r="C476" i="16"/>
  <c r="C523" i="16" s="1"/>
  <c r="B476" i="16"/>
  <c r="B523" i="16" s="1"/>
  <c r="C475" i="16"/>
  <c r="C522" i="16" s="1"/>
  <c r="B475" i="16"/>
  <c r="B522" i="16" s="1"/>
  <c r="C474" i="16"/>
  <c r="C521" i="16" s="1"/>
  <c r="B474" i="16"/>
  <c r="B521" i="16" s="1"/>
  <c r="C473" i="16"/>
  <c r="C520" i="16" s="1"/>
  <c r="B473" i="16"/>
  <c r="B520" i="16" s="1"/>
  <c r="C472" i="16"/>
  <c r="C519" i="16" s="1"/>
  <c r="B472" i="16"/>
  <c r="B519" i="16" s="1"/>
  <c r="C471" i="16"/>
  <c r="C518" i="16" s="1"/>
  <c r="B471" i="16"/>
  <c r="B518" i="16" s="1"/>
  <c r="C470" i="16"/>
  <c r="C517" i="16" s="1"/>
  <c r="B470" i="16"/>
  <c r="B517" i="16" s="1"/>
  <c r="C469" i="16"/>
  <c r="C516" i="16" s="1"/>
  <c r="B469" i="16"/>
  <c r="B516" i="16" s="1"/>
  <c r="H462" i="16"/>
  <c r="H461" i="16"/>
  <c r="H460" i="16"/>
  <c r="H459" i="16"/>
  <c r="H458" i="16"/>
  <c r="C2199" i="16"/>
  <c r="J457" i="16" a="1"/>
  <c r="J457" i="16" s="1"/>
  <c r="J508" i="16" s="1" a="1"/>
  <c r="J508" i="16" s="1"/>
  <c r="J555" i="16" s="1"/>
  <c r="J456" i="16" a="1"/>
  <c r="J456" i="16" s="1"/>
  <c r="J507" i="16" s="1" a="1"/>
  <c r="J507" i="16" s="1"/>
  <c r="J554" i="16" s="1"/>
  <c r="J455" i="16" a="1"/>
  <c r="J455" i="16" s="1"/>
  <c r="J506" i="16" s="1" a="1"/>
  <c r="J506" i="16" s="1"/>
  <c r="J553" i="16" s="1"/>
  <c r="J454" i="16" a="1"/>
  <c r="J454" i="16" s="1"/>
  <c r="J505" i="16" s="1" a="1"/>
  <c r="J505" i="16" s="1"/>
  <c r="J552" i="16" s="1"/>
  <c r="J453" i="16" a="1"/>
  <c r="J453" i="16" s="1"/>
  <c r="J504" i="16" s="1" a="1"/>
  <c r="J504" i="16" s="1"/>
  <c r="J551" i="16" s="1"/>
  <c r="J452" i="16" a="1"/>
  <c r="J452" i="16" s="1"/>
  <c r="J503" i="16" s="1" a="1"/>
  <c r="J503" i="16" s="1"/>
  <c r="J550" i="16" s="1"/>
  <c r="J451" i="16" a="1"/>
  <c r="J451" i="16" s="1"/>
  <c r="J502" i="16" s="1" a="1"/>
  <c r="J502" i="16" s="1"/>
  <c r="J549" i="16" s="1"/>
  <c r="J450" i="16" a="1"/>
  <c r="J450" i="16" s="1"/>
  <c r="J501" i="16" s="1" a="1"/>
  <c r="J501" i="16" s="1"/>
  <c r="J548" i="16" s="1"/>
  <c r="J449" i="16" a="1"/>
  <c r="J449" i="16" s="1"/>
  <c r="J500" i="16" s="1" a="1"/>
  <c r="J500" i="16" s="1"/>
  <c r="J547" i="16" s="1"/>
  <c r="J448" i="16" a="1"/>
  <c r="J448" i="16" s="1"/>
  <c r="J499" i="16" s="1" a="1"/>
  <c r="J499" i="16" s="1"/>
  <c r="J546" i="16" s="1"/>
  <c r="J447" i="16" a="1"/>
  <c r="J447" i="16" s="1"/>
  <c r="J498" i="16" s="1" a="1"/>
  <c r="J498" i="16" s="1"/>
  <c r="J545" i="16" s="1"/>
  <c r="J446" i="16" a="1"/>
  <c r="J446" i="16" s="1"/>
  <c r="J497" i="16" s="1" a="1"/>
  <c r="J497" i="16" s="1"/>
  <c r="J544" i="16" s="1"/>
  <c r="J445" i="16" a="1"/>
  <c r="J445" i="16" s="1"/>
  <c r="J496" i="16" s="1" a="1"/>
  <c r="J496" i="16" s="1"/>
  <c r="J543" i="16" s="1"/>
  <c r="J444" i="16" a="1"/>
  <c r="J444" i="16" s="1"/>
  <c r="J495" i="16" s="1" a="1"/>
  <c r="J495" i="16" s="1"/>
  <c r="J542" i="16" s="1"/>
  <c r="J443" i="16" a="1"/>
  <c r="J443" i="16" s="1"/>
  <c r="J494" i="16" s="1" a="1"/>
  <c r="J494" i="16" s="1"/>
  <c r="J541" i="16" s="1"/>
  <c r="J442" i="16" a="1"/>
  <c r="J442" i="16" s="1"/>
  <c r="J493" i="16" s="1" a="1"/>
  <c r="J493" i="16" s="1"/>
  <c r="J540" i="16" s="1"/>
  <c r="J441" i="16" a="1"/>
  <c r="J441" i="16" s="1"/>
  <c r="J492" i="16" s="1" a="1"/>
  <c r="J492" i="16" s="1"/>
  <c r="J539" i="16" s="1"/>
  <c r="J440" i="16" a="1"/>
  <c r="J440" i="16" s="1"/>
  <c r="J491" i="16" s="1" a="1"/>
  <c r="J491" i="16" s="1"/>
  <c r="J538" i="16" s="1"/>
  <c r="J439" i="16" a="1"/>
  <c r="J439" i="16" s="1"/>
  <c r="J490" i="16" s="1" a="1"/>
  <c r="J490" i="16" s="1"/>
  <c r="J537" i="16" s="1"/>
  <c r="J438" i="16" a="1"/>
  <c r="J438" i="16" s="1"/>
  <c r="J489" i="16" s="1" a="1"/>
  <c r="J489" i="16" s="1"/>
  <c r="J536" i="16" s="1"/>
  <c r="J437" i="16" a="1"/>
  <c r="J437" i="16" s="1"/>
  <c r="J488" i="16" s="1" a="1"/>
  <c r="J488" i="16" s="1"/>
  <c r="J535" i="16" s="1"/>
  <c r="J436" i="16" a="1"/>
  <c r="J436" i="16" s="1"/>
  <c r="J487" i="16" s="1" a="1"/>
  <c r="J487" i="16" s="1"/>
  <c r="J534" i="16" s="1"/>
  <c r="J435" i="16" a="1"/>
  <c r="J435" i="16" s="1"/>
  <c r="J486" i="16" s="1" a="1"/>
  <c r="J486" i="16" s="1"/>
  <c r="J533" i="16" s="1"/>
  <c r="J434" i="16" a="1"/>
  <c r="J434" i="16" s="1"/>
  <c r="J485" i="16" s="1" a="1"/>
  <c r="J485" i="16" s="1"/>
  <c r="J532" i="16" s="1"/>
  <c r="J433" i="16" a="1"/>
  <c r="J433" i="16" s="1"/>
  <c r="J484" i="16" s="1" a="1"/>
  <c r="J484" i="16" s="1"/>
  <c r="J531" i="16" s="1"/>
  <c r="J432" i="16" a="1"/>
  <c r="J432" i="16" s="1"/>
  <c r="J483" i="16" s="1" a="1"/>
  <c r="J483" i="16" s="1"/>
  <c r="J530" i="16" s="1"/>
  <c r="J431" i="16" a="1"/>
  <c r="J431" i="16" s="1"/>
  <c r="J482" i="16" s="1" a="1"/>
  <c r="J482" i="16" s="1"/>
  <c r="J529" i="16" s="1"/>
  <c r="J430" i="16" a="1"/>
  <c r="J430" i="16" s="1"/>
  <c r="J481" i="16" s="1" a="1"/>
  <c r="J481" i="16" s="1"/>
  <c r="J528" i="16" s="1"/>
  <c r="J429" i="16" a="1"/>
  <c r="J429" i="16" s="1"/>
  <c r="J480" i="16" s="1" a="1"/>
  <c r="J480" i="16" s="1"/>
  <c r="J527" i="16" s="1"/>
  <c r="J428" i="16" a="1"/>
  <c r="J428" i="16" s="1"/>
  <c r="J479" i="16" s="1" a="1"/>
  <c r="J479" i="16" s="1"/>
  <c r="J526" i="16" s="1"/>
  <c r="J427" i="16" a="1"/>
  <c r="J427" i="16" s="1"/>
  <c r="J478" i="16" s="1" a="1"/>
  <c r="J478" i="16" s="1"/>
  <c r="J525" i="16" s="1"/>
  <c r="J426" i="16" a="1"/>
  <c r="J426" i="16" s="1"/>
  <c r="J477" i="16" s="1" a="1"/>
  <c r="J477" i="16" s="1"/>
  <c r="J524" i="16" s="1"/>
  <c r="J425" i="16" a="1"/>
  <c r="J425" i="16" s="1"/>
  <c r="J476" i="16" s="1" a="1"/>
  <c r="J476" i="16" s="1"/>
  <c r="J523" i="16" s="1"/>
  <c r="J424" i="16" a="1"/>
  <c r="J424" i="16" s="1"/>
  <c r="J475" i="16" s="1" a="1"/>
  <c r="J475" i="16" s="1"/>
  <c r="J522" i="16" s="1"/>
  <c r="J423" i="16" a="1"/>
  <c r="J423" i="16" s="1"/>
  <c r="J474" i="16" s="1" a="1"/>
  <c r="J474" i="16" s="1"/>
  <c r="J521" i="16" s="1"/>
  <c r="J422" i="16" a="1"/>
  <c r="J422" i="16" s="1"/>
  <c r="J473" i="16" s="1" a="1"/>
  <c r="J473" i="16" s="1"/>
  <c r="J520" i="16" s="1"/>
  <c r="J421" i="16" a="1"/>
  <c r="J421" i="16" s="1"/>
  <c r="J472" i="16" s="1" a="1"/>
  <c r="J472" i="16" s="1"/>
  <c r="J519" i="16" s="1"/>
  <c r="J420" i="16" a="1"/>
  <c r="J420" i="16" s="1"/>
  <c r="J471" i="16" s="1" a="1"/>
  <c r="J471" i="16" s="1"/>
  <c r="J518" i="16" s="1"/>
  <c r="J419" i="16" a="1"/>
  <c r="J419" i="16" s="1"/>
  <c r="J470" i="16" s="1" a="1"/>
  <c r="J470" i="16" s="1"/>
  <c r="J517" i="16" s="1"/>
  <c r="J418" i="16" a="1"/>
  <c r="J418" i="16" s="1"/>
  <c r="J469" i="16" s="1" a="1"/>
  <c r="J469" i="16" s="1"/>
  <c r="J516" i="16" s="1"/>
  <c r="D1517" i="16"/>
  <c r="D1524" i="16" s="1"/>
  <c r="G1515" i="16"/>
  <c r="G1516" i="16" s="1"/>
  <c r="G1504" i="16"/>
  <c r="F1504" i="16"/>
  <c r="E1504" i="16"/>
  <c r="E367" i="16" s="1"/>
  <c r="D108" i="20" s="1"/>
  <c r="B367" i="16"/>
  <c r="B388" i="16" s="1"/>
  <c r="B405" i="16" s="1"/>
  <c r="G1503" i="16"/>
  <c r="F1503" i="16"/>
  <c r="E1503" i="16"/>
  <c r="E366" i="16" s="1"/>
  <c r="D107" i="20" s="1"/>
  <c r="G1502" i="16"/>
  <c r="F1502" i="16"/>
  <c r="E1502" i="16"/>
  <c r="E365" i="16" s="1"/>
  <c r="D106" i="20" s="1"/>
  <c r="G1501" i="16"/>
  <c r="F1501" i="16"/>
  <c r="E1501" i="16"/>
  <c r="E364" i="16" s="1"/>
  <c r="D105" i="20" s="1"/>
  <c r="G1500" i="16"/>
  <c r="F1500" i="16"/>
  <c r="E1500" i="16"/>
  <c r="D1511" i="16" s="1"/>
  <c r="H1441" i="16"/>
  <c r="D1435" i="16"/>
  <c r="D1442" i="16" s="1"/>
  <c r="E1430" i="16"/>
  <c r="D1430" i="16" s="1"/>
  <c r="D1431" i="16" s="1"/>
  <c r="H1429" i="16"/>
  <c r="I1429" i="16" s="1"/>
  <c r="E1429" i="16"/>
  <c r="F1429" i="16" s="1"/>
  <c r="D1429" i="16"/>
  <c r="X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3" i="16" a="1"/>
  <c r="J413" i="16" s="1"/>
  <c r="J367" i="16" s="1"/>
  <c r="J388" i="16" s="1" a="1"/>
  <c r="J388" i="16" s="1"/>
  <c r="J405" i="16" s="1"/>
  <c r="J412" i="16" a="1"/>
  <c r="J412" i="16" s="1"/>
  <c r="J411" i="16" a="1"/>
  <c r="J411" i="16" s="1"/>
  <c r="J410" i="16" a="1"/>
  <c r="J410" i="16" s="1"/>
  <c r="J409" i="16" a="1"/>
  <c r="J409" i="16" s="1"/>
  <c r="X405" i="16"/>
  <c r="W405" i="16"/>
  <c r="V405" i="16"/>
  <c r="U405" i="16"/>
  <c r="T405" i="16"/>
  <c r="S405" i="16"/>
  <c r="R405" i="16"/>
  <c r="Q405" i="16"/>
  <c r="P405" i="16"/>
  <c r="L405" i="16"/>
  <c r="K405" i="16"/>
  <c r="X404" i="16"/>
  <c r="W404" i="16"/>
  <c r="V404" i="16"/>
  <c r="U404" i="16"/>
  <c r="T404" i="16"/>
  <c r="S404" i="16"/>
  <c r="R404" i="16"/>
  <c r="Q404" i="16"/>
  <c r="P404" i="16"/>
  <c r="L404" i="16"/>
  <c r="K404" i="16"/>
  <c r="X403" i="16"/>
  <c r="W403" i="16"/>
  <c r="V403" i="16"/>
  <c r="U403" i="16"/>
  <c r="T403" i="16"/>
  <c r="S403" i="16"/>
  <c r="R403" i="16"/>
  <c r="Q403" i="16"/>
  <c r="P403" i="16"/>
  <c r="L403" i="16"/>
  <c r="K403" i="16"/>
  <c r="X402" i="16"/>
  <c r="W402" i="16"/>
  <c r="V402" i="16"/>
  <c r="U402" i="16"/>
  <c r="T402" i="16"/>
  <c r="S402" i="16"/>
  <c r="R402" i="16"/>
  <c r="Q402" i="16"/>
  <c r="P402" i="16"/>
  <c r="L402" i="16"/>
  <c r="K402" i="16"/>
  <c r="X401" i="16"/>
  <c r="W401" i="16"/>
  <c r="V401" i="16"/>
  <c r="U401" i="16"/>
  <c r="T401" i="16"/>
  <c r="S401" i="16"/>
  <c r="R401" i="16"/>
  <c r="Q401" i="16"/>
  <c r="P401" i="16"/>
  <c r="L401" i="16"/>
  <c r="K401" i="16"/>
  <c r="X400" i="16"/>
  <c r="W400" i="16"/>
  <c r="V400" i="16"/>
  <c r="U400" i="16"/>
  <c r="T400" i="16"/>
  <c r="S400" i="16"/>
  <c r="R400" i="16"/>
  <c r="Q400" i="16"/>
  <c r="P400" i="16"/>
  <c r="L400" i="16"/>
  <c r="K400" i="16"/>
  <c r="X399" i="16"/>
  <c r="W399" i="16"/>
  <c r="V399" i="16"/>
  <c r="U399" i="16"/>
  <c r="T399" i="16"/>
  <c r="S399" i="16"/>
  <c r="R399" i="16"/>
  <c r="Q399" i="16"/>
  <c r="P399" i="16"/>
  <c r="L399" i="16"/>
  <c r="K399" i="16"/>
  <c r="X398" i="16"/>
  <c r="W398" i="16"/>
  <c r="V398" i="16"/>
  <c r="U398" i="16"/>
  <c r="T398" i="16"/>
  <c r="S398" i="16"/>
  <c r="R398" i="16"/>
  <c r="Q398" i="16"/>
  <c r="P398" i="16"/>
  <c r="L398" i="16"/>
  <c r="K398" i="16"/>
  <c r="X397" i="16"/>
  <c r="W397" i="16"/>
  <c r="V397" i="16"/>
  <c r="U397" i="16"/>
  <c r="T397" i="16"/>
  <c r="S397" i="16"/>
  <c r="R397" i="16"/>
  <c r="Q397" i="16"/>
  <c r="P397" i="16"/>
  <c r="L397" i="16"/>
  <c r="K397" i="16"/>
  <c r="X396" i="16"/>
  <c r="W396" i="16"/>
  <c r="V396" i="16"/>
  <c r="U396" i="16"/>
  <c r="T396" i="16"/>
  <c r="S396" i="16"/>
  <c r="R396" i="16"/>
  <c r="Q396" i="16"/>
  <c r="P396" i="16"/>
  <c r="L396" i="16"/>
  <c r="K396" i="16"/>
  <c r="X395" i="16"/>
  <c r="W395" i="16"/>
  <c r="V395" i="16"/>
  <c r="U395" i="16"/>
  <c r="T395" i="16"/>
  <c r="S395" i="16"/>
  <c r="R395" i="16"/>
  <c r="Q395" i="16"/>
  <c r="P395" i="16"/>
  <c r="L395" i="16"/>
  <c r="K395" i="16"/>
  <c r="X394" i="16"/>
  <c r="W394" i="16"/>
  <c r="V394" i="16"/>
  <c r="U394" i="16"/>
  <c r="T394" i="16"/>
  <c r="S394" i="16"/>
  <c r="R394" i="16"/>
  <c r="Q394" i="16"/>
  <c r="P394" i="16"/>
  <c r="L394" i="16"/>
  <c r="K394" i="16"/>
  <c r="X393" i="16"/>
  <c r="W393" i="16"/>
  <c r="V393" i="16"/>
  <c r="U393" i="16"/>
  <c r="T393" i="16"/>
  <c r="S393" i="16"/>
  <c r="R393" i="16"/>
  <c r="Q393" i="16"/>
  <c r="P393" i="16"/>
  <c r="L393" i="16"/>
  <c r="K393" i="16"/>
  <c r="X392" i="16"/>
  <c r="W392" i="16"/>
  <c r="V392" i="16"/>
  <c r="U392" i="16"/>
  <c r="T392" i="16"/>
  <c r="S392" i="16"/>
  <c r="R392" i="16"/>
  <c r="Q392" i="16"/>
  <c r="P392" i="16"/>
  <c r="L392" i="16"/>
  <c r="K392" i="16"/>
  <c r="X391" i="16"/>
  <c r="W391" i="16"/>
  <c r="V391" i="16"/>
  <c r="U391" i="16"/>
  <c r="T391" i="16"/>
  <c r="S391" i="16"/>
  <c r="R391" i="16"/>
  <c r="Q391" i="16"/>
  <c r="P391" i="16"/>
  <c r="L391" i="16"/>
  <c r="K391" i="16"/>
  <c r="C383" i="16"/>
  <c r="C400" i="16" s="1"/>
  <c r="B383" i="16"/>
  <c r="B400" i="16" s="1"/>
  <c r="C382" i="16"/>
  <c r="C399" i="16" s="1"/>
  <c r="B382" i="16"/>
  <c r="B399" i="16" s="1"/>
  <c r="C381" i="16"/>
  <c r="C398" i="16" s="1"/>
  <c r="B381" i="16"/>
  <c r="B398" i="16" s="1"/>
  <c r="C380" i="16"/>
  <c r="C397" i="16" s="1"/>
  <c r="B380" i="16"/>
  <c r="B397" i="16" s="1"/>
  <c r="C379" i="16"/>
  <c r="C396" i="16" s="1"/>
  <c r="B379" i="16"/>
  <c r="B396" i="16" s="1"/>
  <c r="C378" i="16"/>
  <c r="C395" i="16" s="1"/>
  <c r="B378" i="16"/>
  <c r="B395" i="16" s="1"/>
  <c r="C377" i="16"/>
  <c r="C394" i="16" s="1"/>
  <c r="B377" i="16"/>
  <c r="B394" i="16" s="1"/>
  <c r="C376" i="16"/>
  <c r="C393" i="16" s="1"/>
  <c r="B376" i="16"/>
  <c r="B393" i="16" s="1"/>
  <c r="C375" i="16"/>
  <c r="C392" i="16" s="1"/>
  <c r="B375" i="16"/>
  <c r="B392" i="16" s="1"/>
  <c r="C374" i="16"/>
  <c r="C391" i="16" s="1"/>
  <c r="B374" i="16"/>
  <c r="B391" i="16" s="1"/>
  <c r="J362" i="16" a="1"/>
  <c r="J362" i="16" s="1"/>
  <c r="J383" i="16" s="1" a="1"/>
  <c r="J383" i="16" s="1"/>
  <c r="J400" i="16" s="1"/>
  <c r="J361" i="16" a="1"/>
  <c r="J361" i="16" s="1"/>
  <c r="J382" i="16" s="1" a="1"/>
  <c r="J382" i="16" s="1"/>
  <c r="J399" i="16" s="1"/>
  <c r="J360" i="16" a="1"/>
  <c r="J360" i="16" s="1"/>
  <c r="J381" i="16" s="1" a="1"/>
  <c r="J381" i="16" s="1"/>
  <c r="J398" i="16" s="1"/>
  <c r="J359" i="16" a="1"/>
  <c r="J359" i="16" s="1"/>
  <c r="J380" i="16" s="1" a="1"/>
  <c r="J380" i="16" s="1"/>
  <c r="J397" i="16" s="1"/>
  <c r="J358" i="16" a="1"/>
  <c r="J358" i="16" s="1"/>
  <c r="J379" i="16" s="1" a="1"/>
  <c r="J379" i="16" s="1"/>
  <c r="J396" i="16" s="1"/>
  <c r="J357" i="16" a="1"/>
  <c r="J357" i="16" s="1"/>
  <c r="J378" i="16" s="1" a="1"/>
  <c r="J378" i="16" s="1"/>
  <c r="J395" i="16" s="1"/>
  <c r="J356" i="16" a="1"/>
  <c r="J356" i="16" s="1"/>
  <c r="J377" i="16" s="1" a="1"/>
  <c r="J377" i="16" s="1"/>
  <c r="J394" i="16" s="1"/>
  <c r="J355" i="16" a="1"/>
  <c r="J355" i="16" s="1"/>
  <c r="J376" i="16" s="1" a="1"/>
  <c r="J376" i="16" s="1"/>
  <c r="J393" i="16" s="1"/>
  <c r="J354" i="16" a="1"/>
  <c r="J354" i="16" s="1"/>
  <c r="J375" i="16" s="1" a="1"/>
  <c r="J375" i="16" s="1"/>
  <c r="J392" i="16" s="1"/>
  <c r="J353" i="16" a="1"/>
  <c r="J353" i="16" s="1"/>
  <c r="H1401" i="16"/>
  <c r="D1395" i="16"/>
  <c r="E1396" i="16" s="1"/>
  <c r="F1396" i="16" s="1"/>
  <c r="E1390" i="16"/>
  <c r="D1390" i="16" s="1"/>
  <c r="E1389" i="16"/>
  <c r="F1389" i="16" s="1"/>
  <c r="D1389" i="16"/>
  <c r="B1388" i="16"/>
  <c r="B1883" i="16" s="1"/>
  <c r="R348" i="16"/>
  <c r="X347" i="16"/>
  <c r="W347" i="16"/>
  <c r="V347" i="16"/>
  <c r="U347" i="16"/>
  <c r="T347" i="16"/>
  <c r="S347" i="16"/>
  <c r="R347" i="16"/>
  <c r="Q347" i="16"/>
  <c r="P347" i="16"/>
  <c r="L347" i="16"/>
  <c r="K347" i="16"/>
  <c r="X346" i="16"/>
  <c r="W346" i="16"/>
  <c r="V346" i="16"/>
  <c r="U346" i="16"/>
  <c r="T346" i="16"/>
  <c r="S346" i="16"/>
  <c r="R346" i="16"/>
  <c r="Q346" i="16"/>
  <c r="P346" i="16"/>
  <c r="L346" i="16"/>
  <c r="K346" i="16"/>
  <c r="X345" i="16"/>
  <c r="W345" i="16"/>
  <c r="V345" i="16"/>
  <c r="U345" i="16"/>
  <c r="T345" i="16"/>
  <c r="S345" i="16"/>
  <c r="R345" i="16"/>
  <c r="Q345" i="16"/>
  <c r="P345" i="16"/>
  <c r="L345" i="16"/>
  <c r="K345" i="16"/>
  <c r="C341" i="16"/>
  <c r="C348" i="16" s="1"/>
  <c r="B341" i="16"/>
  <c r="B348" i="16" s="1"/>
  <c r="C340" i="16"/>
  <c r="C347" i="16" s="1"/>
  <c r="B340" i="16"/>
  <c r="B347" i="16" s="1"/>
  <c r="C339" i="16"/>
  <c r="C346" i="16" s="1"/>
  <c r="B339" i="16"/>
  <c r="B346" i="16" s="1"/>
  <c r="C338" i="16"/>
  <c r="C345" i="16" s="1"/>
  <c r="B338" i="16"/>
  <c r="B345" i="16" s="1"/>
  <c r="C337" i="16"/>
  <c r="B337" i="16"/>
  <c r="B344" i="16" s="1"/>
  <c r="D331" i="16"/>
  <c r="H1389" i="16" s="1"/>
  <c r="I1389" i="16" s="1"/>
  <c r="J330" i="16" a="1"/>
  <c r="J330" i="16" s="1"/>
  <c r="J341" i="16" s="1" a="1"/>
  <c r="J341" i="16" s="1"/>
  <c r="J348" i="16" s="1"/>
  <c r="J329" i="16" a="1"/>
  <c r="J329" i="16" s="1"/>
  <c r="J340" i="16" s="1" a="1"/>
  <c r="J340" i="16" s="1"/>
  <c r="J347" i="16" s="1"/>
  <c r="J328" i="16" a="1"/>
  <c r="J328" i="16" s="1"/>
  <c r="J339" i="16" s="1" a="1"/>
  <c r="J339" i="16" s="1"/>
  <c r="J346" i="16" s="1"/>
  <c r="J327" i="16" a="1"/>
  <c r="J327" i="16" s="1"/>
  <c r="J338" i="16" s="1" a="1"/>
  <c r="J338" i="16" s="1"/>
  <c r="J345" i="16" s="1"/>
  <c r="J326" i="16" a="1"/>
  <c r="J326" i="16" s="1"/>
  <c r="H1290" i="16"/>
  <c r="D1284" i="16"/>
  <c r="E1286" i="16" s="1"/>
  <c r="E1279" i="16"/>
  <c r="D1279" i="16" s="1"/>
  <c r="E1278" i="16"/>
  <c r="F1278" i="16" s="1"/>
  <c r="D1278" i="16"/>
  <c r="B1277" i="16"/>
  <c r="X321" i="16"/>
  <c r="W321" i="16"/>
  <c r="V321" i="16"/>
  <c r="U321" i="16"/>
  <c r="T321" i="16"/>
  <c r="S321" i="16"/>
  <c r="R321" i="16"/>
  <c r="Q321" i="16"/>
  <c r="P321" i="16"/>
  <c r="L321" i="16"/>
  <c r="K321" i="16"/>
  <c r="X320" i="16"/>
  <c r="W320" i="16"/>
  <c r="V320" i="16"/>
  <c r="U320" i="16"/>
  <c r="T320" i="16"/>
  <c r="S320" i="16"/>
  <c r="R320" i="16"/>
  <c r="Q320" i="16"/>
  <c r="P320" i="16"/>
  <c r="L320" i="16"/>
  <c r="K320" i="16"/>
  <c r="X319" i="16"/>
  <c r="W319" i="16"/>
  <c r="V319" i="16"/>
  <c r="U319" i="16"/>
  <c r="T319" i="16"/>
  <c r="S319" i="16"/>
  <c r="R319" i="16"/>
  <c r="Q319" i="16"/>
  <c r="P319" i="16"/>
  <c r="L319" i="16"/>
  <c r="K319" i="16"/>
  <c r="X318" i="16"/>
  <c r="W318" i="16"/>
  <c r="V318" i="16"/>
  <c r="U318" i="16"/>
  <c r="T318" i="16"/>
  <c r="S318" i="16"/>
  <c r="R318" i="16"/>
  <c r="Q318" i="16"/>
  <c r="P318" i="16"/>
  <c r="L318" i="16"/>
  <c r="K318" i="16"/>
  <c r="X317" i="16"/>
  <c r="W317" i="16"/>
  <c r="V317" i="16"/>
  <c r="U317" i="16"/>
  <c r="T317" i="16"/>
  <c r="S317" i="16"/>
  <c r="R317" i="16"/>
  <c r="Q317" i="16"/>
  <c r="P317" i="16"/>
  <c r="L317" i="16"/>
  <c r="K317" i="16"/>
  <c r="X316" i="16"/>
  <c r="W316" i="16"/>
  <c r="V316" i="16"/>
  <c r="U316" i="16"/>
  <c r="T316" i="16"/>
  <c r="S316" i="16"/>
  <c r="R316" i="16"/>
  <c r="Q316" i="16"/>
  <c r="P316" i="16"/>
  <c r="L316" i="16"/>
  <c r="K316" i="16"/>
  <c r="X315" i="16"/>
  <c r="W315" i="16"/>
  <c r="V315" i="16"/>
  <c r="U315" i="16"/>
  <c r="T315" i="16"/>
  <c r="S315" i="16"/>
  <c r="R315" i="16"/>
  <c r="Q315" i="16"/>
  <c r="P315" i="16"/>
  <c r="L315" i="16"/>
  <c r="K315" i="16"/>
  <c r="X314" i="16"/>
  <c r="W314" i="16"/>
  <c r="V314" i="16"/>
  <c r="U314" i="16"/>
  <c r="T314" i="16"/>
  <c r="S314" i="16"/>
  <c r="R314" i="16"/>
  <c r="Q314" i="16"/>
  <c r="P314" i="16"/>
  <c r="L314" i="16"/>
  <c r="K314" i="16"/>
  <c r="X313" i="16"/>
  <c r="W313" i="16"/>
  <c r="V313" i="16"/>
  <c r="U313" i="16"/>
  <c r="T313" i="16"/>
  <c r="S313" i="16"/>
  <c r="R313" i="16"/>
  <c r="Q313" i="16"/>
  <c r="P313" i="16"/>
  <c r="L313" i="16"/>
  <c r="K313" i="16"/>
  <c r="X312" i="16"/>
  <c r="W312" i="16"/>
  <c r="V312" i="16"/>
  <c r="U312" i="16"/>
  <c r="T312" i="16"/>
  <c r="S312" i="16"/>
  <c r="R312" i="16"/>
  <c r="Q312" i="16"/>
  <c r="P312" i="16"/>
  <c r="L312" i="16"/>
  <c r="K312" i="16"/>
  <c r="X311" i="16"/>
  <c r="W311" i="16"/>
  <c r="V311" i="16"/>
  <c r="U311" i="16"/>
  <c r="T311" i="16"/>
  <c r="S311" i="16"/>
  <c r="R311" i="16"/>
  <c r="Q311" i="16"/>
  <c r="P311" i="16"/>
  <c r="L311" i="16"/>
  <c r="K311" i="16"/>
  <c r="X310" i="16"/>
  <c r="W310" i="16"/>
  <c r="V310" i="16"/>
  <c r="U310" i="16"/>
  <c r="T310" i="16"/>
  <c r="S310" i="16"/>
  <c r="R310" i="16"/>
  <c r="Q310" i="16"/>
  <c r="P310" i="16"/>
  <c r="L310" i="16"/>
  <c r="K310" i="16"/>
  <c r="X309" i="16"/>
  <c r="W309" i="16"/>
  <c r="V309" i="16"/>
  <c r="U309" i="16"/>
  <c r="T309" i="16"/>
  <c r="S309" i="16"/>
  <c r="R309" i="16"/>
  <c r="Q309" i="16"/>
  <c r="P309" i="16"/>
  <c r="L309" i="16"/>
  <c r="K309" i="16"/>
  <c r="X308" i="16"/>
  <c r="W308" i="16"/>
  <c r="V308" i="16"/>
  <c r="U308" i="16"/>
  <c r="T308" i="16"/>
  <c r="S308" i="16"/>
  <c r="R308" i="16"/>
  <c r="Q308" i="16"/>
  <c r="P308" i="16"/>
  <c r="L308" i="16"/>
  <c r="K308" i="16"/>
  <c r="C304" i="16"/>
  <c r="C321" i="16" s="1"/>
  <c r="B304" i="16"/>
  <c r="B321" i="16" s="1"/>
  <c r="C303" i="16"/>
  <c r="C320" i="16" s="1"/>
  <c r="B303" i="16"/>
  <c r="B320" i="16" s="1"/>
  <c r="C302" i="16"/>
  <c r="C319" i="16" s="1"/>
  <c r="B302" i="16"/>
  <c r="B319" i="16" s="1"/>
  <c r="C301" i="16"/>
  <c r="C318" i="16" s="1"/>
  <c r="B301" i="16"/>
  <c r="B318" i="16" s="1"/>
  <c r="C300" i="16"/>
  <c r="C317" i="16" s="1"/>
  <c r="B300" i="16"/>
  <c r="B317" i="16" s="1"/>
  <c r="C299" i="16"/>
  <c r="C316" i="16" s="1"/>
  <c r="B299" i="16"/>
  <c r="B316" i="16" s="1"/>
  <c r="C298" i="16"/>
  <c r="C315" i="16" s="1"/>
  <c r="B298" i="16"/>
  <c r="B315" i="16" s="1"/>
  <c r="C297" i="16"/>
  <c r="C314" i="16" s="1"/>
  <c r="B297" i="16"/>
  <c r="B314" i="16" s="1"/>
  <c r="C296" i="16"/>
  <c r="C313" i="16" s="1"/>
  <c r="B296" i="16"/>
  <c r="B313" i="16" s="1"/>
  <c r="C295" i="16"/>
  <c r="C312" i="16" s="1"/>
  <c r="B295" i="16"/>
  <c r="B312" i="16" s="1"/>
  <c r="C294" i="16"/>
  <c r="C311" i="16" s="1"/>
  <c r="B294" i="16"/>
  <c r="B311" i="16" s="1"/>
  <c r="C293" i="16"/>
  <c r="C310" i="16" s="1"/>
  <c r="B293" i="16"/>
  <c r="B310" i="16" s="1"/>
  <c r="C292" i="16"/>
  <c r="C309" i="16" s="1"/>
  <c r="B292" i="16"/>
  <c r="B309" i="16" s="1"/>
  <c r="C291" i="16"/>
  <c r="C308" i="16" s="1"/>
  <c r="B291" i="16"/>
  <c r="B308" i="16" s="1"/>
  <c r="C290" i="16"/>
  <c r="C307" i="16" s="1"/>
  <c r="B290" i="16"/>
  <c r="B307" i="16" s="1"/>
  <c r="D284" i="16"/>
  <c r="J283" i="16" a="1"/>
  <c r="J283" i="16" s="1"/>
  <c r="J304" i="16" s="1" a="1"/>
  <c r="J304" i="16" s="1"/>
  <c r="J321" i="16" s="1"/>
  <c r="J282" i="16" a="1"/>
  <c r="J282" i="16" s="1"/>
  <c r="J303" i="16" s="1" a="1"/>
  <c r="J303" i="16" s="1"/>
  <c r="J320" i="16" s="1"/>
  <c r="J281" i="16" a="1"/>
  <c r="J281" i="16" s="1"/>
  <c r="J302" i="16" s="1" a="1"/>
  <c r="J302" i="16" s="1"/>
  <c r="J319" i="16" s="1"/>
  <c r="J280" i="16" a="1"/>
  <c r="J280" i="16" s="1"/>
  <c r="J301" i="16" s="1" a="1"/>
  <c r="J301" i="16" s="1"/>
  <c r="J318" i="16" s="1"/>
  <c r="J279" i="16" a="1"/>
  <c r="J279" i="16" s="1"/>
  <c r="J300" i="16" s="1" a="1"/>
  <c r="J300" i="16" s="1"/>
  <c r="J317" i="16" s="1"/>
  <c r="J278" i="16" a="1"/>
  <c r="J278" i="16" s="1"/>
  <c r="J299" i="16" s="1" a="1"/>
  <c r="J299" i="16" s="1"/>
  <c r="J316" i="16" s="1"/>
  <c r="J277" i="16" a="1"/>
  <c r="J277" i="16" s="1"/>
  <c r="J298" i="16" s="1" a="1"/>
  <c r="J298" i="16" s="1"/>
  <c r="J315" i="16" s="1"/>
  <c r="J276" i="16" a="1"/>
  <c r="J276" i="16" s="1"/>
  <c r="J297" i="16" s="1" a="1"/>
  <c r="J297" i="16" s="1"/>
  <c r="J314" i="16" s="1"/>
  <c r="J275" i="16" a="1"/>
  <c r="J275" i="16" s="1"/>
  <c r="J296" i="16" s="1" a="1"/>
  <c r="J296" i="16" s="1"/>
  <c r="J313" i="16" s="1"/>
  <c r="J274" i="16" a="1"/>
  <c r="J274" i="16" s="1"/>
  <c r="J295" i="16" s="1" a="1"/>
  <c r="J295" i="16" s="1"/>
  <c r="J312" i="16" s="1"/>
  <c r="J273" i="16" a="1"/>
  <c r="J273" i="16" s="1"/>
  <c r="J294" i="16" s="1" a="1"/>
  <c r="J294" i="16" s="1"/>
  <c r="J311" i="16" s="1"/>
  <c r="J272" i="16" a="1"/>
  <c r="J272" i="16" s="1"/>
  <c r="J293" i="16" s="1" a="1"/>
  <c r="J293" i="16" s="1"/>
  <c r="J310" i="16" s="1"/>
  <c r="J271" i="16" a="1"/>
  <c r="J271" i="16" s="1"/>
  <c r="J292" i="16" s="1" a="1"/>
  <c r="J292" i="16" s="1"/>
  <c r="J309" i="16" s="1"/>
  <c r="J270" i="16" a="1"/>
  <c r="J270" i="16" s="1"/>
  <c r="J291" i="16" s="1" a="1"/>
  <c r="J291" i="16" s="1"/>
  <c r="J308" i="16" s="1"/>
  <c r="J269" i="16" a="1"/>
  <c r="J269" i="16" s="1"/>
  <c r="J290" i="16" s="1" a="1"/>
  <c r="J290" i="16" s="1"/>
  <c r="J307" i="16" s="1"/>
  <c r="D1124" i="16"/>
  <c r="D1131" i="16" s="1"/>
  <c r="D1132" i="16" s="1"/>
  <c r="D72" i="16"/>
  <c r="D71" i="16"/>
  <c r="J71" i="16" s="1"/>
  <c r="D64" i="16"/>
  <c r="D63" i="16"/>
  <c r="J63" i="16" s="1"/>
  <c r="J2262" i="16" s="1"/>
  <c r="D56" i="16"/>
  <c r="D55" i="16"/>
  <c r="J55" i="16" s="1"/>
  <c r="J2261" i="16" s="1"/>
  <c r="D48" i="16"/>
  <c r="D47" i="16"/>
  <c r="J47" i="16" s="1"/>
  <c r="J2260" i="16" s="1"/>
  <c r="D40" i="16"/>
  <c r="D39" i="16"/>
  <c r="J39" i="16" s="1"/>
  <c r="J2259" i="16" s="1"/>
  <c r="D32" i="16"/>
  <c r="D31" i="16"/>
  <c r="J31" i="16" s="1"/>
  <c r="J2258" i="16" s="1"/>
  <c r="D24" i="16"/>
  <c r="D23" i="16"/>
  <c r="J23" i="16" s="1"/>
  <c r="J2257" i="16" s="1"/>
  <c r="D16" i="16"/>
  <c r="D15" i="16"/>
  <c r="J15" i="16" s="1"/>
  <c r="J2256" i="16" s="1"/>
  <c r="K11" i="16"/>
  <c r="F1889" i="12"/>
  <c r="D1889" i="12"/>
  <c r="F1888" i="12"/>
  <c r="D1888" i="12"/>
  <c r="X1868" i="12"/>
  <c r="W1868" i="12"/>
  <c r="V1868" i="12"/>
  <c r="U1868" i="12"/>
  <c r="T1868" i="12"/>
  <c r="S1868" i="12"/>
  <c r="R1868" i="12"/>
  <c r="Q1868" i="12"/>
  <c r="P1868" i="12"/>
  <c r="O1868" i="12"/>
  <c r="N1868" i="12"/>
  <c r="M1868" i="12"/>
  <c r="L1868" i="12"/>
  <c r="K1868" i="12"/>
  <c r="E1867" i="12"/>
  <c r="C1867" i="12"/>
  <c r="E1866" i="12"/>
  <c r="C1866" i="12"/>
  <c r="E1865" i="12"/>
  <c r="C1865" i="12"/>
  <c r="E1864" i="12"/>
  <c r="C1864" i="12"/>
  <c r="E1863" i="12"/>
  <c r="C1863" i="12"/>
  <c r="X1859" i="12"/>
  <c r="W1859" i="12"/>
  <c r="V1859" i="12"/>
  <c r="U1859" i="12"/>
  <c r="T1859" i="12"/>
  <c r="S1859" i="12"/>
  <c r="R1859" i="12"/>
  <c r="Q1859" i="12"/>
  <c r="P1859" i="12"/>
  <c r="O1859" i="12"/>
  <c r="N1859" i="12"/>
  <c r="M1859" i="12"/>
  <c r="L1859" i="12"/>
  <c r="K1859" i="12"/>
  <c r="E1858" i="12"/>
  <c r="C1858" i="12"/>
  <c r="E1857" i="12"/>
  <c r="C1857" i="12"/>
  <c r="E1856" i="12"/>
  <c r="C1856" i="12"/>
  <c r="E1855" i="12"/>
  <c r="C1855" i="12"/>
  <c r="E1854" i="12"/>
  <c r="C1854" i="12"/>
  <c r="X1850" i="12"/>
  <c r="W1850" i="12"/>
  <c r="V1850" i="12"/>
  <c r="U1850" i="12"/>
  <c r="T1850" i="12"/>
  <c r="S1850" i="12"/>
  <c r="R1850" i="12"/>
  <c r="Q1850" i="12"/>
  <c r="P1850" i="12"/>
  <c r="O1850" i="12"/>
  <c r="N1850" i="12"/>
  <c r="M1850" i="12"/>
  <c r="L1850" i="12"/>
  <c r="K1850" i="12"/>
  <c r="F1649" i="12"/>
  <c r="D1649" i="12"/>
  <c r="F1648" i="12"/>
  <c r="D1648" i="12"/>
  <c r="X1628" i="12"/>
  <c r="W1628" i="12"/>
  <c r="V1628" i="12"/>
  <c r="U1628" i="12"/>
  <c r="T1628" i="12"/>
  <c r="S1628" i="12"/>
  <c r="R1628" i="12"/>
  <c r="Q1628" i="12"/>
  <c r="P1628" i="12"/>
  <c r="O1628" i="12"/>
  <c r="N1628" i="12"/>
  <c r="M1628" i="12"/>
  <c r="L1628" i="12"/>
  <c r="K1628" i="12"/>
  <c r="X1619" i="12"/>
  <c r="W1619" i="12"/>
  <c r="V1619" i="12"/>
  <c r="U1619" i="12"/>
  <c r="T1619" i="12"/>
  <c r="S1619" i="12"/>
  <c r="R1619" i="12"/>
  <c r="Q1619" i="12"/>
  <c r="P1619" i="12"/>
  <c r="O1619" i="12"/>
  <c r="N1619" i="12"/>
  <c r="M1619" i="12"/>
  <c r="L1619" i="12"/>
  <c r="K1619" i="12"/>
  <c r="X1610" i="12"/>
  <c r="W1610" i="12"/>
  <c r="V1610" i="12"/>
  <c r="U1610" i="12"/>
  <c r="T1610" i="12"/>
  <c r="S1610" i="12"/>
  <c r="R1610" i="12"/>
  <c r="Q1610" i="12"/>
  <c r="P1610" i="12"/>
  <c r="O1610" i="12"/>
  <c r="N1610" i="12"/>
  <c r="M1610" i="12"/>
  <c r="L1610" i="12"/>
  <c r="K1610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09" i="12"/>
  <c r="F1408" i="12"/>
  <c r="D1408" i="12"/>
  <c r="X1388" i="12"/>
  <c r="W1388" i="12"/>
  <c r="V1388" i="12"/>
  <c r="U1388" i="12"/>
  <c r="T1388" i="12"/>
  <c r="S1388" i="12"/>
  <c r="R1388" i="12"/>
  <c r="Q1388" i="12"/>
  <c r="P1388" i="12"/>
  <c r="O1388" i="12"/>
  <c r="N1388" i="12"/>
  <c r="M1388" i="12"/>
  <c r="L1388" i="12"/>
  <c r="K1388" i="12"/>
  <c r="X1379" i="12"/>
  <c r="W1379" i="12"/>
  <c r="V1379" i="12"/>
  <c r="U1379" i="12"/>
  <c r="T1379" i="12"/>
  <c r="S1379" i="12"/>
  <c r="R1379" i="12"/>
  <c r="Q1379" i="12"/>
  <c r="P1379" i="12"/>
  <c r="O1379" i="12"/>
  <c r="N1379" i="12"/>
  <c r="M1379" i="12"/>
  <c r="L1379" i="12"/>
  <c r="K1379" i="12"/>
  <c r="X1370" i="12"/>
  <c r="W1370" i="12"/>
  <c r="V1370" i="12"/>
  <c r="U1370" i="12"/>
  <c r="T1370" i="12"/>
  <c r="S1370" i="12"/>
  <c r="R1370" i="12"/>
  <c r="Q1370" i="12"/>
  <c r="P1370" i="12"/>
  <c r="O1370" i="12"/>
  <c r="N1370" i="12"/>
  <c r="M1370" i="12"/>
  <c r="L1370" i="12"/>
  <c r="K1370" i="12"/>
  <c r="F1168" i="12"/>
  <c r="F1167" i="12"/>
  <c r="D1167" i="12"/>
  <c r="X1129" i="12"/>
  <c r="W1129" i="12"/>
  <c r="V1129" i="12"/>
  <c r="U1129" i="12"/>
  <c r="T1129" i="12"/>
  <c r="S1129" i="12"/>
  <c r="R1129" i="12"/>
  <c r="Q1129" i="12"/>
  <c r="P1129" i="12"/>
  <c r="O1129" i="12"/>
  <c r="N1129" i="12"/>
  <c r="M1129" i="12"/>
  <c r="L1129" i="12"/>
  <c r="K1129" i="12"/>
  <c r="E1128" i="12"/>
  <c r="D1128" i="12"/>
  <c r="B1128" i="12"/>
  <c r="E1127" i="12"/>
  <c r="D1127" i="12"/>
  <c r="B1127" i="12"/>
  <c r="E1126" i="12"/>
  <c r="D1126" i="12"/>
  <c r="B1126" i="12"/>
  <c r="E1125" i="12"/>
  <c r="D1125" i="12"/>
  <c r="B1125" i="12"/>
  <c r="E1124" i="12"/>
  <c r="D1124" i="12"/>
  <c r="B1124" i="12"/>
  <c r="E986" i="12"/>
  <c r="D986" i="12"/>
  <c r="C986" i="12"/>
  <c r="B986" i="12"/>
  <c r="E985" i="12"/>
  <c r="D985" i="12"/>
  <c r="C985" i="12"/>
  <c r="B985" i="12"/>
  <c r="E984" i="12"/>
  <c r="D984" i="12"/>
  <c r="C984" i="12"/>
  <c r="B984" i="12"/>
  <c r="E983" i="12"/>
  <c r="D983" i="12"/>
  <c r="C983" i="12"/>
  <c r="B983" i="12"/>
  <c r="E982" i="12"/>
  <c r="D982" i="12"/>
  <c r="C982" i="12"/>
  <c r="B982" i="12"/>
  <c r="E981" i="12"/>
  <c r="D981" i="12"/>
  <c r="C981" i="12"/>
  <c r="B981" i="12"/>
  <c r="E980" i="12"/>
  <c r="D980" i="12"/>
  <c r="C980" i="12"/>
  <c r="B980" i="12"/>
  <c r="E979" i="12"/>
  <c r="D979" i="12"/>
  <c r="C979" i="12"/>
  <c r="B979" i="12"/>
  <c r="E978" i="12"/>
  <c r="D978" i="12"/>
  <c r="C978" i="12"/>
  <c r="B978" i="12"/>
  <c r="E977" i="12"/>
  <c r="D977" i="12"/>
  <c r="C977" i="12"/>
  <c r="B977" i="12"/>
  <c r="E976" i="12"/>
  <c r="D976" i="12"/>
  <c r="C976" i="12"/>
  <c r="B976" i="12"/>
  <c r="E975" i="12"/>
  <c r="D975" i="12"/>
  <c r="C975" i="12"/>
  <c r="B975" i="12"/>
  <c r="E974" i="12"/>
  <c r="D974" i="12"/>
  <c r="C974" i="12"/>
  <c r="B974" i="12"/>
  <c r="E973" i="12"/>
  <c r="D973" i="12"/>
  <c r="C973" i="12"/>
  <c r="B973" i="12"/>
  <c r="E972" i="12"/>
  <c r="D972" i="12"/>
  <c r="C972" i="12"/>
  <c r="B972" i="12"/>
  <c r="E971" i="12"/>
  <c r="D971" i="12"/>
  <c r="C971" i="12"/>
  <c r="B971" i="12"/>
  <c r="E970" i="12"/>
  <c r="D970" i="12"/>
  <c r="C970" i="12"/>
  <c r="B970" i="12"/>
  <c r="E969" i="12"/>
  <c r="D969" i="12"/>
  <c r="C969" i="12"/>
  <c r="B969" i="12"/>
  <c r="E968" i="12"/>
  <c r="D968" i="12"/>
  <c r="C968" i="12"/>
  <c r="B968" i="12"/>
  <c r="E967" i="12"/>
  <c r="D967" i="12"/>
  <c r="C967" i="12"/>
  <c r="B967" i="12"/>
  <c r="E962" i="12"/>
  <c r="D962" i="12"/>
  <c r="C962" i="12"/>
  <c r="B962" i="12"/>
  <c r="E961" i="12"/>
  <c r="D961" i="12"/>
  <c r="C961" i="12"/>
  <c r="B961" i="12"/>
  <c r="E960" i="12"/>
  <c r="D960" i="12"/>
  <c r="C960" i="12"/>
  <c r="B960" i="12"/>
  <c r="E959" i="12"/>
  <c r="D959" i="12"/>
  <c r="C959" i="12"/>
  <c r="B959" i="12"/>
  <c r="E958" i="12"/>
  <c r="D958" i="12"/>
  <c r="C958" i="12"/>
  <c r="B958" i="12"/>
  <c r="E957" i="12"/>
  <c r="D957" i="12"/>
  <c r="C957" i="12"/>
  <c r="B957" i="12"/>
  <c r="E956" i="12"/>
  <c r="D956" i="12"/>
  <c r="C956" i="12"/>
  <c r="B956" i="12"/>
  <c r="E955" i="12"/>
  <c r="D955" i="12"/>
  <c r="C955" i="12"/>
  <c r="B955" i="12"/>
  <c r="E954" i="12"/>
  <c r="D954" i="12"/>
  <c r="C954" i="12"/>
  <c r="B954" i="12"/>
  <c r="E953" i="12"/>
  <c r="D953" i="12"/>
  <c r="C953" i="12"/>
  <c r="B953" i="12"/>
  <c r="E952" i="12"/>
  <c r="D952" i="12"/>
  <c r="C952" i="12"/>
  <c r="B952" i="12"/>
  <c r="E951" i="12"/>
  <c r="D951" i="12"/>
  <c r="C951" i="12"/>
  <c r="B951" i="12"/>
  <c r="E950" i="12"/>
  <c r="D950" i="12"/>
  <c r="C950" i="12"/>
  <c r="B950" i="12"/>
  <c r="E949" i="12"/>
  <c r="D949" i="12"/>
  <c r="C949" i="12"/>
  <c r="B949" i="12"/>
  <c r="E948" i="12"/>
  <c r="D948" i="12"/>
  <c r="C948" i="12"/>
  <c r="B948" i="12"/>
  <c r="E947" i="12"/>
  <c r="D947" i="12"/>
  <c r="C947" i="12"/>
  <c r="B947" i="12"/>
  <c r="E946" i="12"/>
  <c r="D946" i="12"/>
  <c r="C946" i="12"/>
  <c r="B946" i="12"/>
  <c r="E945" i="12"/>
  <c r="D945" i="12"/>
  <c r="C945" i="12"/>
  <c r="B945" i="12"/>
  <c r="E944" i="12"/>
  <c r="D944" i="12"/>
  <c r="C944" i="12"/>
  <c r="B944" i="12"/>
  <c r="E943" i="12"/>
  <c r="D943" i="12"/>
  <c r="C943" i="12"/>
  <c r="B943" i="12"/>
  <c r="F926" i="12"/>
  <c r="F925" i="12"/>
  <c r="D925" i="12"/>
  <c r="E904" i="12"/>
  <c r="E1387" i="12" s="1"/>
  <c r="D904" i="12"/>
  <c r="C904" i="12"/>
  <c r="B904" i="12"/>
  <c r="E903" i="12"/>
  <c r="E1386" i="12" s="1"/>
  <c r="D903" i="12"/>
  <c r="D1386" i="12" s="1"/>
  <c r="C903" i="12"/>
  <c r="C1386" i="12" s="1"/>
  <c r="B903" i="12"/>
  <c r="B1386" i="12" s="1"/>
  <c r="B1626" i="12" s="1"/>
  <c r="B1866" i="12" s="1"/>
  <c r="E902" i="12"/>
  <c r="D902" i="12"/>
  <c r="D1144" i="12" s="1"/>
  <c r="D1625" i="12" s="1"/>
  <c r="D1865" i="12" s="1"/>
  <c r="C902" i="12"/>
  <c r="B902" i="12"/>
  <c r="B1385" i="12" s="1"/>
  <c r="B1625" i="12" s="1"/>
  <c r="B1865" i="12" s="1"/>
  <c r="E901" i="12"/>
  <c r="D901" i="12"/>
  <c r="D1384" i="12" s="1"/>
  <c r="C901" i="12"/>
  <c r="C1143" i="12" s="1"/>
  <c r="B901" i="12"/>
  <c r="B1384" i="12" s="1"/>
  <c r="B1624" i="12" s="1"/>
  <c r="B1864" i="12" s="1"/>
  <c r="E900" i="12"/>
  <c r="E1383" i="12" s="1"/>
  <c r="D900" i="12"/>
  <c r="C900" i="12"/>
  <c r="C1383" i="12" s="1"/>
  <c r="B900" i="12"/>
  <c r="E895" i="12"/>
  <c r="D895" i="12"/>
  <c r="D1137" i="12" s="1"/>
  <c r="D1618" i="12" s="1"/>
  <c r="D1858" i="12" s="1"/>
  <c r="C895" i="12"/>
  <c r="C1378" i="12" s="1"/>
  <c r="B895" i="12"/>
  <c r="B1137" i="12" s="1"/>
  <c r="E894" i="12"/>
  <c r="E1377" i="12" s="1"/>
  <c r="D894" i="12"/>
  <c r="D1377" i="12" s="1"/>
  <c r="C894" i="12"/>
  <c r="B894" i="12"/>
  <c r="B1377" i="12" s="1"/>
  <c r="B1617" i="12" s="1"/>
  <c r="B1857" i="12" s="1"/>
  <c r="E893" i="12"/>
  <c r="D893" i="12"/>
  <c r="D1376" i="12" s="1"/>
  <c r="C893" i="12"/>
  <c r="C1376" i="12" s="1"/>
  <c r="B893" i="12"/>
  <c r="B1376" i="12" s="1"/>
  <c r="B1616" i="12" s="1"/>
  <c r="B1856" i="12" s="1"/>
  <c r="E892" i="12"/>
  <c r="E1375" i="12" s="1"/>
  <c r="D892" i="12"/>
  <c r="D1134" i="12" s="1"/>
  <c r="D1615" i="12" s="1"/>
  <c r="D1855" i="12" s="1"/>
  <c r="C892" i="12"/>
  <c r="B892" i="12"/>
  <c r="B1375" i="12" s="1"/>
  <c r="B1615" i="12" s="1"/>
  <c r="B1855" i="12" s="1"/>
  <c r="E891" i="12"/>
  <c r="E1133" i="12" s="1"/>
  <c r="D891" i="12"/>
  <c r="D1374" i="12" s="1"/>
  <c r="C891" i="12"/>
  <c r="C1133" i="12" s="1"/>
  <c r="B891" i="12"/>
  <c r="B1133" i="12" s="1"/>
  <c r="X887" i="12"/>
  <c r="W887" i="12"/>
  <c r="V887" i="12"/>
  <c r="U887" i="12"/>
  <c r="T887" i="12"/>
  <c r="S887" i="12"/>
  <c r="R887" i="12"/>
  <c r="Q887" i="12"/>
  <c r="P887" i="12"/>
  <c r="O887" i="12"/>
  <c r="N887" i="12"/>
  <c r="M887" i="12"/>
  <c r="L887" i="12"/>
  <c r="K887" i="12"/>
  <c r="B886" i="12"/>
  <c r="B1369" i="12" s="1"/>
  <c r="B1609" i="12" s="1"/>
  <c r="B1849" i="12" s="1"/>
  <c r="B885" i="12"/>
  <c r="B1368" i="12" s="1"/>
  <c r="B1608" i="12" s="1"/>
  <c r="B1848" i="12" s="1"/>
  <c r="B884" i="12"/>
  <c r="B1367" i="12" s="1"/>
  <c r="B1607" i="12" s="1"/>
  <c r="B1847" i="12" s="1"/>
  <c r="B883" i="12"/>
  <c r="B1366" i="12" s="1"/>
  <c r="B1606" i="12" s="1"/>
  <c r="B1846" i="12" s="1"/>
  <c r="B882" i="12"/>
  <c r="B1365" i="12" s="1"/>
  <c r="B1605" i="12" s="1"/>
  <c r="B1845" i="12" s="1"/>
  <c r="E877" i="12"/>
  <c r="E1119" i="12" s="1"/>
  <c r="D877" i="12"/>
  <c r="D1119" i="12" s="1"/>
  <c r="C877" i="12"/>
  <c r="C1360" i="12" s="1"/>
  <c r="C1600" i="12" s="1"/>
  <c r="C1840" i="12" s="1"/>
  <c r="B877" i="12"/>
  <c r="B1360" i="12" s="1"/>
  <c r="B1600" i="12" s="1"/>
  <c r="B1840" i="12" s="1"/>
  <c r="E876" i="12"/>
  <c r="D876" i="12"/>
  <c r="C876" i="12"/>
  <c r="C1359" i="12" s="1"/>
  <c r="C1599" i="12" s="1"/>
  <c r="C1839" i="12" s="1"/>
  <c r="B876" i="12"/>
  <c r="B1359" i="12" s="1"/>
  <c r="B1599" i="12" s="1"/>
  <c r="B1839" i="12" s="1"/>
  <c r="E875" i="12"/>
  <c r="E1358" i="12" s="1"/>
  <c r="D875" i="12"/>
  <c r="D1358" i="12" s="1"/>
  <c r="C875" i="12"/>
  <c r="B875" i="12"/>
  <c r="B1358" i="12" s="1"/>
  <c r="B1598" i="12" s="1"/>
  <c r="B1838" i="12" s="1"/>
  <c r="E874" i="12"/>
  <c r="E1357" i="12" s="1"/>
  <c r="D874" i="12"/>
  <c r="D1357" i="12" s="1"/>
  <c r="C874" i="12"/>
  <c r="C1357" i="12" s="1"/>
  <c r="C1597" i="12" s="1"/>
  <c r="C1837" i="12" s="1"/>
  <c r="B874" i="12"/>
  <c r="E873" i="12"/>
  <c r="E1356" i="12" s="1"/>
  <c r="E1596" i="12" s="1"/>
  <c r="E1836" i="12" s="1"/>
  <c r="D873" i="12"/>
  <c r="D1356" i="12" s="1"/>
  <c r="C873" i="12"/>
  <c r="C1356" i="12" s="1"/>
  <c r="C1596" i="12" s="1"/>
  <c r="C1836" i="12" s="1"/>
  <c r="B873" i="12"/>
  <c r="B1356" i="12" s="1"/>
  <c r="B1596" i="12" s="1"/>
  <c r="B1836" i="12" s="1"/>
  <c r="E872" i="12"/>
  <c r="E1355" i="12" s="1"/>
  <c r="D872" i="12"/>
  <c r="D1355" i="12" s="1"/>
  <c r="C872" i="12"/>
  <c r="C1355" i="12" s="1"/>
  <c r="C1595" i="12" s="1"/>
  <c r="C1835" i="12" s="1"/>
  <c r="B872" i="12"/>
  <c r="E871" i="12"/>
  <c r="E1354" i="12" s="1"/>
  <c r="E1594" i="12" s="1"/>
  <c r="E1834" i="12" s="1"/>
  <c r="D871" i="12"/>
  <c r="C871" i="12"/>
  <c r="B871" i="12"/>
  <c r="B1113" i="12" s="1"/>
  <c r="E870" i="12"/>
  <c r="E1353" i="12" s="1"/>
  <c r="E1593" i="12" s="1"/>
  <c r="E1833" i="12" s="1"/>
  <c r="D870" i="12"/>
  <c r="D1353" i="12" s="1"/>
  <c r="C870" i="12"/>
  <c r="C1353" i="12" s="1"/>
  <c r="C1593" i="12" s="1"/>
  <c r="C1833" i="12" s="1"/>
  <c r="B870" i="12"/>
  <c r="B1353" i="12" s="1"/>
  <c r="B1593" i="12" s="1"/>
  <c r="B1833" i="12" s="1"/>
  <c r="E869" i="12"/>
  <c r="E1111" i="12" s="1"/>
  <c r="D869" i="12"/>
  <c r="D1352" i="12" s="1"/>
  <c r="C869" i="12"/>
  <c r="C1111" i="12" s="1"/>
  <c r="B869" i="12"/>
  <c r="B1352" i="12" s="1"/>
  <c r="B1592" i="12" s="1"/>
  <c r="B1832" i="12" s="1"/>
  <c r="E868" i="12"/>
  <c r="E1351" i="12" s="1"/>
  <c r="E1591" i="12" s="1"/>
  <c r="E1831" i="12" s="1"/>
  <c r="D868" i="12"/>
  <c r="D1351" i="12" s="1"/>
  <c r="C868" i="12"/>
  <c r="C1351" i="12" s="1"/>
  <c r="C1591" i="12" s="1"/>
  <c r="C1831" i="12" s="1"/>
  <c r="B868" i="12"/>
  <c r="B1351" i="12" s="1"/>
  <c r="B1591" i="12" s="1"/>
  <c r="B1831" i="12" s="1"/>
  <c r="E867" i="12"/>
  <c r="E1350" i="12" s="1"/>
  <c r="D867" i="12"/>
  <c r="D1350" i="12" s="1"/>
  <c r="C867" i="12"/>
  <c r="C1350" i="12" s="1"/>
  <c r="C1590" i="12" s="1"/>
  <c r="C1830" i="12" s="1"/>
  <c r="B867" i="12"/>
  <c r="E866" i="12"/>
  <c r="D866" i="12"/>
  <c r="D1349" i="12" s="1"/>
  <c r="C866" i="12"/>
  <c r="C1349" i="12" s="1"/>
  <c r="C1589" i="12" s="1"/>
  <c r="C1829" i="12" s="1"/>
  <c r="B866" i="12"/>
  <c r="E865" i="12"/>
  <c r="E1348" i="12" s="1"/>
  <c r="E1588" i="12" s="1"/>
  <c r="E1828" i="12" s="1"/>
  <c r="D865" i="12"/>
  <c r="D1348" i="12" s="1"/>
  <c r="C865" i="12"/>
  <c r="B865" i="12"/>
  <c r="E864" i="12"/>
  <c r="D864" i="12"/>
  <c r="D1347" i="12" s="1"/>
  <c r="C864" i="12"/>
  <c r="C1347" i="12" s="1"/>
  <c r="C1587" i="12" s="1"/>
  <c r="C1827" i="12" s="1"/>
  <c r="B864" i="12"/>
  <c r="B1347" i="12" s="1"/>
  <c r="B1587" i="12" s="1"/>
  <c r="B1827" i="12" s="1"/>
  <c r="E863" i="12"/>
  <c r="E1346" i="12" s="1"/>
  <c r="E1586" i="12" s="1"/>
  <c r="E1826" i="12" s="1"/>
  <c r="D863" i="12"/>
  <c r="D1346" i="12" s="1"/>
  <c r="C863" i="12"/>
  <c r="B863" i="12"/>
  <c r="E862" i="12"/>
  <c r="D862" i="12"/>
  <c r="D1345" i="12" s="1"/>
  <c r="C862" i="12"/>
  <c r="C1345" i="12" s="1"/>
  <c r="C1585" i="12" s="1"/>
  <c r="C1825" i="12" s="1"/>
  <c r="B862" i="12"/>
  <c r="E861" i="12"/>
  <c r="E1344" i="12" s="1"/>
  <c r="E1584" i="12" s="1"/>
  <c r="E1824" i="12" s="1"/>
  <c r="D861" i="12"/>
  <c r="C861" i="12"/>
  <c r="C1344" i="12" s="1"/>
  <c r="C1584" i="12" s="1"/>
  <c r="C1824" i="12" s="1"/>
  <c r="B861" i="12"/>
  <c r="B1344" i="12" s="1"/>
  <c r="B1584" i="12" s="1"/>
  <c r="B1824" i="12" s="1"/>
  <c r="E860" i="12"/>
  <c r="D860" i="12"/>
  <c r="D1343" i="12" s="1"/>
  <c r="C860" i="12"/>
  <c r="C1343" i="12" s="1"/>
  <c r="C1583" i="12" s="1"/>
  <c r="C1823" i="12" s="1"/>
  <c r="B860" i="12"/>
  <c r="B1343" i="12" s="1"/>
  <c r="B1583" i="12" s="1"/>
  <c r="B1823" i="12" s="1"/>
  <c r="E859" i="12"/>
  <c r="E1342" i="12" s="1"/>
  <c r="E1582" i="12" s="1"/>
  <c r="E1822" i="12" s="1"/>
  <c r="D859" i="12"/>
  <c r="C859" i="12"/>
  <c r="C1342" i="12" s="1"/>
  <c r="C1582" i="12" s="1"/>
  <c r="C1822" i="12" s="1"/>
  <c r="B859" i="12"/>
  <c r="B1342" i="12" s="1"/>
  <c r="B1582" i="12" s="1"/>
  <c r="B1822" i="12" s="1"/>
  <c r="E858" i="12"/>
  <c r="E1341" i="12" s="1"/>
  <c r="D858" i="12"/>
  <c r="D1341" i="12" s="1"/>
  <c r="C858" i="12"/>
  <c r="C1100" i="12" s="1"/>
  <c r="B858" i="12"/>
  <c r="B1341" i="12" s="1"/>
  <c r="B1581" i="12" s="1"/>
  <c r="B1821" i="12" s="1"/>
  <c r="E857" i="12"/>
  <c r="D857" i="12"/>
  <c r="C857" i="12"/>
  <c r="C1099" i="12" s="1"/>
  <c r="B857" i="12"/>
  <c r="B1340" i="12" s="1"/>
  <c r="B1580" i="12" s="1"/>
  <c r="B1820" i="12" s="1"/>
  <c r="E856" i="12"/>
  <c r="D856" i="12"/>
  <c r="D1339" i="12" s="1"/>
  <c r="C856" i="12"/>
  <c r="C1339" i="12" s="1"/>
  <c r="C1579" i="12" s="1"/>
  <c r="C1819" i="12" s="1"/>
  <c r="B856" i="12"/>
  <c r="B1339" i="12" s="1"/>
  <c r="B1579" i="12" s="1"/>
  <c r="B1819" i="12" s="1"/>
  <c r="E855" i="12"/>
  <c r="D855" i="12"/>
  <c r="C855" i="12"/>
  <c r="C1338" i="12" s="1"/>
  <c r="C1578" i="12" s="1"/>
  <c r="C1818" i="12" s="1"/>
  <c r="B855" i="12"/>
  <c r="B1338" i="12" s="1"/>
  <c r="B1578" i="12" s="1"/>
  <c r="B1818" i="12" s="1"/>
  <c r="E854" i="12"/>
  <c r="E1337" i="12" s="1"/>
  <c r="E1577" i="12" s="1"/>
  <c r="E1817" i="12" s="1"/>
  <c r="D854" i="12"/>
  <c r="D1337" i="12" s="1"/>
  <c r="C854" i="12"/>
  <c r="C1096" i="12" s="1"/>
  <c r="B854" i="12"/>
  <c r="E853" i="12"/>
  <c r="E1336" i="12" s="1"/>
  <c r="E1576" i="12" s="1"/>
  <c r="E1816" i="12" s="1"/>
  <c r="D853" i="12"/>
  <c r="D1095" i="12" s="1"/>
  <c r="C853" i="12"/>
  <c r="B853" i="12"/>
  <c r="B1336" i="12" s="1"/>
  <c r="B1576" i="12" s="1"/>
  <c r="B1816" i="12" s="1"/>
  <c r="E852" i="12"/>
  <c r="E1335" i="12" s="1"/>
  <c r="E1575" i="12" s="1"/>
  <c r="E1815" i="12" s="1"/>
  <c r="D852" i="12"/>
  <c r="D1335" i="12" s="1"/>
  <c r="C852" i="12"/>
  <c r="C1335" i="12" s="1"/>
  <c r="C1575" i="12" s="1"/>
  <c r="C1815" i="12" s="1"/>
  <c r="B852" i="12"/>
  <c r="B1335" i="12" s="1"/>
  <c r="B1575" i="12" s="1"/>
  <c r="B1815" i="12" s="1"/>
  <c r="E851" i="12"/>
  <c r="E1334" i="12" s="1"/>
  <c r="D851" i="12"/>
  <c r="D1334" i="12" s="1"/>
  <c r="C851" i="12"/>
  <c r="C1334" i="12" s="1"/>
  <c r="C1574" i="12" s="1"/>
  <c r="C1814" i="12" s="1"/>
  <c r="B851" i="12"/>
  <c r="E850" i="12"/>
  <c r="E1333" i="12" s="1"/>
  <c r="E1573" i="12" s="1"/>
  <c r="E1813" i="12" s="1"/>
  <c r="D850" i="12"/>
  <c r="D1333" i="12" s="1"/>
  <c r="C850" i="12"/>
  <c r="C1333" i="12" s="1"/>
  <c r="C1573" i="12" s="1"/>
  <c r="C1813" i="12" s="1"/>
  <c r="B850" i="12"/>
  <c r="B1333" i="12" s="1"/>
  <c r="B1573" i="12" s="1"/>
  <c r="B1813" i="12" s="1"/>
  <c r="E849" i="12"/>
  <c r="E1332" i="12" s="1"/>
  <c r="D849" i="12"/>
  <c r="D1332" i="12" s="1"/>
  <c r="C849" i="12"/>
  <c r="C1332" i="12" s="1"/>
  <c r="C1572" i="12" s="1"/>
  <c r="C1812" i="12" s="1"/>
  <c r="B849" i="12"/>
  <c r="B1091" i="12" s="1"/>
  <c r="E848" i="12"/>
  <c r="D848" i="12"/>
  <c r="D1090" i="12" s="1"/>
  <c r="C848" i="12"/>
  <c r="C1331" i="12" s="1"/>
  <c r="C1571" i="12" s="1"/>
  <c r="C1811" i="12" s="1"/>
  <c r="B848" i="12"/>
  <c r="B1331" i="12" s="1"/>
  <c r="B1571" i="12" s="1"/>
  <c r="B1811" i="12" s="1"/>
  <c r="E798" i="12"/>
  <c r="E1281" i="12" s="1"/>
  <c r="E1521" i="12" s="1"/>
  <c r="E1761" i="12" s="1"/>
  <c r="D798" i="12"/>
  <c r="D1281" i="12" s="1"/>
  <c r="C798" i="12"/>
  <c r="C1281" i="12" s="1"/>
  <c r="C1521" i="12" s="1"/>
  <c r="C1761" i="12" s="1"/>
  <c r="B798" i="12"/>
  <c r="B1281" i="12" s="1"/>
  <c r="B1521" i="12" s="1"/>
  <c r="B1761" i="12" s="1"/>
  <c r="E797" i="12"/>
  <c r="E1280" i="12" s="1"/>
  <c r="E1520" i="12" s="1"/>
  <c r="E1760" i="12" s="1"/>
  <c r="D797" i="12"/>
  <c r="D1280" i="12" s="1"/>
  <c r="C797" i="12"/>
  <c r="C1280" i="12" s="1"/>
  <c r="C1520" i="12" s="1"/>
  <c r="C1760" i="12" s="1"/>
  <c r="B797" i="12"/>
  <c r="B1280" i="12" s="1"/>
  <c r="B1520" i="12" s="1"/>
  <c r="B1760" i="12" s="1"/>
  <c r="E796" i="12"/>
  <c r="E1279" i="12" s="1"/>
  <c r="E1519" i="12" s="1"/>
  <c r="E1759" i="12" s="1"/>
  <c r="D796" i="12"/>
  <c r="D1279" i="12" s="1"/>
  <c r="C796" i="12"/>
  <c r="C1279" i="12" s="1"/>
  <c r="C1519" i="12" s="1"/>
  <c r="C1759" i="12" s="1"/>
  <c r="B796" i="12"/>
  <c r="B1279" i="12" s="1"/>
  <c r="B1519" i="12" s="1"/>
  <c r="B1759" i="12" s="1"/>
  <c r="E795" i="12"/>
  <c r="E1278" i="12" s="1"/>
  <c r="E1518" i="12" s="1"/>
  <c r="E1758" i="12" s="1"/>
  <c r="D795" i="12"/>
  <c r="D1278" i="12" s="1"/>
  <c r="C795" i="12"/>
  <c r="C1278" i="12" s="1"/>
  <c r="C1518" i="12" s="1"/>
  <c r="C1758" i="12" s="1"/>
  <c r="B795" i="12"/>
  <c r="B1278" i="12" s="1"/>
  <c r="B1518" i="12" s="1"/>
  <c r="B1758" i="12" s="1"/>
  <c r="E794" i="12"/>
  <c r="E1277" i="12" s="1"/>
  <c r="E1517" i="12" s="1"/>
  <c r="E1757" i="12" s="1"/>
  <c r="D794" i="12"/>
  <c r="D1277" i="12" s="1"/>
  <c r="C794" i="12"/>
  <c r="C1277" i="12" s="1"/>
  <c r="C1517" i="12" s="1"/>
  <c r="C1757" i="12" s="1"/>
  <c r="B794" i="12"/>
  <c r="B1277" i="12" s="1"/>
  <c r="B1517" i="12" s="1"/>
  <c r="B1757" i="12" s="1"/>
  <c r="E793" i="12"/>
  <c r="E1276" i="12" s="1"/>
  <c r="E1516" i="12" s="1"/>
  <c r="E1756" i="12" s="1"/>
  <c r="D793" i="12"/>
  <c r="D1276" i="12" s="1"/>
  <c r="C793" i="12"/>
  <c r="C1276" i="12" s="1"/>
  <c r="C1516" i="12" s="1"/>
  <c r="C1756" i="12" s="1"/>
  <c r="B793" i="12"/>
  <c r="B1276" i="12" s="1"/>
  <c r="B1516" i="12" s="1"/>
  <c r="B1756" i="12" s="1"/>
  <c r="E792" i="12"/>
  <c r="E1275" i="12" s="1"/>
  <c r="E1515" i="12" s="1"/>
  <c r="E1755" i="12" s="1"/>
  <c r="D792" i="12"/>
  <c r="D1275" i="12" s="1"/>
  <c r="C792" i="12"/>
  <c r="C1275" i="12" s="1"/>
  <c r="C1515" i="12" s="1"/>
  <c r="C1755" i="12" s="1"/>
  <c r="B792" i="12"/>
  <c r="B1275" i="12" s="1"/>
  <c r="B1515" i="12" s="1"/>
  <c r="B1755" i="12" s="1"/>
  <c r="E791" i="12"/>
  <c r="E1274" i="12" s="1"/>
  <c r="E1514" i="12" s="1"/>
  <c r="E1754" i="12" s="1"/>
  <c r="D791" i="12"/>
  <c r="D1274" i="12" s="1"/>
  <c r="C791" i="12"/>
  <c r="C1274" i="12" s="1"/>
  <c r="C1514" i="12" s="1"/>
  <c r="C1754" i="12" s="1"/>
  <c r="B791" i="12"/>
  <c r="B1274" i="12" s="1"/>
  <c r="B1514" i="12" s="1"/>
  <c r="B1754" i="12" s="1"/>
  <c r="E790" i="12"/>
  <c r="E1273" i="12" s="1"/>
  <c r="E1513" i="12" s="1"/>
  <c r="E1753" i="12" s="1"/>
  <c r="D790" i="12"/>
  <c r="D1273" i="12" s="1"/>
  <c r="C790" i="12"/>
  <c r="C1273" i="12" s="1"/>
  <c r="C1513" i="12" s="1"/>
  <c r="C1753" i="12" s="1"/>
  <c r="B790" i="12"/>
  <c r="B1273" i="12" s="1"/>
  <c r="B1513" i="12" s="1"/>
  <c r="B1753" i="12" s="1"/>
  <c r="E789" i="12"/>
  <c r="E1272" i="12" s="1"/>
  <c r="E1512" i="12" s="1"/>
  <c r="E1752" i="12" s="1"/>
  <c r="D789" i="12"/>
  <c r="D1272" i="12" s="1"/>
  <c r="C789" i="12"/>
  <c r="C1272" i="12" s="1"/>
  <c r="C1512" i="12" s="1"/>
  <c r="C1752" i="12" s="1"/>
  <c r="B789" i="12"/>
  <c r="B1272" i="12" s="1"/>
  <c r="B1512" i="12" s="1"/>
  <c r="B1752" i="12" s="1"/>
  <c r="E788" i="12"/>
  <c r="E1271" i="12" s="1"/>
  <c r="E1511" i="12" s="1"/>
  <c r="E1751" i="12" s="1"/>
  <c r="D788" i="12"/>
  <c r="D1271" i="12" s="1"/>
  <c r="C788" i="12"/>
  <c r="C1271" i="12" s="1"/>
  <c r="C1511" i="12" s="1"/>
  <c r="C1751" i="12" s="1"/>
  <c r="B788" i="12"/>
  <c r="B1271" i="12" s="1"/>
  <c r="B1511" i="12" s="1"/>
  <c r="B1751" i="12" s="1"/>
  <c r="E787" i="12"/>
  <c r="E1270" i="12" s="1"/>
  <c r="E1510" i="12" s="1"/>
  <c r="E1750" i="12" s="1"/>
  <c r="D787" i="12"/>
  <c r="D1270" i="12" s="1"/>
  <c r="C787" i="12"/>
  <c r="C1270" i="12" s="1"/>
  <c r="C1510" i="12" s="1"/>
  <c r="C1750" i="12" s="1"/>
  <c r="B787" i="12"/>
  <c r="B1270" i="12" s="1"/>
  <c r="B1510" i="12" s="1"/>
  <c r="B1750" i="12" s="1"/>
  <c r="E786" i="12"/>
  <c r="E1269" i="12" s="1"/>
  <c r="E1509" i="12" s="1"/>
  <c r="E1749" i="12" s="1"/>
  <c r="D786" i="12"/>
  <c r="D1269" i="12" s="1"/>
  <c r="C786" i="12"/>
  <c r="C1269" i="12" s="1"/>
  <c r="C1509" i="12" s="1"/>
  <c r="C1749" i="12" s="1"/>
  <c r="B786" i="12"/>
  <c r="B1269" i="12" s="1"/>
  <c r="B1509" i="12" s="1"/>
  <c r="B1749" i="12" s="1"/>
  <c r="E785" i="12"/>
  <c r="E1268" i="12" s="1"/>
  <c r="E1508" i="12" s="1"/>
  <c r="E1748" i="12" s="1"/>
  <c r="D785" i="12"/>
  <c r="D1268" i="12" s="1"/>
  <c r="C785" i="12"/>
  <c r="C1268" i="12" s="1"/>
  <c r="C1508" i="12" s="1"/>
  <c r="C1748" i="12" s="1"/>
  <c r="B785" i="12"/>
  <c r="B1268" i="12" s="1"/>
  <c r="B1508" i="12" s="1"/>
  <c r="B1748" i="12" s="1"/>
  <c r="E784" i="12"/>
  <c r="E1267" i="12" s="1"/>
  <c r="E1507" i="12" s="1"/>
  <c r="E1747" i="12" s="1"/>
  <c r="D784" i="12"/>
  <c r="D1267" i="12" s="1"/>
  <c r="C784" i="12"/>
  <c r="C1267" i="12" s="1"/>
  <c r="C1507" i="12" s="1"/>
  <c r="C1747" i="12" s="1"/>
  <c r="B784" i="12"/>
  <c r="B1267" i="12" s="1"/>
  <c r="B1507" i="12" s="1"/>
  <c r="B1747" i="12" s="1"/>
  <c r="E783" i="12"/>
  <c r="E1266" i="12" s="1"/>
  <c r="E1506" i="12" s="1"/>
  <c r="E1746" i="12" s="1"/>
  <c r="D783" i="12"/>
  <c r="D1266" i="12" s="1"/>
  <c r="C783" i="12"/>
  <c r="C1266" i="12" s="1"/>
  <c r="C1506" i="12" s="1"/>
  <c r="C1746" i="12" s="1"/>
  <c r="B783" i="12"/>
  <c r="B1266" i="12" s="1"/>
  <c r="B1506" i="12" s="1"/>
  <c r="B1746" i="12" s="1"/>
  <c r="E782" i="12"/>
  <c r="E1265" i="12" s="1"/>
  <c r="E1505" i="12" s="1"/>
  <c r="E1745" i="12" s="1"/>
  <c r="D782" i="12"/>
  <c r="D1265" i="12" s="1"/>
  <c r="C782" i="12"/>
  <c r="C1265" i="12" s="1"/>
  <c r="C1505" i="12" s="1"/>
  <c r="C1745" i="12" s="1"/>
  <c r="B782" i="12"/>
  <c r="B1265" i="12" s="1"/>
  <c r="B1505" i="12" s="1"/>
  <c r="B1745" i="12" s="1"/>
  <c r="E781" i="12"/>
  <c r="E1264" i="12" s="1"/>
  <c r="E1504" i="12" s="1"/>
  <c r="E1744" i="12" s="1"/>
  <c r="D781" i="12"/>
  <c r="D1264" i="12" s="1"/>
  <c r="C781" i="12"/>
  <c r="C1264" i="12" s="1"/>
  <c r="C1504" i="12" s="1"/>
  <c r="C1744" i="12" s="1"/>
  <c r="B781" i="12"/>
  <c r="B1264" i="12" s="1"/>
  <c r="B1504" i="12" s="1"/>
  <c r="B1744" i="12" s="1"/>
  <c r="E780" i="12"/>
  <c r="E1263" i="12" s="1"/>
  <c r="E1503" i="12" s="1"/>
  <c r="E1743" i="12" s="1"/>
  <c r="D780" i="12"/>
  <c r="D1263" i="12" s="1"/>
  <c r="C780" i="12"/>
  <c r="C1263" i="12" s="1"/>
  <c r="C1503" i="12" s="1"/>
  <c r="C1743" i="12" s="1"/>
  <c r="B780" i="12"/>
  <c r="B1263" i="12" s="1"/>
  <c r="B1503" i="12" s="1"/>
  <c r="B1743" i="12" s="1"/>
  <c r="E779" i="12"/>
  <c r="E1262" i="12" s="1"/>
  <c r="D779" i="12"/>
  <c r="D1262" i="12" s="1"/>
  <c r="C779" i="12"/>
  <c r="C1262" i="12" s="1"/>
  <c r="C1502" i="12" s="1"/>
  <c r="C1742" i="12" s="1"/>
  <c r="B779" i="12"/>
  <c r="B1262" i="12" s="1"/>
  <c r="B1502" i="12" s="1"/>
  <c r="B1742" i="12" s="1"/>
  <c r="E778" i="12"/>
  <c r="E1261" i="12" s="1"/>
  <c r="E1501" i="12" s="1"/>
  <c r="E1741" i="12" s="1"/>
  <c r="D778" i="12"/>
  <c r="D1261" i="12" s="1"/>
  <c r="C778" i="12"/>
  <c r="C1261" i="12" s="1"/>
  <c r="C1501" i="12" s="1"/>
  <c r="C1741" i="12" s="1"/>
  <c r="B778" i="12"/>
  <c r="B1261" i="12" s="1"/>
  <c r="B1501" i="12" s="1"/>
  <c r="B1741" i="12" s="1"/>
  <c r="E777" i="12"/>
  <c r="E1260" i="12" s="1"/>
  <c r="E1500" i="12" s="1"/>
  <c r="E1740" i="12" s="1"/>
  <c r="D777" i="12"/>
  <c r="D1260" i="12" s="1"/>
  <c r="C777" i="12"/>
  <c r="C1260" i="12" s="1"/>
  <c r="C1500" i="12" s="1"/>
  <c r="C1740" i="12" s="1"/>
  <c r="B777" i="12"/>
  <c r="B1260" i="12" s="1"/>
  <c r="B1500" i="12" s="1"/>
  <c r="B1740" i="12" s="1"/>
  <c r="E776" i="12"/>
  <c r="E1259" i="12" s="1"/>
  <c r="D776" i="12"/>
  <c r="D1259" i="12" s="1"/>
  <c r="C776" i="12"/>
  <c r="C1259" i="12" s="1"/>
  <c r="C1499" i="12" s="1"/>
  <c r="C1739" i="12" s="1"/>
  <c r="B776" i="12"/>
  <c r="B1259" i="12" s="1"/>
  <c r="B1499" i="12" s="1"/>
  <c r="B1739" i="12" s="1"/>
  <c r="E775" i="12"/>
  <c r="E1258" i="12" s="1"/>
  <c r="D775" i="12"/>
  <c r="D1258" i="12" s="1"/>
  <c r="C775" i="12"/>
  <c r="C1258" i="12" s="1"/>
  <c r="C1498" i="12" s="1"/>
  <c r="C1738" i="12" s="1"/>
  <c r="B775" i="12"/>
  <c r="B1258" i="12" s="1"/>
  <c r="B1498" i="12" s="1"/>
  <c r="B1738" i="12" s="1"/>
  <c r="E774" i="12"/>
  <c r="E1257" i="12" s="1"/>
  <c r="D774" i="12"/>
  <c r="D1257" i="12" s="1"/>
  <c r="C774" i="12"/>
  <c r="C1257" i="12" s="1"/>
  <c r="C1497" i="12" s="1"/>
  <c r="C1737" i="12" s="1"/>
  <c r="B774" i="12"/>
  <c r="B1257" i="12" s="1"/>
  <c r="B1497" i="12" s="1"/>
  <c r="B1737" i="12" s="1"/>
  <c r="E773" i="12"/>
  <c r="E1256" i="12" s="1"/>
  <c r="D773" i="12"/>
  <c r="D1256" i="12" s="1"/>
  <c r="C773" i="12"/>
  <c r="C1256" i="12" s="1"/>
  <c r="C1496" i="12" s="1"/>
  <c r="C1736" i="12" s="1"/>
  <c r="B773" i="12"/>
  <c r="B1256" i="12" s="1"/>
  <c r="B1496" i="12" s="1"/>
  <c r="B1736" i="12" s="1"/>
  <c r="E772" i="12"/>
  <c r="E1255" i="12" s="1"/>
  <c r="E1495" i="12" s="1"/>
  <c r="E1735" i="12" s="1"/>
  <c r="D772" i="12"/>
  <c r="D1255" i="12" s="1"/>
  <c r="C772" i="12"/>
  <c r="C1255" i="12" s="1"/>
  <c r="C1495" i="12" s="1"/>
  <c r="C1735" i="12" s="1"/>
  <c r="B772" i="12"/>
  <c r="B1255" i="12" s="1"/>
  <c r="B1495" i="12" s="1"/>
  <c r="B1735" i="12" s="1"/>
  <c r="E771" i="12"/>
  <c r="E1254" i="12" s="1"/>
  <c r="E1494" i="12" s="1"/>
  <c r="E1734" i="12" s="1"/>
  <c r="D771" i="12"/>
  <c r="D1254" i="12" s="1"/>
  <c r="C771" i="12"/>
  <c r="C1254" i="12" s="1"/>
  <c r="C1494" i="12" s="1"/>
  <c r="C1734" i="12" s="1"/>
  <c r="B771" i="12"/>
  <c r="B1254" i="12" s="1"/>
  <c r="B1494" i="12" s="1"/>
  <c r="B1734" i="12" s="1"/>
  <c r="E770" i="12"/>
  <c r="E1253" i="12" s="1"/>
  <c r="D770" i="12"/>
  <c r="D1253" i="12" s="1"/>
  <c r="C770" i="12"/>
  <c r="C1253" i="12" s="1"/>
  <c r="C1493" i="12" s="1"/>
  <c r="C1733" i="12" s="1"/>
  <c r="B770" i="12"/>
  <c r="B1253" i="12" s="1"/>
  <c r="B1493" i="12" s="1"/>
  <c r="B1733" i="12" s="1"/>
  <c r="E769" i="12"/>
  <c r="E1252" i="12" s="1"/>
  <c r="E1492" i="12" s="1"/>
  <c r="E1732" i="12" s="1"/>
  <c r="D769" i="12"/>
  <c r="D1252" i="12" s="1"/>
  <c r="C769" i="12"/>
  <c r="C1252" i="12" s="1"/>
  <c r="C1492" i="12" s="1"/>
  <c r="C1732" i="12" s="1"/>
  <c r="B769" i="12"/>
  <c r="B1252" i="12" s="1"/>
  <c r="B1492" i="12" s="1"/>
  <c r="B1732" i="12" s="1"/>
  <c r="E768" i="12"/>
  <c r="E1251" i="12" s="1"/>
  <c r="D768" i="12"/>
  <c r="D1251" i="12" s="1"/>
  <c r="C768" i="12"/>
  <c r="C1251" i="12" s="1"/>
  <c r="C1491" i="12" s="1"/>
  <c r="C1731" i="12" s="1"/>
  <c r="B768" i="12"/>
  <c r="B1251" i="12" s="1"/>
  <c r="B1491" i="12" s="1"/>
  <c r="B1731" i="12" s="1"/>
  <c r="E767" i="12"/>
  <c r="E1250" i="12" s="1"/>
  <c r="E1490" i="12" s="1"/>
  <c r="E1730" i="12" s="1"/>
  <c r="D767" i="12"/>
  <c r="D1250" i="12" s="1"/>
  <c r="C767" i="12"/>
  <c r="C1250" i="12" s="1"/>
  <c r="C1490" i="12" s="1"/>
  <c r="C1730" i="12" s="1"/>
  <c r="B767" i="12"/>
  <c r="B1250" i="12" s="1"/>
  <c r="B1490" i="12" s="1"/>
  <c r="B1730" i="12" s="1"/>
  <c r="E766" i="12"/>
  <c r="E1249" i="12" s="1"/>
  <c r="D766" i="12"/>
  <c r="D1249" i="12" s="1"/>
  <c r="C766" i="12"/>
  <c r="C1249" i="12" s="1"/>
  <c r="C1489" i="12" s="1"/>
  <c r="C1729" i="12" s="1"/>
  <c r="B766" i="12"/>
  <c r="B1249" i="12" s="1"/>
  <c r="B1489" i="12" s="1"/>
  <c r="B1729" i="12" s="1"/>
  <c r="E765" i="12"/>
  <c r="E1248" i="12" s="1"/>
  <c r="D765" i="12"/>
  <c r="D1248" i="12" s="1"/>
  <c r="C765" i="12"/>
  <c r="C1248" i="12" s="1"/>
  <c r="C1488" i="12" s="1"/>
  <c r="C1728" i="12" s="1"/>
  <c r="B765" i="12"/>
  <c r="B1248" i="12" s="1"/>
  <c r="B1488" i="12" s="1"/>
  <c r="B1728" i="12" s="1"/>
  <c r="E764" i="12"/>
  <c r="E1247" i="12" s="1"/>
  <c r="E1487" i="12" s="1"/>
  <c r="E1727" i="12" s="1"/>
  <c r="D764" i="12"/>
  <c r="D1247" i="12" s="1"/>
  <c r="C764" i="12"/>
  <c r="C1247" i="12" s="1"/>
  <c r="C1487" i="12" s="1"/>
  <c r="C1727" i="12" s="1"/>
  <c r="B764" i="12"/>
  <c r="B1247" i="12" s="1"/>
  <c r="B1487" i="12" s="1"/>
  <c r="B1727" i="12" s="1"/>
  <c r="E763" i="12"/>
  <c r="E1246" i="12" s="1"/>
  <c r="D763" i="12"/>
  <c r="D1246" i="12" s="1"/>
  <c r="C763" i="12"/>
  <c r="C1246" i="12" s="1"/>
  <c r="C1486" i="12" s="1"/>
  <c r="C1726" i="12" s="1"/>
  <c r="B763" i="12"/>
  <c r="B1246" i="12" s="1"/>
  <c r="B1486" i="12" s="1"/>
  <c r="B1726" i="12" s="1"/>
  <c r="E762" i="12"/>
  <c r="E1245" i="12" s="1"/>
  <c r="D762" i="12"/>
  <c r="D1245" i="12" s="1"/>
  <c r="C762" i="12"/>
  <c r="C1245" i="12" s="1"/>
  <c r="C1485" i="12" s="1"/>
  <c r="C1725" i="12" s="1"/>
  <c r="B762" i="12"/>
  <c r="B1245" i="12" s="1"/>
  <c r="B1485" i="12" s="1"/>
  <c r="B1725" i="12" s="1"/>
  <c r="E761" i="12"/>
  <c r="E1244" i="12" s="1"/>
  <c r="E1484" i="12" s="1"/>
  <c r="E1724" i="12" s="1"/>
  <c r="D761" i="12"/>
  <c r="D1244" i="12" s="1"/>
  <c r="C761" i="12"/>
  <c r="C1244" i="12" s="1"/>
  <c r="C1484" i="12" s="1"/>
  <c r="C1724" i="12" s="1"/>
  <c r="B761" i="12"/>
  <c r="B1244" i="12" s="1"/>
  <c r="B1484" i="12" s="1"/>
  <c r="B1724" i="12" s="1"/>
  <c r="E760" i="12"/>
  <c r="E1243" i="12" s="1"/>
  <c r="E1483" i="12" s="1"/>
  <c r="E1723" i="12" s="1"/>
  <c r="D760" i="12"/>
  <c r="D1243" i="12" s="1"/>
  <c r="C760" i="12"/>
  <c r="C1243" i="12" s="1"/>
  <c r="C1483" i="12" s="1"/>
  <c r="C1723" i="12" s="1"/>
  <c r="B760" i="12"/>
  <c r="B1243" i="12" s="1"/>
  <c r="B1483" i="12" s="1"/>
  <c r="B1723" i="12" s="1"/>
  <c r="E759" i="12"/>
  <c r="D759" i="12"/>
  <c r="D1242" i="12" s="1"/>
  <c r="C759" i="12"/>
  <c r="C1242" i="12" s="1"/>
  <c r="C1482" i="12" s="1"/>
  <c r="C1722" i="12" s="1"/>
  <c r="B759" i="12"/>
  <c r="B1242" i="12" s="1"/>
  <c r="B1482" i="12" s="1"/>
  <c r="B1722" i="12" s="1"/>
  <c r="E753" i="12"/>
  <c r="E1236" i="12" s="1"/>
  <c r="E1476" i="12" s="1"/>
  <c r="E1716" i="12" s="1"/>
  <c r="D753" i="12"/>
  <c r="D1236" i="12" s="1"/>
  <c r="C753" i="12"/>
  <c r="C1236" i="12" s="1"/>
  <c r="C1476" i="12" s="1"/>
  <c r="C1716" i="12" s="1"/>
  <c r="B753" i="12"/>
  <c r="E752" i="12"/>
  <c r="E1235" i="12" s="1"/>
  <c r="D752" i="12"/>
  <c r="D1235" i="12" s="1"/>
  <c r="C752" i="12"/>
  <c r="B752" i="12"/>
  <c r="B1235" i="12" s="1"/>
  <c r="B1475" i="12" s="1"/>
  <c r="B1715" i="12" s="1"/>
  <c r="E751" i="12"/>
  <c r="E1234" i="12" s="1"/>
  <c r="D751" i="12"/>
  <c r="C751" i="12"/>
  <c r="C1234" i="12" s="1"/>
  <c r="C1474" i="12" s="1"/>
  <c r="C1714" i="12" s="1"/>
  <c r="B751" i="12"/>
  <c r="B1234" i="12" s="1"/>
  <c r="B1474" i="12" s="1"/>
  <c r="B1714" i="12" s="1"/>
  <c r="E750" i="12"/>
  <c r="E992" i="12" s="1"/>
  <c r="D750" i="12"/>
  <c r="D1233" i="12" s="1"/>
  <c r="D1473" i="12" s="1"/>
  <c r="D1713" i="12" s="1"/>
  <c r="C750" i="12"/>
  <c r="C1233" i="12" s="1"/>
  <c r="C1473" i="12" s="1"/>
  <c r="C1713" i="12" s="1"/>
  <c r="B750" i="12"/>
  <c r="B992" i="12" s="1"/>
  <c r="E749" i="12"/>
  <c r="D749" i="12"/>
  <c r="D991" i="12" s="1"/>
  <c r="C749" i="12"/>
  <c r="C1232" i="12" s="1"/>
  <c r="C1472" i="12" s="1"/>
  <c r="C1712" i="12" s="1"/>
  <c r="B749" i="12"/>
  <c r="B1232" i="12" s="1"/>
  <c r="B1472" i="12" s="1"/>
  <c r="B1712" i="12" s="1"/>
  <c r="E744" i="12"/>
  <c r="E1227" i="12" s="1"/>
  <c r="D744" i="12"/>
  <c r="D1227" i="12" s="1"/>
  <c r="C744" i="12"/>
  <c r="C1227" i="12" s="1"/>
  <c r="C1467" i="12" s="1"/>
  <c r="C1707" i="12" s="1"/>
  <c r="B744" i="12"/>
  <c r="B1227" i="12" s="1"/>
  <c r="B1467" i="12" s="1"/>
  <c r="B1707" i="12" s="1"/>
  <c r="E743" i="12"/>
  <c r="E1226" i="12" s="1"/>
  <c r="E1466" i="12" s="1"/>
  <c r="E1706" i="12" s="1"/>
  <c r="D743" i="12"/>
  <c r="D1226" i="12" s="1"/>
  <c r="C743" i="12"/>
  <c r="C1226" i="12" s="1"/>
  <c r="C1466" i="12" s="1"/>
  <c r="C1706" i="12" s="1"/>
  <c r="B743" i="12"/>
  <c r="B1226" i="12" s="1"/>
  <c r="B1466" i="12" s="1"/>
  <c r="B1706" i="12" s="1"/>
  <c r="E742" i="12"/>
  <c r="E1225" i="12" s="1"/>
  <c r="E1465" i="12" s="1"/>
  <c r="E1705" i="12" s="1"/>
  <c r="D742" i="12"/>
  <c r="D1225" i="12" s="1"/>
  <c r="C742" i="12"/>
  <c r="C1225" i="12" s="1"/>
  <c r="C1465" i="12" s="1"/>
  <c r="C1705" i="12" s="1"/>
  <c r="B742" i="12"/>
  <c r="B1225" i="12" s="1"/>
  <c r="B1465" i="12" s="1"/>
  <c r="B1705" i="12" s="1"/>
  <c r="E741" i="12"/>
  <c r="E1224" i="12" s="1"/>
  <c r="D741" i="12"/>
  <c r="D1224" i="12" s="1"/>
  <c r="C741" i="12"/>
  <c r="C1224" i="12" s="1"/>
  <c r="C1464" i="12" s="1"/>
  <c r="C1704" i="12" s="1"/>
  <c r="B741" i="12"/>
  <c r="B1224" i="12" s="1"/>
  <c r="B1464" i="12" s="1"/>
  <c r="B1704" i="12" s="1"/>
  <c r="E740" i="12"/>
  <c r="E1223" i="12" s="1"/>
  <c r="E1463" i="12" s="1"/>
  <c r="E1703" i="12" s="1"/>
  <c r="D740" i="12"/>
  <c r="D1223" i="12" s="1"/>
  <c r="C740" i="12"/>
  <c r="C1223" i="12" s="1"/>
  <c r="C1463" i="12" s="1"/>
  <c r="C1703" i="12" s="1"/>
  <c r="B740" i="12"/>
  <c r="B1223" i="12" s="1"/>
  <c r="B1463" i="12" s="1"/>
  <c r="B1703" i="12" s="1"/>
  <c r="E739" i="12"/>
  <c r="E1222" i="12" s="1"/>
  <c r="D739" i="12"/>
  <c r="D1222" i="12" s="1"/>
  <c r="C739" i="12"/>
  <c r="C1222" i="12" s="1"/>
  <c r="C1462" i="12" s="1"/>
  <c r="C1702" i="12" s="1"/>
  <c r="B739" i="12"/>
  <c r="B1222" i="12" s="1"/>
  <c r="B1462" i="12" s="1"/>
  <c r="B1702" i="12" s="1"/>
  <c r="E738" i="12"/>
  <c r="E1221" i="12" s="1"/>
  <c r="E1461" i="12" s="1"/>
  <c r="E1701" i="12" s="1"/>
  <c r="D738" i="12"/>
  <c r="D1221" i="12" s="1"/>
  <c r="C738" i="12"/>
  <c r="C1221" i="12" s="1"/>
  <c r="C1461" i="12" s="1"/>
  <c r="C1701" i="12" s="1"/>
  <c r="B738" i="12"/>
  <c r="B1221" i="12" s="1"/>
  <c r="B1461" i="12" s="1"/>
  <c r="B1701" i="12" s="1"/>
  <c r="E737" i="12"/>
  <c r="E1220" i="12" s="1"/>
  <c r="E1460" i="12" s="1"/>
  <c r="E1700" i="12" s="1"/>
  <c r="D737" i="12"/>
  <c r="D1220" i="12" s="1"/>
  <c r="C737" i="12"/>
  <c r="C1220" i="12" s="1"/>
  <c r="C1460" i="12" s="1"/>
  <c r="C1700" i="12" s="1"/>
  <c r="B737" i="12"/>
  <c r="B1220" i="12" s="1"/>
  <c r="B1460" i="12" s="1"/>
  <c r="B1700" i="12" s="1"/>
  <c r="E736" i="12"/>
  <c r="E1219" i="12" s="1"/>
  <c r="D736" i="12"/>
  <c r="D1219" i="12" s="1"/>
  <c r="C736" i="12"/>
  <c r="C1219" i="12" s="1"/>
  <c r="C1459" i="12" s="1"/>
  <c r="C1699" i="12" s="1"/>
  <c r="B736" i="12"/>
  <c r="B1219" i="12" s="1"/>
  <c r="B1459" i="12" s="1"/>
  <c r="B1699" i="12" s="1"/>
  <c r="E735" i="12"/>
  <c r="E1218" i="12" s="1"/>
  <c r="E1458" i="12" s="1"/>
  <c r="E1698" i="12" s="1"/>
  <c r="D735" i="12"/>
  <c r="D1218" i="12" s="1"/>
  <c r="C735" i="12"/>
  <c r="C1218" i="12" s="1"/>
  <c r="C1458" i="12" s="1"/>
  <c r="C1698" i="12" s="1"/>
  <c r="B735" i="12"/>
  <c r="B1218" i="12" s="1"/>
  <c r="B1458" i="12" s="1"/>
  <c r="B1698" i="12" s="1"/>
  <c r="E734" i="12"/>
  <c r="E1217" i="12" s="1"/>
  <c r="E1457" i="12" s="1"/>
  <c r="E1697" i="12" s="1"/>
  <c r="D734" i="12"/>
  <c r="D1217" i="12" s="1"/>
  <c r="C734" i="12"/>
  <c r="C1217" i="12" s="1"/>
  <c r="C1457" i="12" s="1"/>
  <c r="C1697" i="12" s="1"/>
  <c r="B734" i="12"/>
  <c r="B1217" i="12" s="1"/>
  <c r="B1457" i="12" s="1"/>
  <c r="B1697" i="12" s="1"/>
  <c r="E733" i="12"/>
  <c r="E1216" i="12" s="1"/>
  <c r="E1456" i="12" s="1"/>
  <c r="E1696" i="12" s="1"/>
  <c r="D733" i="12"/>
  <c r="D1216" i="12" s="1"/>
  <c r="C733" i="12"/>
  <c r="C1216" i="12" s="1"/>
  <c r="C1456" i="12" s="1"/>
  <c r="C1696" i="12" s="1"/>
  <c r="B733" i="12"/>
  <c r="B1216" i="12" s="1"/>
  <c r="B1456" i="12" s="1"/>
  <c r="B1696" i="12" s="1"/>
  <c r="E732" i="12"/>
  <c r="D732" i="12"/>
  <c r="D1215" i="12" s="1"/>
  <c r="C732" i="12"/>
  <c r="C1215" i="12" s="1"/>
  <c r="C1455" i="12" s="1"/>
  <c r="C1695" i="12" s="1"/>
  <c r="B732" i="12"/>
  <c r="B1215" i="12" s="1"/>
  <c r="B1455" i="12" s="1"/>
  <c r="B1695" i="12" s="1"/>
  <c r="E731" i="12"/>
  <c r="D731" i="12"/>
  <c r="D1214" i="12" s="1"/>
  <c r="C731" i="12"/>
  <c r="C1214" i="12" s="1"/>
  <c r="C1454" i="12" s="1"/>
  <c r="C1694" i="12" s="1"/>
  <c r="B731" i="12"/>
  <c r="B1214" i="12" s="1"/>
  <c r="B1454" i="12" s="1"/>
  <c r="B1694" i="12" s="1"/>
  <c r="E730" i="12"/>
  <c r="D730" i="12"/>
  <c r="D1213" i="12" s="1"/>
  <c r="C730" i="12"/>
  <c r="C1213" i="12" s="1"/>
  <c r="C1453" i="12" s="1"/>
  <c r="C1693" i="12" s="1"/>
  <c r="B730" i="12"/>
  <c r="B1213" i="12" s="1"/>
  <c r="B1453" i="12" s="1"/>
  <c r="B1693" i="12" s="1"/>
  <c r="E729" i="12"/>
  <c r="D729" i="12"/>
  <c r="D1212" i="12" s="1"/>
  <c r="C729" i="12"/>
  <c r="C1212" i="12" s="1"/>
  <c r="C1452" i="12" s="1"/>
  <c r="C1692" i="12" s="1"/>
  <c r="B729" i="12"/>
  <c r="B1212" i="12" s="1"/>
  <c r="B1452" i="12" s="1"/>
  <c r="B1692" i="12" s="1"/>
  <c r="E728" i="12"/>
  <c r="D728" i="12"/>
  <c r="D1211" i="12" s="1"/>
  <c r="C728" i="12"/>
  <c r="C1211" i="12" s="1"/>
  <c r="C1451" i="12" s="1"/>
  <c r="C1691" i="12" s="1"/>
  <c r="B728" i="12"/>
  <c r="B1211" i="12" s="1"/>
  <c r="B1451" i="12" s="1"/>
  <c r="B1691" i="12" s="1"/>
  <c r="E727" i="12"/>
  <c r="D727" i="12"/>
  <c r="D1210" i="12" s="1"/>
  <c r="C727" i="12"/>
  <c r="C1210" i="12" s="1"/>
  <c r="C1450" i="12" s="1"/>
  <c r="C1690" i="12" s="1"/>
  <c r="B727" i="12"/>
  <c r="B1210" i="12" s="1"/>
  <c r="B1450" i="12" s="1"/>
  <c r="B1690" i="12" s="1"/>
  <c r="E726" i="12"/>
  <c r="D726" i="12"/>
  <c r="D1209" i="12" s="1"/>
  <c r="D1449" i="12" s="1"/>
  <c r="D1689" i="12" s="1"/>
  <c r="C726" i="12"/>
  <c r="C1209" i="12" s="1"/>
  <c r="C1449" i="12" s="1"/>
  <c r="C1689" i="12" s="1"/>
  <c r="B726" i="12"/>
  <c r="B1209" i="12" s="1"/>
  <c r="B1449" i="12" s="1"/>
  <c r="B1689" i="12" s="1"/>
  <c r="E725" i="12"/>
  <c r="D725" i="12"/>
  <c r="D1208" i="12" s="1"/>
  <c r="C725" i="12"/>
  <c r="C1208" i="12" s="1"/>
  <c r="C1448" i="12" s="1"/>
  <c r="C1688" i="12" s="1"/>
  <c r="B725" i="12"/>
  <c r="B1208" i="12" s="1"/>
  <c r="B1448" i="12" s="1"/>
  <c r="B1688" i="12" s="1"/>
  <c r="E720" i="12"/>
  <c r="E1203" i="12" s="1"/>
  <c r="D720" i="12"/>
  <c r="D1203" i="12" s="1"/>
  <c r="C720" i="12"/>
  <c r="C1203" i="12" s="1"/>
  <c r="C1443" i="12" s="1"/>
  <c r="C1683" i="12" s="1"/>
  <c r="B720" i="12"/>
  <c r="B1203" i="12" s="1"/>
  <c r="B1443" i="12" s="1"/>
  <c r="B1683" i="12" s="1"/>
  <c r="E719" i="12"/>
  <c r="D719" i="12"/>
  <c r="D1202" i="12" s="1"/>
  <c r="C719" i="12"/>
  <c r="C1202" i="12" s="1"/>
  <c r="C1442" i="12" s="1"/>
  <c r="C1682" i="12" s="1"/>
  <c r="B719" i="12"/>
  <c r="B1202" i="12" s="1"/>
  <c r="B1442" i="12" s="1"/>
  <c r="B1682" i="12" s="1"/>
  <c r="E718" i="12"/>
  <c r="D718" i="12"/>
  <c r="D1201" i="12" s="1"/>
  <c r="C718" i="12"/>
  <c r="C1201" i="12" s="1"/>
  <c r="C1441" i="12" s="1"/>
  <c r="C1681" i="12" s="1"/>
  <c r="B718" i="12"/>
  <c r="B1201" i="12" s="1"/>
  <c r="B1441" i="12" s="1"/>
  <c r="B1681" i="12" s="1"/>
  <c r="E717" i="12"/>
  <c r="D717" i="12"/>
  <c r="D1200" i="12" s="1"/>
  <c r="C717" i="12"/>
  <c r="C1200" i="12" s="1"/>
  <c r="C1440" i="12" s="1"/>
  <c r="C1680" i="12" s="1"/>
  <c r="B717" i="12"/>
  <c r="B1200" i="12" s="1"/>
  <c r="B1440" i="12" s="1"/>
  <c r="B1680" i="12" s="1"/>
  <c r="E716" i="12"/>
  <c r="D716" i="12"/>
  <c r="D1199" i="12" s="1"/>
  <c r="C716" i="12"/>
  <c r="C1199" i="12" s="1"/>
  <c r="C1439" i="12" s="1"/>
  <c r="C1679" i="12" s="1"/>
  <c r="B716" i="12"/>
  <c r="B1199" i="12" s="1"/>
  <c r="B1439" i="12" s="1"/>
  <c r="B1679" i="12" s="1"/>
  <c r="E715" i="12"/>
  <c r="D715" i="12"/>
  <c r="D1198" i="12" s="1"/>
  <c r="C715" i="12"/>
  <c r="C1198" i="12" s="1"/>
  <c r="C1438" i="12" s="1"/>
  <c r="C1678" i="12" s="1"/>
  <c r="B715" i="12"/>
  <c r="B1198" i="12" s="1"/>
  <c r="B1438" i="12" s="1"/>
  <c r="B1678" i="12" s="1"/>
  <c r="E714" i="12"/>
  <c r="D714" i="12"/>
  <c r="D1197" i="12" s="1"/>
  <c r="C714" i="12"/>
  <c r="C1197" i="12" s="1"/>
  <c r="C1437" i="12" s="1"/>
  <c r="C1677" i="12" s="1"/>
  <c r="B714" i="12"/>
  <c r="B1197" i="12" s="1"/>
  <c r="B1437" i="12" s="1"/>
  <c r="B1677" i="12" s="1"/>
  <c r="E713" i="12"/>
  <c r="E1196" i="12" s="1"/>
  <c r="D713" i="12"/>
  <c r="D1196" i="12" s="1"/>
  <c r="C713" i="12"/>
  <c r="C1196" i="12" s="1"/>
  <c r="C1436" i="12" s="1"/>
  <c r="C1676" i="12" s="1"/>
  <c r="B713" i="12"/>
  <c r="B1196" i="12" s="1"/>
  <c r="B1436" i="12" s="1"/>
  <c r="B1676" i="12" s="1"/>
  <c r="E712" i="12"/>
  <c r="D712" i="12"/>
  <c r="D1195" i="12" s="1"/>
  <c r="C712" i="12"/>
  <c r="C1195" i="12" s="1"/>
  <c r="C1435" i="12" s="1"/>
  <c r="C1675" i="12" s="1"/>
  <c r="B712" i="12"/>
  <c r="B1195" i="12" s="1"/>
  <c r="B1435" i="12" s="1"/>
  <c r="B1675" i="12" s="1"/>
  <c r="E711" i="12"/>
  <c r="D711" i="12"/>
  <c r="D1194" i="12" s="1"/>
  <c r="C711" i="12"/>
  <c r="C1194" i="12" s="1"/>
  <c r="C1434" i="12" s="1"/>
  <c r="C1674" i="12" s="1"/>
  <c r="B711" i="12"/>
  <c r="B1194" i="12" s="1"/>
  <c r="B1434" i="12" s="1"/>
  <c r="B1674" i="12" s="1"/>
  <c r="E710" i="12"/>
  <c r="E1193" i="12" s="1"/>
  <c r="D710" i="12"/>
  <c r="D1193" i="12" s="1"/>
  <c r="C710" i="12"/>
  <c r="C1193" i="12" s="1"/>
  <c r="C1433" i="12" s="1"/>
  <c r="C1673" i="12" s="1"/>
  <c r="B710" i="12"/>
  <c r="B1193" i="12" s="1"/>
  <c r="B1433" i="12" s="1"/>
  <c r="B1673" i="12" s="1"/>
  <c r="E709" i="12"/>
  <c r="D709" i="12"/>
  <c r="D1192" i="12" s="1"/>
  <c r="C709" i="12"/>
  <c r="C1192" i="12" s="1"/>
  <c r="C1432" i="12" s="1"/>
  <c r="C1672" i="12" s="1"/>
  <c r="B709" i="12"/>
  <c r="B1192" i="12" s="1"/>
  <c r="B1432" i="12" s="1"/>
  <c r="B1672" i="12" s="1"/>
  <c r="E708" i="12"/>
  <c r="D708" i="12"/>
  <c r="D1191" i="12" s="1"/>
  <c r="C708" i="12"/>
  <c r="B708" i="12"/>
  <c r="B1191" i="12" s="1"/>
  <c r="B1431" i="12" s="1"/>
  <c r="B1671" i="12" s="1"/>
  <c r="E707" i="12"/>
  <c r="D707" i="12"/>
  <c r="D1190" i="12" s="1"/>
  <c r="C707" i="12"/>
  <c r="B707" i="12"/>
  <c r="B1190" i="12" s="1"/>
  <c r="B1430" i="12" s="1"/>
  <c r="B1670" i="12" s="1"/>
  <c r="E706" i="12"/>
  <c r="D706" i="12"/>
  <c r="D1189" i="12" s="1"/>
  <c r="C706" i="12"/>
  <c r="B706" i="12"/>
  <c r="B1189" i="12" s="1"/>
  <c r="B1429" i="12" s="1"/>
  <c r="B1669" i="12" s="1"/>
  <c r="E705" i="12"/>
  <c r="D705" i="12"/>
  <c r="D1188" i="12" s="1"/>
  <c r="D1428" i="12" s="1"/>
  <c r="D1668" i="12" s="1"/>
  <c r="C705" i="12"/>
  <c r="B705" i="12"/>
  <c r="B1188" i="12" s="1"/>
  <c r="B1428" i="12" s="1"/>
  <c r="B1668" i="12" s="1"/>
  <c r="E704" i="12"/>
  <c r="D704" i="12"/>
  <c r="D1187" i="12" s="1"/>
  <c r="C704" i="12"/>
  <c r="B704" i="12"/>
  <c r="B1187" i="12" s="1"/>
  <c r="B1427" i="12" s="1"/>
  <c r="B1667" i="12" s="1"/>
  <c r="E703" i="12"/>
  <c r="D703" i="12"/>
  <c r="D1186" i="12" s="1"/>
  <c r="C703" i="12"/>
  <c r="B703" i="12"/>
  <c r="B1186" i="12" s="1"/>
  <c r="B1426" i="12" s="1"/>
  <c r="B1666" i="12" s="1"/>
  <c r="E702" i="12"/>
  <c r="E1185" i="12" s="1"/>
  <c r="E1425" i="12" s="1"/>
  <c r="E1665" i="12" s="1"/>
  <c r="D702" i="12"/>
  <c r="D1185" i="12" s="1"/>
  <c r="C702" i="12"/>
  <c r="B702" i="12"/>
  <c r="B1185" i="12" s="1"/>
  <c r="B1425" i="12" s="1"/>
  <c r="B1665" i="12" s="1"/>
  <c r="E701" i="12"/>
  <c r="E1184" i="12" s="1"/>
  <c r="E1424" i="12" s="1"/>
  <c r="E1664" i="12" s="1"/>
  <c r="D701" i="12"/>
  <c r="D1184" i="12" s="1"/>
  <c r="C701" i="12"/>
  <c r="B701" i="12"/>
  <c r="B1184" i="12" s="1"/>
  <c r="B1424" i="12" s="1"/>
  <c r="B1664" i="12" s="1"/>
  <c r="E582" i="12"/>
  <c r="D582" i="12"/>
  <c r="C582" i="12"/>
  <c r="B582" i="12"/>
  <c r="E581" i="12"/>
  <c r="D581" i="12"/>
  <c r="C581" i="12"/>
  <c r="B581" i="12"/>
  <c r="E580" i="12"/>
  <c r="D580" i="12"/>
  <c r="C580" i="12"/>
  <c r="B580" i="12"/>
  <c r="E579" i="12"/>
  <c r="D579" i="12"/>
  <c r="C579" i="12"/>
  <c r="B579" i="12"/>
  <c r="E578" i="12"/>
  <c r="D578" i="12"/>
  <c r="C578" i="12"/>
  <c r="B578" i="12"/>
  <c r="E577" i="12"/>
  <c r="D577" i="12"/>
  <c r="C577" i="12"/>
  <c r="B577" i="12"/>
  <c r="E576" i="12"/>
  <c r="D576" i="12"/>
  <c r="C576" i="12"/>
  <c r="B576" i="12"/>
  <c r="E575" i="12"/>
  <c r="D575" i="12"/>
  <c r="C575" i="12"/>
  <c r="B575" i="12"/>
  <c r="E574" i="12"/>
  <c r="D574" i="12"/>
  <c r="C574" i="12"/>
  <c r="B574" i="12"/>
  <c r="E573" i="12"/>
  <c r="D573" i="12"/>
  <c r="C573" i="12"/>
  <c r="B573" i="12"/>
  <c r="E572" i="12"/>
  <c r="D572" i="12"/>
  <c r="C572" i="12"/>
  <c r="B572" i="12"/>
  <c r="E571" i="12"/>
  <c r="D571" i="12"/>
  <c r="C571" i="12"/>
  <c r="B571" i="12"/>
  <c r="E570" i="12"/>
  <c r="D570" i="12"/>
  <c r="C570" i="12"/>
  <c r="B570" i="12"/>
  <c r="E569" i="12"/>
  <c r="D569" i="12"/>
  <c r="C569" i="12"/>
  <c r="B569" i="12"/>
  <c r="E568" i="12"/>
  <c r="D568" i="12"/>
  <c r="C568" i="12"/>
  <c r="B568" i="12"/>
  <c r="E567" i="12"/>
  <c r="D567" i="12"/>
  <c r="C567" i="12"/>
  <c r="B567" i="12"/>
  <c r="E566" i="12"/>
  <c r="D566" i="12"/>
  <c r="C566" i="12"/>
  <c r="B566" i="12"/>
  <c r="E565" i="12"/>
  <c r="D565" i="12"/>
  <c r="C565" i="12"/>
  <c r="B565" i="12"/>
  <c r="E564" i="12"/>
  <c r="D564" i="12"/>
  <c r="C564" i="12"/>
  <c r="B564" i="12"/>
  <c r="E563" i="12"/>
  <c r="D563" i="12"/>
  <c r="C563" i="12"/>
  <c r="B563" i="12"/>
  <c r="E562" i="12"/>
  <c r="D562" i="12"/>
  <c r="C562" i="12"/>
  <c r="B562" i="12"/>
  <c r="E561" i="12"/>
  <c r="D561" i="12"/>
  <c r="C561" i="12"/>
  <c r="B561" i="12"/>
  <c r="E560" i="12"/>
  <c r="D560" i="12"/>
  <c r="C560" i="12"/>
  <c r="B560" i="12"/>
  <c r="E559" i="12"/>
  <c r="D559" i="12"/>
  <c r="C559" i="12"/>
  <c r="B559" i="12"/>
  <c r="E558" i="12"/>
  <c r="D558" i="12"/>
  <c r="C558" i="12"/>
  <c r="B558" i="12"/>
  <c r="E557" i="12"/>
  <c r="D557" i="12"/>
  <c r="C557" i="12"/>
  <c r="B557" i="12"/>
  <c r="E556" i="12"/>
  <c r="D556" i="12"/>
  <c r="C556" i="12"/>
  <c r="B556" i="12"/>
  <c r="E555" i="12"/>
  <c r="D555" i="12"/>
  <c r="C555" i="12"/>
  <c r="B555" i="12"/>
  <c r="E554" i="12"/>
  <c r="D554" i="12"/>
  <c r="C554" i="12"/>
  <c r="B554" i="12"/>
  <c r="E553" i="12"/>
  <c r="D553" i="12"/>
  <c r="C553" i="12"/>
  <c r="B553" i="12"/>
  <c r="X517" i="12"/>
  <c r="W517" i="12"/>
  <c r="V517" i="12"/>
  <c r="U517" i="12"/>
  <c r="T517" i="12"/>
  <c r="S517" i="12"/>
  <c r="R517" i="12"/>
  <c r="Q517" i="12"/>
  <c r="P517" i="12"/>
  <c r="O517" i="12"/>
  <c r="N517" i="12"/>
  <c r="M517" i="12"/>
  <c r="L517" i="12"/>
  <c r="K517" i="12"/>
  <c r="X516" i="12"/>
  <c r="W516" i="12"/>
  <c r="V516" i="12"/>
  <c r="U516" i="12"/>
  <c r="T516" i="12"/>
  <c r="S516" i="12"/>
  <c r="R516" i="12"/>
  <c r="Q516" i="12"/>
  <c r="P516" i="12"/>
  <c r="O516" i="12"/>
  <c r="N516" i="12"/>
  <c r="M516" i="12"/>
  <c r="L516" i="12"/>
  <c r="K516" i="12"/>
  <c r="X515" i="12"/>
  <c r="W515" i="12"/>
  <c r="V515" i="12"/>
  <c r="U515" i="12"/>
  <c r="T515" i="12"/>
  <c r="S515" i="12"/>
  <c r="R515" i="12"/>
  <c r="Q515" i="12"/>
  <c r="P515" i="12"/>
  <c r="O515" i="12"/>
  <c r="N515" i="12"/>
  <c r="M515" i="12"/>
  <c r="L515" i="12"/>
  <c r="K515" i="12"/>
  <c r="X514" i="12"/>
  <c r="W514" i="12"/>
  <c r="V514" i="12"/>
  <c r="U514" i="12"/>
  <c r="T514" i="12"/>
  <c r="S514" i="12"/>
  <c r="R514" i="12"/>
  <c r="Q514" i="12"/>
  <c r="P514" i="12"/>
  <c r="O514" i="12"/>
  <c r="N514" i="12"/>
  <c r="M514" i="12"/>
  <c r="L514" i="12"/>
  <c r="K514" i="12"/>
  <c r="X513" i="12"/>
  <c r="W513" i="12"/>
  <c r="V513" i="12"/>
  <c r="U513" i="12"/>
  <c r="T513" i="12"/>
  <c r="S513" i="12"/>
  <c r="R513" i="12"/>
  <c r="Q513" i="12"/>
  <c r="P513" i="12"/>
  <c r="O513" i="12"/>
  <c r="N513" i="12"/>
  <c r="M513" i="12"/>
  <c r="L513" i="12"/>
  <c r="K513" i="12"/>
  <c r="X512" i="12"/>
  <c r="W512" i="12"/>
  <c r="V512" i="12"/>
  <c r="U512" i="12"/>
  <c r="T512" i="12"/>
  <c r="S512" i="12"/>
  <c r="R512" i="12"/>
  <c r="Q512" i="12"/>
  <c r="P512" i="12"/>
  <c r="O512" i="12"/>
  <c r="N512" i="12"/>
  <c r="M512" i="12"/>
  <c r="L512" i="12"/>
  <c r="K512" i="12"/>
  <c r="X511" i="12"/>
  <c r="W511" i="12"/>
  <c r="V511" i="12"/>
  <c r="U511" i="12"/>
  <c r="T511" i="12"/>
  <c r="S511" i="12"/>
  <c r="R511" i="12"/>
  <c r="Q511" i="12"/>
  <c r="P511" i="12"/>
  <c r="O511" i="12"/>
  <c r="N511" i="12"/>
  <c r="M511" i="12"/>
  <c r="L511" i="12"/>
  <c r="K511" i="12"/>
  <c r="X510" i="12"/>
  <c r="W510" i="12"/>
  <c r="V510" i="12"/>
  <c r="U510" i="12"/>
  <c r="T510" i="12"/>
  <c r="S510" i="12"/>
  <c r="R510" i="12"/>
  <c r="Q510" i="12"/>
  <c r="P510" i="12"/>
  <c r="O510" i="12"/>
  <c r="N510" i="12"/>
  <c r="M510" i="12"/>
  <c r="L510" i="12"/>
  <c r="K510" i="12"/>
  <c r="X509" i="12"/>
  <c r="W509" i="12"/>
  <c r="V509" i="12"/>
  <c r="U509" i="12"/>
  <c r="T509" i="12"/>
  <c r="S509" i="12"/>
  <c r="R509" i="12"/>
  <c r="Q509" i="12"/>
  <c r="P509" i="12"/>
  <c r="O509" i="12"/>
  <c r="N509" i="12"/>
  <c r="M509" i="12"/>
  <c r="L509" i="12"/>
  <c r="K509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X507" i="12"/>
  <c r="W507" i="12"/>
  <c r="V507" i="12"/>
  <c r="U507" i="12"/>
  <c r="T507" i="12"/>
  <c r="S507" i="12"/>
  <c r="R507" i="12"/>
  <c r="Q507" i="12"/>
  <c r="P507" i="12"/>
  <c r="O507" i="12"/>
  <c r="N507" i="12"/>
  <c r="M507" i="12"/>
  <c r="L507" i="12"/>
  <c r="K507" i="12"/>
  <c r="X506" i="12"/>
  <c r="W506" i="12"/>
  <c r="V506" i="12"/>
  <c r="U506" i="12"/>
  <c r="T506" i="12"/>
  <c r="S506" i="12"/>
  <c r="R506" i="12"/>
  <c r="Q506" i="12"/>
  <c r="P506" i="12"/>
  <c r="O506" i="12"/>
  <c r="N506" i="12"/>
  <c r="M506" i="12"/>
  <c r="L506" i="12"/>
  <c r="K506" i="12"/>
  <c r="X505" i="12"/>
  <c r="W505" i="12"/>
  <c r="V505" i="12"/>
  <c r="U505" i="12"/>
  <c r="T505" i="12"/>
  <c r="S505" i="12"/>
  <c r="R505" i="12"/>
  <c r="Q505" i="12"/>
  <c r="P505" i="12"/>
  <c r="O505" i="12"/>
  <c r="N505" i="12"/>
  <c r="M505" i="12"/>
  <c r="L505" i="12"/>
  <c r="K505" i="12"/>
  <c r="X504" i="12"/>
  <c r="W504" i="12"/>
  <c r="V504" i="12"/>
  <c r="U504" i="12"/>
  <c r="T504" i="12"/>
  <c r="S504" i="12"/>
  <c r="R504" i="12"/>
  <c r="Q504" i="12"/>
  <c r="P504" i="12"/>
  <c r="O504" i="12"/>
  <c r="N504" i="12"/>
  <c r="M504" i="12"/>
  <c r="L504" i="12"/>
  <c r="K504" i="12"/>
  <c r="X503" i="12"/>
  <c r="W503" i="12"/>
  <c r="V503" i="12"/>
  <c r="U503" i="12"/>
  <c r="T503" i="12"/>
  <c r="S503" i="12"/>
  <c r="R503" i="12"/>
  <c r="Q503" i="12"/>
  <c r="P503" i="12"/>
  <c r="O503" i="12"/>
  <c r="N503" i="12"/>
  <c r="M503" i="12"/>
  <c r="L503" i="12"/>
  <c r="K503" i="12"/>
  <c r="X502" i="12"/>
  <c r="W502" i="12"/>
  <c r="V502" i="12"/>
  <c r="U502" i="12"/>
  <c r="T502" i="12"/>
  <c r="S502" i="12"/>
  <c r="R502" i="12"/>
  <c r="Q502" i="12"/>
  <c r="P502" i="12"/>
  <c r="O502" i="12"/>
  <c r="N502" i="12"/>
  <c r="M502" i="12"/>
  <c r="L502" i="12"/>
  <c r="K502" i="12"/>
  <c r="X501" i="12"/>
  <c r="W501" i="12"/>
  <c r="V501" i="12"/>
  <c r="U501" i="12"/>
  <c r="T501" i="12"/>
  <c r="S501" i="12"/>
  <c r="R501" i="12"/>
  <c r="Q501" i="12"/>
  <c r="P501" i="12"/>
  <c r="O501" i="12"/>
  <c r="N501" i="12"/>
  <c r="M501" i="12"/>
  <c r="L501" i="12"/>
  <c r="K501" i="12"/>
  <c r="X500" i="12"/>
  <c r="W500" i="12"/>
  <c r="V500" i="12"/>
  <c r="U500" i="12"/>
  <c r="T500" i="12"/>
  <c r="S500" i="12"/>
  <c r="R500" i="12"/>
  <c r="Q500" i="12"/>
  <c r="P500" i="12"/>
  <c r="O500" i="12"/>
  <c r="N500" i="12"/>
  <c r="M500" i="12"/>
  <c r="L500" i="12"/>
  <c r="K500" i="12"/>
  <c r="X499" i="12"/>
  <c r="W499" i="12"/>
  <c r="V499" i="12"/>
  <c r="U499" i="12"/>
  <c r="T499" i="12"/>
  <c r="S499" i="12"/>
  <c r="R499" i="12"/>
  <c r="Q499" i="12"/>
  <c r="P499" i="12"/>
  <c r="O499" i="12"/>
  <c r="N499" i="12"/>
  <c r="M499" i="12"/>
  <c r="L499" i="12"/>
  <c r="K499" i="12"/>
  <c r="X498" i="12"/>
  <c r="W498" i="12"/>
  <c r="V498" i="12"/>
  <c r="U498" i="12"/>
  <c r="T498" i="12"/>
  <c r="S498" i="12"/>
  <c r="R498" i="12"/>
  <c r="Q498" i="12"/>
  <c r="P498" i="12"/>
  <c r="O498" i="12"/>
  <c r="N498" i="12"/>
  <c r="M498" i="12"/>
  <c r="L498" i="12"/>
  <c r="K498" i="12"/>
  <c r="X497" i="12"/>
  <c r="W497" i="12"/>
  <c r="V497" i="12"/>
  <c r="U497" i="12"/>
  <c r="T497" i="12"/>
  <c r="S497" i="12"/>
  <c r="R497" i="12"/>
  <c r="Q497" i="12"/>
  <c r="P497" i="12"/>
  <c r="O497" i="12"/>
  <c r="N497" i="12"/>
  <c r="M497" i="12"/>
  <c r="L497" i="12"/>
  <c r="K497" i="12"/>
  <c r="X496" i="12"/>
  <c r="W496" i="12"/>
  <c r="V496" i="12"/>
  <c r="U496" i="12"/>
  <c r="T496" i="12"/>
  <c r="S496" i="12"/>
  <c r="R496" i="12"/>
  <c r="Q496" i="12"/>
  <c r="P496" i="12"/>
  <c r="O496" i="12"/>
  <c r="N496" i="12"/>
  <c r="M496" i="12"/>
  <c r="L496" i="12"/>
  <c r="K496" i="12"/>
  <c r="X495" i="12"/>
  <c r="W495" i="12"/>
  <c r="V495" i="12"/>
  <c r="U495" i="12"/>
  <c r="T495" i="12"/>
  <c r="S495" i="12"/>
  <c r="R495" i="12"/>
  <c r="Q495" i="12"/>
  <c r="P495" i="12"/>
  <c r="O495" i="12"/>
  <c r="N495" i="12"/>
  <c r="M495" i="12"/>
  <c r="L495" i="12"/>
  <c r="K495" i="12"/>
  <c r="X494" i="12"/>
  <c r="W494" i="12"/>
  <c r="V494" i="12"/>
  <c r="U494" i="12"/>
  <c r="T494" i="12"/>
  <c r="S494" i="12"/>
  <c r="R494" i="12"/>
  <c r="Q494" i="12"/>
  <c r="P494" i="12"/>
  <c r="O494" i="12"/>
  <c r="N494" i="12"/>
  <c r="M494" i="12"/>
  <c r="L494" i="12"/>
  <c r="K494" i="12"/>
  <c r="X493" i="12"/>
  <c r="W493" i="12"/>
  <c r="V493" i="12"/>
  <c r="U493" i="12"/>
  <c r="T493" i="12"/>
  <c r="S493" i="12"/>
  <c r="R493" i="12"/>
  <c r="Q493" i="12"/>
  <c r="P493" i="12"/>
  <c r="O493" i="12"/>
  <c r="N493" i="12"/>
  <c r="M493" i="12"/>
  <c r="L493" i="12"/>
  <c r="K493" i="12"/>
  <c r="X492" i="12"/>
  <c r="W492" i="12"/>
  <c r="V492" i="12"/>
  <c r="U492" i="12"/>
  <c r="T492" i="12"/>
  <c r="S492" i="12"/>
  <c r="R492" i="12"/>
  <c r="Q492" i="12"/>
  <c r="P492" i="12"/>
  <c r="O492" i="12"/>
  <c r="N492" i="12"/>
  <c r="M492" i="12"/>
  <c r="L492" i="12"/>
  <c r="K492" i="12"/>
  <c r="X491" i="12"/>
  <c r="W491" i="12"/>
  <c r="V491" i="12"/>
  <c r="U491" i="12"/>
  <c r="T491" i="12"/>
  <c r="S491" i="12"/>
  <c r="R491" i="12"/>
  <c r="Q491" i="12"/>
  <c r="P491" i="12"/>
  <c r="O491" i="12"/>
  <c r="N491" i="12"/>
  <c r="M491" i="12"/>
  <c r="L491" i="12"/>
  <c r="K491" i="12"/>
  <c r="X490" i="12"/>
  <c r="W490" i="12"/>
  <c r="V490" i="12"/>
  <c r="U490" i="12"/>
  <c r="T490" i="12"/>
  <c r="S490" i="12"/>
  <c r="R490" i="12"/>
  <c r="Q490" i="12"/>
  <c r="P490" i="12"/>
  <c r="O490" i="12"/>
  <c r="N490" i="12"/>
  <c r="M490" i="12"/>
  <c r="L490" i="12"/>
  <c r="K490" i="12"/>
  <c r="X489" i="12"/>
  <c r="W489" i="12"/>
  <c r="V489" i="12"/>
  <c r="U489" i="12"/>
  <c r="T489" i="12"/>
  <c r="S489" i="12"/>
  <c r="R489" i="12"/>
  <c r="Q489" i="12"/>
  <c r="P489" i="12"/>
  <c r="O489" i="12"/>
  <c r="N489" i="12"/>
  <c r="M489" i="12"/>
  <c r="L489" i="12"/>
  <c r="K489" i="12"/>
  <c r="X488" i="12"/>
  <c r="W488" i="12"/>
  <c r="V488" i="12"/>
  <c r="U488" i="12"/>
  <c r="T488" i="12"/>
  <c r="S488" i="12"/>
  <c r="R488" i="12"/>
  <c r="Q488" i="12"/>
  <c r="P488" i="12"/>
  <c r="O488" i="12"/>
  <c r="N488" i="12"/>
  <c r="M488" i="12"/>
  <c r="L488" i="12"/>
  <c r="K488" i="12"/>
  <c r="X487" i="12"/>
  <c r="W487" i="12"/>
  <c r="V487" i="12"/>
  <c r="U487" i="12"/>
  <c r="T487" i="12"/>
  <c r="S487" i="12"/>
  <c r="R487" i="12"/>
  <c r="Q487" i="12"/>
  <c r="P487" i="12"/>
  <c r="O487" i="12"/>
  <c r="N487" i="12"/>
  <c r="M487" i="12"/>
  <c r="L487" i="12"/>
  <c r="K487" i="12"/>
  <c r="X486" i="12"/>
  <c r="W486" i="12"/>
  <c r="V486" i="12"/>
  <c r="U486" i="12"/>
  <c r="T486" i="12"/>
  <c r="S486" i="12"/>
  <c r="R486" i="12"/>
  <c r="Q486" i="12"/>
  <c r="P486" i="12"/>
  <c r="O486" i="12"/>
  <c r="N486" i="12"/>
  <c r="M486" i="12"/>
  <c r="L486" i="12"/>
  <c r="K486" i="12"/>
  <c r="X485" i="12"/>
  <c r="W485" i="12"/>
  <c r="V485" i="12"/>
  <c r="U485" i="12"/>
  <c r="T485" i="12"/>
  <c r="S485" i="12"/>
  <c r="R485" i="12"/>
  <c r="Q485" i="12"/>
  <c r="P485" i="12"/>
  <c r="O485" i="12"/>
  <c r="N485" i="12"/>
  <c r="M485" i="12"/>
  <c r="L485" i="12"/>
  <c r="K485" i="12"/>
  <c r="X484" i="12"/>
  <c r="W484" i="12"/>
  <c r="V484" i="12"/>
  <c r="U484" i="12"/>
  <c r="T484" i="12"/>
  <c r="S484" i="12"/>
  <c r="R484" i="12"/>
  <c r="Q484" i="12"/>
  <c r="P484" i="12"/>
  <c r="O484" i="12"/>
  <c r="N484" i="12"/>
  <c r="M484" i="12"/>
  <c r="L484" i="12"/>
  <c r="K484" i="12"/>
  <c r="X483" i="12"/>
  <c r="W483" i="12"/>
  <c r="V483" i="12"/>
  <c r="U483" i="12"/>
  <c r="T483" i="12"/>
  <c r="S483" i="12"/>
  <c r="R483" i="12"/>
  <c r="Q483" i="12"/>
  <c r="P483" i="12"/>
  <c r="O483" i="12"/>
  <c r="N483" i="12"/>
  <c r="M483" i="12"/>
  <c r="L483" i="12"/>
  <c r="K483" i="12"/>
  <c r="X482" i="12"/>
  <c r="W482" i="12"/>
  <c r="V482" i="12"/>
  <c r="U482" i="12"/>
  <c r="T482" i="12"/>
  <c r="S482" i="12"/>
  <c r="R482" i="12"/>
  <c r="Q482" i="12"/>
  <c r="P482" i="12"/>
  <c r="O482" i="12"/>
  <c r="N482" i="12"/>
  <c r="M482" i="12"/>
  <c r="L482" i="12"/>
  <c r="K482" i="12"/>
  <c r="X481" i="12"/>
  <c r="W481" i="12"/>
  <c r="V481" i="12"/>
  <c r="U481" i="12"/>
  <c r="T481" i="12"/>
  <c r="S481" i="12"/>
  <c r="R481" i="12"/>
  <c r="Q481" i="12"/>
  <c r="P481" i="12"/>
  <c r="O481" i="12"/>
  <c r="N481" i="12"/>
  <c r="M481" i="12"/>
  <c r="L481" i="12"/>
  <c r="K481" i="12"/>
  <c r="X480" i="12"/>
  <c r="W480" i="12"/>
  <c r="V480" i="12"/>
  <c r="U480" i="12"/>
  <c r="T480" i="12"/>
  <c r="S480" i="12"/>
  <c r="R480" i="12"/>
  <c r="Q480" i="12"/>
  <c r="P480" i="12"/>
  <c r="O480" i="12"/>
  <c r="N480" i="12"/>
  <c r="M480" i="12"/>
  <c r="L480" i="12"/>
  <c r="K480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X478" i="12"/>
  <c r="W478" i="12"/>
  <c r="V478" i="12"/>
  <c r="U478" i="12"/>
  <c r="T478" i="12"/>
  <c r="S478" i="12"/>
  <c r="R478" i="12"/>
  <c r="Q478" i="12"/>
  <c r="P478" i="12"/>
  <c r="O478" i="12"/>
  <c r="N478" i="12"/>
  <c r="M478" i="12"/>
  <c r="L478" i="12"/>
  <c r="K478" i="12"/>
  <c r="E475" i="12"/>
  <c r="E843" i="12" s="1"/>
  <c r="E1326" i="12" s="1"/>
  <c r="D475" i="12"/>
  <c r="D843" i="12" s="1"/>
  <c r="D1326" i="12" s="1"/>
  <c r="C475" i="12"/>
  <c r="C843" i="12" s="1"/>
  <c r="C1326" i="12" s="1"/>
  <c r="C1566" i="12" s="1"/>
  <c r="C1806" i="12" s="1"/>
  <c r="B475" i="12"/>
  <c r="B843" i="12" s="1"/>
  <c r="B1326" i="12" s="1"/>
  <c r="B1566" i="12" s="1"/>
  <c r="B1806" i="12" s="1"/>
  <c r="E474" i="12"/>
  <c r="E842" i="12" s="1"/>
  <c r="E1325" i="12" s="1"/>
  <c r="E1565" i="12" s="1"/>
  <c r="E1805" i="12" s="1"/>
  <c r="D474" i="12"/>
  <c r="D842" i="12" s="1"/>
  <c r="D1325" i="12" s="1"/>
  <c r="C474" i="12"/>
  <c r="C842" i="12" s="1"/>
  <c r="C1325" i="12" s="1"/>
  <c r="C1565" i="12" s="1"/>
  <c r="C1805" i="12" s="1"/>
  <c r="B474" i="12"/>
  <c r="B842" i="12" s="1"/>
  <c r="B1325" i="12" s="1"/>
  <c r="B1565" i="12" s="1"/>
  <c r="B1805" i="12" s="1"/>
  <c r="E473" i="12"/>
  <c r="E841" i="12" s="1"/>
  <c r="E1324" i="12" s="1"/>
  <c r="E1564" i="12" s="1"/>
  <c r="E1804" i="12" s="1"/>
  <c r="D473" i="12"/>
  <c r="D841" i="12" s="1"/>
  <c r="D1324" i="12" s="1"/>
  <c r="C473" i="12"/>
  <c r="C841" i="12" s="1"/>
  <c r="C1324" i="12" s="1"/>
  <c r="C1564" i="12" s="1"/>
  <c r="C1804" i="12" s="1"/>
  <c r="B473" i="12"/>
  <c r="B841" i="12" s="1"/>
  <c r="B1324" i="12" s="1"/>
  <c r="B1564" i="12" s="1"/>
  <c r="B1804" i="12" s="1"/>
  <c r="E472" i="12"/>
  <c r="E840" i="12" s="1"/>
  <c r="E1323" i="12" s="1"/>
  <c r="D472" i="12"/>
  <c r="D840" i="12" s="1"/>
  <c r="D1323" i="12" s="1"/>
  <c r="C472" i="12"/>
  <c r="C840" i="12" s="1"/>
  <c r="C1323" i="12" s="1"/>
  <c r="C1563" i="12" s="1"/>
  <c r="C1803" i="12" s="1"/>
  <c r="B472" i="12"/>
  <c r="B840" i="12" s="1"/>
  <c r="B1323" i="12" s="1"/>
  <c r="B1563" i="12" s="1"/>
  <c r="B1803" i="12" s="1"/>
  <c r="E471" i="12"/>
  <c r="E839" i="12" s="1"/>
  <c r="E1322" i="12" s="1"/>
  <c r="E1562" i="12" s="1"/>
  <c r="E1802" i="12" s="1"/>
  <c r="D471" i="12"/>
  <c r="D839" i="12" s="1"/>
  <c r="D1322" i="12" s="1"/>
  <c r="C471" i="12"/>
  <c r="C839" i="12" s="1"/>
  <c r="C1322" i="12" s="1"/>
  <c r="C1562" i="12" s="1"/>
  <c r="C1802" i="12" s="1"/>
  <c r="B471" i="12"/>
  <c r="B839" i="12" s="1"/>
  <c r="B1322" i="12" s="1"/>
  <c r="B1562" i="12" s="1"/>
  <c r="B1802" i="12" s="1"/>
  <c r="E470" i="12"/>
  <c r="E838" i="12" s="1"/>
  <c r="E1321" i="12" s="1"/>
  <c r="E1561" i="12" s="1"/>
  <c r="E1801" i="12" s="1"/>
  <c r="D470" i="12"/>
  <c r="D838" i="12" s="1"/>
  <c r="D1321" i="12" s="1"/>
  <c r="C470" i="12"/>
  <c r="C838" i="12" s="1"/>
  <c r="C1321" i="12" s="1"/>
  <c r="C1561" i="12" s="1"/>
  <c r="C1801" i="12" s="1"/>
  <c r="B470" i="12"/>
  <c r="B838" i="12" s="1"/>
  <c r="B1321" i="12" s="1"/>
  <c r="B1561" i="12" s="1"/>
  <c r="B1801" i="12" s="1"/>
  <c r="E469" i="12"/>
  <c r="E837" i="12" s="1"/>
  <c r="E1320" i="12" s="1"/>
  <c r="E1560" i="12" s="1"/>
  <c r="E1800" i="12" s="1"/>
  <c r="D469" i="12"/>
  <c r="D837" i="12" s="1"/>
  <c r="D1320" i="12" s="1"/>
  <c r="C469" i="12"/>
  <c r="C837" i="12" s="1"/>
  <c r="C1320" i="12" s="1"/>
  <c r="C1560" i="12" s="1"/>
  <c r="C1800" i="12" s="1"/>
  <c r="B469" i="12"/>
  <c r="B837" i="12" s="1"/>
  <c r="B1320" i="12" s="1"/>
  <c r="B1560" i="12" s="1"/>
  <c r="B1800" i="12" s="1"/>
  <c r="E468" i="12"/>
  <c r="E836" i="12" s="1"/>
  <c r="E1319" i="12" s="1"/>
  <c r="D468" i="12"/>
  <c r="D836" i="12" s="1"/>
  <c r="D1319" i="12" s="1"/>
  <c r="C468" i="12"/>
  <c r="C836" i="12" s="1"/>
  <c r="C1319" i="12" s="1"/>
  <c r="C1559" i="12" s="1"/>
  <c r="C1799" i="12" s="1"/>
  <c r="B468" i="12"/>
  <c r="B836" i="12" s="1"/>
  <c r="B1319" i="12" s="1"/>
  <c r="B1559" i="12" s="1"/>
  <c r="B1799" i="12" s="1"/>
  <c r="E467" i="12"/>
  <c r="E835" i="12" s="1"/>
  <c r="E1318" i="12" s="1"/>
  <c r="E1558" i="12" s="1"/>
  <c r="E1798" i="12" s="1"/>
  <c r="D467" i="12"/>
  <c r="D835" i="12" s="1"/>
  <c r="D1318" i="12" s="1"/>
  <c r="C467" i="12"/>
  <c r="C835" i="12" s="1"/>
  <c r="C1318" i="12" s="1"/>
  <c r="C1558" i="12" s="1"/>
  <c r="C1798" i="12" s="1"/>
  <c r="B467" i="12"/>
  <c r="B835" i="12" s="1"/>
  <c r="B1318" i="12" s="1"/>
  <c r="B1558" i="12" s="1"/>
  <c r="B1798" i="12" s="1"/>
  <c r="E466" i="12"/>
  <c r="E834" i="12" s="1"/>
  <c r="E1317" i="12" s="1"/>
  <c r="E1557" i="12" s="1"/>
  <c r="E1797" i="12" s="1"/>
  <c r="D466" i="12"/>
  <c r="D834" i="12" s="1"/>
  <c r="D1317" i="12" s="1"/>
  <c r="C466" i="12"/>
  <c r="C834" i="12" s="1"/>
  <c r="C1317" i="12" s="1"/>
  <c r="C1557" i="12" s="1"/>
  <c r="C1797" i="12" s="1"/>
  <c r="B466" i="12"/>
  <c r="B834" i="12" s="1"/>
  <c r="B1317" i="12" s="1"/>
  <c r="B1557" i="12" s="1"/>
  <c r="B1797" i="12" s="1"/>
  <c r="E465" i="12"/>
  <c r="E833" i="12" s="1"/>
  <c r="E1316" i="12" s="1"/>
  <c r="E1556" i="12" s="1"/>
  <c r="E1796" i="12" s="1"/>
  <c r="D465" i="12"/>
  <c r="D833" i="12" s="1"/>
  <c r="D1316" i="12" s="1"/>
  <c r="C465" i="12"/>
  <c r="C833" i="12" s="1"/>
  <c r="C1316" i="12" s="1"/>
  <c r="C1556" i="12" s="1"/>
  <c r="C1796" i="12" s="1"/>
  <c r="B465" i="12"/>
  <c r="B833" i="12" s="1"/>
  <c r="B1316" i="12" s="1"/>
  <c r="B1556" i="12" s="1"/>
  <c r="B1796" i="12" s="1"/>
  <c r="E464" i="12"/>
  <c r="E832" i="12" s="1"/>
  <c r="E1315" i="12" s="1"/>
  <c r="D464" i="12"/>
  <c r="D832" i="12" s="1"/>
  <c r="D1315" i="12" s="1"/>
  <c r="C464" i="12"/>
  <c r="C832" i="12" s="1"/>
  <c r="C1315" i="12" s="1"/>
  <c r="C1555" i="12" s="1"/>
  <c r="C1795" i="12" s="1"/>
  <c r="B464" i="12"/>
  <c r="B832" i="12" s="1"/>
  <c r="B1315" i="12" s="1"/>
  <c r="B1555" i="12" s="1"/>
  <c r="B1795" i="12" s="1"/>
  <c r="E463" i="12"/>
  <c r="E831" i="12" s="1"/>
  <c r="E1314" i="12" s="1"/>
  <c r="E1554" i="12" s="1"/>
  <c r="E1794" i="12" s="1"/>
  <c r="D463" i="12"/>
  <c r="D831" i="12" s="1"/>
  <c r="D1314" i="12" s="1"/>
  <c r="C463" i="12"/>
  <c r="C831" i="12" s="1"/>
  <c r="C1314" i="12" s="1"/>
  <c r="C1554" i="12" s="1"/>
  <c r="C1794" i="12" s="1"/>
  <c r="B463" i="12"/>
  <c r="B831" i="12" s="1"/>
  <c r="B1314" i="12" s="1"/>
  <c r="B1554" i="12" s="1"/>
  <c r="B1794" i="12" s="1"/>
  <c r="E462" i="12"/>
  <c r="E830" i="12" s="1"/>
  <c r="E1313" i="12" s="1"/>
  <c r="D462" i="12"/>
  <c r="D830" i="12" s="1"/>
  <c r="D1313" i="12" s="1"/>
  <c r="C462" i="12"/>
  <c r="C830" i="12" s="1"/>
  <c r="C1313" i="12" s="1"/>
  <c r="C1553" i="12" s="1"/>
  <c r="C1793" i="12" s="1"/>
  <c r="B462" i="12"/>
  <c r="B830" i="12" s="1"/>
  <c r="B1313" i="12" s="1"/>
  <c r="B1553" i="12" s="1"/>
  <c r="B1793" i="12" s="1"/>
  <c r="E461" i="12"/>
  <c r="E829" i="12" s="1"/>
  <c r="E1312" i="12" s="1"/>
  <c r="E1552" i="12" s="1"/>
  <c r="E1792" i="12" s="1"/>
  <c r="D461" i="12"/>
  <c r="D829" i="12" s="1"/>
  <c r="D1312" i="12" s="1"/>
  <c r="C461" i="12"/>
  <c r="C829" i="12" s="1"/>
  <c r="C1312" i="12" s="1"/>
  <c r="C1552" i="12" s="1"/>
  <c r="C1792" i="12" s="1"/>
  <c r="B461" i="12"/>
  <c r="B829" i="12" s="1"/>
  <c r="B1312" i="12" s="1"/>
  <c r="B1552" i="12" s="1"/>
  <c r="B1792" i="12" s="1"/>
  <c r="E460" i="12"/>
  <c r="E828" i="12" s="1"/>
  <c r="E1311" i="12" s="1"/>
  <c r="D460" i="12"/>
  <c r="D828" i="12" s="1"/>
  <c r="D1311" i="12" s="1"/>
  <c r="C460" i="12"/>
  <c r="C828" i="12" s="1"/>
  <c r="C1311" i="12" s="1"/>
  <c r="C1551" i="12" s="1"/>
  <c r="C1791" i="12" s="1"/>
  <c r="B460" i="12"/>
  <c r="B828" i="12" s="1"/>
  <c r="B1311" i="12" s="1"/>
  <c r="B1551" i="12" s="1"/>
  <c r="B1791" i="12" s="1"/>
  <c r="E459" i="12"/>
  <c r="E827" i="12" s="1"/>
  <c r="E1310" i="12" s="1"/>
  <c r="D459" i="12"/>
  <c r="D827" i="12" s="1"/>
  <c r="D1310" i="12" s="1"/>
  <c r="C459" i="12"/>
  <c r="C827" i="12" s="1"/>
  <c r="C1310" i="12" s="1"/>
  <c r="C1550" i="12" s="1"/>
  <c r="C1790" i="12" s="1"/>
  <c r="B459" i="12"/>
  <c r="B827" i="12" s="1"/>
  <c r="B1310" i="12" s="1"/>
  <c r="B1550" i="12" s="1"/>
  <c r="B1790" i="12" s="1"/>
  <c r="E458" i="12"/>
  <c r="E826" i="12" s="1"/>
  <c r="E1309" i="12" s="1"/>
  <c r="D458" i="12"/>
  <c r="D826" i="12" s="1"/>
  <c r="D1309" i="12" s="1"/>
  <c r="C458" i="12"/>
  <c r="C826" i="12" s="1"/>
  <c r="C1309" i="12" s="1"/>
  <c r="C1549" i="12" s="1"/>
  <c r="C1789" i="12" s="1"/>
  <c r="B458" i="12"/>
  <c r="B826" i="12" s="1"/>
  <c r="B1309" i="12" s="1"/>
  <c r="B1549" i="12" s="1"/>
  <c r="B1789" i="12" s="1"/>
  <c r="E457" i="12"/>
  <c r="E825" i="12" s="1"/>
  <c r="E1308" i="12" s="1"/>
  <c r="E1548" i="12" s="1"/>
  <c r="E1788" i="12" s="1"/>
  <c r="D457" i="12"/>
  <c r="D825" i="12" s="1"/>
  <c r="D1308" i="12" s="1"/>
  <c r="C457" i="12"/>
  <c r="C825" i="12" s="1"/>
  <c r="C1308" i="12" s="1"/>
  <c r="C1548" i="12" s="1"/>
  <c r="C1788" i="12" s="1"/>
  <c r="B457" i="12"/>
  <c r="B825" i="12" s="1"/>
  <c r="B1308" i="12" s="1"/>
  <c r="B1548" i="12" s="1"/>
  <c r="B1788" i="12" s="1"/>
  <c r="E456" i="12"/>
  <c r="E824" i="12" s="1"/>
  <c r="E1307" i="12" s="1"/>
  <c r="E1547" i="12" s="1"/>
  <c r="E1787" i="12" s="1"/>
  <c r="D456" i="12"/>
  <c r="D824" i="12" s="1"/>
  <c r="D1307" i="12" s="1"/>
  <c r="C456" i="12"/>
  <c r="C824" i="12" s="1"/>
  <c r="C1307" i="12" s="1"/>
  <c r="C1547" i="12" s="1"/>
  <c r="C1787" i="12" s="1"/>
  <c r="B456" i="12"/>
  <c r="B824" i="12" s="1"/>
  <c r="B1307" i="12" s="1"/>
  <c r="B1547" i="12" s="1"/>
  <c r="B1787" i="12" s="1"/>
  <c r="E455" i="12"/>
  <c r="E823" i="12" s="1"/>
  <c r="E1306" i="12" s="1"/>
  <c r="E1546" i="12" s="1"/>
  <c r="E1786" i="12" s="1"/>
  <c r="D455" i="12"/>
  <c r="D823" i="12" s="1"/>
  <c r="D1306" i="12" s="1"/>
  <c r="C455" i="12"/>
  <c r="C823" i="12" s="1"/>
  <c r="C1306" i="12" s="1"/>
  <c r="C1546" i="12" s="1"/>
  <c r="C1786" i="12" s="1"/>
  <c r="B455" i="12"/>
  <c r="B823" i="12" s="1"/>
  <c r="B1306" i="12" s="1"/>
  <c r="B1546" i="12" s="1"/>
  <c r="B1786" i="12" s="1"/>
  <c r="E454" i="12"/>
  <c r="E822" i="12" s="1"/>
  <c r="E1305" i="12" s="1"/>
  <c r="D454" i="12"/>
  <c r="D822" i="12" s="1"/>
  <c r="D1305" i="12" s="1"/>
  <c r="C454" i="12"/>
  <c r="C822" i="12" s="1"/>
  <c r="C1305" i="12" s="1"/>
  <c r="C1545" i="12" s="1"/>
  <c r="C1785" i="12" s="1"/>
  <c r="B454" i="12"/>
  <c r="B822" i="12" s="1"/>
  <c r="B1305" i="12" s="1"/>
  <c r="B1545" i="12" s="1"/>
  <c r="B1785" i="12" s="1"/>
  <c r="E453" i="12"/>
  <c r="E821" i="12" s="1"/>
  <c r="E1304" i="12" s="1"/>
  <c r="E1544" i="12" s="1"/>
  <c r="E1784" i="12" s="1"/>
  <c r="D453" i="12"/>
  <c r="D821" i="12" s="1"/>
  <c r="D1304" i="12" s="1"/>
  <c r="C453" i="12"/>
  <c r="C821" i="12" s="1"/>
  <c r="C1304" i="12" s="1"/>
  <c r="C1544" i="12" s="1"/>
  <c r="C1784" i="12" s="1"/>
  <c r="B453" i="12"/>
  <c r="B821" i="12" s="1"/>
  <c r="B1304" i="12" s="1"/>
  <c r="B1544" i="12" s="1"/>
  <c r="B1784" i="12" s="1"/>
  <c r="E452" i="12"/>
  <c r="E820" i="12" s="1"/>
  <c r="E1303" i="12" s="1"/>
  <c r="D452" i="12"/>
  <c r="D820" i="12" s="1"/>
  <c r="D1303" i="12" s="1"/>
  <c r="C452" i="12"/>
  <c r="C820" i="12" s="1"/>
  <c r="C1303" i="12" s="1"/>
  <c r="C1543" i="12" s="1"/>
  <c r="C1783" i="12" s="1"/>
  <c r="B452" i="12"/>
  <c r="B820" i="12" s="1"/>
  <c r="B1303" i="12" s="1"/>
  <c r="B1543" i="12" s="1"/>
  <c r="B1783" i="12" s="1"/>
  <c r="E451" i="12"/>
  <c r="E819" i="12" s="1"/>
  <c r="E1302" i="12" s="1"/>
  <c r="E1542" i="12" s="1"/>
  <c r="E1782" i="12" s="1"/>
  <c r="D451" i="12"/>
  <c r="D819" i="12" s="1"/>
  <c r="D1302" i="12" s="1"/>
  <c r="C451" i="12"/>
  <c r="C819" i="12" s="1"/>
  <c r="C1302" i="12" s="1"/>
  <c r="C1542" i="12" s="1"/>
  <c r="C1782" i="12" s="1"/>
  <c r="B451" i="12"/>
  <c r="B819" i="12" s="1"/>
  <c r="B1302" i="12" s="1"/>
  <c r="B1542" i="12" s="1"/>
  <c r="B1782" i="12" s="1"/>
  <c r="E450" i="12"/>
  <c r="E818" i="12" s="1"/>
  <c r="E1301" i="12" s="1"/>
  <c r="E1541" i="12" s="1"/>
  <c r="E1781" i="12" s="1"/>
  <c r="D450" i="12"/>
  <c r="D818" i="12" s="1"/>
  <c r="D1301" i="12" s="1"/>
  <c r="C450" i="12"/>
  <c r="C818" i="12" s="1"/>
  <c r="C1301" i="12" s="1"/>
  <c r="C1541" i="12" s="1"/>
  <c r="C1781" i="12" s="1"/>
  <c r="B450" i="12"/>
  <c r="B818" i="12" s="1"/>
  <c r="B1301" i="12" s="1"/>
  <c r="B1541" i="12" s="1"/>
  <c r="B1781" i="12" s="1"/>
  <c r="E449" i="12"/>
  <c r="E817" i="12" s="1"/>
  <c r="E1300" i="12" s="1"/>
  <c r="E1540" i="12" s="1"/>
  <c r="E1780" i="12" s="1"/>
  <c r="D449" i="12"/>
  <c r="D817" i="12" s="1"/>
  <c r="D1300" i="12" s="1"/>
  <c r="C449" i="12"/>
  <c r="C817" i="12" s="1"/>
  <c r="C1300" i="12" s="1"/>
  <c r="C1540" i="12" s="1"/>
  <c r="C1780" i="12" s="1"/>
  <c r="B449" i="12"/>
  <c r="B817" i="12" s="1"/>
  <c r="B1300" i="12" s="1"/>
  <c r="B1540" i="12" s="1"/>
  <c r="B1780" i="12" s="1"/>
  <c r="E448" i="12"/>
  <c r="E816" i="12" s="1"/>
  <c r="E1299" i="12" s="1"/>
  <c r="D448" i="12"/>
  <c r="D816" i="12" s="1"/>
  <c r="D1299" i="12" s="1"/>
  <c r="C448" i="12"/>
  <c r="C816" i="12" s="1"/>
  <c r="C1299" i="12" s="1"/>
  <c r="C1539" i="12" s="1"/>
  <c r="C1779" i="12" s="1"/>
  <c r="B448" i="12"/>
  <c r="B816" i="12" s="1"/>
  <c r="B1299" i="12" s="1"/>
  <c r="B1539" i="12" s="1"/>
  <c r="B1779" i="12" s="1"/>
  <c r="E447" i="12"/>
  <c r="E815" i="12" s="1"/>
  <c r="E1298" i="12" s="1"/>
  <c r="D447" i="12"/>
  <c r="D815" i="12" s="1"/>
  <c r="D1298" i="12" s="1"/>
  <c r="C447" i="12"/>
  <c r="C815" i="12" s="1"/>
  <c r="C1298" i="12" s="1"/>
  <c r="C1538" i="12" s="1"/>
  <c r="C1778" i="12" s="1"/>
  <c r="B447" i="12"/>
  <c r="B815" i="12" s="1"/>
  <c r="B1298" i="12" s="1"/>
  <c r="B1538" i="12" s="1"/>
  <c r="B1778" i="12" s="1"/>
  <c r="E446" i="12"/>
  <c r="E814" i="12" s="1"/>
  <c r="E1297" i="12" s="1"/>
  <c r="E1537" i="12" s="1"/>
  <c r="E1777" i="12" s="1"/>
  <c r="D446" i="12"/>
  <c r="D814" i="12" s="1"/>
  <c r="D1297" i="12" s="1"/>
  <c r="C446" i="12"/>
  <c r="C814" i="12" s="1"/>
  <c r="C1297" i="12" s="1"/>
  <c r="C1537" i="12" s="1"/>
  <c r="C1777" i="12" s="1"/>
  <c r="B446" i="12"/>
  <c r="B814" i="12" s="1"/>
  <c r="B1297" i="12" s="1"/>
  <c r="B1537" i="12" s="1"/>
  <c r="B1777" i="12" s="1"/>
  <c r="E445" i="12"/>
  <c r="E813" i="12" s="1"/>
  <c r="E1296" i="12" s="1"/>
  <c r="E1536" i="12" s="1"/>
  <c r="E1776" i="12" s="1"/>
  <c r="D445" i="12"/>
  <c r="D813" i="12" s="1"/>
  <c r="D1296" i="12" s="1"/>
  <c r="C445" i="12"/>
  <c r="C813" i="12" s="1"/>
  <c r="C1296" i="12" s="1"/>
  <c r="C1536" i="12" s="1"/>
  <c r="C1776" i="12" s="1"/>
  <c r="B445" i="12"/>
  <c r="B813" i="12" s="1"/>
  <c r="B1296" i="12" s="1"/>
  <c r="B1536" i="12" s="1"/>
  <c r="B1776" i="12" s="1"/>
  <c r="E444" i="12"/>
  <c r="E812" i="12" s="1"/>
  <c r="E1295" i="12" s="1"/>
  <c r="D444" i="12"/>
  <c r="D812" i="12" s="1"/>
  <c r="D1295" i="12" s="1"/>
  <c r="C444" i="12"/>
  <c r="C812" i="12" s="1"/>
  <c r="C1295" i="12" s="1"/>
  <c r="C1535" i="12" s="1"/>
  <c r="C1775" i="12" s="1"/>
  <c r="B444" i="12"/>
  <c r="B812" i="12" s="1"/>
  <c r="B1295" i="12" s="1"/>
  <c r="B1535" i="12" s="1"/>
  <c r="B1775" i="12" s="1"/>
  <c r="E443" i="12"/>
  <c r="E811" i="12" s="1"/>
  <c r="E1294" i="12" s="1"/>
  <c r="E1534" i="12" s="1"/>
  <c r="E1774" i="12" s="1"/>
  <c r="D443" i="12"/>
  <c r="D811" i="12" s="1"/>
  <c r="D1294" i="12" s="1"/>
  <c r="C443" i="12"/>
  <c r="C811" i="12" s="1"/>
  <c r="C1294" i="12" s="1"/>
  <c r="C1534" i="12" s="1"/>
  <c r="C1774" i="12" s="1"/>
  <c r="B443" i="12"/>
  <c r="B811" i="12" s="1"/>
  <c r="B1294" i="12" s="1"/>
  <c r="B1534" i="12" s="1"/>
  <c r="B1774" i="12" s="1"/>
  <c r="E442" i="12"/>
  <c r="E810" i="12" s="1"/>
  <c r="E1293" i="12" s="1"/>
  <c r="E1533" i="12" s="1"/>
  <c r="E1773" i="12" s="1"/>
  <c r="D442" i="12"/>
  <c r="D810" i="12" s="1"/>
  <c r="D1293" i="12" s="1"/>
  <c r="C442" i="12"/>
  <c r="C810" i="12" s="1"/>
  <c r="C1293" i="12" s="1"/>
  <c r="C1533" i="12" s="1"/>
  <c r="C1773" i="12" s="1"/>
  <c r="B442" i="12"/>
  <c r="B810" i="12" s="1"/>
  <c r="B1293" i="12" s="1"/>
  <c r="B1533" i="12" s="1"/>
  <c r="B1773" i="12" s="1"/>
  <c r="E441" i="12"/>
  <c r="E809" i="12" s="1"/>
  <c r="E1292" i="12" s="1"/>
  <c r="E1532" i="12" s="1"/>
  <c r="E1772" i="12" s="1"/>
  <c r="D441" i="12"/>
  <c r="D809" i="12" s="1"/>
  <c r="D1292" i="12" s="1"/>
  <c r="C441" i="12"/>
  <c r="C809" i="12" s="1"/>
  <c r="C1292" i="12" s="1"/>
  <c r="C1532" i="12" s="1"/>
  <c r="C1772" i="12" s="1"/>
  <c r="B441" i="12"/>
  <c r="B809" i="12" s="1"/>
  <c r="B1292" i="12" s="1"/>
  <c r="B1532" i="12" s="1"/>
  <c r="B1772" i="12" s="1"/>
  <c r="E440" i="12"/>
  <c r="E808" i="12" s="1"/>
  <c r="E1291" i="12" s="1"/>
  <c r="D440" i="12"/>
  <c r="D808" i="12" s="1"/>
  <c r="D1291" i="12" s="1"/>
  <c r="C440" i="12"/>
  <c r="C808" i="12" s="1"/>
  <c r="C1291" i="12" s="1"/>
  <c r="C1531" i="12" s="1"/>
  <c r="C1771" i="12" s="1"/>
  <c r="B440" i="12"/>
  <c r="B808" i="12" s="1"/>
  <c r="B1291" i="12" s="1"/>
  <c r="B1531" i="12" s="1"/>
  <c r="B1771" i="12" s="1"/>
  <c r="E439" i="12"/>
  <c r="E807" i="12" s="1"/>
  <c r="E1290" i="12" s="1"/>
  <c r="D439" i="12"/>
  <c r="D807" i="12" s="1"/>
  <c r="D1290" i="12" s="1"/>
  <c r="C439" i="12"/>
  <c r="C807" i="12" s="1"/>
  <c r="C1290" i="12" s="1"/>
  <c r="C1530" i="12" s="1"/>
  <c r="C1770" i="12" s="1"/>
  <c r="B439" i="12"/>
  <c r="B807" i="12" s="1"/>
  <c r="B1290" i="12" s="1"/>
  <c r="B1530" i="12" s="1"/>
  <c r="B1770" i="12" s="1"/>
  <c r="E438" i="12"/>
  <c r="E806" i="12" s="1"/>
  <c r="E1289" i="12" s="1"/>
  <c r="E1529" i="12" s="1"/>
  <c r="E1769" i="12" s="1"/>
  <c r="D438" i="12"/>
  <c r="D806" i="12" s="1"/>
  <c r="D1289" i="12" s="1"/>
  <c r="C438" i="12"/>
  <c r="C806" i="12" s="1"/>
  <c r="C1289" i="12" s="1"/>
  <c r="C1529" i="12" s="1"/>
  <c r="C1769" i="12" s="1"/>
  <c r="B438" i="12"/>
  <c r="B806" i="12" s="1"/>
  <c r="B1289" i="12" s="1"/>
  <c r="B1529" i="12" s="1"/>
  <c r="B1769" i="12" s="1"/>
  <c r="E437" i="12"/>
  <c r="E805" i="12" s="1"/>
  <c r="E1288" i="12" s="1"/>
  <c r="D437" i="12"/>
  <c r="D805" i="12" s="1"/>
  <c r="D1288" i="12" s="1"/>
  <c r="C437" i="12"/>
  <c r="C805" i="12" s="1"/>
  <c r="C1288" i="12" s="1"/>
  <c r="C1528" i="12" s="1"/>
  <c r="C1768" i="12" s="1"/>
  <c r="B437" i="12"/>
  <c r="B805" i="12" s="1"/>
  <c r="B1288" i="12" s="1"/>
  <c r="B1528" i="12" s="1"/>
  <c r="B1768" i="12" s="1"/>
  <c r="E436" i="12"/>
  <c r="E804" i="12" s="1"/>
  <c r="D436" i="12"/>
  <c r="D804" i="12" s="1"/>
  <c r="D1287" i="12" s="1"/>
  <c r="C436" i="12"/>
  <c r="C804" i="12" s="1"/>
  <c r="C1287" i="12" s="1"/>
  <c r="C1527" i="12" s="1"/>
  <c r="C1767" i="12" s="1"/>
  <c r="B436" i="12"/>
  <c r="B804" i="12" s="1"/>
  <c r="B1287" i="12" s="1"/>
  <c r="B1527" i="12" s="1"/>
  <c r="B1767" i="12" s="1"/>
  <c r="X430" i="12"/>
  <c r="X475" i="12" s="1"/>
  <c r="W430" i="12"/>
  <c r="W475" i="12" s="1"/>
  <c r="V430" i="12"/>
  <c r="V475" i="12" s="1"/>
  <c r="U430" i="12"/>
  <c r="U475" i="12" s="1"/>
  <c r="T430" i="12"/>
  <c r="T475" i="12" s="1"/>
  <c r="S430" i="12"/>
  <c r="S475" i="12" s="1"/>
  <c r="R430" i="12"/>
  <c r="R475" i="12" s="1"/>
  <c r="Q430" i="12"/>
  <c r="Q475" i="12" s="1"/>
  <c r="P430" i="12"/>
  <c r="P475" i="12" s="1"/>
  <c r="O430" i="12"/>
  <c r="O475" i="12" s="1"/>
  <c r="N430" i="12"/>
  <c r="N475" i="12" s="1"/>
  <c r="M430" i="12"/>
  <c r="M475" i="12" s="1"/>
  <c r="L430" i="12"/>
  <c r="L475" i="12" s="1"/>
  <c r="K430" i="12"/>
  <c r="K475" i="12" s="1"/>
  <c r="X429" i="12"/>
  <c r="X474" i="12" s="1"/>
  <c r="W429" i="12"/>
  <c r="W474" i="12" s="1"/>
  <c r="V429" i="12"/>
  <c r="V474" i="12" s="1"/>
  <c r="U429" i="12"/>
  <c r="U474" i="12" s="1"/>
  <c r="T429" i="12"/>
  <c r="T474" i="12" s="1"/>
  <c r="S429" i="12"/>
  <c r="S474" i="12" s="1"/>
  <c r="R429" i="12"/>
  <c r="R474" i="12" s="1"/>
  <c r="Q429" i="12"/>
  <c r="Q474" i="12" s="1"/>
  <c r="P429" i="12"/>
  <c r="P474" i="12" s="1"/>
  <c r="O429" i="12"/>
  <c r="O474" i="12" s="1"/>
  <c r="N429" i="12"/>
  <c r="N474" i="12" s="1"/>
  <c r="M429" i="12"/>
  <c r="M474" i="12" s="1"/>
  <c r="L429" i="12"/>
  <c r="L474" i="12" s="1"/>
  <c r="K429" i="12"/>
  <c r="K474" i="12" s="1"/>
  <c r="X428" i="12"/>
  <c r="X473" i="12" s="1"/>
  <c r="W428" i="12"/>
  <c r="W473" i="12" s="1"/>
  <c r="V428" i="12"/>
  <c r="V473" i="12" s="1"/>
  <c r="U428" i="12"/>
  <c r="U473" i="12" s="1"/>
  <c r="T428" i="12"/>
  <c r="T473" i="12" s="1"/>
  <c r="S428" i="12"/>
  <c r="S473" i="12" s="1"/>
  <c r="R428" i="12"/>
  <c r="R473" i="12" s="1"/>
  <c r="Q428" i="12"/>
  <c r="Q473" i="12" s="1"/>
  <c r="P428" i="12"/>
  <c r="P473" i="12" s="1"/>
  <c r="O428" i="12"/>
  <c r="O473" i="12" s="1"/>
  <c r="N428" i="12"/>
  <c r="N473" i="12" s="1"/>
  <c r="M428" i="12"/>
  <c r="M473" i="12" s="1"/>
  <c r="L428" i="12"/>
  <c r="L473" i="12" s="1"/>
  <c r="K428" i="12"/>
  <c r="K473" i="12" s="1"/>
  <c r="X427" i="12"/>
  <c r="X472" i="12" s="1"/>
  <c r="W427" i="12"/>
  <c r="W472" i="12" s="1"/>
  <c r="V427" i="12"/>
  <c r="V472" i="12" s="1"/>
  <c r="U427" i="12"/>
  <c r="U472" i="12" s="1"/>
  <c r="T427" i="12"/>
  <c r="T472" i="12" s="1"/>
  <c r="S427" i="12"/>
  <c r="S472" i="12" s="1"/>
  <c r="R427" i="12"/>
  <c r="R472" i="12" s="1"/>
  <c r="Q427" i="12"/>
  <c r="Q472" i="12" s="1"/>
  <c r="P427" i="12"/>
  <c r="P472" i="12" s="1"/>
  <c r="O427" i="12"/>
  <c r="O472" i="12" s="1"/>
  <c r="N427" i="12"/>
  <c r="N472" i="12" s="1"/>
  <c r="M427" i="12"/>
  <c r="M472" i="12" s="1"/>
  <c r="L427" i="12"/>
  <c r="L472" i="12" s="1"/>
  <c r="K427" i="12"/>
  <c r="K472" i="12" s="1"/>
  <c r="X426" i="12"/>
  <c r="X471" i="12" s="1"/>
  <c r="W426" i="12"/>
  <c r="W471" i="12" s="1"/>
  <c r="V426" i="12"/>
  <c r="V471" i="12" s="1"/>
  <c r="U426" i="12"/>
  <c r="U471" i="12" s="1"/>
  <c r="T426" i="12"/>
  <c r="T471" i="12" s="1"/>
  <c r="S426" i="12"/>
  <c r="S471" i="12" s="1"/>
  <c r="R426" i="12"/>
  <c r="R471" i="12" s="1"/>
  <c r="Q426" i="12"/>
  <c r="Q471" i="12" s="1"/>
  <c r="P426" i="12"/>
  <c r="P471" i="12" s="1"/>
  <c r="O426" i="12"/>
  <c r="O471" i="12" s="1"/>
  <c r="N426" i="12"/>
  <c r="N471" i="12" s="1"/>
  <c r="M426" i="12"/>
  <c r="M471" i="12" s="1"/>
  <c r="L426" i="12"/>
  <c r="L471" i="12" s="1"/>
  <c r="K426" i="12"/>
  <c r="K471" i="12" s="1"/>
  <c r="X425" i="12"/>
  <c r="X470" i="12" s="1"/>
  <c r="W425" i="12"/>
  <c r="W470" i="12" s="1"/>
  <c r="V425" i="12"/>
  <c r="V470" i="12" s="1"/>
  <c r="U425" i="12"/>
  <c r="U470" i="12" s="1"/>
  <c r="T425" i="12"/>
  <c r="T470" i="12" s="1"/>
  <c r="S425" i="12"/>
  <c r="S470" i="12" s="1"/>
  <c r="R425" i="12"/>
  <c r="R470" i="12" s="1"/>
  <c r="Q425" i="12"/>
  <c r="Q470" i="12" s="1"/>
  <c r="P425" i="12"/>
  <c r="P470" i="12" s="1"/>
  <c r="O425" i="12"/>
  <c r="O470" i="12" s="1"/>
  <c r="N425" i="12"/>
  <c r="N470" i="12" s="1"/>
  <c r="M425" i="12"/>
  <c r="M470" i="12" s="1"/>
  <c r="L425" i="12"/>
  <c r="L470" i="12" s="1"/>
  <c r="K425" i="12"/>
  <c r="K470" i="12" s="1"/>
  <c r="X424" i="12"/>
  <c r="X469" i="12" s="1"/>
  <c r="W424" i="12"/>
  <c r="W469" i="12" s="1"/>
  <c r="V424" i="12"/>
  <c r="V469" i="12" s="1"/>
  <c r="U424" i="12"/>
  <c r="U469" i="12" s="1"/>
  <c r="T424" i="12"/>
  <c r="T469" i="12" s="1"/>
  <c r="S424" i="12"/>
  <c r="S469" i="12" s="1"/>
  <c r="R424" i="12"/>
  <c r="R469" i="12" s="1"/>
  <c r="Q424" i="12"/>
  <c r="Q469" i="12" s="1"/>
  <c r="P424" i="12"/>
  <c r="P469" i="12" s="1"/>
  <c r="O424" i="12"/>
  <c r="O469" i="12" s="1"/>
  <c r="N424" i="12"/>
  <c r="N469" i="12" s="1"/>
  <c r="M424" i="12"/>
  <c r="M469" i="12" s="1"/>
  <c r="L424" i="12"/>
  <c r="L469" i="12" s="1"/>
  <c r="K424" i="12"/>
  <c r="K469" i="12" s="1"/>
  <c r="X423" i="12"/>
  <c r="X468" i="12" s="1"/>
  <c r="W423" i="12"/>
  <c r="W468" i="12" s="1"/>
  <c r="V423" i="12"/>
  <c r="V468" i="12" s="1"/>
  <c r="U423" i="12"/>
  <c r="U468" i="12" s="1"/>
  <c r="T423" i="12"/>
  <c r="T468" i="12" s="1"/>
  <c r="S423" i="12"/>
  <c r="S468" i="12" s="1"/>
  <c r="R423" i="12"/>
  <c r="R468" i="12" s="1"/>
  <c r="Q423" i="12"/>
  <c r="Q468" i="12" s="1"/>
  <c r="P423" i="12"/>
  <c r="P468" i="12" s="1"/>
  <c r="O423" i="12"/>
  <c r="O468" i="12" s="1"/>
  <c r="N423" i="12"/>
  <c r="N468" i="12" s="1"/>
  <c r="M423" i="12"/>
  <c r="M468" i="12" s="1"/>
  <c r="L423" i="12"/>
  <c r="L468" i="12" s="1"/>
  <c r="K423" i="12"/>
  <c r="K468" i="12" s="1"/>
  <c r="X422" i="12"/>
  <c r="X467" i="12" s="1"/>
  <c r="W422" i="12"/>
  <c r="W467" i="12" s="1"/>
  <c r="V422" i="12"/>
  <c r="V467" i="12" s="1"/>
  <c r="U422" i="12"/>
  <c r="U467" i="12" s="1"/>
  <c r="T422" i="12"/>
  <c r="T467" i="12" s="1"/>
  <c r="S422" i="12"/>
  <c r="S467" i="12" s="1"/>
  <c r="R422" i="12"/>
  <c r="R467" i="12" s="1"/>
  <c r="Q422" i="12"/>
  <c r="Q467" i="12" s="1"/>
  <c r="P422" i="12"/>
  <c r="P467" i="12" s="1"/>
  <c r="O422" i="12"/>
  <c r="O467" i="12" s="1"/>
  <c r="N422" i="12"/>
  <c r="N467" i="12" s="1"/>
  <c r="M422" i="12"/>
  <c r="M467" i="12" s="1"/>
  <c r="L422" i="12"/>
  <c r="L467" i="12" s="1"/>
  <c r="K422" i="12"/>
  <c r="K467" i="12" s="1"/>
  <c r="X421" i="12"/>
  <c r="X466" i="12" s="1"/>
  <c r="W421" i="12"/>
  <c r="W466" i="12" s="1"/>
  <c r="V421" i="12"/>
  <c r="V466" i="12" s="1"/>
  <c r="U421" i="12"/>
  <c r="U466" i="12" s="1"/>
  <c r="T421" i="12"/>
  <c r="T466" i="12" s="1"/>
  <c r="S421" i="12"/>
  <c r="S466" i="12" s="1"/>
  <c r="R421" i="12"/>
  <c r="R466" i="12" s="1"/>
  <c r="Q421" i="12"/>
  <c r="Q466" i="12" s="1"/>
  <c r="P421" i="12"/>
  <c r="P466" i="12" s="1"/>
  <c r="O421" i="12"/>
  <c r="O466" i="12" s="1"/>
  <c r="N421" i="12"/>
  <c r="N466" i="12" s="1"/>
  <c r="M421" i="12"/>
  <c r="M466" i="12" s="1"/>
  <c r="L421" i="12"/>
  <c r="L466" i="12" s="1"/>
  <c r="K421" i="12"/>
  <c r="K466" i="12" s="1"/>
  <c r="X420" i="12"/>
  <c r="X465" i="12" s="1"/>
  <c r="W420" i="12"/>
  <c r="W465" i="12" s="1"/>
  <c r="V420" i="12"/>
  <c r="V465" i="12" s="1"/>
  <c r="U420" i="12"/>
  <c r="U465" i="12" s="1"/>
  <c r="T420" i="12"/>
  <c r="T465" i="12" s="1"/>
  <c r="S420" i="12"/>
  <c r="S465" i="12" s="1"/>
  <c r="R420" i="12"/>
  <c r="R465" i="12" s="1"/>
  <c r="Q420" i="12"/>
  <c r="Q465" i="12" s="1"/>
  <c r="P420" i="12"/>
  <c r="P465" i="12" s="1"/>
  <c r="O420" i="12"/>
  <c r="O465" i="12" s="1"/>
  <c r="N420" i="12"/>
  <c r="N465" i="12" s="1"/>
  <c r="M420" i="12"/>
  <c r="M465" i="12" s="1"/>
  <c r="L420" i="12"/>
  <c r="L465" i="12" s="1"/>
  <c r="K420" i="12"/>
  <c r="K465" i="12" s="1"/>
  <c r="X419" i="12"/>
  <c r="X464" i="12" s="1"/>
  <c r="W419" i="12"/>
  <c r="W464" i="12" s="1"/>
  <c r="V419" i="12"/>
  <c r="V464" i="12" s="1"/>
  <c r="U419" i="12"/>
  <c r="U464" i="12" s="1"/>
  <c r="T419" i="12"/>
  <c r="T464" i="12" s="1"/>
  <c r="S419" i="12"/>
  <c r="S464" i="12" s="1"/>
  <c r="R419" i="12"/>
  <c r="R464" i="12" s="1"/>
  <c r="Q419" i="12"/>
  <c r="Q464" i="12" s="1"/>
  <c r="P419" i="12"/>
  <c r="P464" i="12" s="1"/>
  <c r="O419" i="12"/>
  <c r="O464" i="12" s="1"/>
  <c r="N419" i="12"/>
  <c r="N464" i="12" s="1"/>
  <c r="M419" i="12"/>
  <c r="M464" i="12" s="1"/>
  <c r="L419" i="12"/>
  <c r="L464" i="12" s="1"/>
  <c r="K419" i="12"/>
  <c r="K464" i="12" s="1"/>
  <c r="X418" i="12"/>
  <c r="X463" i="12" s="1"/>
  <c r="W418" i="12"/>
  <c r="W463" i="12" s="1"/>
  <c r="V418" i="12"/>
  <c r="V463" i="12" s="1"/>
  <c r="U418" i="12"/>
  <c r="U463" i="12" s="1"/>
  <c r="T418" i="12"/>
  <c r="T463" i="12" s="1"/>
  <c r="S418" i="12"/>
  <c r="S463" i="12" s="1"/>
  <c r="R418" i="12"/>
  <c r="R463" i="12" s="1"/>
  <c r="Q418" i="12"/>
  <c r="Q463" i="12" s="1"/>
  <c r="P418" i="12"/>
  <c r="P463" i="12" s="1"/>
  <c r="O418" i="12"/>
  <c r="O463" i="12" s="1"/>
  <c r="N418" i="12"/>
  <c r="N463" i="12" s="1"/>
  <c r="M418" i="12"/>
  <c r="M463" i="12" s="1"/>
  <c r="L418" i="12"/>
  <c r="L463" i="12" s="1"/>
  <c r="K418" i="12"/>
  <c r="K463" i="12" s="1"/>
  <c r="X417" i="12"/>
  <c r="X462" i="12" s="1"/>
  <c r="W417" i="12"/>
  <c r="W462" i="12" s="1"/>
  <c r="V417" i="12"/>
  <c r="V462" i="12" s="1"/>
  <c r="U417" i="12"/>
  <c r="U462" i="12" s="1"/>
  <c r="T417" i="12"/>
  <c r="T462" i="12" s="1"/>
  <c r="S417" i="12"/>
  <c r="S462" i="12" s="1"/>
  <c r="R417" i="12"/>
  <c r="R462" i="12" s="1"/>
  <c r="Q417" i="12"/>
  <c r="Q462" i="12" s="1"/>
  <c r="P417" i="12"/>
  <c r="P462" i="12" s="1"/>
  <c r="O417" i="12"/>
  <c r="O462" i="12" s="1"/>
  <c r="N417" i="12"/>
  <c r="N462" i="12" s="1"/>
  <c r="M417" i="12"/>
  <c r="M462" i="12" s="1"/>
  <c r="L417" i="12"/>
  <c r="L462" i="12" s="1"/>
  <c r="K417" i="12"/>
  <c r="K462" i="12" s="1"/>
  <c r="X416" i="12"/>
  <c r="X461" i="12" s="1"/>
  <c r="W416" i="12"/>
  <c r="W461" i="12" s="1"/>
  <c r="V416" i="12"/>
  <c r="V461" i="12" s="1"/>
  <c r="U416" i="12"/>
  <c r="U461" i="12" s="1"/>
  <c r="T416" i="12"/>
  <c r="T461" i="12" s="1"/>
  <c r="S416" i="12"/>
  <c r="S461" i="12" s="1"/>
  <c r="R416" i="12"/>
  <c r="R461" i="12" s="1"/>
  <c r="Q416" i="12"/>
  <c r="Q461" i="12" s="1"/>
  <c r="P416" i="12"/>
  <c r="P461" i="12" s="1"/>
  <c r="O416" i="12"/>
  <c r="O461" i="12" s="1"/>
  <c r="N416" i="12"/>
  <c r="N461" i="12" s="1"/>
  <c r="M416" i="12"/>
  <c r="M461" i="12" s="1"/>
  <c r="L416" i="12"/>
  <c r="L461" i="12" s="1"/>
  <c r="K416" i="12"/>
  <c r="K461" i="12" s="1"/>
  <c r="X415" i="12"/>
  <c r="X460" i="12" s="1"/>
  <c r="W415" i="12"/>
  <c r="W460" i="12" s="1"/>
  <c r="V415" i="12"/>
  <c r="V460" i="12" s="1"/>
  <c r="U415" i="12"/>
  <c r="U460" i="12" s="1"/>
  <c r="T415" i="12"/>
  <c r="T460" i="12" s="1"/>
  <c r="S415" i="12"/>
  <c r="S460" i="12" s="1"/>
  <c r="R415" i="12"/>
  <c r="R460" i="12" s="1"/>
  <c r="Q415" i="12"/>
  <c r="Q460" i="12" s="1"/>
  <c r="P415" i="12"/>
  <c r="P460" i="12" s="1"/>
  <c r="O415" i="12"/>
  <c r="O460" i="12" s="1"/>
  <c r="N415" i="12"/>
  <c r="N460" i="12" s="1"/>
  <c r="M415" i="12"/>
  <c r="M460" i="12" s="1"/>
  <c r="L415" i="12"/>
  <c r="L460" i="12" s="1"/>
  <c r="K415" i="12"/>
  <c r="K460" i="12" s="1"/>
  <c r="X414" i="12"/>
  <c r="X459" i="12" s="1"/>
  <c r="W414" i="12"/>
  <c r="W459" i="12" s="1"/>
  <c r="V414" i="12"/>
  <c r="V459" i="12" s="1"/>
  <c r="U414" i="12"/>
  <c r="U459" i="12" s="1"/>
  <c r="T414" i="12"/>
  <c r="T459" i="12" s="1"/>
  <c r="S414" i="12"/>
  <c r="S459" i="12" s="1"/>
  <c r="R414" i="12"/>
  <c r="R459" i="12" s="1"/>
  <c r="Q414" i="12"/>
  <c r="Q459" i="12" s="1"/>
  <c r="P414" i="12"/>
  <c r="P459" i="12" s="1"/>
  <c r="O414" i="12"/>
  <c r="O459" i="12" s="1"/>
  <c r="N414" i="12"/>
  <c r="N459" i="12" s="1"/>
  <c r="M414" i="12"/>
  <c r="M459" i="12" s="1"/>
  <c r="L414" i="12"/>
  <c r="L459" i="12" s="1"/>
  <c r="K414" i="12"/>
  <c r="K459" i="12" s="1"/>
  <c r="X413" i="12"/>
  <c r="X458" i="12" s="1"/>
  <c r="W413" i="12"/>
  <c r="W458" i="12" s="1"/>
  <c r="V413" i="12"/>
  <c r="V458" i="12" s="1"/>
  <c r="U413" i="12"/>
  <c r="U458" i="12" s="1"/>
  <c r="T413" i="12"/>
  <c r="T458" i="12" s="1"/>
  <c r="S413" i="12"/>
  <c r="S458" i="12" s="1"/>
  <c r="R413" i="12"/>
  <c r="R458" i="12" s="1"/>
  <c r="Q413" i="12"/>
  <c r="Q458" i="12" s="1"/>
  <c r="P413" i="12"/>
  <c r="P458" i="12" s="1"/>
  <c r="O413" i="12"/>
  <c r="O458" i="12" s="1"/>
  <c r="N413" i="12"/>
  <c r="N458" i="12" s="1"/>
  <c r="M413" i="12"/>
  <c r="M458" i="12" s="1"/>
  <c r="L413" i="12"/>
  <c r="L458" i="12" s="1"/>
  <c r="K413" i="12"/>
  <c r="K458" i="12" s="1"/>
  <c r="X412" i="12"/>
  <c r="X457" i="12" s="1"/>
  <c r="W412" i="12"/>
  <c r="W457" i="12" s="1"/>
  <c r="V412" i="12"/>
  <c r="V457" i="12" s="1"/>
  <c r="U412" i="12"/>
  <c r="U457" i="12" s="1"/>
  <c r="T412" i="12"/>
  <c r="T457" i="12" s="1"/>
  <c r="S412" i="12"/>
  <c r="S457" i="12" s="1"/>
  <c r="R412" i="12"/>
  <c r="R457" i="12" s="1"/>
  <c r="Q412" i="12"/>
  <c r="Q457" i="12" s="1"/>
  <c r="P412" i="12"/>
  <c r="P457" i="12" s="1"/>
  <c r="O412" i="12"/>
  <c r="O457" i="12" s="1"/>
  <c r="N412" i="12"/>
  <c r="N457" i="12" s="1"/>
  <c r="M412" i="12"/>
  <c r="M457" i="12" s="1"/>
  <c r="L412" i="12"/>
  <c r="L457" i="12" s="1"/>
  <c r="K412" i="12"/>
  <c r="K457" i="12" s="1"/>
  <c r="X411" i="12"/>
  <c r="X456" i="12" s="1"/>
  <c r="W411" i="12"/>
  <c r="W456" i="12" s="1"/>
  <c r="V411" i="12"/>
  <c r="V456" i="12" s="1"/>
  <c r="U411" i="12"/>
  <c r="U456" i="12" s="1"/>
  <c r="T411" i="12"/>
  <c r="T456" i="12" s="1"/>
  <c r="S411" i="12"/>
  <c r="S456" i="12" s="1"/>
  <c r="R411" i="12"/>
  <c r="R456" i="12" s="1"/>
  <c r="Q411" i="12"/>
  <c r="Q456" i="12" s="1"/>
  <c r="P411" i="12"/>
  <c r="P456" i="12" s="1"/>
  <c r="O411" i="12"/>
  <c r="O456" i="12" s="1"/>
  <c r="N411" i="12"/>
  <c r="N456" i="12" s="1"/>
  <c r="M411" i="12"/>
  <c r="M456" i="12" s="1"/>
  <c r="L411" i="12"/>
  <c r="L456" i="12" s="1"/>
  <c r="K411" i="12"/>
  <c r="K456" i="12" s="1"/>
  <c r="X410" i="12"/>
  <c r="X455" i="12" s="1"/>
  <c r="W410" i="12"/>
  <c r="W455" i="12" s="1"/>
  <c r="V410" i="12"/>
  <c r="V455" i="12" s="1"/>
  <c r="U410" i="12"/>
  <c r="U455" i="12" s="1"/>
  <c r="T410" i="12"/>
  <c r="T455" i="12" s="1"/>
  <c r="S410" i="12"/>
  <c r="S455" i="12" s="1"/>
  <c r="R410" i="12"/>
  <c r="R455" i="12" s="1"/>
  <c r="Q410" i="12"/>
  <c r="Q455" i="12" s="1"/>
  <c r="P410" i="12"/>
  <c r="P455" i="12" s="1"/>
  <c r="O410" i="12"/>
  <c r="O455" i="12" s="1"/>
  <c r="N410" i="12"/>
  <c r="N455" i="12" s="1"/>
  <c r="M410" i="12"/>
  <c r="M455" i="12" s="1"/>
  <c r="L410" i="12"/>
  <c r="L455" i="12" s="1"/>
  <c r="K410" i="12"/>
  <c r="K455" i="12" s="1"/>
  <c r="X409" i="12"/>
  <c r="X454" i="12" s="1"/>
  <c r="W409" i="12"/>
  <c r="W454" i="12" s="1"/>
  <c r="V409" i="12"/>
  <c r="V454" i="12" s="1"/>
  <c r="U409" i="12"/>
  <c r="U454" i="12" s="1"/>
  <c r="T409" i="12"/>
  <c r="T454" i="12" s="1"/>
  <c r="S409" i="12"/>
  <c r="S454" i="12" s="1"/>
  <c r="R409" i="12"/>
  <c r="R454" i="12" s="1"/>
  <c r="Q409" i="12"/>
  <c r="Q454" i="12" s="1"/>
  <c r="P409" i="12"/>
  <c r="P454" i="12" s="1"/>
  <c r="O409" i="12"/>
  <c r="O454" i="12" s="1"/>
  <c r="N409" i="12"/>
  <c r="N454" i="12" s="1"/>
  <c r="M409" i="12"/>
  <c r="M454" i="12" s="1"/>
  <c r="L409" i="12"/>
  <c r="L454" i="12" s="1"/>
  <c r="K409" i="12"/>
  <c r="K454" i="12" s="1"/>
  <c r="X408" i="12"/>
  <c r="X453" i="12" s="1"/>
  <c r="W408" i="12"/>
  <c r="W453" i="12" s="1"/>
  <c r="V408" i="12"/>
  <c r="V453" i="12" s="1"/>
  <c r="U408" i="12"/>
  <c r="U453" i="12" s="1"/>
  <c r="T408" i="12"/>
  <c r="T453" i="12" s="1"/>
  <c r="S408" i="12"/>
  <c r="S453" i="12" s="1"/>
  <c r="R408" i="12"/>
  <c r="R453" i="12" s="1"/>
  <c r="Q408" i="12"/>
  <c r="Q453" i="12" s="1"/>
  <c r="P408" i="12"/>
  <c r="P453" i="12" s="1"/>
  <c r="O408" i="12"/>
  <c r="O453" i="12" s="1"/>
  <c r="N408" i="12"/>
  <c r="N453" i="12" s="1"/>
  <c r="M408" i="12"/>
  <c r="M453" i="12" s="1"/>
  <c r="L408" i="12"/>
  <c r="L453" i="12" s="1"/>
  <c r="K408" i="12"/>
  <c r="K453" i="12" s="1"/>
  <c r="X407" i="12"/>
  <c r="X452" i="12" s="1"/>
  <c r="W407" i="12"/>
  <c r="W452" i="12" s="1"/>
  <c r="V407" i="12"/>
  <c r="V452" i="12" s="1"/>
  <c r="U407" i="12"/>
  <c r="U452" i="12" s="1"/>
  <c r="T407" i="12"/>
  <c r="T452" i="12" s="1"/>
  <c r="S407" i="12"/>
  <c r="S452" i="12" s="1"/>
  <c r="R407" i="12"/>
  <c r="R452" i="12" s="1"/>
  <c r="Q407" i="12"/>
  <c r="Q452" i="12" s="1"/>
  <c r="P407" i="12"/>
  <c r="P452" i="12" s="1"/>
  <c r="O407" i="12"/>
  <c r="O452" i="12" s="1"/>
  <c r="N407" i="12"/>
  <c r="N452" i="12" s="1"/>
  <c r="M407" i="12"/>
  <c r="M452" i="12" s="1"/>
  <c r="L407" i="12"/>
  <c r="L452" i="12" s="1"/>
  <c r="K407" i="12"/>
  <c r="K452" i="12" s="1"/>
  <c r="X406" i="12"/>
  <c r="X451" i="12"/>
  <c r="W406" i="12"/>
  <c r="W451" i="12" s="1"/>
  <c r="V406" i="12"/>
  <c r="V451" i="12" s="1"/>
  <c r="U406" i="12"/>
  <c r="U451" i="12" s="1"/>
  <c r="T406" i="12"/>
  <c r="T451" i="12" s="1"/>
  <c r="S406" i="12"/>
  <c r="S451" i="12" s="1"/>
  <c r="R406" i="12"/>
  <c r="R451" i="12" s="1"/>
  <c r="Q406" i="12"/>
  <c r="Q451" i="12" s="1"/>
  <c r="P406" i="12"/>
  <c r="P451" i="12" s="1"/>
  <c r="O406" i="12"/>
  <c r="O451" i="12" s="1"/>
  <c r="N406" i="12"/>
  <c r="N451" i="12" s="1"/>
  <c r="M406" i="12"/>
  <c r="M451" i="12" s="1"/>
  <c r="L406" i="12"/>
  <c r="L451" i="12" s="1"/>
  <c r="K406" i="12"/>
  <c r="K451" i="12" s="1"/>
  <c r="X405" i="12"/>
  <c r="X450" i="12" s="1"/>
  <c r="W405" i="12"/>
  <c r="W450" i="12" s="1"/>
  <c r="V405" i="12"/>
  <c r="V450" i="12" s="1"/>
  <c r="U405" i="12"/>
  <c r="U450" i="12" s="1"/>
  <c r="T405" i="12"/>
  <c r="T450" i="12" s="1"/>
  <c r="S405" i="12"/>
  <c r="S450" i="12" s="1"/>
  <c r="R405" i="12"/>
  <c r="R450" i="12" s="1"/>
  <c r="Q405" i="12"/>
  <c r="Q450" i="12" s="1"/>
  <c r="P405" i="12"/>
  <c r="P450" i="12" s="1"/>
  <c r="O405" i="12"/>
  <c r="O450" i="12" s="1"/>
  <c r="N405" i="12"/>
  <c r="N450" i="12" s="1"/>
  <c r="M405" i="12"/>
  <c r="M450" i="12" s="1"/>
  <c r="L405" i="12"/>
  <c r="L450" i="12" s="1"/>
  <c r="K405" i="12"/>
  <c r="K450" i="12" s="1"/>
  <c r="X404" i="12"/>
  <c r="X449" i="12" s="1"/>
  <c r="W404" i="12"/>
  <c r="W449" i="12" s="1"/>
  <c r="V404" i="12"/>
  <c r="V449" i="12" s="1"/>
  <c r="U404" i="12"/>
  <c r="U449" i="12" s="1"/>
  <c r="T404" i="12"/>
  <c r="T449" i="12" s="1"/>
  <c r="S404" i="12"/>
  <c r="S449" i="12" s="1"/>
  <c r="R404" i="12"/>
  <c r="R449" i="12" s="1"/>
  <c r="Q404" i="12"/>
  <c r="Q449" i="12" s="1"/>
  <c r="P404" i="12"/>
  <c r="P449" i="12" s="1"/>
  <c r="O404" i="12"/>
  <c r="O449" i="12" s="1"/>
  <c r="N404" i="12"/>
  <c r="N449" i="12" s="1"/>
  <c r="M404" i="12"/>
  <c r="M449" i="12" s="1"/>
  <c r="L404" i="12"/>
  <c r="L449" i="12" s="1"/>
  <c r="K404" i="12"/>
  <c r="K449" i="12" s="1"/>
  <c r="X403" i="12"/>
  <c r="X448" i="12" s="1"/>
  <c r="W403" i="12"/>
  <c r="W448" i="12" s="1"/>
  <c r="V403" i="12"/>
  <c r="V448" i="12" s="1"/>
  <c r="U403" i="12"/>
  <c r="U448" i="12" s="1"/>
  <c r="T403" i="12"/>
  <c r="T448" i="12" s="1"/>
  <c r="S403" i="12"/>
  <c r="S448" i="12" s="1"/>
  <c r="R403" i="12"/>
  <c r="R448" i="12" s="1"/>
  <c r="Q403" i="12"/>
  <c r="Q448" i="12" s="1"/>
  <c r="P403" i="12"/>
  <c r="P448" i="12" s="1"/>
  <c r="O403" i="12"/>
  <c r="O448" i="12" s="1"/>
  <c r="N403" i="12"/>
  <c r="N448" i="12" s="1"/>
  <c r="M403" i="12"/>
  <c r="M448" i="12" s="1"/>
  <c r="L403" i="12"/>
  <c r="L448" i="12" s="1"/>
  <c r="K403" i="12"/>
  <c r="K448" i="12" s="1"/>
  <c r="X402" i="12"/>
  <c r="X447" i="12" s="1"/>
  <c r="W402" i="12"/>
  <c r="W447" i="12" s="1"/>
  <c r="V402" i="12"/>
  <c r="V447" i="12" s="1"/>
  <c r="U402" i="12"/>
  <c r="U447" i="12" s="1"/>
  <c r="T402" i="12"/>
  <c r="T447" i="12" s="1"/>
  <c r="S402" i="12"/>
  <c r="S447" i="12" s="1"/>
  <c r="R402" i="12"/>
  <c r="R447" i="12" s="1"/>
  <c r="Q402" i="12"/>
  <c r="Q447" i="12" s="1"/>
  <c r="P402" i="12"/>
  <c r="P447" i="12" s="1"/>
  <c r="O402" i="12"/>
  <c r="O447" i="12" s="1"/>
  <c r="N402" i="12"/>
  <c r="N447" i="12" s="1"/>
  <c r="M402" i="12"/>
  <c r="M447" i="12" s="1"/>
  <c r="L402" i="12"/>
  <c r="L447" i="12" s="1"/>
  <c r="K402" i="12"/>
  <c r="K447" i="12" s="1"/>
  <c r="X401" i="12"/>
  <c r="X446" i="12" s="1"/>
  <c r="W401" i="12"/>
  <c r="W446" i="12" s="1"/>
  <c r="V401" i="12"/>
  <c r="V446" i="12" s="1"/>
  <c r="U401" i="12"/>
  <c r="U446" i="12" s="1"/>
  <c r="T401" i="12"/>
  <c r="T446" i="12" s="1"/>
  <c r="S401" i="12"/>
  <c r="S446" i="12" s="1"/>
  <c r="R401" i="12"/>
  <c r="R446" i="12" s="1"/>
  <c r="Q401" i="12"/>
  <c r="Q446" i="12" s="1"/>
  <c r="P401" i="12"/>
  <c r="P446" i="12" s="1"/>
  <c r="O401" i="12"/>
  <c r="O446" i="12" s="1"/>
  <c r="N401" i="12"/>
  <c r="N446" i="12" s="1"/>
  <c r="M401" i="12"/>
  <c r="M446" i="12" s="1"/>
  <c r="L401" i="12"/>
  <c r="L446" i="12" s="1"/>
  <c r="K401" i="12"/>
  <c r="K446" i="12" s="1"/>
  <c r="X400" i="12"/>
  <c r="X445" i="12" s="1"/>
  <c r="W400" i="12"/>
  <c r="W445" i="12" s="1"/>
  <c r="V400" i="12"/>
  <c r="V445" i="12" s="1"/>
  <c r="U400" i="12"/>
  <c r="U445" i="12" s="1"/>
  <c r="T400" i="12"/>
  <c r="T445" i="12" s="1"/>
  <c r="S400" i="12"/>
  <c r="S445" i="12" s="1"/>
  <c r="R400" i="12"/>
  <c r="R445" i="12" s="1"/>
  <c r="Q400" i="12"/>
  <c r="Q445" i="12" s="1"/>
  <c r="P400" i="12"/>
  <c r="P445" i="12" s="1"/>
  <c r="O400" i="12"/>
  <c r="O445" i="12" s="1"/>
  <c r="N400" i="12"/>
  <c r="N445" i="12" s="1"/>
  <c r="M400" i="12"/>
  <c r="M445" i="12" s="1"/>
  <c r="L400" i="12"/>
  <c r="L445" i="12" s="1"/>
  <c r="K400" i="12"/>
  <c r="K445" i="12" s="1"/>
  <c r="X399" i="12"/>
  <c r="X444" i="12" s="1"/>
  <c r="W399" i="12"/>
  <c r="W444" i="12" s="1"/>
  <c r="V399" i="12"/>
  <c r="V444" i="12" s="1"/>
  <c r="U399" i="12"/>
  <c r="U444" i="12" s="1"/>
  <c r="T399" i="12"/>
  <c r="T444" i="12" s="1"/>
  <c r="S399" i="12"/>
  <c r="S444" i="12" s="1"/>
  <c r="R399" i="12"/>
  <c r="R444" i="12" s="1"/>
  <c r="Q399" i="12"/>
  <c r="Q444" i="12" s="1"/>
  <c r="P399" i="12"/>
  <c r="P444" i="12" s="1"/>
  <c r="O399" i="12"/>
  <c r="O444" i="12" s="1"/>
  <c r="N399" i="12"/>
  <c r="N444" i="12" s="1"/>
  <c r="M399" i="12"/>
  <c r="M444" i="12" s="1"/>
  <c r="L399" i="12"/>
  <c r="L444" i="12" s="1"/>
  <c r="K399" i="12"/>
  <c r="K444" i="12" s="1"/>
  <c r="X398" i="12"/>
  <c r="X443" i="12" s="1"/>
  <c r="W398" i="12"/>
  <c r="W443" i="12" s="1"/>
  <c r="V398" i="12"/>
  <c r="V443" i="12" s="1"/>
  <c r="U398" i="12"/>
  <c r="U443" i="12" s="1"/>
  <c r="T398" i="12"/>
  <c r="T443" i="12" s="1"/>
  <c r="S398" i="12"/>
  <c r="S443" i="12" s="1"/>
  <c r="R398" i="12"/>
  <c r="R443" i="12" s="1"/>
  <c r="Q398" i="12"/>
  <c r="Q443" i="12" s="1"/>
  <c r="P398" i="12"/>
  <c r="P443" i="12" s="1"/>
  <c r="O398" i="12"/>
  <c r="O443" i="12" s="1"/>
  <c r="N398" i="12"/>
  <c r="N443" i="12" s="1"/>
  <c r="M398" i="12"/>
  <c r="M443" i="12" s="1"/>
  <c r="L398" i="12"/>
  <c r="L443" i="12" s="1"/>
  <c r="K398" i="12"/>
  <c r="K443" i="12" s="1"/>
  <c r="X397" i="12"/>
  <c r="X442" i="12" s="1"/>
  <c r="W397" i="12"/>
  <c r="W442" i="12" s="1"/>
  <c r="V397" i="12"/>
  <c r="V442" i="12" s="1"/>
  <c r="U397" i="12"/>
  <c r="U442" i="12" s="1"/>
  <c r="T397" i="12"/>
  <c r="T442" i="12" s="1"/>
  <c r="S397" i="12"/>
  <c r="S442" i="12" s="1"/>
  <c r="R397" i="12"/>
  <c r="R442" i="12" s="1"/>
  <c r="Q397" i="12"/>
  <c r="Q442" i="12" s="1"/>
  <c r="P397" i="12"/>
  <c r="P442" i="12" s="1"/>
  <c r="O397" i="12"/>
  <c r="O442" i="12" s="1"/>
  <c r="N397" i="12"/>
  <c r="N442" i="12" s="1"/>
  <c r="M397" i="12"/>
  <c r="M442" i="12" s="1"/>
  <c r="L397" i="12"/>
  <c r="L442" i="12" s="1"/>
  <c r="K397" i="12"/>
  <c r="K442" i="12" s="1"/>
  <c r="X396" i="12"/>
  <c r="X441" i="12" s="1"/>
  <c r="W396" i="12"/>
  <c r="W441" i="12" s="1"/>
  <c r="V396" i="12"/>
  <c r="V441" i="12" s="1"/>
  <c r="U396" i="12"/>
  <c r="U441" i="12" s="1"/>
  <c r="T396" i="12"/>
  <c r="T441" i="12" s="1"/>
  <c r="S396" i="12"/>
  <c r="S441" i="12" s="1"/>
  <c r="R396" i="12"/>
  <c r="R441" i="12" s="1"/>
  <c r="Q396" i="12"/>
  <c r="Q441" i="12" s="1"/>
  <c r="P396" i="12"/>
  <c r="P441" i="12" s="1"/>
  <c r="O396" i="12"/>
  <c r="O441" i="12" s="1"/>
  <c r="N396" i="12"/>
  <c r="N441" i="12" s="1"/>
  <c r="M396" i="12"/>
  <c r="M441" i="12" s="1"/>
  <c r="L396" i="12"/>
  <c r="L441" i="12" s="1"/>
  <c r="K396" i="12"/>
  <c r="K441" i="12" s="1"/>
  <c r="X395" i="12"/>
  <c r="X440" i="12" s="1"/>
  <c r="W395" i="12"/>
  <c r="W440" i="12" s="1"/>
  <c r="V395" i="12"/>
  <c r="V440" i="12" s="1"/>
  <c r="U395" i="12"/>
  <c r="U440" i="12" s="1"/>
  <c r="T395" i="12"/>
  <c r="T440" i="12" s="1"/>
  <c r="S395" i="12"/>
  <c r="S440" i="12" s="1"/>
  <c r="R395" i="12"/>
  <c r="R440" i="12" s="1"/>
  <c r="Q395" i="12"/>
  <c r="Q440" i="12" s="1"/>
  <c r="P395" i="12"/>
  <c r="P440" i="12" s="1"/>
  <c r="O395" i="12"/>
  <c r="O440" i="12" s="1"/>
  <c r="N395" i="12"/>
  <c r="N440" i="12" s="1"/>
  <c r="M395" i="12"/>
  <c r="M440" i="12" s="1"/>
  <c r="L395" i="12"/>
  <c r="L440" i="12" s="1"/>
  <c r="K395" i="12"/>
  <c r="K440" i="12" s="1"/>
  <c r="X394" i="12"/>
  <c r="X439" i="12" s="1"/>
  <c r="W394" i="12"/>
  <c r="W439" i="12" s="1"/>
  <c r="V394" i="12"/>
  <c r="V439" i="12" s="1"/>
  <c r="U394" i="12"/>
  <c r="U439" i="12" s="1"/>
  <c r="T394" i="12"/>
  <c r="T439" i="12" s="1"/>
  <c r="S394" i="12"/>
  <c r="S439" i="12" s="1"/>
  <c r="R394" i="12"/>
  <c r="R439" i="12" s="1"/>
  <c r="Q394" i="12"/>
  <c r="Q439" i="12" s="1"/>
  <c r="P394" i="12"/>
  <c r="P439" i="12" s="1"/>
  <c r="O394" i="12"/>
  <c r="O439" i="12" s="1"/>
  <c r="N394" i="12"/>
  <c r="N439" i="12" s="1"/>
  <c r="M394" i="12"/>
  <c r="M439" i="12" s="1"/>
  <c r="L394" i="12"/>
  <c r="L439" i="12" s="1"/>
  <c r="K394" i="12"/>
  <c r="K439" i="12" s="1"/>
  <c r="X393" i="12"/>
  <c r="X438" i="12" s="1"/>
  <c r="W393" i="12"/>
  <c r="W438" i="12" s="1"/>
  <c r="V393" i="12"/>
  <c r="V438" i="12" s="1"/>
  <c r="U393" i="12"/>
  <c r="U438" i="12" s="1"/>
  <c r="T393" i="12"/>
  <c r="T438" i="12" s="1"/>
  <c r="S393" i="12"/>
  <c r="S438" i="12" s="1"/>
  <c r="R393" i="12"/>
  <c r="R438" i="12" s="1"/>
  <c r="Q393" i="12"/>
  <c r="Q438" i="12" s="1"/>
  <c r="P393" i="12"/>
  <c r="P438" i="12" s="1"/>
  <c r="O393" i="12"/>
  <c r="O438" i="12" s="1"/>
  <c r="N393" i="12"/>
  <c r="N438" i="12" s="1"/>
  <c r="M393" i="12"/>
  <c r="M438" i="12" s="1"/>
  <c r="L393" i="12"/>
  <c r="L438" i="12" s="1"/>
  <c r="K393" i="12"/>
  <c r="K438" i="12" s="1"/>
  <c r="X392" i="12"/>
  <c r="X437" i="12" s="1"/>
  <c r="W392" i="12"/>
  <c r="W437" i="12" s="1"/>
  <c r="V392" i="12"/>
  <c r="V437" i="12" s="1"/>
  <c r="U392" i="12"/>
  <c r="U437" i="12" s="1"/>
  <c r="T392" i="12"/>
  <c r="T437" i="12" s="1"/>
  <c r="S392" i="12"/>
  <c r="S437" i="12" s="1"/>
  <c r="R392" i="12"/>
  <c r="R437" i="12" s="1"/>
  <c r="Q392" i="12"/>
  <c r="Q437" i="12" s="1"/>
  <c r="P392" i="12"/>
  <c r="P437" i="12" s="1"/>
  <c r="O392" i="12"/>
  <c r="O437" i="12" s="1"/>
  <c r="N392" i="12"/>
  <c r="N437" i="12" s="1"/>
  <c r="M392" i="12"/>
  <c r="M437" i="12" s="1"/>
  <c r="L392" i="12"/>
  <c r="L437" i="12" s="1"/>
  <c r="K392" i="12"/>
  <c r="K437" i="12" s="1"/>
  <c r="X391" i="12"/>
  <c r="X436" i="12" s="1"/>
  <c r="W391" i="12"/>
  <c r="W436" i="12" s="1"/>
  <c r="V391" i="12"/>
  <c r="V436" i="12" s="1"/>
  <c r="U391" i="12"/>
  <c r="U436" i="12" s="1"/>
  <c r="T391" i="12"/>
  <c r="T436" i="12" s="1"/>
  <c r="S391" i="12"/>
  <c r="S436" i="12" s="1"/>
  <c r="R391" i="12"/>
  <c r="R436" i="12" s="1"/>
  <c r="Q391" i="12"/>
  <c r="Q436" i="12" s="1"/>
  <c r="P391" i="12"/>
  <c r="P436" i="12" s="1"/>
  <c r="O391" i="12"/>
  <c r="O436" i="12" s="1"/>
  <c r="N391" i="12"/>
  <c r="N436" i="12" s="1"/>
  <c r="M391" i="12"/>
  <c r="M436" i="12" s="1"/>
  <c r="L391" i="12"/>
  <c r="L436" i="12" s="1"/>
  <c r="K391" i="12"/>
  <c r="K436" i="12" s="1"/>
  <c r="E304" i="12"/>
  <c r="E346" i="12" s="1"/>
  <c r="E388" i="12" s="1"/>
  <c r="E1040" i="12" s="1"/>
  <c r="E1085" i="12" s="1"/>
  <c r="D304" i="12"/>
  <c r="D517" i="12" s="1"/>
  <c r="C304" i="12"/>
  <c r="C346" i="12" s="1"/>
  <c r="C388" i="12" s="1"/>
  <c r="C1040" i="12" s="1"/>
  <c r="C1085" i="12" s="1"/>
  <c r="B304" i="12"/>
  <c r="B346" i="12" s="1"/>
  <c r="B388" i="12" s="1"/>
  <c r="B1040" i="12" s="1"/>
  <c r="B1085" i="12" s="1"/>
  <c r="E303" i="12"/>
  <c r="E516" i="12" s="1"/>
  <c r="D303" i="12"/>
  <c r="D429" i="12" s="1"/>
  <c r="C303" i="12"/>
  <c r="C429" i="12" s="1"/>
  <c r="B303" i="12"/>
  <c r="E302" i="12"/>
  <c r="E428" i="12" s="1"/>
  <c r="D302" i="12"/>
  <c r="D344" i="12" s="1"/>
  <c r="D386" i="12" s="1"/>
  <c r="D1038" i="12" s="1"/>
  <c r="D1083" i="12" s="1"/>
  <c r="C302" i="12"/>
  <c r="C344" i="12" s="1"/>
  <c r="C386" i="12" s="1"/>
  <c r="C1038" i="12" s="1"/>
  <c r="C1083" i="12" s="1"/>
  <c r="B302" i="12"/>
  <c r="B515" i="12" s="1"/>
  <c r="E301" i="12"/>
  <c r="D301" i="12"/>
  <c r="D514" i="12" s="1"/>
  <c r="C301" i="12"/>
  <c r="C514" i="12" s="1"/>
  <c r="B301" i="12"/>
  <c r="E300" i="12"/>
  <c r="D300" i="12"/>
  <c r="D426" i="12" s="1"/>
  <c r="C300" i="12"/>
  <c r="B300" i="12"/>
  <c r="B426" i="12" s="1"/>
  <c r="E299" i="12"/>
  <c r="E425" i="12" s="1"/>
  <c r="D299" i="12"/>
  <c r="D512" i="12" s="1"/>
  <c r="C299" i="12"/>
  <c r="B299" i="12"/>
  <c r="B341" i="12" s="1"/>
  <c r="B383" i="12" s="1"/>
  <c r="B1035" i="12" s="1"/>
  <c r="B1080" i="12" s="1"/>
  <c r="E298" i="12"/>
  <c r="D298" i="12"/>
  <c r="D511" i="12" s="1"/>
  <c r="C298" i="12"/>
  <c r="B298" i="12"/>
  <c r="B340" i="12" s="1"/>
  <c r="B382" i="12" s="1"/>
  <c r="B1034" i="12" s="1"/>
  <c r="B1079" i="12" s="1"/>
  <c r="E297" i="12"/>
  <c r="E339" i="12" s="1"/>
  <c r="E381" i="12" s="1"/>
  <c r="E1033" i="12" s="1"/>
  <c r="E1078" i="12" s="1"/>
  <c r="D297" i="12"/>
  <c r="D339" i="12" s="1"/>
  <c r="D381" i="12" s="1"/>
  <c r="D1033" i="12" s="1"/>
  <c r="D1078" i="12" s="1"/>
  <c r="C297" i="12"/>
  <c r="C339" i="12" s="1"/>
  <c r="C381" i="12" s="1"/>
  <c r="C1033" i="12" s="1"/>
  <c r="C1078" i="12" s="1"/>
  <c r="B297" i="12"/>
  <c r="B510" i="12" s="1"/>
  <c r="E296" i="12"/>
  <c r="E422" i="12" s="1"/>
  <c r="D296" i="12"/>
  <c r="D338" i="12" s="1"/>
  <c r="D380" i="12" s="1"/>
  <c r="D1032" i="12" s="1"/>
  <c r="D1077" i="12" s="1"/>
  <c r="C296" i="12"/>
  <c r="C338" i="12" s="1"/>
  <c r="C380" i="12" s="1"/>
  <c r="C1032" i="12" s="1"/>
  <c r="C1077" i="12" s="1"/>
  <c r="B296" i="12"/>
  <c r="B338" i="12" s="1"/>
  <c r="B380" i="12" s="1"/>
  <c r="B1032" i="12" s="1"/>
  <c r="B1077" i="12" s="1"/>
  <c r="E295" i="12"/>
  <c r="D295" i="12"/>
  <c r="D337" i="12" s="1"/>
  <c r="D379" i="12" s="1"/>
  <c r="D1031" i="12" s="1"/>
  <c r="D1076" i="12" s="1"/>
  <c r="C295" i="12"/>
  <c r="B295" i="12"/>
  <c r="E294" i="12"/>
  <c r="E507" i="12" s="1"/>
  <c r="D294" i="12"/>
  <c r="D336" i="12" s="1"/>
  <c r="D378" i="12" s="1"/>
  <c r="D1030" i="12" s="1"/>
  <c r="D1075" i="12" s="1"/>
  <c r="C294" i="12"/>
  <c r="C420" i="12" s="1"/>
  <c r="B294" i="12"/>
  <c r="B507" i="12" s="1"/>
  <c r="E293" i="12"/>
  <c r="D293" i="12"/>
  <c r="C293" i="12"/>
  <c r="C506" i="12" s="1"/>
  <c r="B293" i="12"/>
  <c r="B335" i="12" s="1"/>
  <c r="B377" i="12" s="1"/>
  <c r="B1029" i="12" s="1"/>
  <c r="B1074" i="12" s="1"/>
  <c r="E292" i="12"/>
  <c r="E334" i="12" s="1"/>
  <c r="E376" i="12" s="1"/>
  <c r="E1028" i="12" s="1"/>
  <c r="E1073" i="12" s="1"/>
  <c r="D292" i="12"/>
  <c r="C292" i="12"/>
  <c r="C418" i="12" s="1"/>
  <c r="B292" i="12"/>
  <c r="B418" i="12" s="1"/>
  <c r="E291" i="12"/>
  <c r="E504" i="12" s="1"/>
  <c r="D291" i="12"/>
  <c r="C291" i="12"/>
  <c r="B291" i="12"/>
  <c r="B417" i="12" s="1"/>
  <c r="E290" i="12"/>
  <c r="E503" i="12" s="1"/>
  <c r="D290" i="12"/>
  <c r="D503" i="12" s="1"/>
  <c r="C290" i="12"/>
  <c r="B290" i="12"/>
  <c r="B416" i="12" s="1"/>
  <c r="E289" i="12"/>
  <c r="E502" i="12" s="1"/>
  <c r="D289" i="12"/>
  <c r="D331" i="12" s="1"/>
  <c r="D373" i="12" s="1"/>
  <c r="D1025" i="12" s="1"/>
  <c r="D1070" i="12" s="1"/>
  <c r="C289" i="12"/>
  <c r="C415" i="12" s="1"/>
  <c r="B289" i="12"/>
  <c r="B331" i="12" s="1"/>
  <c r="B373" i="12" s="1"/>
  <c r="B1025" i="12" s="1"/>
  <c r="B1070" i="12" s="1"/>
  <c r="E288" i="12"/>
  <c r="D288" i="12"/>
  <c r="D330" i="12" s="1"/>
  <c r="D372" i="12" s="1"/>
  <c r="D1024" i="12" s="1"/>
  <c r="D1069" i="12" s="1"/>
  <c r="C288" i="12"/>
  <c r="C501" i="12" s="1"/>
  <c r="B288" i="12"/>
  <c r="B501" i="12" s="1"/>
  <c r="E287" i="12"/>
  <c r="E500" i="12" s="1"/>
  <c r="D287" i="12"/>
  <c r="C287" i="12"/>
  <c r="B287" i="12"/>
  <c r="B500" i="12" s="1"/>
  <c r="E286" i="12"/>
  <c r="E499" i="12" s="1"/>
  <c r="D286" i="12"/>
  <c r="D499" i="12" s="1"/>
  <c r="C286" i="12"/>
  <c r="C412" i="12" s="1"/>
  <c r="B286" i="12"/>
  <c r="B328" i="12" s="1"/>
  <c r="B370" i="12" s="1"/>
  <c r="B1022" i="12" s="1"/>
  <c r="B1067" i="12" s="1"/>
  <c r="E285" i="12"/>
  <c r="D285" i="12"/>
  <c r="C285" i="12"/>
  <c r="C327" i="12" s="1"/>
  <c r="C369" i="12" s="1"/>
  <c r="C1021" i="12" s="1"/>
  <c r="C1066" i="12" s="1"/>
  <c r="B285" i="12"/>
  <c r="B327" i="12" s="1"/>
  <c r="B369" i="12" s="1"/>
  <c r="B1021" i="12" s="1"/>
  <c r="B1066" i="12" s="1"/>
  <c r="E284" i="12"/>
  <c r="D284" i="12"/>
  <c r="C284" i="12"/>
  <c r="B284" i="12"/>
  <c r="B497" i="12" s="1"/>
  <c r="E283" i="12"/>
  <c r="E325" i="12" s="1"/>
  <c r="E367" i="12" s="1"/>
  <c r="E1019" i="12" s="1"/>
  <c r="E1064" i="12" s="1"/>
  <c r="D283" i="12"/>
  <c r="D325" i="12" s="1"/>
  <c r="D367" i="12" s="1"/>
  <c r="D1019" i="12" s="1"/>
  <c r="D1064" i="12" s="1"/>
  <c r="C283" i="12"/>
  <c r="C409" i="12" s="1"/>
  <c r="B283" i="12"/>
  <c r="E282" i="12"/>
  <c r="D282" i="12"/>
  <c r="C282" i="12"/>
  <c r="C495" i="12" s="1"/>
  <c r="B282" i="12"/>
  <c r="B324" i="12" s="1"/>
  <c r="B366" i="12" s="1"/>
  <c r="B1018" i="12" s="1"/>
  <c r="B1063" i="12" s="1"/>
  <c r="E281" i="12"/>
  <c r="E323" i="12" s="1"/>
  <c r="E365" i="12" s="1"/>
  <c r="E1017" i="12" s="1"/>
  <c r="E1062" i="12" s="1"/>
  <c r="D281" i="12"/>
  <c r="D323" i="12" s="1"/>
  <c r="D365" i="12" s="1"/>
  <c r="D1017" i="12" s="1"/>
  <c r="D1062" i="12" s="1"/>
  <c r="C281" i="12"/>
  <c r="C323" i="12" s="1"/>
  <c r="C365" i="12" s="1"/>
  <c r="C1017" i="12" s="1"/>
  <c r="C1062" i="12" s="1"/>
  <c r="B281" i="12"/>
  <c r="B323" i="12" s="1"/>
  <c r="B365" i="12" s="1"/>
  <c r="B1017" i="12" s="1"/>
  <c r="B1062" i="12" s="1"/>
  <c r="E280" i="12"/>
  <c r="E406" i="12" s="1"/>
  <c r="D280" i="12"/>
  <c r="D493" i="12" s="1"/>
  <c r="C280" i="12"/>
  <c r="B280" i="12"/>
  <c r="B493" i="12" s="1"/>
  <c r="E279" i="12"/>
  <c r="D279" i="12"/>
  <c r="D492" i="12" s="1"/>
  <c r="C279" i="12"/>
  <c r="C321" i="12" s="1"/>
  <c r="C363" i="12" s="1"/>
  <c r="C1015" i="12" s="1"/>
  <c r="C1060" i="12" s="1"/>
  <c r="B279" i="12"/>
  <c r="B492" i="12" s="1"/>
  <c r="E278" i="12"/>
  <c r="E320" i="12" s="1"/>
  <c r="E362" i="12" s="1"/>
  <c r="E1014" i="12" s="1"/>
  <c r="E1059" i="12" s="1"/>
  <c r="D278" i="12"/>
  <c r="C278" i="12"/>
  <c r="C404" i="12" s="1"/>
  <c r="B278" i="12"/>
  <c r="E277" i="12"/>
  <c r="D277" i="12"/>
  <c r="D490" i="12" s="1"/>
  <c r="C277" i="12"/>
  <c r="C490" i="12" s="1"/>
  <c r="B277" i="12"/>
  <c r="B403" i="12" s="1"/>
  <c r="E276" i="12"/>
  <c r="E489" i="12" s="1"/>
  <c r="D276" i="12"/>
  <c r="C276" i="12"/>
  <c r="C489" i="12" s="1"/>
  <c r="B276" i="12"/>
  <c r="B318" i="12" s="1"/>
  <c r="B360" i="12" s="1"/>
  <c r="B1012" i="12" s="1"/>
  <c r="B1057" i="12" s="1"/>
  <c r="E275" i="12"/>
  <c r="E317" i="12" s="1"/>
  <c r="E359" i="12" s="1"/>
  <c r="E1011" i="12" s="1"/>
  <c r="E1056" i="12" s="1"/>
  <c r="D275" i="12"/>
  <c r="D401" i="12" s="1"/>
  <c r="C275" i="12"/>
  <c r="C317" i="12" s="1"/>
  <c r="C359" i="12" s="1"/>
  <c r="C1011" i="12" s="1"/>
  <c r="C1056" i="12" s="1"/>
  <c r="B275" i="12"/>
  <c r="E274" i="12"/>
  <c r="E487" i="12" s="1"/>
  <c r="D274" i="12"/>
  <c r="D316" i="12" s="1"/>
  <c r="D358" i="12" s="1"/>
  <c r="D1010" i="12" s="1"/>
  <c r="D1055" i="12" s="1"/>
  <c r="C274" i="12"/>
  <c r="C400" i="12" s="1"/>
  <c r="B274" i="12"/>
  <c r="B316" i="12" s="1"/>
  <c r="B358" i="12" s="1"/>
  <c r="B1010" i="12" s="1"/>
  <c r="B1055" i="12" s="1"/>
  <c r="E273" i="12"/>
  <c r="D273" i="12"/>
  <c r="D486" i="12" s="1"/>
  <c r="C273" i="12"/>
  <c r="C399" i="12" s="1"/>
  <c r="B273" i="12"/>
  <c r="B315" i="12" s="1"/>
  <c r="B357" i="12" s="1"/>
  <c r="B1009" i="12" s="1"/>
  <c r="B1054" i="12" s="1"/>
  <c r="E272" i="12"/>
  <c r="D272" i="12"/>
  <c r="D398" i="12" s="1"/>
  <c r="C272" i="12"/>
  <c r="B272" i="12"/>
  <c r="B485" i="12" s="1"/>
  <c r="E271" i="12"/>
  <c r="D271" i="12"/>
  <c r="D397" i="12" s="1"/>
  <c r="C271" i="12"/>
  <c r="C313" i="12" s="1"/>
  <c r="C355" i="12" s="1"/>
  <c r="C1007" i="12" s="1"/>
  <c r="C1052" i="12" s="1"/>
  <c r="B271" i="12"/>
  <c r="B313" i="12" s="1"/>
  <c r="B355" i="12" s="1"/>
  <c r="B1007" i="12" s="1"/>
  <c r="B1052" i="12" s="1"/>
  <c r="E270" i="12"/>
  <c r="E396" i="12" s="1"/>
  <c r="D270" i="12"/>
  <c r="D312" i="12" s="1"/>
  <c r="D354" i="12" s="1"/>
  <c r="D1006" i="12" s="1"/>
  <c r="D1051" i="12" s="1"/>
  <c r="C270" i="12"/>
  <c r="B270" i="12"/>
  <c r="E269" i="12"/>
  <c r="D269" i="12"/>
  <c r="D482" i="12" s="1"/>
  <c r="C269" i="12"/>
  <c r="C395" i="12" s="1"/>
  <c r="B269" i="12"/>
  <c r="E268" i="12"/>
  <c r="D268" i="12"/>
  <c r="C268" i="12"/>
  <c r="B268" i="12"/>
  <c r="B481" i="12" s="1"/>
  <c r="E267" i="12"/>
  <c r="E480" i="12" s="1"/>
  <c r="D267" i="12"/>
  <c r="C267" i="12"/>
  <c r="C309" i="12" s="1"/>
  <c r="C351" i="12" s="1"/>
  <c r="C1003" i="12" s="1"/>
  <c r="C1048" i="12" s="1"/>
  <c r="B267" i="12"/>
  <c r="B393" i="12" s="1"/>
  <c r="E266" i="12"/>
  <c r="E392" i="12" s="1"/>
  <c r="D266" i="12"/>
  <c r="D392" i="12" s="1"/>
  <c r="C266" i="12"/>
  <c r="C392" i="12" s="1"/>
  <c r="B266" i="12"/>
  <c r="B308" i="12" s="1"/>
  <c r="B350" i="12" s="1"/>
  <c r="B1002" i="12" s="1"/>
  <c r="B1047" i="12" s="1"/>
  <c r="E265" i="12"/>
  <c r="E391" i="12" s="1"/>
  <c r="D478" i="12"/>
  <c r="C265" i="12"/>
  <c r="C307" i="12" s="1"/>
  <c r="C349" i="12" s="1"/>
  <c r="C1001" i="12" s="1"/>
  <c r="C1046" i="12" s="1"/>
  <c r="B265" i="12"/>
  <c r="B307" i="12" s="1"/>
  <c r="B349" i="12" s="1"/>
  <c r="B1001" i="12" s="1"/>
  <c r="B1046" i="12" s="1"/>
  <c r="E218" i="12"/>
  <c r="D218" i="12"/>
  <c r="C218" i="12"/>
  <c r="B218" i="12"/>
  <c r="E217" i="12"/>
  <c r="D217" i="12"/>
  <c r="C217" i="12"/>
  <c r="B217" i="12"/>
  <c r="E216" i="12"/>
  <c r="D216" i="12"/>
  <c r="C216" i="12"/>
  <c r="B216" i="12"/>
  <c r="E215" i="12"/>
  <c r="D215" i="12"/>
  <c r="C215" i="12"/>
  <c r="B215" i="12"/>
  <c r="E214" i="12"/>
  <c r="D214" i="12"/>
  <c r="C214" i="12"/>
  <c r="B214" i="12"/>
  <c r="E203" i="12"/>
  <c r="D203" i="12"/>
  <c r="C203" i="12"/>
  <c r="B203" i="12"/>
  <c r="E202" i="12"/>
  <c r="D202" i="12"/>
  <c r="C202" i="12"/>
  <c r="B202" i="12"/>
  <c r="E201" i="12"/>
  <c r="D201" i="12"/>
  <c r="C201" i="12"/>
  <c r="B201" i="12"/>
  <c r="E200" i="12"/>
  <c r="D200" i="12"/>
  <c r="C200" i="12"/>
  <c r="B200" i="12"/>
  <c r="E199" i="12"/>
  <c r="D199" i="12"/>
  <c r="C199" i="12"/>
  <c r="B199" i="12"/>
  <c r="E198" i="12"/>
  <c r="D198" i="12"/>
  <c r="C198" i="12"/>
  <c r="B198" i="12"/>
  <c r="E197" i="12"/>
  <c r="D197" i="12"/>
  <c r="C197" i="12"/>
  <c r="B197" i="12"/>
  <c r="E196" i="12"/>
  <c r="D196" i="12"/>
  <c r="C196" i="12"/>
  <c r="B196" i="12"/>
  <c r="E195" i="12"/>
  <c r="D195" i="12"/>
  <c r="C195" i="12"/>
  <c r="B195" i="12"/>
  <c r="E194" i="12"/>
  <c r="D194" i="12"/>
  <c r="C194" i="12"/>
  <c r="B194" i="12"/>
  <c r="E193" i="12"/>
  <c r="D193" i="12"/>
  <c r="C193" i="12"/>
  <c r="B193" i="12"/>
  <c r="E192" i="12"/>
  <c r="D192" i="12"/>
  <c r="C192" i="12"/>
  <c r="B192" i="12"/>
  <c r="E191" i="12"/>
  <c r="D191" i="12"/>
  <c r="C191" i="12"/>
  <c r="B191" i="12"/>
  <c r="E190" i="12"/>
  <c r="D190" i="12"/>
  <c r="C190" i="12"/>
  <c r="B190" i="12"/>
  <c r="E189" i="12"/>
  <c r="D189" i="12"/>
  <c r="C189" i="12"/>
  <c r="B189" i="12"/>
  <c r="E188" i="12"/>
  <c r="D188" i="12"/>
  <c r="C188" i="12"/>
  <c r="B188" i="12"/>
  <c r="E187" i="12"/>
  <c r="D187" i="12"/>
  <c r="C187" i="12"/>
  <c r="B187" i="12"/>
  <c r="E186" i="12"/>
  <c r="D186" i="12"/>
  <c r="C186" i="12"/>
  <c r="B186" i="12"/>
  <c r="E185" i="12"/>
  <c r="D185" i="12"/>
  <c r="C185" i="12"/>
  <c r="B185" i="12"/>
  <c r="E184" i="12"/>
  <c r="D184" i="12"/>
  <c r="C184" i="12"/>
  <c r="B184" i="12"/>
  <c r="E158" i="12"/>
  <c r="D158" i="12"/>
  <c r="C158" i="12"/>
  <c r="B158" i="12"/>
  <c r="E157" i="12"/>
  <c r="D157" i="12"/>
  <c r="C157" i="12"/>
  <c r="B157" i="12"/>
  <c r="E156" i="12"/>
  <c r="D156" i="12"/>
  <c r="C156" i="12"/>
  <c r="B156" i="12"/>
  <c r="E155" i="12"/>
  <c r="D155" i="12"/>
  <c r="C155" i="12"/>
  <c r="B155" i="12"/>
  <c r="E154" i="12"/>
  <c r="D154" i="12"/>
  <c r="C154" i="12"/>
  <c r="B154" i="12"/>
  <c r="E153" i="12"/>
  <c r="D153" i="12"/>
  <c r="C153" i="12"/>
  <c r="B153" i="12"/>
  <c r="E152" i="12"/>
  <c r="D152" i="12"/>
  <c r="C152" i="12"/>
  <c r="B152" i="12"/>
  <c r="E151" i="12"/>
  <c r="D151" i="12"/>
  <c r="C151" i="12"/>
  <c r="B151" i="12"/>
  <c r="E150" i="12"/>
  <c r="D150" i="12"/>
  <c r="C150" i="12"/>
  <c r="B150" i="12"/>
  <c r="E149" i="12"/>
  <c r="D149" i="12"/>
  <c r="C149" i="12"/>
  <c r="B149" i="12"/>
  <c r="E148" i="12"/>
  <c r="D148" i="12"/>
  <c r="C148" i="12"/>
  <c r="B148" i="12"/>
  <c r="E147" i="12"/>
  <c r="D147" i="12"/>
  <c r="C147" i="12"/>
  <c r="B147" i="12"/>
  <c r="E146" i="12"/>
  <c r="D146" i="12"/>
  <c r="C146" i="12"/>
  <c r="B146" i="12"/>
  <c r="E145" i="12"/>
  <c r="D145" i="12"/>
  <c r="C145" i="12"/>
  <c r="B145" i="12"/>
  <c r="E144" i="12"/>
  <c r="D144" i="12"/>
  <c r="C144" i="12"/>
  <c r="B144" i="12"/>
  <c r="E143" i="12"/>
  <c r="D143" i="12"/>
  <c r="C143" i="12"/>
  <c r="B143" i="12"/>
  <c r="E142" i="12"/>
  <c r="D142" i="12"/>
  <c r="C142" i="12"/>
  <c r="B142" i="12"/>
  <c r="E141" i="12"/>
  <c r="D141" i="12"/>
  <c r="C141" i="12"/>
  <c r="B141" i="12"/>
  <c r="E140" i="12"/>
  <c r="D140" i="12"/>
  <c r="C140" i="12"/>
  <c r="B140" i="12"/>
  <c r="E139" i="12"/>
  <c r="D139" i="12"/>
  <c r="C139" i="12"/>
  <c r="B139" i="12"/>
  <c r="B69" i="12"/>
  <c r="B68" i="12"/>
  <c r="B67" i="12"/>
  <c r="B66" i="12"/>
  <c r="B65" i="12"/>
  <c r="X59" i="12"/>
  <c r="X69" i="12" s="1"/>
  <c r="W59" i="12"/>
  <c r="W69" i="12" s="1"/>
  <c r="V59" i="12"/>
  <c r="V69" i="12" s="1"/>
  <c r="U59" i="12"/>
  <c r="U69" i="12" s="1"/>
  <c r="T59" i="12"/>
  <c r="T69" i="12" s="1"/>
  <c r="S59" i="12"/>
  <c r="S69" i="12" s="1"/>
  <c r="R59" i="12"/>
  <c r="R69" i="12" s="1"/>
  <c r="Q59" i="12"/>
  <c r="Q69" i="12" s="1"/>
  <c r="P59" i="12"/>
  <c r="P69" i="12" s="1"/>
  <c r="O59" i="12"/>
  <c r="O69" i="12" s="1"/>
  <c r="N59" i="12"/>
  <c r="N69" i="12" s="1"/>
  <c r="M59" i="12"/>
  <c r="M69" i="12" s="1"/>
  <c r="L59" i="12"/>
  <c r="L69" i="12" s="1"/>
  <c r="K59" i="12"/>
  <c r="K69" i="12" s="1"/>
  <c r="X58" i="12"/>
  <c r="X68" i="12" s="1"/>
  <c r="W58" i="12"/>
  <c r="W68" i="12" s="1"/>
  <c r="V58" i="12"/>
  <c r="V68" i="12" s="1"/>
  <c r="U58" i="12"/>
  <c r="U68" i="12" s="1"/>
  <c r="T58" i="12"/>
  <c r="T68" i="12" s="1"/>
  <c r="S58" i="12"/>
  <c r="S68" i="12" s="1"/>
  <c r="R58" i="12"/>
  <c r="R68" i="12" s="1"/>
  <c r="Q58" i="12"/>
  <c r="Q68" i="12" s="1"/>
  <c r="P58" i="12"/>
  <c r="P68" i="12" s="1"/>
  <c r="O58" i="12"/>
  <c r="O68" i="12" s="1"/>
  <c r="N58" i="12"/>
  <c r="N68" i="12" s="1"/>
  <c r="M58" i="12"/>
  <c r="M68" i="12" s="1"/>
  <c r="L58" i="12"/>
  <c r="L68" i="12" s="1"/>
  <c r="K58" i="12"/>
  <c r="K68" i="12" s="1"/>
  <c r="X57" i="12"/>
  <c r="X67" i="12" s="1"/>
  <c r="W57" i="12"/>
  <c r="W67" i="12" s="1"/>
  <c r="V57" i="12"/>
  <c r="V67" i="12" s="1"/>
  <c r="U57" i="12"/>
  <c r="U67" i="12" s="1"/>
  <c r="T57" i="12"/>
  <c r="T67" i="12" s="1"/>
  <c r="S57" i="12"/>
  <c r="S67" i="12" s="1"/>
  <c r="R57" i="12"/>
  <c r="R67" i="12" s="1"/>
  <c r="Q57" i="12"/>
  <c r="Q67" i="12" s="1"/>
  <c r="P57" i="12"/>
  <c r="P67" i="12" s="1"/>
  <c r="O57" i="12"/>
  <c r="O67" i="12" s="1"/>
  <c r="N57" i="12"/>
  <c r="N67" i="12" s="1"/>
  <c r="M57" i="12"/>
  <c r="M67" i="12" s="1"/>
  <c r="L57" i="12"/>
  <c r="L67" i="12" s="1"/>
  <c r="K57" i="12"/>
  <c r="K67" i="12" s="1"/>
  <c r="X56" i="12"/>
  <c r="X66" i="12" s="1"/>
  <c r="W56" i="12"/>
  <c r="W66" i="12" s="1"/>
  <c r="V56" i="12"/>
  <c r="V66" i="12" s="1"/>
  <c r="U56" i="12"/>
  <c r="U66" i="12" s="1"/>
  <c r="T56" i="12"/>
  <c r="T66" i="12" s="1"/>
  <c r="S56" i="12"/>
  <c r="S66" i="12" s="1"/>
  <c r="R56" i="12"/>
  <c r="R66" i="12" s="1"/>
  <c r="Q56" i="12"/>
  <c r="Q66" i="12" s="1"/>
  <c r="P56" i="12"/>
  <c r="P66" i="12" s="1"/>
  <c r="O56" i="12"/>
  <c r="O66" i="12" s="1"/>
  <c r="N56" i="12"/>
  <c r="N66" i="12" s="1"/>
  <c r="M56" i="12"/>
  <c r="M66" i="12" s="1"/>
  <c r="L56" i="12"/>
  <c r="L66" i="12" s="1"/>
  <c r="K56" i="12"/>
  <c r="K66" i="12" s="1"/>
  <c r="X55" i="12"/>
  <c r="X65" i="12" s="1"/>
  <c r="W55" i="12"/>
  <c r="W65" i="12" s="1"/>
  <c r="V55" i="12"/>
  <c r="V65" i="12" s="1"/>
  <c r="U55" i="12"/>
  <c r="U65" i="12" s="1"/>
  <c r="T55" i="12"/>
  <c r="T65" i="12" s="1"/>
  <c r="S55" i="12"/>
  <c r="S65" i="12" s="1"/>
  <c r="R55" i="12"/>
  <c r="R65" i="12" s="1"/>
  <c r="Q55" i="12"/>
  <c r="Q65" i="12" s="1"/>
  <c r="P55" i="12"/>
  <c r="P65" i="12" s="1"/>
  <c r="O55" i="12"/>
  <c r="O65" i="12" s="1"/>
  <c r="N55" i="12"/>
  <c r="N65" i="12" s="1"/>
  <c r="M55" i="12"/>
  <c r="M65" i="12" s="1"/>
  <c r="L55" i="12"/>
  <c r="L65" i="12" s="1"/>
  <c r="K55" i="12"/>
  <c r="K65" i="12" s="1"/>
  <c r="B53" i="12"/>
  <c r="B59" i="12" s="1"/>
  <c r="B52" i="12"/>
  <c r="B58" i="12" s="1"/>
  <c r="B51" i="12"/>
  <c r="B57" i="12" s="1"/>
  <c r="B50" i="12"/>
  <c r="B56" i="12" s="1"/>
  <c r="B49" i="12"/>
  <c r="B55" i="12" s="1"/>
  <c r="K11" i="12"/>
  <c r="C212" i="11"/>
  <c r="C218" i="11" s="1"/>
  <c r="B212" i="11"/>
  <c r="B218" i="11" s="1"/>
  <c r="C211" i="11"/>
  <c r="C217" i="11" s="1"/>
  <c r="B211" i="11"/>
  <c r="B217" i="11" s="1"/>
  <c r="C210" i="11"/>
  <c r="C216" i="11" s="1"/>
  <c r="B210" i="11"/>
  <c r="B216" i="11" s="1"/>
  <c r="C209" i="11"/>
  <c r="C215" i="11" s="1"/>
  <c r="B209" i="11"/>
  <c r="B215" i="11" s="1"/>
  <c r="C208" i="11"/>
  <c r="C214" i="11" s="1"/>
  <c r="B208" i="11"/>
  <c r="B214" i="11" s="1"/>
  <c r="C191" i="11"/>
  <c r="C197" i="11" s="1"/>
  <c r="B191" i="11"/>
  <c r="B197" i="11" s="1"/>
  <c r="C190" i="11"/>
  <c r="C196" i="11" s="1"/>
  <c r="B190" i="11"/>
  <c r="B196" i="11" s="1"/>
  <c r="C189" i="11"/>
  <c r="C195" i="11" s="1"/>
  <c r="B189" i="11"/>
  <c r="B195" i="11" s="1"/>
  <c r="C188" i="11"/>
  <c r="C194" i="11" s="1"/>
  <c r="B188" i="11"/>
  <c r="B194" i="11" s="1"/>
  <c r="C187" i="11"/>
  <c r="C193" i="11" s="1"/>
  <c r="B187" i="11"/>
  <c r="B193" i="11" s="1"/>
  <c r="C147" i="11"/>
  <c r="C158" i="11" s="1"/>
  <c r="B147" i="11"/>
  <c r="B158" i="11" s="1"/>
  <c r="C146" i="11"/>
  <c r="C157" i="11" s="1"/>
  <c r="B146" i="11"/>
  <c r="B157" i="11" s="1"/>
  <c r="C145" i="11"/>
  <c r="C156" i="11" s="1"/>
  <c r="B145" i="11"/>
  <c r="B156" i="11" s="1"/>
  <c r="C144" i="11"/>
  <c r="C155" i="11" s="1"/>
  <c r="B144" i="11"/>
  <c r="B155" i="11" s="1"/>
  <c r="C143" i="11"/>
  <c r="C154" i="11" s="1"/>
  <c r="B143" i="11"/>
  <c r="B154" i="11" s="1"/>
  <c r="C142" i="11"/>
  <c r="C153" i="11" s="1"/>
  <c r="B142" i="11"/>
  <c r="B153" i="11" s="1"/>
  <c r="C141" i="11"/>
  <c r="C152" i="11" s="1"/>
  <c r="B141" i="11"/>
  <c r="B152" i="11" s="1"/>
  <c r="C140" i="11"/>
  <c r="C151" i="11" s="1"/>
  <c r="B140" i="11"/>
  <c r="B151" i="11" s="1"/>
  <c r="C139" i="11"/>
  <c r="C150" i="11" s="1"/>
  <c r="B139" i="11"/>
  <c r="B150" i="11" s="1"/>
  <c r="C138" i="11"/>
  <c r="C149" i="11" s="1"/>
  <c r="B138" i="11"/>
  <c r="B149" i="11" s="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B85" i="11"/>
  <c r="B91" i="11" s="1"/>
  <c r="B84" i="11"/>
  <c r="B90" i="11" s="1"/>
  <c r="B83" i="11"/>
  <c r="B89" i="11" s="1"/>
  <c r="B82" i="11"/>
  <c r="B88" i="11" s="1"/>
  <c r="B81" i="11"/>
  <c r="B87" i="11" s="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B64" i="11"/>
  <c r="B70" i="11" s="1"/>
  <c r="B63" i="11"/>
  <c r="B69" i="11" s="1"/>
  <c r="B62" i="11"/>
  <c r="B68" i="11" s="1"/>
  <c r="B61" i="11"/>
  <c r="B67" i="11" s="1"/>
  <c r="B60" i="11"/>
  <c r="B66" i="11" s="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B25" i="11"/>
  <c r="B31" i="11" s="1"/>
  <c r="B24" i="11"/>
  <c r="B30" i="11" s="1"/>
  <c r="B23" i="11"/>
  <c r="B29" i="11" s="1"/>
  <c r="B22" i="11"/>
  <c r="B28" i="11" s="1"/>
  <c r="B21" i="11"/>
  <c r="B27" i="11" s="1"/>
  <c r="K11" i="11"/>
  <c r="F191" i="9"/>
  <c r="E191" i="9"/>
  <c r="I38" i="10" s="1"/>
  <c r="I326" i="10" s="1"/>
  <c r="D191" i="9"/>
  <c r="H38" i="10" s="1"/>
  <c r="H326" i="10" s="1"/>
  <c r="C191" i="9"/>
  <c r="G38" i="10" s="1"/>
  <c r="G326" i="10" s="1"/>
  <c r="F184" i="9"/>
  <c r="E184" i="9"/>
  <c r="I35" i="10" s="1"/>
  <c r="I323" i="10" s="1"/>
  <c r="D184" i="9"/>
  <c r="H35" i="10" s="1"/>
  <c r="H323" i="10" s="1"/>
  <c r="C184" i="9"/>
  <c r="G35" i="10" s="1"/>
  <c r="G323" i="10" s="1"/>
  <c r="F176" i="9"/>
  <c r="E176" i="9"/>
  <c r="I34" i="10" s="1"/>
  <c r="I322" i="10" s="1"/>
  <c r="D176" i="9"/>
  <c r="H34" i="10" s="1"/>
  <c r="H322" i="10" s="1"/>
  <c r="C176" i="9"/>
  <c r="G34" i="10" s="1"/>
  <c r="G322" i="10" s="1"/>
  <c r="F171" i="9"/>
  <c r="E171" i="9"/>
  <c r="I32" i="10" s="1"/>
  <c r="I320" i="10" s="1"/>
  <c r="D171" i="9"/>
  <c r="H32" i="10" s="1"/>
  <c r="H320" i="10" s="1"/>
  <c r="C171" i="9"/>
  <c r="G32" i="10" s="1"/>
  <c r="G320" i="10" s="1"/>
  <c r="F167" i="9"/>
  <c r="E167" i="9"/>
  <c r="I30" i="10" s="1"/>
  <c r="I318" i="10" s="1"/>
  <c r="D167" i="9"/>
  <c r="H30" i="10" s="1"/>
  <c r="H318" i="10" s="1"/>
  <c r="C167" i="9"/>
  <c r="G30" i="10" s="1"/>
  <c r="G318" i="10" s="1"/>
  <c r="F156" i="9"/>
  <c r="E156" i="9"/>
  <c r="D156" i="9"/>
  <c r="C156" i="9"/>
  <c r="F150" i="9"/>
  <c r="F166" i="9" s="1"/>
  <c r="E150" i="9"/>
  <c r="E166" i="9" s="1"/>
  <c r="E175" i="9" s="1"/>
  <c r="D150" i="9"/>
  <c r="C150" i="9"/>
  <c r="F141" i="9"/>
  <c r="F139" i="9" s="1"/>
  <c r="E141" i="9"/>
  <c r="I92" i="10" s="1"/>
  <c r="D141" i="9"/>
  <c r="H92" i="10" s="1"/>
  <c r="C141" i="9"/>
  <c r="G92" i="10" s="1"/>
  <c r="F130" i="9"/>
  <c r="F126" i="9" s="1"/>
  <c r="E130" i="9"/>
  <c r="E126" i="9" s="1"/>
  <c r="D130" i="9"/>
  <c r="D126" i="9" s="1"/>
  <c r="C130" i="9"/>
  <c r="C126" i="9" s="1"/>
  <c r="F122" i="9"/>
  <c r="F121" i="9" s="1"/>
  <c r="E122" i="9"/>
  <c r="D122" i="9"/>
  <c r="C122" i="9"/>
  <c r="C121" i="9" s="1"/>
  <c r="F115" i="9"/>
  <c r="F113" i="9" s="1"/>
  <c r="E115" i="9"/>
  <c r="E113" i="9" s="1"/>
  <c r="D115" i="9"/>
  <c r="D113" i="9" s="1"/>
  <c r="H86" i="10" s="1"/>
  <c r="C115" i="9"/>
  <c r="C113" i="9" s="1"/>
  <c r="G86" i="10" s="1"/>
  <c r="F110" i="9"/>
  <c r="E110" i="9"/>
  <c r="D110" i="9"/>
  <c r="C110" i="9"/>
  <c r="F107" i="9"/>
  <c r="F105" i="9" s="1"/>
  <c r="E107" i="9"/>
  <c r="D107" i="9"/>
  <c r="C107" i="9"/>
  <c r="F81" i="9"/>
  <c r="F70" i="9" s="1"/>
  <c r="F69" i="9" s="1"/>
  <c r="E81" i="9"/>
  <c r="I70" i="10" s="1"/>
  <c r="D81" i="9"/>
  <c r="H70" i="10" s="1"/>
  <c r="C81" i="9"/>
  <c r="G70" i="10" s="1"/>
  <c r="F76" i="9"/>
  <c r="E76" i="9"/>
  <c r="D76" i="9"/>
  <c r="C76" i="9"/>
  <c r="F71" i="9"/>
  <c r="E71" i="9"/>
  <c r="D71" i="9"/>
  <c r="C71" i="9"/>
  <c r="F63" i="9"/>
  <c r="F62" i="9" s="1"/>
  <c r="E63" i="9"/>
  <c r="E62" i="9" s="1"/>
  <c r="D63" i="9"/>
  <c r="D62" i="9" s="1"/>
  <c r="C63" i="9"/>
  <c r="C62" i="9" s="1"/>
  <c r="F58" i="9"/>
  <c r="F57" i="9" s="1"/>
  <c r="E58" i="9"/>
  <c r="D58" i="9"/>
  <c r="C58" i="9"/>
  <c r="F50" i="9"/>
  <c r="E50" i="9"/>
  <c r="I66" i="10" s="1"/>
  <c r="I16" i="18" s="1"/>
  <c r="D50" i="9"/>
  <c r="H66" i="10" s="1"/>
  <c r="H16" i="18" s="1"/>
  <c r="H26" i="18" s="1"/>
  <c r="C50" i="9"/>
  <c r="G66" i="10" s="1"/>
  <c r="F46" i="9"/>
  <c r="E46" i="9"/>
  <c r="I64" i="10" s="1"/>
  <c r="I352" i="10" s="1"/>
  <c r="D46" i="9"/>
  <c r="H64" i="10" s="1"/>
  <c r="C46" i="9"/>
  <c r="G64" i="10" s="1"/>
  <c r="F40" i="9"/>
  <c r="E40" i="9"/>
  <c r="D40" i="9"/>
  <c r="C40" i="9"/>
  <c r="F35" i="9"/>
  <c r="E35" i="9"/>
  <c r="D35" i="9"/>
  <c r="C35" i="9"/>
  <c r="C34" i="9" s="1"/>
  <c r="C31" i="9" s="1"/>
  <c r="G63" i="10" s="1"/>
  <c r="G351" i="10" s="1"/>
  <c r="F28" i="9"/>
  <c r="E28" i="9"/>
  <c r="I62" i="10" s="1"/>
  <c r="D28" i="9"/>
  <c r="H62" i="10" s="1"/>
  <c r="C28" i="9"/>
  <c r="G62" i="10" s="1"/>
  <c r="F20" i="9"/>
  <c r="F19" i="9" s="1"/>
  <c r="E20" i="9"/>
  <c r="E19" i="9" s="1"/>
  <c r="D20" i="9"/>
  <c r="D19" i="9" s="1"/>
  <c r="C20" i="9"/>
  <c r="C19" i="9" s="1"/>
  <c r="F14" i="9"/>
  <c r="E14" i="9"/>
  <c r="D14" i="9"/>
  <c r="C14" i="9"/>
  <c r="C184" i="8"/>
  <c r="C183" i="8"/>
  <c r="C181" i="8"/>
  <c r="J28" i="8"/>
  <c r="J126" i="8" s="1"/>
  <c r="H19" i="8"/>
  <c r="H20" i="8" s="1"/>
  <c r="C19" i="8"/>
  <c r="C127" i="8"/>
  <c r="D146" i="8" s="1"/>
  <c r="C126" i="8"/>
  <c r="H12" i="8"/>
  <c r="C509" i="16"/>
  <c r="C556" i="16" s="1"/>
  <c r="H20" i="10"/>
  <c r="H19" i="18"/>
  <c r="H24" i="18" s="1"/>
  <c r="I304" i="10"/>
  <c r="I101" i="10"/>
  <c r="G114" i="10"/>
  <c r="G15" i="10"/>
  <c r="G34" i="18" s="1"/>
  <c r="G39" i="18" s="1"/>
  <c r="G304" i="10"/>
  <c r="H343" i="10"/>
  <c r="I372" i="10"/>
  <c r="I343" i="10"/>
  <c r="G113" i="10"/>
  <c r="H113" i="10"/>
  <c r="H309" i="10"/>
  <c r="H49" i="18"/>
  <c r="H54" i="18" s="1"/>
  <c r="O104" i="22"/>
  <c r="O108" i="22"/>
  <c r="P104" i="22"/>
  <c r="P108" i="22"/>
  <c r="Q104" i="22"/>
  <c r="Q108" i="22"/>
  <c r="R104" i="22"/>
  <c r="R108" i="22"/>
  <c r="S104" i="22"/>
  <c r="S108" i="22"/>
  <c r="T104" i="22"/>
  <c r="T108" i="22"/>
  <c r="U104" i="22"/>
  <c r="U108" i="22"/>
  <c r="V104" i="22"/>
  <c r="V108" i="22"/>
  <c r="N109" i="22"/>
  <c r="N122" i="22"/>
  <c r="M126" i="22"/>
  <c r="C336" i="12"/>
  <c r="C378" i="12" s="1"/>
  <c r="C1030" i="12" s="1"/>
  <c r="C1075" i="12" s="1"/>
  <c r="C342" i="12"/>
  <c r="C384" i="12" s="1"/>
  <c r="C1036" i="12" s="1"/>
  <c r="C1081" i="12" s="1"/>
  <c r="C334" i="12"/>
  <c r="C376" i="12" s="1"/>
  <c r="C1028" i="12" s="1"/>
  <c r="C1073" i="12" s="1"/>
  <c r="C314" i="12"/>
  <c r="C356" i="12" s="1"/>
  <c r="C1008" i="12" s="1"/>
  <c r="C1053" i="12" s="1"/>
  <c r="B405" i="12"/>
  <c r="C505" i="12"/>
  <c r="C340" i="12"/>
  <c r="C382" i="12" s="1"/>
  <c r="C1034" i="12" s="1"/>
  <c r="C1079" i="12" s="1"/>
  <c r="D418" i="12"/>
  <c r="C316" i="12"/>
  <c r="C358" i="12" s="1"/>
  <c r="C1010" i="12" s="1"/>
  <c r="C1055" i="12" s="1"/>
  <c r="D1491" i="12"/>
  <c r="D1731" i="12" s="1"/>
  <c r="C498" i="12"/>
  <c r="B479" i="12"/>
  <c r="B511" i="12"/>
  <c r="B424" i="12"/>
  <c r="C507" i="12"/>
  <c r="E993" i="12"/>
  <c r="B411" i="12"/>
  <c r="B325" i="12"/>
  <c r="B367" i="12" s="1"/>
  <c r="B1019" i="12" s="1"/>
  <c r="B1064" i="12" s="1"/>
  <c r="C487" i="12"/>
  <c r="B1103" i="12"/>
  <c r="B1111" i="12"/>
  <c r="D1116" i="12"/>
  <c r="B1119" i="12"/>
  <c r="D1093" i="12"/>
  <c r="D1111" i="12"/>
  <c r="E1142" i="12"/>
  <c r="B1374" i="12"/>
  <c r="B1614" i="12" s="1"/>
  <c r="B1854" i="12" s="1"/>
  <c r="B1378" i="12"/>
  <c r="B1618" i="12" s="1"/>
  <c r="B1858" i="12" s="1"/>
  <c r="E1093" i="12"/>
  <c r="B1117" i="12"/>
  <c r="E1145" i="12"/>
  <c r="C1358" i="12"/>
  <c r="C1598" i="12" s="1"/>
  <c r="C1838" i="12" s="1"/>
  <c r="C1117" i="12"/>
  <c r="D995" i="12"/>
  <c r="B1115" i="12"/>
  <c r="C1137" i="12"/>
  <c r="E1143" i="12"/>
  <c r="D1590" i="12"/>
  <c r="D1830" i="12" s="1"/>
  <c r="E1112" i="12"/>
  <c r="D1464" i="12"/>
  <c r="D1704" i="12" s="1"/>
  <c r="D1489" i="12"/>
  <c r="D1729" i="12" s="1"/>
  <c r="D1493" i="12"/>
  <c r="D1733" i="12" s="1"/>
  <c r="D1505" i="12"/>
  <c r="D1745" i="12" s="1"/>
  <c r="B1383" i="12"/>
  <c r="B1623" i="12" s="1"/>
  <c r="B1863" i="12" s="1"/>
  <c r="B1142" i="12"/>
  <c r="D307" i="12"/>
  <c r="D349" i="12" s="1"/>
  <c r="D1001" i="12" s="1"/>
  <c r="D1046" i="12" s="1"/>
  <c r="D391" i="12"/>
  <c r="E1208" i="12"/>
  <c r="E1448" i="12" s="1"/>
  <c r="E1688" i="12" s="1"/>
  <c r="C991" i="12"/>
  <c r="H388" i="10"/>
  <c r="N126" i="22"/>
  <c r="O122" i="22"/>
  <c r="W104" i="22"/>
  <c r="W108" i="22"/>
  <c r="X104" i="22"/>
  <c r="X108" i="22"/>
  <c r="P122" i="22"/>
  <c r="O126" i="22"/>
  <c r="K516" i="16"/>
  <c r="K644" i="16"/>
  <c r="K602" i="16"/>
  <c r="K344" i="16"/>
  <c r="P126" i="22"/>
  <c r="Q122" i="22"/>
  <c r="L644" i="16"/>
  <c r="L602" i="16"/>
  <c r="L516" i="16"/>
  <c r="K348" i="16"/>
  <c r="L344" i="16"/>
  <c r="Q126" i="22"/>
  <c r="R122" i="22"/>
  <c r="M395" i="16"/>
  <c r="M309" i="16"/>
  <c r="M647" i="16"/>
  <c r="M645" i="16"/>
  <c r="M644" i="16"/>
  <c r="M646" i="16"/>
  <c r="M603" i="16"/>
  <c r="M602" i="16"/>
  <c r="M604" i="16"/>
  <c r="M519" i="16"/>
  <c r="N518" i="16"/>
  <c r="M518" i="16"/>
  <c r="M517" i="16"/>
  <c r="M516" i="16"/>
  <c r="M394" i="16"/>
  <c r="M392" i="16"/>
  <c r="M393" i="16"/>
  <c r="N309" i="16"/>
  <c r="M310" i="16"/>
  <c r="L348" i="16"/>
  <c r="M346" i="16"/>
  <c r="M345" i="16"/>
  <c r="M344" i="16"/>
  <c r="M308" i="16"/>
  <c r="R126" i="22"/>
  <c r="S122" i="22"/>
  <c r="L36" i="18"/>
  <c r="K51" i="18"/>
  <c r="N395" i="16"/>
  <c r="L51" i="18"/>
  <c r="N645" i="16"/>
  <c r="N647" i="16"/>
  <c r="N646" i="16"/>
  <c r="N644" i="16"/>
  <c r="O605" i="16"/>
  <c r="N605" i="16"/>
  <c r="N603" i="16"/>
  <c r="N602" i="16"/>
  <c r="N604" i="16"/>
  <c r="O518" i="16"/>
  <c r="N516" i="16"/>
  <c r="N519" i="16"/>
  <c r="N517" i="16"/>
  <c r="M520" i="16"/>
  <c r="N392" i="16"/>
  <c r="N394" i="16"/>
  <c r="N393" i="16"/>
  <c r="M396" i="16"/>
  <c r="O309" i="16"/>
  <c r="G60" i="20"/>
  <c r="N308" i="16"/>
  <c r="N310" i="16"/>
  <c r="M348" i="16"/>
  <c r="M347" i="16"/>
  <c r="N346" i="16"/>
  <c r="N345" i="16"/>
  <c r="N344" i="16"/>
  <c r="T122" i="22"/>
  <c r="S126" i="22"/>
  <c r="K36" i="18"/>
  <c r="P348" i="16"/>
  <c r="P344" i="16"/>
  <c r="P518" i="16"/>
  <c r="M36" i="18"/>
  <c r="O395" i="16"/>
  <c r="O347" i="16"/>
  <c r="M521" i="16"/>
  <c r="M605" i="16"/>
  <c r="P264" i="16"/>
  <c r="O646" i="16"/>
  <c r="O645" i="16"/>
  <c r="O644" i="16"/>
  <c r="O647" i="16"/>
  <c r="P605" i="16"/>
  <c r="O603" i="16"/>
  <c r="O602" i="16"/>
  <c r="M606" i="16"/>
  <c r="O604" i="16"/>
  <c r="G119" i="20"/>
  <c r="Q516" i="16"/>
  <c r="O519" i="16"/>
  <c r="O517" i="16"/>
  <c r="O516" i="16"/>
  <c r="O392" i="16"/>
  <c r="N520" i="16"/>
  <c r="O393" i="16"/>
  <c r="N396" i="16"/>
  <c r="O394" i="16"/>
  <c r="O310" i="16"/>
  <c r="G61" i="20"/>
  <c r="O308" i="16"/>
  <c r="G59" i="20"/>
  <c r="N347" i="16"/>
  <c r="O346" i="16"/>
  <c r="G83" i="20"/>
  <c r="O345" i="16"/>
  <c r="G82" i="20"/>
  <c r="N348" i="16"/>
  <c r="O344" i="16"/>
  <c r="U122" i="22"/>
  <c r="T126" i="22"/>
  <c r="Q348" i="16"/>
  <c r="Q644" i="16"/>
  <c r="Q344" i="16"/>
  <c r="N36" i="18"/>
  <c r="P646" i="16"/>
  <c r="P521" i="16"/>
  <c r="M649" i="16"/>
  <c r="M648" i="16"/>
  <c r="M311" i="16"/>
  <c r="P647" i="16"/>
  <c r="G191" i="20"/>
  <c r="G190" i="20"/>
  <c r="P644" i="16"/>
  <c r="P645" i="16"/>
  <c r="G189" i="20"/>
  <c r="P603" i="16"/>
  <c r="P602" i="16"/>
  <c r="N606" i="16"/>
  <c r="P604" i="16"/>
  <c r="M607" i="16"/>
  <c r="P519" i="16"/>
  <c r="G120" i="20"/>
  <c r="P517" i="16"/>
  <c r="G118" i="20"/>
  <c r="P516" i="16"/>
  <c r="R516" i="16"/>
  <c r="N521" i="16"/>
  <c r="O520" i="16"/>
  <c r="M397" i="16"/>
  <c r="O396" i="16"/>
  <c r="M312" i="16"/>
  <c r="G84" i="20"/>
  <c r="O348" i="16"/>
  <c r="Q602" i="16"/>
  <c r="P307" i="16"/>
  <c r="V122" i="22"/>
  <c r="U126" i="22"/>
  <c r="M51" i="18"/>
  <c r="R307" i="16"/>
  <c r="R602" i="16"/>
  <c r="R344" i="16"/>
  <c r="R644" i="16"/>
  <c r="O36" i="18"/>
  <c r="M522" i="16"/>
  <c r="N648" i="16"/>
  <c r="N311" i="16"/>
  <c r="P246" i="16"/>
  <c r="G62" i="20"/>
  <c r="M650" i="16"/>
  <c r="N649" i="16"/>
  <c r="O606" i="16"/>
  <c r="M608" i="16"/>
  <c r="N607" i="16"/>
  <c r="P520" i="16"/>
  <c r="G121" i="20"/>
  <c r="S516" i="16"/>
  <c r="O521" i="16"/>
  <c r="G122" i="20"/>
  <c r="M399" i="16"/>
  <c r="M398" i="16"/>
  <c r="N397" i="16"/>
  <c r="N398" i="16"/>
  <c r="O397" i="16"/>
  <c r="M314" i="16"/>
  <c r="M313" i="16"/>
  <c r="N312" i="16"/>
  <c r="Q307" i="16"/>
  <c r="V126" i="22"/>
  <c r="W122" i="22"/>
  <c r="P36" i="18"/>
  <c r="S348" i="16"/>
  <c r="S644" i="16"/>
  <c r="S602" i="16"/>
  <c r="S307" i="16"/>
  <c r="S344" i="16"/>
  <c r="N522" i="16"/>
  <c r="O648" i="16"/>
  <c r="O311" i="16"/>
  <c r="O650" i="16"/>
  <c r="N650" i="16"/>
  <c r="M651" i="16"/>
  <c r="O649" i="16"/>
  <c r="N608" i="16"/>
  <c r="P606" i="16"/>
  <c r="O607" i="16"/>
  <c r="M609" i="16"/>
  <c r="T516" i="16"/>
  <c r="M523" i="16"/>
  <c r="M400" i="16"/>
  <c r="O398" i="16"/>
  <c r="N399" i="16"/>
  <c r="N314" i="16"/>
  <c r="O312" i="16"/>
  <c r="N313" i="16"/>
  <c r="X122" i="22"/>
  <c r="X126" i="22"/>
  <c r="W126" i="22"/>
  <c r="T348" i="16"/>
  <c r="T307" i="16"/>
  <c r="T602" i="16"/>
  <c r="T644" i="16"/>
  <c r="T344" i="16"/>
  <c r="Q36" i="18"/>
  <c r="O522" i="16"/>
  <c r="M652" i="16"/>
  <c r="M653" i="16"/>
  <c r="P648" i="16"/>
  <c r="G192" i="20"/>
  <c r="P649" i="16"/>
  <c r="N651" i="16"/>
  <c r="P608" i="16"/>
  <c r="O608" i="16"/>
  <c r="N609" i="16"/>
  <c r="P607" i="16"/>
  <c r="M610" i="16"/>
  <c r="U516" i="16"/>
  <c r="N523" i="16"/>
  <c r="M524" i="16"/>
  <c r="N400" i="16"/>
  <c r="O399" i="16"/>
  <c r="O313" i="16"/>
  <c r="G64" i="20"/>
  <c r="G63" i="20"/>
  <c r="M316" i="16"/>
  <c r="O314" i="16"/>
  <c r="G65" i="20"/>
  <c r="M315" i="16"/>
  <c r="N51" i="18"/>
  <c r="U348" i="16"/>
  <c r="U602" i="16"/>
  <c r="U344" i="16"/>
  <c r="U644" i="16"/>
  <c r="U307" i="16"/>
  <c r="R36" i="18"/>
  <c r="P522" i="16"/>
  <c r="G123" i="20"/>
  <c r="N653" i="16"/>
  <c r="P650" i="16"/>
  <c r="G194" i="20"/>
  <c r="N652" i="16"/>
  <c r="P651" i="16"/>
  <c r="O651" i="16"/>
  <c r="G193" i="20"/>
  <c r="M611" i="16"/>
  <c r="N611" i="16"/>
  <c r="O609" i="16"/>
  <c r="N610" i="16"/>
  <c r="V516" i="16"/>
  <c r="M525" i="16"/>
  <c r="N524" i="16"/>
  <c r="O524" i="16"/>
  <c r="O523" i="16"/>
  <c r="O400" i="16"/>
  <c r="N316" i="16"/>
  <c r="M317" i="16"/>
  <c r="N315" i="16"/>
  <c r="S36" i="18"/>
  <c r="V348" i="16"/>
  <c r="V307" i="16"/>
  <c r="V602" i="16"/>
  <c r="V644" i="16"/>
  <c r="V344" i="16"/>
  <c r="O652" i="16"/>
  <c r="M527" i="16"/>
  <c r="O653" i="16"/>
  <c r="G195" i="20"/>
  <c r="P609" i="16"/>
  <c r="O610" i="16"/>
  <c r="W516" i="16"/>
  <c r="P524" i="16"/>
  <c r="G125" i="20"/>
  <c r="P523" i="16"/>
  <c r="N525" i="16"/>
  <c r="M526" i="16"/>
  <c r="O315" i="16"/>
  <c r="G66" i="20"/>
  <c r="O316" i="16"/>
  <c r="G67" i="20"/>
  <c r="N317" i="16"/>
  <c r="M318" i="16"/>
  <c r="O51" i="18"/>
  <c r="T36" i="18"/>
  <c r="W348" i="16"/>
  <c r="W602" i="16"/>
  <c r="W307" i="16"/>
  <c r="W644" i="16"/>
  <c r="W344" i="16"/>
  <c r="P652" i="16"/>
  <c r="G196" i="20"/>
  <c r="N527" i="16"/>
  <c r="P653" i="16"/>
  <c r="O611" i="16"/>
  <c r="P610" i="16"/>
  <c r="G124" i="20"/>
  <c r="X516" i="16"/>
  <c r="O525" i="16"/>
  <c r="N526" i="16"/>
  <c r="N318" i="16"/>
  <c r="O317" i="16"/>
  <c r="G68" i="20"/>
  <c r="G2037" i="16"/>
  <c r="G2091" i="16" s="1"/>
  <c r="X348" i="16"/>
  <c r="G85" i="20"/>
  <c r="X307" i="16"/>
  <c r="X602" i="16"/>
  <c r="X644" i="16"/>
  <c r="X344" i="16"/>
  <c r="U36" i="18"/>
  <c r="G197" i="20"/>
  <c r="P611" i="16"/>
  <c r="P525" i="16"/>
  <c r="G126" i="20"/>
  <c r="P526" i="16"/>
  <c r="O526" i="16"/>
  <c r="M528" i="16"/>
  <c r="O527" i="16"/>
  <c r="M319" i="16"/>
  <c r="O318" i="16"/>
  <c r="G69" i="20"/>
  <c r="P51" i="18"/>
  <c r="G2038" i="16"/>
  <c r="G2092" i="16" s="1"/>
  <c r="G2039" i="16"/>
  <c r="G2093" i="16" s="1"/>
  <c r="G188" i="20"/>
  <c r="G127" i="20"/>
  <c r="P527" i="16"/>
  <c r="G128" i="20"/>
  <c r="M530" i="16"/>
  <c r="M529" i="16"/>
  <c r="M559" i="16"/>
  <c r="M558" i="16"/>
  <c r="G117" i="20"/>
  <c r="N528" i="16"/>
  <c r="M402" i="16"/>
  <c r="N319" i="16"/>
  <c r="M320" i="16"/>
  <c r="M321" i="16"/>
  <c r="G58" i="20"/>
  <c r="G81" i="20"/>
  <c r="V36" i="18"/>
  <c r="M557" i="16"/>
  <c r="W36" i="18"/>
  <c r="N558" i="16"/>
  <c r="N559" i="16"/>
  <c r="N402" i="16"/>
  <c r="N529" i="16"/>
  <c r="O528" i="16"/>
  <c r="P528" i="16"/>
  <c r="N530" i="16"/>
  <c r="N320" i="16"/>
  <c r="O319" i="16"/>
  <c r="G70" i="20"/>
  <c r="N321" i="16"/>
  <c r="Q51" i="18"/>
  <c r="M556" i="16"/>
  <c r="M560" i="16"/>
  <c r="N557" i="16"/>
  <c r="M405" i="16"/>
  <c r="O559" i="16"/>
  <c r="M531" i="16"/>
  <c r="O558" i="16"/>
  <c r="O402" i="16"/>
  <c r="G129" i="20"/>
  <c r="M532" i="16"/>
  <c r="O530" i="16"/>
  <c r="N556" i="16"/>
  <c r="O529" i="16"/>
  <c r="O403" i="16"/>
  <c r="N403" i="16"/>
  <c r="M401" i="16"/>
  <c r="M404" i="16"/>
  <c r="M403" i="16"/>
  <c r="O320" i="16"/>
  <c r="G71" i="20"/>
  <c r="O321" i="16"/>
  <c r="P530" i="16"/>
  <c r="X36" i="18"/>
  <c r="O557" i="16"/>
  <c r="N560" i="16"/>
  <c r="O556" i="16"/>
  <c r="G131" i="20"/>
  <c r="P529" i="16"/>
  <c r="G130" i="20"/>
  <c r="P559" i="16"/>
  <c r="P558" i="16"/>
  <c r="N532" i="16"/>
  <c r="N531" i="16"/>
  <c r="N404" i="16"/>
  <c r="O405" i="16"/>
  <c r="N405" i="16"/>
  <c r="N401" i="16"/>
  <c r="I283" i="16"/>
  <c r="R51" i="18"/>
  <c r="O560" i="16"/>
  <c r="P556" i="16"/>
  <c r="P557" i="16"/>
  <c r="M534" i="16"/>
  <c r="M533" i="16"/>
  <c r="O532" i="16"/>
  <c r="O531" i="16"/>
  <c r="O401" i="16"/>
  <c r="O404" i="16"/>
  <c r="G72" i="20"/>
  <c r="P532" i="16"/>
  <c r="P560" i="16"/>
  <c r="M535" i="16"/>
  <c r="G133" i="20"/>
  <c r="P531" i="16"/>
  <c r="G132" i="20"/>
  <c r="N533" i="16"/>
  <c r="N534" i="16"/>
  <c r="S51" i="18"/>
  <c r="O534" i="16"/>
  <c r="O533" i="16"/>
  <c r="N535" i="16"/>
  <c r="P533" i="16"/>
  <c r="P534" i="16"/>
  <c r="G135" i="20"/>
  <c r="M536" i="16"/>
  <c r="O535" i="16"/>
  <c r="T51" i="18"/>
  <c r="P535" i="16"/>
  <c r="G136" i="20"/>
  <c r="G134" i="20"/>
  <c r="M537" i="16"/>
  <c r="N536" i="16"/>
  <c r="N537" i="16"/>
  <c r="O536" i="16"/>
  <c r="M538" i="16"/>
  <c r="U51" i="18"/>
  <c r="M540" i="16"/>
  <c r="P536" i="16"/>
  <c r="G137" i="20"/>
  <c r="N538" i="16"/>
  <c r="O537" i="16"/>
  <c r="M539" i="16"/>
  <c r="P537" i="16"/>
  <c r="G138" i="20"/>
  <c r="N540" i="16"/>
  <c r="O538" i="16"/>
  <c r="N539" i="16"/>
  <c r="P538" i="16"/>
  <c r="V51" i="18"/>
  <c r="M541" i="16"/>
  <c r="G139" i="20"/>
  <c r="O540" i="16"/>
  <c r="O539" i="16"/>
  <c r="P541" i="16"/>
  <c r="P539" i="16"/>
  <c r="G140" i="20"/>
  <c r="P540" i="16"/>
  <c r="G141" i="20"/>
  <c r="M542" i="16"/>
  <c r="N541" i="16"/>
  <c r="W51" i="18"/>
  <c r="M544" i="16"/>
  <c r="M543" i="16"/>
  <c r="N542" i="16"/>
  <c r="O541" i="16"/>
  <c r="G142" i="20"/>
  <c r="N544" i="16"/>
  <c r="N543" i="16"/>
  <c r="O542" i="16"/>
  <c r="X51" i="18"/>
  <c r="P542" i="16"/>
  <c r="G143" i="20"/>
  <c r="O544" i="16"/>
  <c r="O543" i="16"/>
  <c r="M547" i="16"/>
  <c r="P544" i="16"/>
  <c r="G145" i="20"/>
  <c r="P543" i="16"/>
  <c r="G144" i="20"/>
  <c r="M546" i="16"/>
  <c r="M545" i="16"/>
  <c r="N547" i="16"/>
  <c r="N545" i="16"/>
  <c r="N546" i="16"/>
  <c r="M549" i="16"/>
  <c r="O545" i="16"/>
  <c r="O546" i="16"/>
  <c r="M548" i="16"/>
  <c r="O547" i="16"/>
  <c r="P546" i="16"/>
  <c r="G147" i="20"/>
  <c r="P545" i="16"/>
  <c r="G146" i="20"/>
  <c r="P547" i="16"/>
  <c r="G148" i="20"/>
  <c r="O549" i="16"/>
  <c r="N549" i="16"/>
  <c r="N548" i="16"/>
  <c r="P549" i="16"/>
  <c r="G150" i="20"/>
  <c r="M550" i="16"/>
  <c r="O548" i="16"/>
  <c r="M551" i="16"/>
  <c r="M552" i="16"/>
  <c r="P548" i="16"/>
  <c r="G149" i="20"/>
  <c r="N550" i="16"/>
  <c r="N551" i="16"/>
  <c r="N552" i="16"/>
  <c r="O550" i="16"/>
  <c r="O552" i="16"/>
  <c r="P550" i="16"/>
  <c r="G151" i="20"/>
  <c r="O551" i="16"/>
  <c r="M553" i="16"/>
  <c r="P552" i="16"/>
  <c r="G153" i="20"/>
  <c r="P551" i="16"/>
  <c r="G152" i="20"/>
  <c r="M554" i="16"/>
  <c r="N553" i="16"/>
  <c r="M555" i="16"/>
  <c r="N554" i="16"/>
  <c r="O553" i="16"/>
  <c r="P553" i="16"/>
  <c r="G154" i="20"/>
  <c r="P555" i="16"/>
  <c r="N555" i="16"/>
  <c r="O554" i="16"/>
  <c r="P554" i="16"/>
  <c r="O555" i="16"/>
  <c r="G155" i="20"/>
  <c r="G156" i="20"/>
  <c r="O391" i="16"/>
  <c r="N391" i="16"/>
  <c r="M391" i="16"/>
  <c r="B1097" i="12" l="1"/>
  <c r="C1340" i="12"/>
  <c r="C1580" i="12" s="1"/>
  <c r="C1820" i="12" s="1"/>
  <c r="B1099" i="12"/>
  <c r="B1101" i="12"/>
  <c r="C397" i="12"/>
  <c r="B991" i="12"/>
  <c r="D994" i="12"/>
  <c r="I1849" i="16" a="1"/>
  <c r="I1849" i="16" s="1"/>
  <c r="J157" i="20"/>
  <c r="L100" i="22"/>
  <c r="M100" i="22"/>
  <c r="N95" i="22"/>
  <c r="N99" i="22" s="1"/>
  <c r="O95" i="22" s="1"/>
  <c r="O99" i="22" s="1"/>
  <c r="P95" i="22" s="1"/>
  <c r="P99" i="22" s="1"/>
  <c r="Q95" i="22" s="1"/>
  <c r="Q99" i="22" s="1"/>
  <c r="R95" i="22" s="1"/>
  <c r="R99" i="22" s="1"/>
  <c r="S95" i="22" s="1"/>
  <c r="S99" i="22" s="1"/>
  <c r="T95" i="22" s="1"/>
  <c r="T99" i="22" s="1"/>
  <c r="U95" i="22" s="1"/>
  <c r="U99" i="22" s="1"/>
  <c r="V95" i="22" s="1"/>
  <c r="V99" i="22" s="1"/>
  <c r="W95" i="22" s="1"/>
  <c r="W99" i="22" s="1"/>
  <c r="X95" i="22" s="1"/>
  <c r="X99" i="22" s="1"/>
  <c r="X100" i="22" s="1"/>
  <c r="R100" i="22"/>
  <c r="N100" i="22"/>
  <c r="V100" i="22"/>
  <c r="O100" i="22"/>
  <c r="P100" i="22"/>
  <c r="Q100" i="22"/>
  <c r="G303" i="10"/>
  <c r="K47" i="22"/>
  <c r="M47" i="22"/>
  <c r="U47" i="22"/>
  <c r="N47" i="22"/>
  <c r="V47" i="22"/>
  <c r="O47" i="22"/>
  <c r="W47" i="22"/>
  <c r="P47" i="22"/>
  <c r="X47" i="22"/>
  <c r="Q47" i="22"/>
  <c r="R47" i="22"/>
  <c r="S47" i="22"/>
  <c r="L47" i="22"/>
  <c r="T47" i="22"/>
  <c r="C344" i="16"/>
  <c r="C1104" i="12"/>
  <c r="D1136" i="12"/>
  <c r="D1617" i="12" s="1"/>
  <c r="D1857" i="12" s="1"/>
  <c r="D425" i="12"/>
  <c r="D1112" i="12"/>
  <c r="C1101" i="12"/>
  <c r="D1114" i="12"/>
  <c r="C1110" i="12"/>
  <c r="C1337" i="12"/>
  <c r="C1577" i="12" s="1"/>
  <c r="C1817" i="12" s="1"/>
  <c r="E336" i="12"/>
  <c r="E378" i="12" s="1"/>
  <c r="E1030" i="12" s="1"/>
  <c r="E1075" i="12" s="1"/>
  <c r="D1104" i="12"/>
  <c r="D1106" i="12"/>
  <c r="E420" i="12"/>
  <c r="C1108" i="12"/>
  <c r="E338" i="12"/>
  <c r="E380" i="12" s="1"/>
  <c r="E1032" i="12" s="1"/>
  <c r="E1077" i="12" s="1"/>
  <c r="D1331" i="12"/>
  <c r="D1571" i="12" s="1"/>
  <c r="D1811" i="12" s="1"/>
  <c r="C1097" i="12"/>
  <c r="E412" i="12"/>
  <c r="E328" i="12"/>
  <c r="E370" i="12" s="1"/>
  <c r="E1022" i="12" s="1"/>
  <c r="E1067" i="12" s="1"/>
  <c r="C1119" i="12"/>
  <c r="D1108" i="12"/>
  <c r="C1106" i="12"/>
  <c r="E332" i="12"/>
  <c r="E374" i="12" s="1"/>
  <c r="E1026" i="12" s="1"/>
  <c r="E1071" i="12" s="1"/>
  <c r="C1118" i="12"/>
  <c r="E416" i="12"/>
  <c r="C995" i="12"/>
  <c r="E509" i="12"/>
  <c r="Q1326" i="12"/>
  <c r="M1326" i="12"/>
  <c r="U1326" i="12"/>
  <c r="N1326" i="12"/>
  <c r="R1326" i="12"/>
  <c r="S1326" i="12"/>
  <c r="L1326" i="12"/>
  <c r="T1326" i="12"/>
  <c r="K1326" i="12"/>
  <c r="P1326" i="12"/>
  <c r="W1326" i="12"/>
  <c r="O1326" i="12"/>
  <c r="X1326" i="12"/>
  <c r="V1326" i="12"/>
  <c r="D1459" i="12"/>
  <c r="D1699" i="12" s="1"/>
  <c r="M1219" i="12"/>
  <c r="U1219" i="12"/>
  <c r="N1219" i="12"/>
  <c r="V1219" i="12"/>
  <c r="O1219" i="12"/>
  <c r="W1219" i="12"/>
  <c r="P1219" i="12"/>
  <c r="X1219" i="12"/>
  <c r="S1219" i="12"/>
  <c r="K1219" i="12"/>
  <c r="L1219" i="12"/>
  <c r="T1219" i="12"/>
  <c r="R1219" i="12"/>
  <c r="Q1219" i="12"/>
  <c r="P1235" i="12"/>
  <c r="X1235" i="12"/>
  <c r="Q1235" i="12"/>
  <c r="R1235" i="12"/>
  <c r="S1235" i="12"/>
  <c r="L1235" i="12"/>
  <c r="V1235" i="12"/>
  <c r="T1235" i="12"/>
  <c r="O1235" i="12"/>
  <c r="W1235" i="12"/>
  <c r="N1235" i="12"/>
  <c r="K1235" i="12"/>
  <c r="M1235" i="12"/>
  <c r="U1235" i="12"/>
  <c r="D1488" i="12"/>
  <c r="D1728" i="12" s="1"/>
  <c r="R1248" i="12"/>
  <c r="S1248" i="12"/>
  <c r="L1248" i="12"/>
  <c r="T1248" i="12"/>
  <c r="M1248" i="12"/>
  <c r="U1248" i="12"/>
  <c r="P1248" i="12"/>
  <c r="K1248" i="12"/>
  <c r="Q1248" i="12"/>
  <c r="O1248" i="12"/>
  <c r="W1248" i="12"/>
  <c r="N1248" i="12"/>
  <c r="X1248" i="12"/>
  <c r="V1248" i="12"/>
  <c r="L1254" i="12"/>
  <c r="T1254" i="12"/>
  <c r="X1254" i="12"/>
  <c r="M1254" i="12"/>
  <c r="U1254" i="12"/>
  <c r="N1254" i="12"/>
  <c r="V1254" i="12"/>
  <c r="O1254" i="12"/>
  <c r="W1254" i="12"/>
  <c r="Q1254" i="12"/>
  <c r="K1254" i="12"/>
  <c r="P1254" i="12"/>
  <c r="S1254" i="12"/>
  <c r="R1254" i="12"/>
  <c r="T1262" i="12"/>
  <c r="L1262" i="12"/>
  <c r="M1262" i="12"/>
  <c r="U1262" i="12"/>
  <c r="N1262" i="12"/>
  <c r="V1262" i="12"/>
  <c r="O1262" i="12"/>
  <c r="W1262" i="12"/>
  <c r="X1262" i="12"/>
  <c r="R1262" i="12"/>
  <c r="S1262" i="12"/>
  <c r="K1262" i="12"/>
  <c r="Q1262" i="12"/>
  <c r="P1262" i="12"/>
  <c r="D1512" i="12"/>
  <c r="D1752" i="12" s="1"/>
  <c r="R1272" i="12"/>
  <c r="S1272" i="12"/>
  <c r="L1272" i="12"/>
  <c r="T1272" i="12"/>
  <c r="M1272" i="12"/>
  <c r="U1272" i="12"/>
  <c r="N1272" i="12"/>
  <c r="V1272" i="12"/>
  <c r="Q1272" i="12"/>
  <c r="X1272" i="12"/>
  <c r="K1272" i="12"/>
  <c r="P1272" i="12"/>
  <c r="O1272" i="12"/>
  <c r="W1272" i="12"/>
  <c r="N1290" i="12"/>
  <c r="V1290" i="12"/>
  <c r="S1290" i="12"/>
  <c r="M1290" i="12"/>
  <c r="O1290" i="12"/>
  <c r="U1290" i="12"/>
  <c r="R1290" i="12"/>
  <c r="Q1290" i="12"/>
  <c r="L1290" i="12"/>
  <c r="T1290" i="12"/>
  <c r="P1290" i="12"/>
  <c r="W1290" i="12"/>
  <c r="K1290" i="12"/>
  <c r="X1290" i="12"/>
  <c r="O1292" i="12"/>
  <c r="W1292" i="12"/>
  <c r="Q1292" i="12"/>
  <c r="N1292" i="12"/>
  <c r="V1292" i="12"/>
  <c r="P1292" i="12"/>
  <c r="M1292" i="12"/>
  <c r="X1292" i="12"/>
  <c r="L1292" i="12"/>
  <c r="U1292" i="12"/>
  <c r="T1292" i="12"/>
  <c r="R1292" i="12"/>
  <c r="K1292" i="12"/>
  <c r="S1292" i="12"/>
  <c r="N1294" i="12"/>
  <c r="V1294" i="12"/>
  <c r="S1294" i="12"/>
  <c r="R1294" i="12"/>
  <c r="M1294" i="12"/>
  <c r="U1294" i="12"/>
  <c r="O1294" i="12"/>
  <c r="L1294" i="12"/>
  <c r="W1294" i="12"/>
  <c r="T1294" i="12"/>
  <c r="X1294" i="12"/>
  <c r="K1294" i="12"/>
  <c r="P1294" i="12"/>
  <c r="Q1294" i="12"/>
  <c r="M1296" i="12"/>
  <c r="U1296" i="12"/>
  <c r="R1296" i="12"/>
  <c r="L1296" i="12"/>
  <c r="T1296" i="12"/>
  <c r="Q1296" i="12"/>
  <c r="P1296" i="12"/>
  <c r="N1296" i="12"/>
  <c r="X1296" i="12"/>
  <c r="S1296" i="12"/>
  <c r="W1296" i="12"/>
  <c r="O1296" i="12"/>
  <c r="V1296" i="12"/>
  <c r="K1296" i="12"/>
  <c r="D1538" i="12"/>
  <c r="D1778" i="12" s="1"/>
  <c r="O1298" i="12"/>
  <c r="N1298" i="12"/>
  <c r="W1298" i="12"/>
  <c r="V1298" i="12"/>
  <c r="Q1298" i="12"/>
  <c r="S1298" i="12"/>
  <c r="P1298" i="12"/>
  <c r="X1298" i="12"/>
  <c r="T1298" i="12"/>
  <c r="K1298" i="12"/>
  <c r="R1298" i="12"/>
  <c r="U1298" i="12"/>
  <c r="M1298" i="12"/>
  <c r="L1298" i="12"/>
  <c r="N1300" i="12"/>
  <c r="V1300" i="12"/>
  <c r="P1300" i="12"/>
  <c r="M1300" i="12"/>
  <c r="X1300" i="12"/>
  <c r="L1300" i="12"/>
  <c r="U1300" i="12"/>
  <c r="T1300" i="12"/>
  <c r="O1300" i="12"/>
  <c r="W1300" i="12"/>
  <c r="Q1300" i="12"/>
  <c r="K1300" i="12"/>
  <c r="R1300" i="12"/>
  <c r="S1300" i="12"/>
  <c r="M1302" i="12"/>
  <c r="U1302" i="12"/>
  <c r="O1302" i="12"/>
  <c r="L1302" i="12"/>
  <c r="W1302" i="12"/>
  <c r="T1302" i="12"/>
  <c r="N1302" i="12"/>
  <c r="V1302" i="12"/>
  <c r="S1302" i="12"/>
  <c r="R1302" i="12"/>
  <c r="Q1302" i="12"/>
  <c r="K1302" i="12"/>
  <c r="P1302" i="12"/>
  <c r="X1302" i="12"/>
  <c r="D1544" i="12"/>
  <c r="D1784" i="12" s="1"/>
  <c r="L1304" i="12"/>
  <c r="T1304" i="12"/>
  <c r="Q1304" i="12"/>
  <c r="P1304" i="12"/>
  <c r="X1304" i="12"/>
  <c r="S1304" i="12"/>
  <c r="M1304" i="12"/>
  <c r="U1304" i="12"/>
  <c r="R1304" i="12"/>
  <c r="N1304" i="12"/>
  <c r="O1304" i="12"/>
  <c r="W1304" i="12"/>
  <c r="K1304" i="12"/>
  <c r="V1304" i="12"/>
  <c r="S1306" i="12"/>
  <c r="L1306" i="12"/>
  <c r="P1306" i="12"/>
  <c r="X1306" i="12"/>
  <c r="R1306" i="12"/>
  <c r="O1306" i="12"/>
  <c r="N1306" i="12"/>
  <c r="W1306" i="12"/>
  <c r="V1306" i="12"/>
  <c r="Q1306" i="12"/>
  <c r="K1306" i="12"/>
  <c r="M1306" i="12"/>
  <c r="T1306" i="12"/>
  <c r="U1306" i="12"/>
  <c r="M1308" i="12"/>
  <c r="X1308" i="12"/>
  <c r="L1308" i="12"/>
  <c r="U1308" i="12"/>
  <c r="T1308" i="12"/>
  <c r="O1308" i="12"/>
  <c r="R1308" i="12"/>
  <c r="W1308" i="12"/>
  <c r="Q1308" i="12"/>
  <c r="N1308" i="12"/>
  <c r="V1308" i="12"/>
  <c r="P1308" i="12"/>
  <c r="K1308" i="12"/>
  <c r="S1308" i="12"/>
  <c r="L1310" i="12"/>
  <c r="W1310" i="12"/>
  <c r="T1310" i="12"/>
  <c r="N1310" i="12"/>
  <c r="V1310" i="12"/>
  <c r="X1310" i="12"/>
  <c r="S1310" i="12"/>
  <c r="R1310" i="12"/>
  <c r="M1310" i="12"/>
  <c r="U1310" i="12"/>
  <c r="O1310" i="12"/>
  <c r="K1310" i="12"/>
  <c r="Q1310" i="12"/>
  <c r="P1310" i="12"/>
  <c r="O1312" i="12"/>
  <c r="W1312" i="12"/>
  <c r="R1312" i="12"/>
  <c r="T1312" i="12"/>
  <c r="S1312" i="12"/>
  <c r="P1312" i="12"/>
  <c r="X1312" i="12"/>
  <c r="V1312" i="12"/>
  <c r="L1312" i="12"/>
  <c r="K1312" i="12"/>
  <c r="Q1312" i="12"/>
  <c r="M1312" i="12"/>
  <c r="N1312" i="12"/>
  <c r="U1312" i="12"/>
  <c r="D1554" i="12"/>
  <c r="D1794" i="12" s="1"/>
  <c r="M1314" i="12"/>
  <c r="K1314" i="12"/>
  <c r="U1314" i="12"/>
  <c r="N1314" i="12"/>
  <c r="V1314" i="12"/>
  <c r="O1314" i="12"/>
  <c r="R1314" i="12"/>
  <c r="W1314" i="12"/>
  <c r="P1314" i="12"/>
  <c r="X1314" i="12"/>
  <c r="Q1314" i="12"/>
  <c r="L1314" i="12"/>
  <c r="T1314" i="12"/>
  <c r="S1314" i="12"/>
  <c r="S1316" i="12"/>
  <c r="O1316" i="12"/>
  <c r="W1316" i="12"/>
  <c r="K1316" i="12"/>
  <c r="L1316" i="12"/>
  <c r="X1316" i="12"/>
  <c r="T1316" i="12"/>
  <c r="M1316" i="12"/>
  <c r="U1316" i="12"/>
  <c r="N1316" i="12"/>
  <c r="P1316" i="12"/>
  <c r="Q1316" i="12"/>
  <c r="R1316" i="12"/>
  <c r="V1316" i="12"/>
  <c r="Q1318" i="12"/>
  <c r="R1318" i="12"/>
  <c r="S1318" i="12"/>
  <c r="L1318" i="12"/>
  <c r="V1318" i="12"/>
  <c r="T1318" i="12"/>
  <c r="M1318" i="12"/>
  <c r="U1318" i="12"/>
  <c r="P1318" i="12"/>
  <c r="X1318" i="12"/>
  <c r="K1318" i="12"/>
  <c r="N1318" i="12"/>
  <c r="O1318" i="12"/>
  <c r="W1318" i="12"/>
  <c r="O1320" i="12"/>
  <c r="W1320" i="12"/>
  <c r="L1320" i="12"/>
  <c r="P1320" i="12"/>
  <c r="X1320" i="12"/>
  <c r="Q1320" i="12"/>
  <c r="R1320" i="12"/>
  <c r="U1320" i="12"/>
  <c r="T1320" i="12"/>
  <c r="N1320" i="12"/>
  <c r="V1320" i="12"/>
  <c r="M1320" i="12"/>
  <c r="K1320" i="12"/>
  <c r="S1320" i="12"/>
  <c r="K1322" i="12"/>
  <c r="M1322" i="12"/>
  <c r="U1322" i="12"/>
  <c r="W1322" i="12"/>
  <c r="P1322" i="12"/>
  <c r="X1322" i="12"/>
  <c r="Q1322" i="12"/>
  <c r="N1322" i="12"/>
  <c r="R1322" i="12"/>
  <c r="V1322" i="12"/>
  <c r="O1322" i="12"/>
  <c r="L1322" i="12"/>
  <c r="T1322" i="12"/>
  <c r="S1322" i="12"/>
  <c r="D1564" i="12"/>
  <c r="D1804" i="12" s="1"/>
  <c r="S1324" i="12"/>
  <c r="L1324" i="12"/>
  <c r="T1324" i="12"/>
  <c r="M1324" i="12"/>
  <c r="U1324" i="12"/>
  <c r="K1324" i="12"/>
  <c r="N1324" i="12"/>
  <c r="V1324" i="12"/>
  <c r="O1324" i="12"/>
  <c r="W1324" i="12"/>
  <c r="Q1324" i="12"/>
  <c r="R1324" i="12"/>
  <c r="X1324" i="12"/>
  <c r="P1324" i="12"/>
  <c r="D1437" i="12"/>
  <c r="D1677" i="12" s="1"/>
  <c r="S1221" i="12"/>
  <c r="U1221" i="12"/>
  <c r="N1221" i="12"/>
  <c r="V1221" i="12"/>
  <c r="L1221" i="12"/>
  <c r="T1221" i="12"/>
  <c r="M1221" i="12"/>
  <c r="O1221" i="12"/>
  <c r="K1221" i="12"/>
  <c r="W1221" i="12"/>
  <c r="Q1221" i="12"/>
  <c r="P1221" i="12"/>
  <c r="X1221" i="12"/>
  <c r="R1221" i="12"/>
  <c r="D1579" i="12"/>
  <c r="D1819" i="12" s="1"/>
  <c r="D1587" i="12"/>
  <c r="D1827" i="12" s="1"/>
  <c r="D1589" i="12"/>
  <c r="D1829" i="12" s="1"/>
  <c r="S1353" i="12"/>
  <c r="K1353" i="12"/>
  <c r="P1353" i="12"/>
  <c r="O1353" i="12"/>
  <c r="X1353" i="12"/>
  <c r="W1353" i="12"/>
  <c r="R1353" i="12"/>
  <c r="L1353" i="12"/>
  <c r="T1353" i="12"/>
  <c r="Q1353" i="12"/>
  <c r="M1353" i="12"/>
  <c r="U1353" i="12"/>
  <c r="V1353" i="12"/>
  <c r="N1353" i="12"/>
  <c r="D1597" i="12"/>
  <c r="D1837" i="12" s="1"/>
  <c r="T1357" i="12"/>
  <c r="S1357" i="12"/>
  <c r="N1357" i="12"/>
  <c r="V1357" i="12"/>
  <c r="P1357" i="12"/>
  <c r="M1357" i="12"/>
  <c r="X1357" i="12"/>
  <c r="U1357" i="12"/>
  <c r="O1357" i="12"/>
  <c r="L1357" i="12"/>
  <c r="W1357" i="12"/>
  <c r="K1357" i="12"/>
  <c r="R1357" i="12"/>
  <c r="Q1357" i="12"/>
  <c r="D1427" i="12"/>
  <c r="D1667" i="12" s="1"/>
  <c r="D1451" i="12"/>
  <c r="D1691" i="12" s="1"/>
  <c r="V1252" i="12"/>
  <c r="N1252" i="12"/>
  <c r="O1252" i="12"/>
  <c r="W1252" i="12"/>
  <c r="P1252" i="12"/>
  <c r="X1252" i="12"/>
  <c r="Q1252" i="12"/>
  <c r="K1252" i="12"/>
  <c r="R1252" i="12"/>
  <c r="M1252" i="12"/>
  <c r="U1252" i="12"/>
  <c r="T1252" i="12"/>
  <c r="L1252" i="12"/>
  <c r="S1252" i="12"/>
  <c r="D1498" i="12"/>
  <c r="D1738" i="12" s="1"/>
  <c r="P1258" i="12"/>
  <c r="X1258" i="12"/>
  <c r="Q1258" i="12"/>
  <c r="K1258" i="12"/>
  <c r="R1258" i="12"/>
  <c r="S1258" i="12"/>
  <c r="M1258" i="12"/>
  <c r="U1258" i="12"/>
  <c r="O1258" i="12"/>
  <c r="W1258" i="12"/>
  <c r="V1258" i="12"/>
  <c r="L1258" i="12"/>
  <c r="N1258" i="12"/>
  <c r="T1258" i="12"/>
  <c r="N1268" i="12"/>
  <c r="V1268" i="12"/>
  <c r="O1268" i="12"/>
  <c r="W1268" i="12"/>
  <c r="P1268" i="12"/>
  <c r="X1268" i="12"/>
  <c r="Q1268" i="12"/>
  <c r="K1268" i="12"/>
  <c r="L1268" i="12"/>
  <c r="M1268" i="12"/>
  <c r="U1268" i="12"/>
  <c r="T1268" i="12"/>
  <c r="R1268" i="12"/>
  <c r="S1268" i="12"/>
  <c r="R1280" i="12"/>
  <c r="U1280" i="12"/>
  <c r="N1280" i="12"/>
  <c r="S1280" i="12"/>
  <c r="L1280" i="12"/>
  <c r="M1280" i="12"/>
  <c r="V1280" i="12"/>
  <c r="O1280" i="12"/>
  <c r="T1280" i="12"/>
  <c r="W1280" i="12"/>
  <c r="K1280" i="12"/>
  <c r="P1280" i="12"/>
  <c r="Q1280" i="12"/>
  <c r="X1280" i="12"/>
  <c r="D1435" i="12"/>
  <c r="D1675" i="12" s="1"/>
  <c r="D1443" i="12"/>
  <c r="D1683" i="12" s="1"/>
  <c r="W1203" i="12"/>
  <c r="M1203" i="12"/>
  <c r="K1203" i="12"/>
  <c r="P1203" i="12"/>
  <c r="O1203" i="12"/>
  <c r="X1203" i="12"/>
  <c r="R1203" i="12"/>
  <c r="U1203" i="12"/>
  <c r="V1203" i="12"/>
  <c r="N1203" i="12"/>
  <c r="Q1203" i="12"/>
  <c r="L1203" i="12"/>
  <c r="T1203" i="12"/>
  <c r="S1203" i="12"/>
  <c r="D1455" i="12"/>
  <c r="D1695" i="12" s="1"/>
  <c r="S1225" i="12"/>
  <c r="K1225" i="12"/>
  <c r="P1225" i="12"/>
  <c r="O1225" i="12"/>
  <c r="X1225" i="12"/>
  <c r="Q1225" i="12"/>
  <c r="W1225" i="12"/>
  <c r="M1225" i="12"/>
  <c r="L1225" i="12"/>
  <c r="T1225" i="12"/>
  <c r="R1225" i="12"/>
  <c r="N1225" i="12"/>
  <c r="V1225" i="12"/>
  <c r="U1225" i="12"/>
  <c r="N1260" i="12"/>
  <c r="V1260" i="12"/>
  <c r="R1260" i="12"/>
  <c r="K1260" i="12"/>
  <c r="O1260" i="12"/>
  <c r="W1260" i="12"/>
  <c r="P1260" i="12"/>
  <c r="X1260" i="12"/>
  <c r="S1260" i="12"/>
  <c r="Q1260" i="12"/>
  <c r="M1260" i="12"/>
  <c r="T1260" i="12"/>
  <c r="U1260" i="12"/>
  <c r="L1260" i="12"/>
  <c r="P1289" i="12"/>
  <c r="X1289" i="12"/>
  <c r="R1289" i="12"/>
  <c r="O1289" i="12"/>
  <c r="N1289" i="12"/>
  <c r="W1289" i="12"/>
  <c r="V1289" i="12"/>
  <c r="Q1289" i="12"/>
  <c r="K1289" i="12"/>
  <c r="S1289" i="12"/>
  <c r="M1289" i="12"/>
  <c r="T1289" i="12"/>
  <c r="L1289" i="12"/>
  <c r="U1289" i="12"/>
  <c r="P1293" i="12"/>
  <c r="O1293" i="12"/>
  <c r="X1293" i="12"/>
  <c r="W1293" i="12"/>
  <c r="R1293" i="12"/>
  <c r="L1293" i="12"/>
  <c r="T1293" i="12"/>
  <c r="U1293" i="12"/>
  <c r="Q1293" i="12"/>
  <c r="S1293" i="12"/>
  <c r="K1293" i="12"/>
  <c r="V1293" i="12"/>
  <c r="M1293" i="12"/>
  <c r="N1293" i="12"/>
  <c r="D1535" i="12"/>
  <c r="D1775" i="12" s="1"/>
  <c r="O1295" i="12"/>
  <c r="W1295" i="12"/>
  <c r="Q1295" i="12"/>
  <c r="N1295" i="12"/>
  <c r="M1295" i="12"/>
  <c r="V1295" i="12"/>
  <c r="U1295" i="12"/>
  <c r="P1295" i="12"/>
  <c r="X1295" i="12"/>
  <c r="R1295" i="12"/>
  <c r="T1295" i="12"/>
  <c r="S1295" i="12"/>
  <c r="L1295" i="12"/>
  <c r="K1295" i="12"/>
  <c r="N1297" i="12"/>
  <c r="V1297" i="12"/>
  <c r="P1297" i="12"/>
  <c r="M1297" i="12"/>
  <c r="X1297" i="12"/>
  <c r="U1297" i="12"/>
  <c r="O1297" i="12"/>
  <c r="L1297" i="12"/>
  <c r="W1297" i="12"/>
  <c r="T1297" i="12"/>
  <c r="S1297" i="12"/>
  <c r="Q1297" i="12"/>
  <c r="R1297" i="12"/>
  <c r="K1297" i="12"/>
  <c r="M1299" i="12"/>
  <c r="U1299" i="12"/>
  <c r="R1299" i="12"/>
  <c r="Q1299" i="12"/>
  <c r="L1299" i="12"/>
  <c r="T1299" i="12"/>
  <c r="N1299" i="12"/>
  <c r="V1299" i="12"/>
  <c r="S1299" i="12"/>
  <c r="O1299" i="12"/>
  <c r="P1299" i="12"/>
  <c r="W1299" i="12"/>
  <c r="K1299" i="12"/>
  <c r="X1299" i="12"/>
  <c r="L1301" i="12"/>
  <c r="T1301" i="12"/>
  <c r="Q1301" i="12"/>
  <c r="S1301" i="12"/>
  <c r="P1301" i="12"/>
  <c r="O1301" i="12"/>
  <c r="X1301" i="12"/>
  <c r="W1301" i="12"/>
  <c r="R1301" i="12"/>
  <c r="M1301" i="12"/>
  <c r="N1301" i="12"/>
  <c r="U1301" i="12"/>
  <c r="K1301" i="12"/>
  <c r="V1301" i="12"/>
  <c r="D1543" i="12"/>
  <c r="D1783" i="12" s="1"/>
  <c r="N1303" i="12"/>
  <c r="M1303" i="12"/>
  <c r="S1303" i="12"/>
  <c r="V1303" i="12"/>
  <c r="U1303" i="12"/>
  <c r="P1303" i="12"/>
  <c r="X1303" i="12"/>
  <c r="R1303" i="12"/>
  <c r="O1303" i="12"/>
  <c r="W1303" i="12"/>
  <c r="Q1303" i="12"/>
  <c r="K1303" i="12"/>
  <c r="T1303" i="12"/>
  <c r="L1303" i="12"/>
  <c r="D1545" i="12"/>
  <c r="D1785" i="12" s="1"/>
  <c r="M1305" i="12"/>
  <c r="X1305" i="12"/>
  <c r="U1305" i="12"/>
  <c r="O1305" i="12"/>
  <c r="L1305" i="12"/>
  <c r="W1305" i="12"/>
  <c r="T1305" i="12"/>
  <c r="S1305" i="12"/>
  <c r="N1305" i="12"/>
  <c r="V1305" i="12"/>
  <c r="P1305" i="12"/>
  <c r="K1305" i="12"/>
  <c r="R1305" i="12"/>
  <c r="Q1305" i="12"/>
  <c r="D1547" i="12"/>
  <c r="D1787" i="12" s="1"/>
  <c r="L1307" i="12"/>
  <c r="T1307" i="12"/>
  <c r="N1307" i="12"/>
  <c r="V1307" i="12"/>
  <c r="S1307" i="12"/>
  <c r="M1307" i="12"/>
  <c r="U1307" i="12"/>
  <c r="R1307" i="12"/>
  <c r="Q1307" i="12"/>
  <c r="K1307" i="12"/>
  <c r="X1307" i="12"/>
  <c r="O1307" i="12"/>
  <c r="W1307" i="12"/>
  <c r="P1307" i="12"/>
  <c r="D1549" i="12"/>
  <c r="D1789" i="12" s="1"/>
  <c r="S1309" i="12"/>
  <c r="P1309" i="12"/>
  <c r="O1309" i="12"/>
  <c r="X1309" i="12"/>
  <c r="W1309" i="12"/>
  <c r="R1309" i="12"/>
  <c r="L1309" i="12"/>
  <c r="T1309" i="12"/>
  <c r="Q1309" i="12"/>
  <c r="V1309" i="12"/>
  <c r="K1309" i="12"/>
  <c r="M1309" i="12"/>
  <c r="N1309" i="12"/>
  <c r="U1309" i="12"/>
  <c r="D1551" i="12"/>
  <c r="D1791" i="12" s="1"/>
  <c r="T1311" i="12"/>
  <c r="M1311" i="12"/>
  <c r="P1311" i="12"/>
  <c r="X1311" i="12"/>
  <c r="L1311" i="12"/>
  <c r="U1311" i="12"/>
  <c r="N1311" i="12"/>
  <c r="V1311" i="12"/>
  <c r="O1311" i="12"/>
  <c r="Q1311" i="12"/>
  <c r="K1311" i="12"/>
  <c r="R1311" i="12"/>
  <c r="W1311" i="12"/>
  <c r="S1311" i="12"/>
  <c r="R1313" i="12"/>
  <c r="S1313" i="12"/>
  <c r="L1313" i="12"/>
  <c r="O1313" i="12"/>
  <c r="T1313" i="12"/>
  <c r="M1313" i="12"/>
  <c r="U1313" i="12"/>
  <c r="N1313" i="12"/>
  <c r="V1313" i="12"/>
  <c r="Q1313" i="12"/>
  <c r="K1313" i="12"/>
  <c r="W1313" i="12"/>
  <c r="P1313" i="12"/>
  <c r="X1313" i="12"/>
  <c r="D1555" i="12"/>
  <c r="D1795" i="12" s="1"/>
  <c r="P1315" i="12"/>
  <c r="X1315" i="12"/>
  <c r="O1315" i="12"/>
  <c r="K1315" i="12"/>
  <c r="U1315" i="12"/>
  <c r="Q1315" i="12"/>
  <c r="R1315" i="12"/>
  <c r="S1315" i="12"/>
  <c r="M1315" i="12"/>
  <c r="L1315" i="12"/>
  <c r="T1315" i="12"/>
  <c r="W1315" i="12"/>
  <c r="N1315" i="12"/>
  <c r="V1315" i="12"/>
  <c r="N1317" i="12"/>
  <c r="V1317" i="12"/>
  <c r="X1317" i="12"/>
  <c r="Q1317" i="12"/>
  <c r="R1317" i="12"/>
  <c r="K1317" i="12"/>
  <c r="O1317" i="12"/>
  <c r="W1317" i="12"/>
  <c r="L1317" i="12"/>
  <c r="P1317" i="12"/>
  <c r="S1317" i="12"/>
  <c r="T1317" i="12"/>
  <c r="M1317" i="12"/>
  <c r="U1317" i="12"/>
  <c r="L1319" i="12"/>
  <c r="T1319" i="12"/>
  <c r="M1319" i="12"/>
  <c r="U1319" i="12"/>
  <c r="N1319" i="12"/>
  <c r="V1319" i="12"/>
  <c r="O1319" i="12"/>
  <c r="W1319" i="12"/>
  <c r="Q1319" i="12"/>
  <c r="R1319" i="12"/>
  <c r="S1319" i="12"/>
  <c r="K1319" i="12"/>
  <c r="P1319" i="12"/>
  <c r="X1319" i="12"/>
  <c r="R1321" i="12"/>
  <c r="W1321" i="12"/>
  <c r="N1321" i="12"/>
  <c r="V1321" i="12"/>
  <c r="S1321" i="12"/>
  <c r="L1321" i="12"/>
  <c r="T1321" i="12"/>
  <c r="M1321" i="12"/>
  <c r="K1321" i="12"/>
  <c r="X1321" i="12"/>
  <c r="O1321" i="12"/>
  <c r="P1321" i="12"/>
  <c r="Q1321" i="12"/>
  <c r="U1321" i="12"/>
  <c r="X1323" i="12"/>
  <c r="U1323" i="12"/>
  <c r="P1323" i="12"/>
  <c r="Q1323" i="12"/>
  <c r="R1323" i="12"/>
  <c r="M1323" i="12"/>
  <c r="K1323" i="12"/>
  <c r="S1323" i="12"/>
  <c r="L1323" i="12"/>
  <c r="T1323" i="12"/>
  <c r="O1323" i="12"/>
  <c r="V1323" i="12"/>
  <c r="W1323" i="12"/>
  <c r="N1323" i="12"/>
  <c r="N1325" i="12"/>
  <c r="V1325" i="12"/>
  <c r="O1325" i="12"/>
  <c r="W1325" i="12"/>
  <c r="P1325" i="12"/>
  <c r="K1325" i="12"/>
  <c r="X1325" i="12"/>
  <c r="Q1325" i="12"/>
  <c r="S1325" i="12"/>
  <c r="T1325" i="12"/>
  <c r="R1325" i="12"/>
  <c r="M1325" i="12"/>
  <c r="U1325" i="12"/>
  <c r="L1325" i="12"/>
  <c r="D1441" i="12"/>
  <c r="D1681" i="12" s="1"/>
  <c r="D1463" i="12"/>
  <c r="D1703" i="12" s="1"/>
  <c r="Q1223" i="12"/>
  <c r="K1223" i="12"/>
  <c r="R1223" i="12"/>
  <c r="S1223" i="12"/>
  <c r="L1223" i="12"/>
  <c r="T1223" i="12"/>
  <c r="P1223" i="12"/>
  <c r="W1223" i="12"/>
  <c r="N1223" i="12"/>
  <c r="M1223" i="12"/>
  <c r="X1223" i="12"/>
  <c r="U1223" i="12"/>
  <c r="V1223" i="12"/>
  <c r="O1223" i="12"/>
  <c r="P1266" i="12"/>
  <c r="X1266" i="12"/>
  <c r="R1266" i="12"/>
  <c r="S1266" i="12"/>
  <c r="L1266" i="12"/>
  <c r="K1266" i="12"/>
  <c r="T1266" i="12"/>
  <c r="Q1266" i="12"/>
  <c r="W1266" i="12"/>
  <c r="N1266" i="12"/>
  <c r="M1266" i="12"/>
  <c r="V1266" i="12"/>
  <c r="O1266" i="12"/>
  <c r="U1266" i="12"/>
  <c r="K1184" i="12"/>
  <c r="O1184" i="12"/>
  <c r="W1184" i="12"/>
  <c r="M1184" i="12"/>
  <c r="N1184" i="12"/>
  <c r="L1184" i="12"/>
  <c r="U1184" i="12"/>
  <c r="V1184" i="12"/>
  <c r="T1184" i="12"/>
  <c r="S1184" i="12"/>
  <c r="R1184" i="12"/>
  <c r="Q1184" i="12"/>
  <c r="P1184" i="12"/>
  <c r="X1184" i="12"/>
  <c r="D1426" i="12"/>
  <c r="D1666" i="12" s="1"/>
  <c r="D1432" i="12"/>
  <c r="D1672" i="12" s="1"/>
  <c r="D1434" i="12"/>
  <c r="D1674" i="12" s="1"/>
  <c r="D1436" i="12"/>
  <c r="D1676" i="12" s="1"/>
  <c r="M1196" i="12"/>
  <c r="U1196" i="12"/>
  <c r="L1196" i="12"/>
  <c r="S1196" i="12"/>
  <c r="T1196" i="12"/>
  <c r="R1196" i="12"/>
  <c r="P1196" i="12"/>
  <c r="Q1196" i="12"/>
  <c r="N1196" i="12"/>
  <c r="O1196" i="12"/>
  <c r="K1196" i="12"/>
  <c r="V1196" i="12"/>
  <c r="W1196" i="12"/>
  <c r="X1196" i="12"/>
  <c r="D1438" i="12"/>
  <c r="D1678" i="12" s="1"/>
  <c r="D1440" i="12"/>
  <c r="D1680" i="12" s="1"/>
  <c r="D1442" i="12"/>
  <c r="D1682" i="12" s="1"/>
  <c r="R1208" i="12"/>
  <c r="N1208" i="12"/>
  <c r="V1208" i="12"/>
  <c r="S1208" i="12"/>
  <c r="L1208" i="12"/>
  <c r="T1208" i="12"/>
  <c r="M1208" i="12"/>
  <c r="K1208" i="12"/>
  <c r="X1208" i="12"/>
  <c r="U1208" i="12"/>
  <c r="P1208" i="12"/>
  <c r="Q1208" i="12"/>
  <c r="O1208" i="12"/>
  <c r="W1208" i="12"/>
  <c r="D1456" i="12"/>
  <c r="D1696" i="12" s="1"/>
  <c r="T1216" i="12"/>
  <c r="V1216" i="12"/>
  <c r="O1216" i="12"/>
  <c r="W1216" i="12"/>
  <c r="K1216" i="12"/>
  <c r="L1216" i="12"/>
  <c r="M1216" i="12"/>
  <c r="U1216" i="12"/>
  <c r="P1216" i="12"/>
  <c r="X1216" i="12"/>
  <c r="R1216" i="12"/>
  <c r="Q1216" i="12"/>
  <c r="N1216" i="12"/>
  <c r="S1216" i="12"/>
  <c r="D1458" i="12"/>
  <c r="D1698" i="12" s="1"/>
  <c r="R1218" i="12"/>
  <c r="S1218" i="12"/>
  <c r="L1218" i="12"/>
  <c r="T1218" i="12"/>
  <c r="M1218" i="12"/>
  <c r="U1218" i="12"/>
  <c r="K1218" i="12"/>
  <c r="O1218" i="12"/>
  <c r="Q1218" i="12"/>
  <c r="P1218" i="12"/>
  <c r="N1218" i="12"/>
  <c r="V1218" i="12"/>
  <c r="W1218" i="12"/>
  <c r="X1218" i="12"/>
  <c r="L1220" i="12"/>
  <c r="T1220" i="12"/>
  <c r="P1220" i="12"/>
  <c r="X1220" i="12"/>
  <c r="Q1220" i="12"/>
  <c r="R1220" i="12"/>
  <c r="M1220" i="12"/>
  <c r="U1220" i="12"/>
  <c r="S1220" i="12"/>
  <c r="O1220" i="12"/>
  <c r="V1220" i="12"/>
  <c r="W1220" i="12"/>
  <c r="N1220" i="12"/>
  <c r="K1220" i="12"/>
  <c r="D1462" i="12"/>
  <c r="D1702" i="12" s="1"/>
  <c r="V1222" i="12"/>
  <c r="N1222" i="12"/>
  <c r="O1222" i="12"/>
  <c r="W1222" i="12"/>
  <c r="P1222" i="12"/>
  <c r="X1222" i="12"/>
  <c r="Q1222" i="12"/>
  <c r="M1222" i="12"/>
  <c r="T1222" i="12"/>
  <c r="U1222" i="12"/>
  <c r="L1222" i="12"/>
  <c r="R1222" i="12"/>
  <c r="S1222" i="12"/>
  <c r="K1222" i="12"/>
  <c r="L1224" i="12"/>
  <c r="T1224" i="12"/>
  <c r="X1224" i="12"/>
  <c r="M1224" i="12"/>
  <c r="K1224" i="12"/>
  <c r="U1224" i="12"/>
  <c r="N1224" i="12"/>
  <c r="V1224" i="12"/>
  <c r="O1224" i="12"/>
  <c r="W1224" i="12"/>
  <c r="R1224" i="12"/>
  <c r="S1224" i="12"/>
  <c r="P1224" i="12"/>
  <c r="Q1224" i="12"/>
  <c r="R1226" i="12"/>
  <c r="T1226" i="12"/>
  <c r="M1226" i="12"/>
  <c r="U1226" i="12"/>
  <c r="S1226" i="12"/>
  <c r="L1226" i="12"/>
  <c r="P1226" i="12"/>
  <c r="X1226" i="12"/>
  <c r="O1226" i="12"/>
  <c r="K1226" i="12"/>
  <c r="N1226" i="12"/>
  <c r="V1226" i="12"/>
  <c r="Q1226" i="12"/>
  <c r="W1226" i="12"/>
  <c r="D1476" i="12"/>
  <c r="D1716" i="12" s="1"/>
  <c r="S1236" i="12"/>
  <c r="K1236" i="12"/>
  <c r="L1236" i="12"/>
  <c r="T1236" i="12"/>
  <c r="M1236" i="12"/>
  <c r="U1236" i="12"/>
  <c r="N1236" i="12"/>
  <c r="V1236" i="12"/>
  <c r="X1236" i="12"/>
  <c r="O1236" i="12"/>
  <c r="W1236" i="12"/>
  <c r="R1236" i="12"/>
  <c r="P1236" i="12"/>
  <c r="Q1236" i="12"/>
  <c r="L1245" i="12"/>
  <c r="T1245" i="12"/>
  <c r="V1245" i="12"/>
  <c r="O1245" i="12"/>
  <c r="W1245" i="12"/>
  <c r="P1245" i="12"/>
  <c r="X1245" i="12"/>
  <c r="M1245" i="12"/>
  <c r="U1245" i="12"/>
  <c r="R1245" i="12"/>
  <c r="K1245" i="12"/>
  <c r="Q1245" i="12"/>
  <c r="N1245" i="12"/>
  <c r="S1245" i="12"/>
  <c r="W1247" i="12"/>
  <c r="O1247" i="12"/>
  <c r="P1247" i="12"/>
  <c r="X1247" i="12"/>
  <c r="Q1247" i="12"/>
  <c r="R1247" i="12"/>
  <c r="S1247" i="12"/>
  <c r="N1247" i="12"/>
  <c r="K1247" i="12"/>
  <c r="V1247" i="12"/>
  <c r="U1247" i="12"/>
  <c r="M1247" i="12"/>
  <c r="T1247" i="12"/>
  <c r="L1247" i="12"/>
  <c r="K1249" i="12"/>
  <c r="M1249" i="12"/>
  <c r="U1249" i="12"/>
  <c r="N1249" i="12"/>
  <c r="V1249" i="12"/>
  <c r="O1249" i="12"/>
  <c r="W1249" i="12"/>
  <c r="P1249" i="12"/>
  <c r="X1249" i="12"/>
  <c r="Q1249" i="12"/>
  <c r="R1249" i="12"/>
  <c r="L1249" i="12"/>
  <c r="T1249" i="12"/>
  <c r="S1249" i="12"/>
  <c r="S1251" i="12"/>
  <c r="U1251" i="12"/>
  <c r="N1251" i="12"/>
  <c r="V1251" i="12"/>
  <c r="K1251" i="12"/>
  <c r="O1251" i="12"/>
  <c r="W1251" i="12"/>
  <c r="L1251" i="12"/>
  <c r="T1251" i="12"/>
  <c r="X1251" i="12"/>
  <c r="Q1251" i="12"/>
  <c r="P1251" i="12"/>
  <c r="M1251" i="12"/>
  <c r="R1251" i="12"/>
  <c r="Q1253" i="12"/>
  <c r="R1253" i="12"/>
  <c r="S1253" i="12"/>
  <c r="L1253" i="12"/>
  <c r="T1253" i="12"/>
  <c r="M1253" i="12"/>
  <c r="U1253" i="12"/>
  <c r="P1253" i="12"/>
  <c r="O1253" i="12"/>
  <c r="K1253" i="12"/>
  <c r="X1253" i="12"/>
  <c r="W1253" i="12"/>
  <c r="N1253" i="12"/>
  <c r="V1253" i="12"/>
  <c r="D1495" i="12"/>
  <c r="D1735" i="12" s="1"/>
  <c r="O1255" i="12"/>
  <c r="W1255" i="12"/>
  <c r="S1255" i="12"/>
  <c r="P1255" i="12"/>
  <c r="X1255" i="12"/>
  <c r="Q1255" i="12"/>
  <c r="R1255" i="12"/>
  <c r="U1255" i="12"/>
  <c r="N1255" i="12"/>
  <c r="M1255" i="12"/>
  <c r="V1255" i="12"/>
  <c r="K1255" i="12"/>
  <c r="L1255" i="12"/>
  <c r="T1255" i="12"/>
  <c r="D1497" i="12"/>
  <c r="D1737" i="12" s="1"/>
  <c r="U1257" i="12"/>
  <c r="K1257" i="12"/>
  <c r="M1257" i="12"/>
  <c r="N1257" i="12"/>
  <c r="V1257" i="12"/>
  <c r="O1257" i="12"/>
  <c r="W1257" i="12"/>
  <c r="P1257" i="12"/>
  <c r="X1257" i="12"/>
  <c r="Q1257" i="12"/>
  <c r="L1257" i="12"/>
  <c r="R1257" i="12"/>
  <c r="T1257" i="12"/>
  <c r="S1257" i="12"/>
  <c r="D1499" i="12"/>
  <c r="D1739" i="12" s="1"/>
  <c r="S1259" i="12"/>
  <c r="W1259" i="12"/>
  <c r="L1259" i="12"/>
  <c r="K1259" i="12"/>
  <c r="T1259" i="12"/>
  <c r="M1259" i="12"/>
  <c r="U1259" i="12"/>
  <c r="N1259" i="12"/>
  <c r="V1259" i="12"/>
  <c r="Q1259" i="12"/>
  <c r="X1259" i="12"/>
  <c r="R1259" i="12"/>
  <c r="P1259" i="12"/>
  <c r="O1259" i="12"/>
  <c r="Q1261" i="12"/>
  <c r="S1261" i="12"/>
  <c r="L1261" i="12"/>
  <c r="T1261" i="12"/>
  <c r="M1261" i="12"/>
  <c r="U1261" i="12"/>
  <c r="R1261" i="12"/>
  <c r="X1261" i="12"/>
  <c r="O1261" i="12"/>
  <c r="W1261" i="12"/>
  <c r="N1261" i="12"/>
  <c r="K1261" i="12"/>
  <c r="V1261" i="12"/>
  <c r="P1261" i="12"/>
  <c r="D1503" i="12"/>
  <c r="D1743" i="12" s="1"/>
  <c r="O1263" i="12"/>
  <c r="W1263" i="12"/>
  <c r="P1263" i="12"/>
  <c r="X1263" i="12"/>
  <c r="Q1263" i="12"/>
  <c r="R1263" i="12"/>
  <c r="S1263" i="12"/>
  <c r="N1263" i="12"/>
  <c r="K1263" i="12"/>
  <c r="L1263" i="12"/>
  <c r="V1263" i="12"/>
  <c r="T1263" i="12"/>
  <c r="M1263" i="12"/>
  <c r="U1263" i="12"/>
  <c r="K1265" i="12"/>
  <c r="M1265" i="12"/>
  <c r="U1265" i="12"/>
  <c r="X1265" i="12"/>
  <c r="Q1265" i="12"/>
  <c r="N1265" i="12"/>
  <c r="V1265" i="12"/>
  <c r="O1265" i="12"/>
  <c r="W1265" i="12"/>
  <c r="R1265" i="12"/>
  <c r="P1265" i="12"/>
  <c r="L1265" i="12"/>
  <c r="T1265" i="12"/>
  <c r="S1265" i="12"/>
  <c r="S1267" i="12"/>
  <c r="L1267" i="12"/>
  <c r="T1267" i="12"/>
  <c r="M1267" i="12"/>
  <c r="U1267" i="12"/>
  <c r="N1267" i="12"/>
  <c r="V1267" i="12"/>
  <c r="K1267" i="12"/>
  <c r="R1267" i="12"/>
  <c r="Q1267" i="12"/>
  <c r="O1267" i="12"/>
  <c r="W1267" i="12"/>
  <c r="P1267" i="12"/>
  <c r="X1267" i="12"/>
  <c r="Q1269" i="12"/>
  <c r="U1269" i="12"/>
  <c r="R1269" i="12"/>
  <c r="S1269" i="12"/>
  <c r="L1269" i="12"/>
  <c r="T1269" i="12"/>
  <c r="N1269" i="12"/>
  <c r="W1269" i="12"/>
  <c r="P1269" i="12"/>
  <c r="O1269" i="12"/>
  <c r="K1269" i="12"/>
  <c r="X1269" i="12"/>
  <c r="V1269" i="12"/>
  <c r="M1269" i="12"/>
  <c r="D1511" i="12"/>
  <c r="D1751" i="12" s="1"/>
  <c r="O1271" i="12"/>
  <c r="W1271" i="12"/>
  <c r="X1271" i="12"/>
  <c r="Q1271" i="12"/>
  <c r="R1271" i="12"/>
  <c r="S1271" i="12"/>
  <c r="P1271" i="12"/>
  <c r="V1271" i="12"/>
  <c r="T1271" i="12"/>
  <c r="M1271" i="12"/>
  <c r="K1271" i="12"/>
  <c r="L1271" i="12"/>
  <c r="U1271" i="12"/>
  <c r="N1271" i="12"/>
  <c r="D1513" i="12"/>
  <c r="D1753" i="12" s="1"/>
  <c r="M1273" i="12"/>
  <c r="U1273" i="12"/>
  <c r="K1273" i="12"/>
  <c r="N1273" i="12"/>
  <c r="V1273" i="12"/>
  <c r="O1273" i="12"/>
  <c r="W1273" i="12"/>
  <c r="P1273" i="12"/>
  <c r="X1273" i="12"/>
  <c r="S1273" i="12"/>
  <c r="Q1273" i="12"/>
  <c r="L1273" i="12"/>
  <c r="R1273" i="12"/>
  <c r="T1273" i="12"/>
  <c r="S1275" i="12"/>
  <c r="V1275" i="12"/>
  <c r="O1275" i="12"/>
  <c r="L1275" i="12"/>
  <c r="K1275" i="12"/>
  <c r="T1275" i="12"/>
  <c r="M1275" i="12"/>
  <c r="U1275" i="12"/>
  <c r="Q1275" i="12"/>
  <c r="W1275" i="12"/>
  <c r="X1275" i="12"/>
  <c r="R1275" i="12"/>
  <c r="N1275" i="12"/>
  <c r="P1275" i="12"/>
  <c r="Q1277" i="12"/>
  <c r="K1277" i="12"/>
  <c r="R1277" i="12"/>
  <c r="S1277" i="12"/>
  <c r="L1277" i="12"/>
  <c r="T1277" i="12"/>
  <c r="N1277" i="12"/>
  <c r="V1277" i="12"/>
  <c r="P1277" i="12"/>
  <c r="X1277" i="12"/>
  <c r="W1277" i="12"/>
  <c r="M1277" i="12"/>
  <c r="U1277" i="12"/>
  <c r="O1277" i="12"/>
  <c r="O1279" i="12"/>
  <c r="W1279" i="12"/>
  <c r="S1279" i="12"/>
  <c r="P1279" i="12"/>
  <c r="X1279" i="12"/>
  <c r="Q1279" i="12"/>
  <c r="R1279" i="12"/>
  <c r="M1279" i="12"/>
  <c r="T1279" i="12"/>
  <c r="K1279" i="12"/>
  <c r="N1279" i="12"/>
  <c r="L1279" i="12"/>
  <c r="V1279" i="12"/>
  <c r="U1279" i="12"/>
  <c r="K1281" i="12"/>
  <c r="M1281" i="12"/>
  <c r="U1281" i="12"/>
  <c r="V1281" i="12"/>
  <c r="O1281" i="12"/>
  <c r="W1281" i="12"/>
  <c r="P1281" i="12"/>
  <c r="X1281" i="12"/>
  <c r="Q1281" i="12"/>
  <c r="N1281" i="12"/>
  <c r="T1281" i="12"/>
  <c r="S1281" i="12"/>
  <c r="R1281" i="12"/>
  <c r="L1281" i="12"/>
  <c r="D1574" i="12"/>
  <c r="D1814" i="12" s="1"/>
  <c r="V1334" i="12"/>
  <c r="S1334" i="12"/>
  <c r="M1334" i="12"/>
  <c r="U1334" i="12"/>
  <c r="R1334" i="12"/>
  <c r="Q1334" i="12"/>
  <c r="L1334" i="12"/>
  <c r="T1334" i="12"/>
  <c r="N1334" i="12"/>
  <c r="W1334" i="12"/>
  <c r="X1334" i="12"/>
  <c r="K1334" i="12"/>
  <c r="P1334" i="12"/>
  <c r="O1334" i="12"/>
  <c r="U1346" i="12"/>
  <c r="O1346" i="12"/>
  <c r="L1346" i="12"/>
  <c r="W1346" i="12"/>
  <c r="T1346" i="12"/>
  <c r="N1346" i="12"/>
  <c r="V1346" i="12"/>
  <c r="S1346" i="12"/>
  <c r="R1346" i="12"/>
  <c r="K1346" i="12"/>
  <c r="M1346" i="12"/>
  <c r="X1346" i="12"/>
  <c r="P1346" i="12"/>
  <c r="Q1346" i="12"/>
  <c r="D1588" i="12"/>
  <c r="D1828" i="12" s="1"/>
  <c r="T1348" i="12"/>
  <c r="Q1348" i="12"/>
  <c r="K1348" i="12"/>
  <c r="P1348" i="12"/>
  <c r="X1348" i="12"/>
  <c r="S1348" i="12"/>
  <c r="M1348" i="12"/>
  <c r="N1348" i="12"/>
  <c r="U1348" i="12"/>
  <c r="R1348" i="12"/>
  <c r="O1348" i="12"/>
  <c r="L1348" i="12"/>
  <c r="V1348" i="12"/>
  <c r="W1348" i="12"/>
  <c r="S1350" i="12"/>
  <c r="P1350" i="12"/>
  <c r="X1350" i="12"/>
  <c r="R1350" i="12"/>
  <c r="K1350" i="12"/>
  <c r="O1350" i="12"/>
  <c r="N1350" i="12"/>
  <c r="W1350" i="12"/>
  <c r="V1350" i="12"/>
  <c r="T1350" i="12"/>
  <c r="Q1350" i="12"/>
  <c r="U1350" i="12"/>
  <c r="M1350" i="12"/>
  <c r="L1350" i="12"/>
  <c r="D1592" i="12"/>
  <c r="D1832" i="12" s="1"/>
  <c r="S1356" i="12"/>
  <c r="M1356" i="12"/>
  <c r="K1356" i="12"/>
  <c r="U1356" i="12"/>
  <c r="R1356" i="12"/>
  <c r="L1356" i="12"/>
  <c r="T1356" i="12"/>
  <c r="Q1356" i="12"/>
  <c r="P1356" i="12"/>
  <c r="X1356" i="12"/>
  <c r="N1356" i="12"/>
  <c r="O1356" i="12"/>
  <c r="V1356" i="12"/>
  <c r="W1356" i="12"/>
  <c r="R1358" i="12"/>
  <c r="L1358" i="12"/>
  <c r="O1358" i="12"/>
  <c r="N1358" i="12"/>
  <c r="W1358" i="12"/>
  <c r="V1358" i="12"/>
  <c r="Q1358" i="12"/>
  <c r="K1358" i="12"/>
  <c r="S1358" i="12"/>
  <c r="P1358" i="12"/>
  <c r="X1358" i="12"/>
  <c r="M1358" i="12"/>
  <c r="T1358" i="12"/>
  <c r="U1358" i="12"/>
  <c r="R1264" i="12"/>
  <c r="V1264" i="12"/>
  <c r="S1264" i="12"/>
  <c r="L1264" i="12"/>
  <c r="T1264" i="12"/>
  <c r="M1264" i="12"/>
  <c r="U1264" i="12"/>
  <c r="X1264" i="12"/>
  <c r="N1264" i="12"/>
  <c r="P1264" i="12"/>
  <c r="K1264" i="12"/>
  <c r="W1264" i="12"/>
  <c r="Q1264" i="12"/>
  <c r="O1264" i="12"/>
  <c r="D1514" i="12"/>
  <c r="D1754" i="12" s="1"/>
  <c r="P1274" i="12"/>
  <c r="X1274" i="12"/>
  <c r="T1274" i="12"/>
  <c r="Q1274" i="12"/>
  <c r="K1274" i="12"/>
  <c r="R1274" i="12"/>
  <c r="S1274" i="12"/>
  <c r="M1274" i="12"/>
  <c r="L1274" i="12"/>
  <c r="O1274" i="12"/>
  <c r="W1274" i="12"/>
  <c r="V1274" i="12"/>
  <c r="N1274" i="12"/>
  <c r="U1274" i="12"/>
  <c r="D1516" i="12"/>
  <c r="D1756" i="12" s="1"/>
  <c r="N1276" i="12"/>
  <c r="V1276" i="12"/>
  <c r="W1276" i="12"/>
  <c r="P1276" i="12"/>
  <c r="X1276" i="12"/>
  <c r="Q1276" i="12"/>
  <c r="R1276" i="12"/>
  <c r="K1276" i="12"/>
  <c r="O1276" i="12"/>
  <c r="U1276" i="12"/>
  <c r="S1276" i="12"/>
  <c r="L1276" i="12"/>
  <c r="M1276" i="12"/>
  <c r="T1276" i="12"/>
  <c r="D1518" i="12"/>
  <c r="D1758" i="12" s="1"/>
  <c r="L1278" i="12"/>
  <c r="T1278" i="12"/>
  <c r="M1278" i="12"/>
  <c r="U1278" i="12"/>
  <c r="N1278" i="12"/>
  <c r="V1278" i="12"/>
  <c r="O1278" i="12"/>
  <c r="W1278" i="12"/>
  <c r="X1278" i="12"/>
  <c r="R1278" i="12"/>
  <c r="Q1278" i="12"/>
  <c r="S1278" i="12"/>
  <c r="K1278" i="12"/>
  <c r="P1278" i="12"/>
  <c r="D1577" i="12"/>
  <c r="D1817" i="12" s="1"/>
  <c r="X1337" i="12"/>
  <c r="W1337" i="12"/>
  <c r="R1337" i="12"/>
  <c r="L1337" i="12"/>
  <c r="T1337" i="12"/>
  <c r="Q1337" i="12"/>
  <c r="S1337" i="12"/>
  <c r="K1337" i="12"/>
  <c r="P1337" i="12"/>
  <c r="O1337" i="12"/>
  <c r="M1337" i="12"/>
  <c r="N1337" i="12"/>
  <c r="U1337" i="12"/>
  <c r="V1337" i="12"/>
  <c r="V1341" i="12"/>
  <c r="P1341" i="12"/>
  <c r="M1341" i="12"/>
  <c r="X1341" i="12"/>
  <c r="U1341" i="12"/>
  <c r="O1341" i="12"/>
  <c r="L1341" i="12"/>
  <c r="W1341" i="12"/>
  <c r="K1341" i="12"/>
  <c r="T1341" i="12"/>
  <c r="S1341" i="12"/>
  <c r="N1341" i="12"/>
  <c r="Q1341" i="12"/>
  <c r="R1341" i="12"/>
  <c r="D1585" i="12"/>
  <c r="D1825" i="12" s="1"/>
  <c r="T1351" i="12"/>
  <c r="N1351" i="12"/>
  <c r="V1351" i="12"/>
  <c r="S1351" i="12"/>
  <c r="M1351" i="12"/>
  <c r="U1351" i="12"/>
  <c r="R1351" i="12"/>
  <c r="Q1351" i="12"/>
  <c r="L1351" i="12"/>
  <c r="P1351" i="12"/>
  <c r="W1351" i="12"/>
  <c r="O1351" i="12"/>
  <c r="K1351" i="12"/>
  <c r="X1351" i="12"/>
  <c r="D1595" i="12"/>
  <c r="D1835" i="12" s="1"/>
  <c r="R1355" i="12"/>
  <c r="O1355" i="12"/>
  <c r="W1355" i="12"/>
  <c r="Q1355" i="12"/>
  <c r="N1355" i="12"/>
  <c r="M1355" i="12"/>
  <c r="V1355" i="12"/>
  <c r="K1355" i="12"/>
  <c r="U1355" i="12"/>
  <c r="P1355" i="12"/>
  <c r="X1355" i="12"/>
  <c r="S1355" i="12"/>
  <c r="T1355" i="12"/>
  <c r="L1355" i="12"/>
  <c r="D1433" i="12"/>
  <c r="D1673" i="12" s="1"/>
  <c r="K1193" i="12"/>
  <c r="W1193" i="12"/>
  <c r="O1193" i="12"/>
  <c r="R1193" i="12"/>
  <c r="S1193" i="12"/>
  <c r="Q1193" i="12"/>
  <c r="X1193" i="12"/>
  <c r="P1193" i="12"/>
  <c r="N1193" i="12"/>
  <c r="L1193" i="12"/>
  <c r="T1193" i="12"/>
  <c r="M1193" i="12"/>
  <c r="U1193" i="12"/>
  <c r="V1193" i="12"/>
  <c r="W1217" i="12"/>
  <c r="O1217" i="12"/>
  <c r="P1217" i="12"/>
  <c r="X1217" i="12"/>
  <c r="Q1217" i="12"/>
  <c r="R1217" i="12"/>
  <c r="K1217" i="12"/>
  <c r="N1217" i="12"/>
  <c r="T1217" i="12"/>
  <c r="V1217" i="12"/>
  <c r="L1217" i="12"/>
  <c r="S1217" i="12"/>
  <c r="U1217" i="12"/>
  <c r="M1217" i="12"/>
  <c r="U1227" i="12"/>
  <c r="M1227" i="12"/>
  <c r="N1227" i="12"/>
  <c r="V1227" i="12"/>
  <c r="O1227" i="12"/>
  <c r="W1227" i="12"/>
  <c r="P1227" i="12"/>
  <c r="X1227" i="12"/>
  <c r="Q1227" i="12"/>
  <c r="L1227" i="12"/>
  <c r="T1227" i="12"/>
  <c r="S1227" i="12"/>
  <c r="K1227" i="12"/>
  <c r="R1227" i="12"/>
  <c r="D1484" i="12"/>
  <c r="D1724" i="12" s="1"/>
  <c r="Q1244" i="12"/>
  <c r="M1244" i="12"/>
  <c r="U1244" i="12"/>
  <c r="R1244" i="12"/>
  <c r="S1244" i="12"/>
  <c r="L1244" i="12"/>
  <c r="T1244" i="12"/>
  <c r="O1244" i="12"/>
  <c r="K1244" i="12"/>
  <c r="N1244" i="12"/>
  <c r="V1244" i="12"/>
  <c r="P1244" i="12"/>
  <c r="X1244" i="12"/>
  <c r="W1244" i="12"/>
  <c r="P1250" i="12"/>
  <c r="X1250" i="12"/>
  <c r="L1250" i="12"/>
  <c r="K1250" i="12"/>
  <c r="T1250" i="12"/>
  <c r="Q1250" i="12"/>
  <c r="R1250" i="12"/>
  <c r="V1250" i="12"/>
  <c r="S1250" i="12"/>
  <c r="N1250" i="12"/>
  <c r="O1250" i="12"/>
  <c r="M1250" i="12"/>
  <c r="U1250" i="12"/>
  <c r="W1250" i="12"/>
  <c r="D1496" i="12"/>
  <c r="D1736" i="12" s="1"/>
  <c r="R1256" i="12"/>
  <c r="T1256" i="12"/>
  <c r="M1256" i="12"/>
  <c r="U1256" i="12"/>
  <c r="N1256" i="12"/>
  <c r="V1256" i="12"/>
  <c r="S1256" i="12"/>
  <c r="K1256" i="12"/>
  <c r="W1256" i="12"/>
  <c r="L1256" i="12"/>
  <c r="Q1256" i="12"/>
  <c r="X1256" i="12"/>
  <c r="P1256" i="12"/>
  <c r="O1256" i="12"/>
  <c r="D1510" i="12"/>
  <c r="D1750" i="12" s="1"/>
  <c r="L1270" i="12"/>
  <c r="T1270" i="12"/>
  <c r="W1270" i="12"/>
  <c r="P1270" i="12"/>
  <c r="M1270" i="12"/>
  <c r="U1270" i="12"/>
  <c r="N1270" i="12"/>
  <c r="R1270" i="12"/>
  <c r="V1270" i="12"/>
  <c r="Q1270" i="12"/>
  <c r="O1270" i="12"/>
  <c r="S1270" i="12"/>
  <c r="K1270" i="12"/>
  <c r="X1270" i="12"/>
  <c r="X1333" i="12"/>
  <c r="R1333" i="12"/>
  <c r="K1333" i="12"/>
  <c r="O1333" i="12"/>
  <c r="N1333" i="12"/>
  <c r="W1333" i="12"/>
  <c r="V1333" i="12"/>
  <c r="Q1333" i="12"/>
  <c r="S1333" i="12"/>
  <c r="P1333" i="12"/>
  <c r="L1333" i="12"/>
  <c r="M1333" i="12"/>
  <c r="T1333" i="12"/>
  <c r="U1333" i="12"/>
  <c r="D1098" i="12"/>
  <c r="D1336" i="12"/>
  <c r="E1094" i="12"/>
  <c r="E1092" i="12"/>
  <c r="E318" i="12"/>
  <c r="E360" i="12" s="1"/>
  <c r="E1012" i="12" s="1"/>
  <c r="E1057" i="12" s="1"/>
  <c r="E429" i="12"/>
  <c r="B430" i="12"/>
  <c r="B406" i="12"/>
  <c r="B342" i="12"/>
  <c r="B384" i="12" s="1"/>
  <c r="B1036" i="12" s="1"/>
  <c r="B1081" i="12" s="1"/>
  <c r="B314" i="12"/>
  <c r="B356" i="12" s="1"/>
  <c r="B1008" i="12" s="1"/>
  <c r="B1053" i="12" s="1"/>
  <c r="D1360" i="12"/>
  <c r="D1378" i="12"/>
  <c r="B321" i="12"/>
  <c r="B363" i="12" s="1"/>
  <c r="B1015" i="12" s="1"/>
  <c r="B1060" i="12" s="1"/>
  <c r="B408" i="12"/>
  <c r="B1118" i="12"/>
  <c r="B407" i="12"/>
  <c r="B322" i="12"/>
  <c r="B364" i="12" s="1"/>
  <c r="B1016" i="12" s="1"/>
  <c r="B1061" i="12" s="1"/>
  <c r="B1102" i="12"/>
  <c r="B344" i="12"/>
  <c r="B386" i="12" s="1"/>
  <c r="B1038" i="12" s="1"/>
  <c r="B1083" i="12" s="1"/>
  <c r="B1100" i="12"/>
  <c r="E331" i="12"/>
  <c r="E373" i="12" s="1"/>
  <c r="E1025" i="12" s="1"/>
  <c r="E1070" i="12" s="1"/>
  <c r="D1593" i="12"/>
  <c r="D1833" i="12" s="1"/>
  <c r="C494" i="12"/>
  <c r="E1095" i="12"/>
  <c r="D427" i="12"/>
  <c r="B506" i="12"/>
  <c r="C407" i="12"/>
  <c r="B1094" i="12"/>
  <c r="B1092" i="12"/>
  <c r="D346" i="12"/>
  <c r="D388" i="12" s="1"/>
  <c r="D1040" i="12" s="1"/>
  <c r="D1085" i="12" s="1"/>
  <c r="C318" i="12"/>
  <c r="C360" i="12" s="1"/>
  <c r="C1012" i="12" s="1"/>
  <c r="C1057" i="12" s="1"/>
  <c r="D1115" i="12"/>
  <c r="D340" i="12"/>
  <c r="D382" i="12" s="1"/>
  <c r="D1034" i="12" s="1"/>
  <c r="D1079" i="12" s="1"/>
  <c r="D403" i="12"/>
  <c r="B415" i="12"/>
  <c r="D319" i="12"/>
  <c r="D361" i="12" s="1"/>
  <c r="D1013" i="12" s="1"/>
  <c r="D1058" i="12" s="1"/>
  <c r="D343" i="12"/>
  <c r="D385" i="12" s="1"/>
  <c r="D1037" i="12" s="1"/>
  <c r="D1082" i="12" s="1"/>
  <c r="E510" i="12"/>
  <c r="B993" i="12"/>
  <c r="E517" i="12"/>
  <c r="D424" i="12"/>
  <c r="C1092" i="12"/>
  <c r="B334" i="12"/>
  <c r="B376" i="12" s="1"/>
  <c r="B1028" i="12" s="1"/>
  <c r="B1073" i="12" s="1"/>
  <c r="C492" i="12"/>
  <c r="D341" i="12"/>
  <c r="D383" i="12" s="1"/>
  <c r="D1035" i="12" s="1"/>
  <c r="D1080" i="12" s="1"/>
  <c r="C405" i="12"/>
  <c r="E1107" i="12"/>
  <c r="E994" i="12"/>
  <c r="B505" i="12"/>
  <c r="C423" i="12"/>
  <c r="B1110" i="12"/>
  <c r="C320" i="12"/>
  <c r="C362" i="12" s="1"/>
  <c r="C1014" i="12" s="1"/>
  <c r="C1059" i="12" s="1"/>
  <c r="D315" i="12"/>
  <c r="D357" i="12" s="1"/>
  <c r="D1009" i="12" s="1"/>
  <c r="D1054" i="12" s="1"/>
  <c r="E1109" i="12"/>
  <c r="C1094" i="12"/>
  <c r="D399" i="12"/>
  <c r="D1117" i="12"/>
  <c r="E1103" i="12"/>
  <c r="B419" i="12"/>
  <c r="B330" i="12"/>
  <c r="B372" i="12" s="1"/>
  <c r="B1024" i="12" s="1"/>
  <c r="B1069" i="12" s="1"/>
  <c r="C411" i="12"/>
  <c r="C486" i="12"/>
  <c r="D428" i="12"/>
  <c r="E423" i="12"/>
  <c r="E190" i="9"/>
  <c r="E194" i="9" s="1"/>
  <c r="E197" i="9" s="1"/>
  <c r="F175" i="9"/>
  <c r="F190" i="9" s="1"/>
  <c r="F194" i="9" s="1"/>
  <c r="F197" i="9" s="1"/>
  <c r="G388" i="10"/>
  <c r="G308" i="10"/>
  <c r="I308" i="10"/>
  <c r="I388" i="10"/>
  <c r="H308" i="10"/>
  <c r="G317" i="10"/>
  <c r="G321" i="10" s="1"/>
  <c r="G20" i="10"/>
  <c r="G101" i="10"/>
  <c r="I20" i="10"/>
  <c r="C166" i="9"/>
  <c r="C175" i="9" s="1"/>
  <c r="C190" i="9" s="1"/>
  <c r="C194" i="9" s="1"/>
  <c r="C197" i="9" s="1"/>
  <c r="D166" i="9"/>
  <c r="D175" i="9" s="1"/>
  <c r="D190" i="9" s="1"/>
  <c r="D194" i="9" s="1"/>
  <c r="D197" i="9" s="1"/>
  <c r="D102" i="9" s="1"/>
  <c r="H34" i="18"/>
  <c r="H39" i="18" s="1"/>
  <c r="H29" i="10"/>
  <c r="H130" i="10" s="1"/>
  <c r="I34" i="18"/>
  <c r="I39" i="18" s="1"/>
  <c r="I29" i="10"/>
  <c r="H305" i="10"/>
  <c r="I306" i="10"/>
  <c r="I303" i="10" s="1"/>
  <c r="H303" i="10"/>
  <c r="I376" i="10"/>
  <c r="I400" i="10" s="1"/>
  <c r="H372" i="10"/>
  <c r="I401" i="10" s="1"/>
  <c r="I114" i="10"/>
  <c r="E105" i="9"/>
  <c r="I83" i="10" s="1"/>
  <c r="C105" i="9"/>
  <c r="D105" i="9"/>
  <c r="J68" i="10"/>
  <c r="G102" i="10"/>
  <c r="G16" i="18"/>
  <c r="I21" i="18"/>
  <c r="I26" i="18"/>
  <c r="I104" i="18" s="1"/>
  <c r="I354" i="10" s="1"/>
  <c r="D34" i="9"/>
  <c r="D31" i="9" s="1"/>
  <c r="H63" i="10" s="1"/>
  <c r="H351" i="10" s="1"/>
  <c r="E34" i="9"/>
  <c r="E31" i="9" s="1"/>
  <c r="I63" i="10" s="1"/>
  <c r="I351" i="10" s="1"/>
  <c r="F34" i="9"/>
  <c r="F31" i="9" s="1"/>
  <c r="I350" i="10"/>
  <c r="H102" i="10"/>
  <c r="H21" i="18"/>
  <c r="I102" i="10"/>
  <c r="E458" i="20"/>
  <c r="J461" i="20" s="1" a="1"/>
  <c r="J461" i="20" s="1"/>
  <c r="J454" i="20" a="1"/>
  <c r="J454" i="20" s="1"/>
  <c r="H1297" i="16"/>
  <c r="I1290" i="16" a="1"/>
  <c r="I1290" i="16" s="1"/>
  <c r="H1978" i="16"/>
  <c r="I1971" i="16" a="1"/>
  <c r="I1971" i="16" s="1"/>
  <c r="H1151" i="16"/>
  <c r="I1144" i="16" a="1"/>
  <c r="I1144" i="16" s="1"/>
  <c r="H1408" i="16"/>
  <c r="I1401" i="16" a="1"/>
  <c r="I1401" i="16" s="1"/>
  <c r="H1571" i="16"/>
  <c r="I1564" i="16" a="1"/>
  <c r="I1564" i="16" s="1"/>
  <c r="H1448" i="16"/>
  <c r="I1441" i="16" a="1"/>
  <c r="I1441" i="16" s="1"/>
  <c r="H1903" i="16"/>
  <c r="I1896" i="16" a="1"/>
  <c r="I1896" i="16" s="1"/>
  <c r="I1877" i="16" a="1"/>
  <c r="I1877" i="16" s="1"/>
  <c r="C512" i="16"/>
  <c r="C559" i="16" s="1"/>
  <c r="I1870" i="16" a="1"/>
  <c r="I1870" i="16" s="1"/>
  <c r="C510" i="16"/>
  <c r="C557" i="16" s="1"/>
  <c r="I1856" i="16" a="1"/>
  <c r="I1856" i="16" s="1"/>
  <c r="C511" i="16"/>
  <c r="C558" i="16" s="1"/>
  <c r="I1863" i="16" a="1"/>
  <c r="I1863" i="16" s="1"/>
  <c r="J694" i="20" a="1"/>
  <c r="J694" i="20" s="1"/>
  <c r="C1352" i="12"/>
  <c r="C1592" i="12" s="1"/>
  <c r="C1832" i="12" s="1"/>
  <c r="C488" i="12"/>
  <c r="B513" i="12"/>
  <c r="B412" i="12"/>
  <c r="B398" i="12"/>
  <c r="C315" i="12"/>
  <c r="C357" i="12" s="1"/>
  <c r="C1009" i="12" s="1"/>
  <c r="C1054" i="12" s="1"/>
  <c r="C1142" i="12"/>
  <c r="E995" i="12"/>
  <c r="C1114" i="12"/>
  <c r="D395" i="12"/>
  <c r="B517" i="12"/>
  <c r="B495" i="12"/>
  <c r="C502" i="12"/>
  <c r="C419" i="12"/>
  <c r="C484" i="12"/>
  <c r="E1110" i="12"/>
  <c r="B494" i="12"/>
  <c r="E402" i="12"/>
  <c r="C345" i="12"/>
  <c r="C387" i="12" s="1"/>
  <c r="C1039" i="12" s="1"/>
  <c r="C1084" i="12" s="1"/>
  <c r="C335" i="12"/>
  <c r="C377" i="12" s="1"/>
  <c r="C1029" i="12" s="1"/>
  <c r="C1074" i="12" s="1"/>
  <c r="E479" i="12"/>
  <c r="D311" i="12"/>
  <c r="D353" i="12" s="1"/>
  <c r="D1005" i="12" s="1"/>
  <c r="D1050" i="12" s="1"/>
  <c r="C516" i="12"/>
  <c r="D430" i="12"/>
  <c r="C1116" i="12"/>
  <c r="D1145" i="12"/>
  <c r="D1626" i="12" s="1"/>
  <c r="D1866" i="12" s="1"/>
  <c r="B428" i="12"/>
  <c r="C401" i="12"/>
  <c r="E312" i="12"/>
  <c r="E354" i="12" s="1"/>
  <c r="E1006" i="12" s="1"/>
  <c r="E1051" i="12" s="1"/>
  <c r="D400" i="12"/>
  <c r="E483" i="12"/>
  <c r="D409" i="12"/>
  <c r="C331" i="12"/>
  <c r="C373" i="12" s="1"/>
  <c r="C1025" i="12" s="1"/>
  <c r="C1070" i="12" s="1"/>
  <c r="C510" i="12"/>
  <c r="E415" i="12"/>
  <c r="E329" i="12"/>
  <c r="E371" i="12" s="1"/>
  <c r="E1023" i="12" s="1"/>
  <c r="E1068" i="12" s="1"/>
  <c r="D494" i="12"/>
  <c r="E1360" i="12"/>
  <c r="E1600" i="12" s="1"/>
  <c r="E1840" i="12" s="1"/>
  <c r="C2200" i="16"/>
  <c r="C2154" i="16"/>
  <c r="J701" i="20" a="1"/>
  <c r="J701" i="20" s="1"/>
  <c r="C2152" i="16"/>
  <c r="J687" i="20" a="1"/>
  <c r="J687" i="20" s="1"/>
  <c r="C2156" i="16"/>
  <c r="J715" i="20" a="1"/>
  <c r="J715" i="20" s="1"/>
  <c r="C387" i="16"/>
  <c r="C404" i="16" s="1"/>
  <c r="J708" i="20" a="1"/>
  <c r="J708" i="20" s="1"/>
  <c r="J852" i="20" a="1"/>
  <c r="J852" i="20" s="1"/>
  <c r="D856" i="20"/>
  <c r="C1145" i="12"/>
  <c r="E1100" i="12"/>
  <c r="H88" i="10"/>
  <c r="H46" i="18" s="1"/>
  <c r="H51" i="18" s="1"/>
  <c r="I88" i="10"/>
  <c r="I46" i="18" s="1"/>
  <c r="I51" i="18" s="1"/>
  <c r="H401" i="10"/>
  <c r="C57" i="9"/>
  <c r="C56" i="9" s="1"/>
  <c r="G67" i="10" s="1"/>
  <c r="G31" i="18" s="1"/>
  <c r="G68" i="10"/>
  <c r="D57" i="9"/>
  <c r="H68" i="10"/>
  <c r="E57" i="9"/>
  <c r="I68" i="10"/>
  <c r="E1134" i="12"/>
  <c r="D1375" i="12"/>
  <c r="C1093" i="12"/>
  <c r="C1091" i="12"/>
  <c r="E393" i="12"/>
  <c r="E309" i="12"/>
  <c r="E351" i="12" s="1"/>
  <c r="E1003" i="12" s="1"/>
  <c r="E1048" i="12" s="1"/>
  <c r="D992" i="12"/>
  <c r="F102" i="9"/>
  <c r="F94" i="9" s="1"/>
  <c r="C102" i="9"/>
  <c r="E102" i="9"/>
  <c r="E94" i="9" s="1"/>
  <c r="C70" i="9"/>
  <c r="C69" i="9" s="1"/>
  <c r="G71" i="10" s="1"/>
  <c r="G359" i="10" s="1"/>
  <c r="J22" i="20"/>
  <c r="K22" i="20" s="1"/>
  <c r="L22" i="20" s="1"/>
  <c r="G379" i="10"/>
  <c r="G378" i="10" s="1"/>
  <c r="G91" i="10"/>
  <c r="H91" i="10"/>
  <c r="H379" i="10"/>
  <c r="H378" i="10" s="1"/>
  <c r="I379" i="10"/>
  <c r="I378" i="10" s="1"/>
  <c r="I91" i="10"/>
  <c r="C139" i="9"/>
  <c r="D139" i="9"/>
  <c r="E139" i="9"/>
  <c r="D121" i="9"/>
  <c r="D120" i="9" s="1"/>
  <c r="F120" i="9"/>
  <c r="F104" i="9" s="1"/>
  <c r="C120" i="9"/>
  <c r="G87" i="10" s="1"/>
  <c r="G104" i="10" s="1"/>
  <c r="H56" i="18"/>
  <c r="H122" i="18" s="1"/>
  <c r="H375" i="10" s="1"/>
  <c r="I56" i="18"/>
  <c r="I122" i="18" s="1"/>
  <c r="I375" i="10" s="1"/>
  <c r="E121" i="9"/>
  <c r="E120" i="9" s="1"/>
  <c r="E104" i="9" s="1"/>
  <c r="G88" i="10"/>
  <c r="G46" i="18" s="1"/>
  <c r="I86" i="10"/>
  <c r="I373" i="10" s="1"/>
  <c r="I371" i="10" s="1"/>
  <c r="H373" i="10"/>
  <c r="H371" i="10" s="1"/>
  <c r="H84" i="10"/>
  <c r="G84" i="10"/>
  <c r="G373" i="10"/>
  <c r="G371" i="10" s="1"/>
  <c r="I370" i="10"/>
  <c r="G83" i="10"/>
  <c r="H83" i="10"/>
  <c r="F56" i="9"/>
  <c r="F49" i="9" s="1"/>
  <c r="D56" i="9"/>
  <c r="H67" i="10" s="1"/>
  <c r="H31" i="18" s="1"/>
  <c r="E56" i="9"/>
  <c r="I67" i="10" s="1"/>
  <c r="I31" i="18" s="1"/>
  <c r="I36" i="18" s="1"/>
  <c r="D70" i="9"/>
  <c r="D69" i="9" s="1"/>
  <c r="E70" i="9"/>
  <c r="E69" i="9" s="1"/>
  <c r="G105" i="10"/>
  <c r="H105" i="10"/>
  <c r="G352" i="10"/>
  <c r="H352" i="10"/>
  <c r="G350" i="10"/>
  <c r="G110" i="10"/>
  <c r="H110" i="10"/>
  <c r="I110" i="10"/>
  <c r="H350" i="10"/>
  <c r="I397" i="10" s="1"/>
  <c r="D1598" i="12"/>
  <c r="D1838" i="12" s="1"/>
  <c r="C388" i="16"/>
  <c r="C405" i="16" s="1"/>
  <c r="E1384" i="12"/>
  <c r="D1143" i="12"/>
  <c r="C1384" i="12"/>
  <c r="E1374" i="12"/>
  <c r="E1331" i="12"/>
  <c r="E1571" i="12" s="1"/>
  <c r="E1811" i="12" s="1"/>
  <c r="E1287" i="12"/>
  <c r="E1527" i="12" s="1"/>
  <c r="E1767" i="12" s="1"/>
  <c r="E1242" i="12"/>
  <c r="E1482" i="12" s="1"/>
  <c r="E1722" i="12" s="1"/>
  <c r="E1209" i="12"/>
  <c r="E1211" i="12"/>
  <c r="E1451" i="12" s="1"/>
  <c r="E1691" i="12" s="1"/>
  <c r="E1213" i="12"/>
  <c r="E1453" i="12" s="1"/>
  <c r="E1693" i="12" s="1"/>
  <c r="E1215" i="12"/>
  <c r="E1455" i="12" s="1"/>
  <c r="E1695" i="12" s="1"/>
  <c r="E1210" i="12"/>
  <c r="E1450" i="12" s="1"/>
  <c r="E1690" i="12" s="1"/>
  <c r="E1212" i="12"/>
  <c r="E1452" i="12" s="1"/>
  <c r="E1692" i="12" s="1"/>
  <c r="E1214" i="12"/>
  <c r="E1454" i="12" s="1"/>
  <c r="E1694" i="12" s="1"/>
  <c r="C1187" i="12"/>
  <c r="C1427" i="12" s="1"/>
  <c r="C1667" i="12" s="1"/>
  <c r="C1189" i="12"/>
  <c r="C1429" i="12" s="1"/>
  <c r="C1669" i="12" s="1"/>
  <c r="C1191" i="12"/>
  <c r="C1431" i="12" s="1"/>
  <c r="C1671" i="12" s="1"/>
  <c r="C1186" i="12"/>
  <c r="C1426" i="12" s="1"/>
  <c r="C1666" i="12" s="1"/>
  <c r="C1188" i="12"/>
  <c r="C1428" i="12" s="1"/>
  <c r="C1668" i="12" s="1"/>
  <c r="C1190" i="12"/>
  <c r="C1430" i="12" s="1"/>
  <c r="C1670" i="12" s="1"/>
  <c r="C1185" i="12"/>
  <c r="C1184" i="12"/>
  <c r="F171" i="20"/>
  <c r="I575" i="16" s="1"/>
  <c r="F178" i="20"/>
  <c r="I582" i="16" s="1"/>
  <c r="F118" i="20"/>
  <c r="I419" i="16" s="1"/>
  <c r="F120" i="20"/>
  <c r="I421" i="16" s="1"/>
  <c r="F122" i="20"/>
  <c r="I423" i="16" s="1"/>
  <c r="F124" i="20"/>
  <c r="I425" i="16" s="1"/>
  <c r="F126" i="20"/>
  <c r="I427" i="16" s="1"/>
  <c r="F128" i="20"/>
  <c r="I429" i="16" s="1"/>
  <c r="F130" i="20"/>
  <c r="I431" i="16" s="1"/>
  <c r="F132" i="20"/>
  <c r="I433" i="16" s="1"/>
  <c r="F134" i="20"/>
  <c r="I435" i="16" s="1"/>
  <c r="F136" i="20"/>
  <c r="I437" i="16" s="1"/>
  <c r="F138" i="20"/>
  <c r="I439" i="16" s="1"/>
  <c r="F140" i="20"/>
  <c r="I441" i="16" s="1"/>
  <c r="F142" i="20"/>
  <c r="I443" i="16" s="1"/>
  <c r="F144" i="20"/>
  <c r="I445" i="16" s="1"/>
  <c r="F146" i="20"/>
  <c r="I447" i="16" s="1"/>
  <c r="F148" i="20"/>
  <c r="I449" i="16" s="1"/>
  <c r="F150" i="20"/>
  <c r="I451" i="16" s="1"/>
  <c r="F152" i="20"/>
  <c r="I453" i="16" s="1"/>
  <c r="F154" i="20"/>
  <c r="I455" i="16" s="1"/>
  <c r="F95" i="20"/>
  <c r="I354" i="16" s="1"/>
  <c r="G95" i="20" s="1"/>
  <c r="F97" i="20"/>
  <c r="I356" i="16" s="1"/>
  <c r="G97" i="20" s="1"/>
  <c r="F99" i="20"/>
  <c r="I358" i="16" s="1"/>
  <c r="G99" i="20" s="1"/>
  <c r="F101" i="20"/>
  <c r="I360" i="16" s="1"/>
  <c r="G101" i="20" s="1"/>
  <c r="F94" i="20"/>
  <c r="I353" i="16" s="1"/>
  <c r="G94" i="20" s="1"/>
  <c r="F96" i="20"/>
  <c r="I355" i="16" s="1"/>
  <c r="G96" i="20" s="1"/>
  <c r="F98" i="20"/>
  <c r="I357" i="16" s="1"/>
  <c r="G98" i="20" s="1"/>
  <c r="F100" i="20"/>
  <c r="I359" i="16" s="1"/>
  <c r="G100" i="20" s="1"/>
  <c r="F84" i="20"/>
  <c r="I329" i="16" s="1"/>
  <c r="F175" i="20"/>
  <c r="I579" i="16" s="1"/>
  <c r="F170" i="20"/>
  <c r="C1043" i="20" s="1"/>
  <c r="F172" i="20"/>
  <c r="I576" i="16" s="1"/>
  <c r="F176" i="20"/>
  <c r="I580" i="16" s="1"/>
  <c r="F156" i="20"/>
  <c r="I457" i="16" s="1"/>
  <c r="F102" i="20"/>
  <c r="I361" i="16" s="1"/>
  <c r="G102" i="20" s="1"/>
  <c r="F103" i="20"/>
  <c r="I362" i="16" s="1"/>
  <c r="G103" i="20" s="1"/>
  <c r="F81" i="20"/>
  <c r="C578" i="20" s="1"/>
  <c r="F83" i="20"/>
  <c r="I328" i="16" s="1"/>
  <c r="F85" i="20"/>
  <c r="I330" i="16" s="1"/>
  <c r="F58" i="20"/>
  <c r="F60" i="20"/>
  <c r="I271" i="16" s="1"/>
  <c r="F62" i="20"/>
  <c r="I273" i="16" s="1"/>
  <c r="F64" i="20"/>
  <c r="I275" i="16" s="1"/>
  <c r="F66" i="20"/>
  <c r="I277" i="16" s="1"/>
  <c r="F68" i="20"/>
  <c r="I279" i="16" s="1"/>
  <c r="F70" i="20"/>
  <c r="I281" i="16" s="1"/>
  <c r="F59" i="20"/>
  <c r="I270" i="16" s="1"/>
  <c r="F61" i="20"/>
  <c r="I272" i="16" s="1"/>
  <c r="F63" i="20"/>
  <c r="I274" i="16" s="1"/>
  <c r="F65" i="20"/>
  <c r="I276" i="16" s="1"/>
  <c r="F67" i="20"/>
  <c r="I278" i="16" s="1"/>
  <c r="F69" i="20"/>
  <c r="I280" i="16" s="1"/>
  <c r="F71" i="20"/>
  <c r="I282" i="16" s="1"/>
  <c r="F190" i="20"/>
  <c r="I618" i="16" s="1"/>
  <c r="F194" i="20"/>
  <c r="I622" i="16" s="1"/>
  <c r="F188" i="20"/>
  <c r="F196" i="20"/>
  <c r="I624" i="16" s="1"/>
  <c r="F189" i="20"/>
  <c r="I617" i="16" s="1"/>
  <c r="F191" i="20"/>
  <c r="I619" i="16" s="1"/>
  <c r="F193" i="20"/>
  <c r="I621" i="16" s="1"/>
  <c r="F195" i="20"/>
  <c r="I623" i="16" s="1"/>
  <c r="F197" i="20"/>
  <c r="I625" i="16" s="1"/>
  <c r="F192" i="20"/>
  <c r="I620" i="16" s="1"/>
  <c r="F177" i="20"/>
  <c r="I581" i="16" s="1"/>
  <c r="F179" i="20"/>
  <c r="I583" i="16" s="1"/>
  <c r="F174" i="20"/>
  <c r="I578" i="16" s="1"/>
  <c r="F119" i="20"/>
  <c r="I420" i="16" s="1"/>
  <c r="F123" i="20"/>
  <c r="I424" i="16" s="1"/>
  <c r="F129" i="20"/>
  <c r="I430" i="16" s="1"/>
  <c r="F133" i="20"/>
  <c r="I434" i="16" s="1"/>
  <c r="F139" i="20"/>
  <c r="I440" i="16" s="1"/>
  <c r="F141" i="20"/>
  <c r="I442" i="16" s="1"/>
  <c r="F145" i="20"/>
  <c r="I446" i="16" s="1"/>
  <c r="F149" i="20"/>
  <c r="I450" i="16" s="1"/>
  <c r="F153" i="20"/>
  <c r="I454" i="16" s="1"/>
  <c r="F117" i="20"/>
  <c r="I418" i="16" s="1"/>
  <c r="F125" i="20"/>
  <c r="I426" i="16" s="1"/>
  <c r="F131" i="20"/>
  <c r="I432" i="16" s="1"/>
  <c r="F137" i="20"/>
  <c r="I438" i="16" s="1"/>
  <c r="F143" i="20"/>
  <c r="I444" i="16" s="1"/>
  <c r="F147" i="20"/>
  <c r="I448" i="16" s="1"/>
  <c r="F155" i="20"/>
  <c r="I456" i="16" s="1"/>
  <c r="F121" i="20"/>
  <c r="I422" i="16" s="1"/>
  <c r="F127" i="20"/>
  <c r="I428" i="16" s="1"/>
  <c r="F135" i="20"/>
  <c r="I436" i="16" s="1"/>
  <c r="F151" i="20"/>
  <c r="I452" i="16" s="1"/>
  <c r="E1566" i="12"/>
  <c r="E1806" i="12" s="1"/>
  <c r="B311" i="12"/>
  <c r="B353" i="12" s="1"/>
  <c r="B1005" i="12" s="1"/>
  <c r="B1050" i="12" s="1"/>
  <c r="B395" i="12"/>
  <c r="C391" i="12"/>
  <c r="E1113" i="12"/>
  <c r="C478" i="12"/>
  <c r="D1135" i="12"/>
  <c r="D1616" i="12" s="1"/>
  <c r="D1856" i="12" s="1"/>
  <c r="D414" i="12"/>
  <c r="C422" i="12"/>
  <c r="E326" i="12"/>
  <c r="E368" i="12" s="1"/>
  <c r="E1020" i="12" s="1"/>
  <c r="E1065" i="12" s="1"/>
  <c r="E497" i="12"/>
  <c r="D501" i="12"/>
  <c r="D516" i="12"/>
  <c r="D345" i="12"/>
  <c r="D387" i="12" s="1"/>
  <c r="D1039" i="12" s="1"/>
  <c r="D1084" i="12" s="1"/>
  <c r="E1339" i="12"/>
  <c r="K1339" i="12" s="1"/>
  <c r="E1098" i="12"/>
  <c r="E1343" i="12"/>
  <c r="V1343" i="12" s="1"/>
  <c r="E1102" i="12"/>
  <c r="B486" i="12"/>
  <c r="B484" i="12"/>
  <c r="B1145" i="12"/>
  <c r="B1236" i="12"/>
  <c r="B1476" i="12" s="1"/>
  <c r="B1716" i="12" s="1"/>
  <c r="B995" i="12"/>
  <c r="D1519" i="12"/>
  <c r="D1759" i="12" s="1"/>
  <c r="D1521" i="12"/>
  <c r="D1761" i="12" s="1"/>
  <c r="C497" i="12"/>
  <c r="C326" i="12"/>
  <c r="C368" i="12" s="1"/>
  <c r="C1020" i="12" s="1"/>
  <c r="C1065" i="12" s="1"/>
  <c r="B343" i="12"/>
  <c r="B385" i="12" s="1"/>
  <c r="B1037" i="12" s="1"/>
  <c r="B1082" i="12" s="1"/>
  <c r="B514" i="12"/>
  <c r="D405" i="12"/>
  <c r="C410" i="12"/>
  <c r="C414" i="12"/>
  <c r="E417" i="12"/>
  <c r="E333" i="12"/>
  <c r="E375" i="12" s="1"/>
  <c r="E1027" i="12" s="1"/>
  <c r="E1072" i="12" s="1"/>
  <c r="E345" i="12"/>
  <c r="E387" i="12" s="1"/>
  <c r="E1039" i="12" s="1"/>
  <c r="E1084" i="12" s="1"/>
  <c r="B489" i="12"/>
  <c r="B402" i="12"/>
  <c r="D496" i="12"/>
  <c r="D507" i="12"/>
  <c r="D420" i="12"/>
  <c r="D509" i="12"/>
  <c r="D422" i="12"/>
  <c r="C424" i="12"/>
  <c r="C511" i="12"/>
  <c r="D1118" i="12"/>
  <c r="D1359" i="12"/>
  <c r="B499" i="12"/>
  <c r="E1598" i="12"/>
  <c r="E1838" i="12" s="1"/>
  <c r="E1117" i="12"/>
  <c r="B397" i="12"/>
  <c r="C330" i="12"/>
  <c r="C372" i="12" s="1"/>
  <c r="C1024" i="12" s="1"/>
  <c r="C1069" i="12" s="1"/>
  <c r="D481" i="12"/>
  <c r="D394" i="12"/>
  <c r="D310" i="12"/>
  <c r="D352" i="12" s="1"/>
  <c r="D1004" i="12" s="1"/>
  <c r="D1049" i="12" s="1"/>
  <c r="D333" i="12"/>
  <c r="D375" i="12" s="1"/>
  <c r="D1027" i="12" s="1"/>
  <c r="D1072" i="12" s="1"/>
  <c r="D504" i="12"/>
  <c r="B994" i="12"/>
  <c r="E1115" i="12"/>
  <c r="B399" i="12"/>
  <c r="C509" i="12"/>
  <c r="D321" i="12"/>
  <c r="D363" i="12" s="1"/>
  <c r="D1015" i="12" s="1"/>
  <c r="D1060" i="12" s="1"/>
  <c r="D485" i="12"/>
  <c r="D314" i="12"/>
  <c r="D356" i="12" s="1"/>
  <c r="D1008" i="12" s="1"/>
  <c r="D1053" i="12" s="1"/>
  <c r="B504" i="12"/>
  <c r="B333" i="12"/>
  <c r="B375" i="12" s="1"/>
  <c r="B1027" i="12" s="1"/>
  <c r="B1072" i="12" s="1"/>
  <c r="E1338" i="12"/>
  <c r="E1578" i="12" s="1"/>
  <c r="E1818" i="12" s="1"/>
  <c r="E1097" i="12"/>
  <c r="P127" i="22"/>
  <c r="B1428" i="16"/>
  <c r="D1457" i="12"/>
  <c r="D1697" i="12" s="1"/>
  <c r="D1560" i="12"/>
  <c r="D1800" i="12" s="1"/>
  <c r="D1450" i="12"/>
  <c r="D1690" i="12" s="1"/>
  <c r="E1590" i="12"/>
  <c r="E1830" i="12" s="1"/>
  <c r="E1475" i="12"/>
  <c r="E1715" i="12" s="1"/>
  <c r="C394" i="12"/>
  <c r="C481" i="12"/>
  <c r="C310" i="12"/>
  <c r="C352" i="12" s="1"/>
  <c r="C1004" i="12" s="1"/>
  <c r="C1049" i="12" s="1"/>
  <c r="C396" i="12"/>
  <c r="C483" i="12"/>
  <c r="B503" i="12"/>
  <c r="B332" i="12"/>
  <c r="B374" i="12" s="1"/>
  <c r="B1026" i="12" s="1"/>
  <c r="B1071" i="12" s="1"/>
  <c r="E515" i="12"/>
  <c r="E344" i="12"/>
  <c r="E386" i="12" s="1"/>
  <c r="E1038" i="12" s="1"/>
  <c r="E1083" i="12" s="1"/>
  <c r="E1530" i="12"/>
  <c r="E1770" i="12" s="1"/>
  <c r="D1552" i="12"/>
  <c r="D1792" i="12" s="1"/>
  <c r="D1559" i="12"/>
  <c r="D1799" i="12" s="1"/>
  <c r="C1336" i="12"/>
  <c r="C1576" i="12" s="1"/>
  <c r="C1816" i="12" s="1"/>
  <c r="C1095" i="12"/>
  <c r="E505" i="12"/>
  <c r="C1385" i="12"/>
  <c r="C1144" i="12"/>
  <c r="B1106" i="12"/>
  <c r="C1135" i="12"/>
  <c r="B1144" i="12"/>
  <c r="D1487" i="12"/>
  <c r="D1727" i="12" s="1"/>
  <c r="D1096" i="12"/>
  <c r="C993" i="12"/>
  <c r="C1102" i="12"/>
  <c r="B394" i="12"/>
  <c r="D510" i="12"/>
  <c r="D423" i="12"/>
  <c r="B512" i="12"/>
  <c r="B425" i="12"/>
  <c r="B516" i="12"/>
  <c r="B345" i="12"/>
  <c r="B387" i="12" s="1"/>
  <c r="B1039" i="12" s="1"/>
  <c r="B1084" i="12" s="1"/>
  <c r="D1529" i="12"/>
  <c r="D1769" i="12" s="1"/>
  <c r="C319" i="12"/>
  <c r="C361" i="12" s="1"/>
  <c r="C1013" i="12" s="1"/>
  <c r="C1058" i="12" s="1"/>
  <c r="C403" i="12"/>
  <c r="D1465" i="12"/>
  <c r="D1705" i="12" s="1"/>
  <c r="D1133" i="12"/>
  <c r="D1583" i="12"/>
  <c r="D1823" i="12" s="1"/>
  <c r="C1341" i="12"/>
  <c r="C1581" i="12" s="1"/>
  <c r="C1821" i="12" s="1"/>
  <c r="C312" i="12"/>
  <c r="C354" i="12" s="1"/>
  <c r="C1006" i="12" s="1"/>
  <c r="C1051" i="12" s="1"/>
  <c r="E506" i="12"/>
  <c r="E335" i="12"/>
  <c r="E377" i="12" s="1"/>
  <c r="E1029" i="12" s="1"/>
  <c r="E1074" i="12" s="1"/>
  <c r="E508" i="12"/>
  <c r="E421" i="12"/>
  <c r="C512" i="12"/>
  <c r="C341" i="12"/>
  <c r="C383" i="12" s="1"/>
  <c r="C1035" i="12" s="1"/>
  <c r="C1080" i="12" s="1"/>
  <c r="C425" i="12"/>
  <c r="C343" i="12"/>
  <c r="C385" i="12" s="1"/>
  <c r="C1037" i="12" s="1"/>
  <c r="C1082" i="12" s="1"/>
  <c r="C427" i="12"/>
  <c r="B1355" i="12"/>
  <c r="B1595" i="12" s="1"/>
  <c r="B1835" i="12" s="1"/>
  <c r="B1114" i="12"/>
  <c r="B1357" i="12"/>
  <c r="B1597" i="12" s="1"/>
  <c r="B1837" i="12" s="1"/>
  <c r="B1116" i="12"/>
  <c r="C517" i="12"/>
  <c r="C430" i="12"/>
  <c r="B1345" i="12"/>
  <c r="B1585" i="12" s="1"/>
  <c r="B1825" i="12" s="1"/>
  <c r="B1104" i="12"/>
  <c r="E486" i="12"/>
  <c r="E315" i="12"/>
  <c r="E357" i="12" s="1"/>
  <c r="E1009" i="12" s="1"/>
  <c r="E1054" i="12" s="1"/>
  <c r="E399" i="12"/>
  <c r="E1535" i="12"/>
  <c r="E1775" i="12" s="1"/>
  <c r="B1334" i="12"/>
  <c r="B1574" i="12" s="1"/>
  <c r="B1814" i="12" s="1"/>
  <c r="B1093" i="12"/>
  <c r="E1096" i="12"/>
  <c r="B427" i="12"/>
  <c r="B1095" i="12"/>
  <c r="E496" i="12"/>
  <c r="E409" i="12"/>
  <c r="B329" i="12"/>
  <c r="B371" i="12" s="1"/>
  <c r="B1023" i="12" s="1"/>
  <c r="B1068" i="12" s="1"/>
  <c r="B413" i="12"/>
  <c r="B420" i="12"/>
  <c r="B336" i="12"/>
  <c r="B378" i="12" s="1"/>
  <c r="B1030" i="12" s="1"/>
  <c r="B1075" i="12" s="1"/>
  <c r="B509" i="12"/>
  <c r="B422" i="12"/>
  <c r="D1561" i="12"/>
  <c r="D1801" i="12" s="1"/>
  <c r="B1349" i="12"/>
  <c r="B1589" i="12" s="1"/>
  <c r="B1829" i="12" s="1"/>
  <c r="B1108" i="12"/>
  <c r="D1383" i="12"/>
  <c r="D1142" i="12"/>
  <c r="D1623" i="12" s="1"/>
  <c r="D1863" i="12" s="1"/>
  <c r="B483" i="12"/>
  <c r="B396" i="12"/>
  <c r="B312" i="12"/>
  <c r="B354" i="12" s="1"/>
  <c r="B1006" i="12" s="1"/>
  <c r="B1051" i="12" s="1"/>
  <c r="B310" i="12"/>
  <c r="B352" i="12" s="1"/>
  <c r="B1004" i="12" s="1"/>
  <c r="B1049" i="12" s="1"/>
  <c r="D1102" i="12"/>
  <c r="E404" i="12"/>
  <c r="E491" i="12"/>
  <c r="C408" i="12"/>
  <c r="C324" i="12"/>
  <c r="C366" i="12" s="1"/>
  <c r="C1018" i="12" s="1"/>
  <c r="C1063" i="12" s="1"/>
  <c r="B410" i="12"/>
  <c r="B326" i="12"/>
  <c r="B368" i="12" s="1"/>
  <c r="B1020" i="12" s="1"/>
  <c r="B1065" i="12" s="1"/>
  <c r="E498" i="12"/>
  <c r="E411" i="12"/>
  <c r="E327" i="12"/>
  <c r="E369" i="12" s="1"/>
  <c r="E1021" i="12" s="1"/>
  <c r="E1066" i="12" s="1"/>
  <c r="E1531" i="12"/>
  <c r="E1771" i="12" s="1"/>
  <c r="D488" i="12"/>
  <c r="D317" i="12"/>
  <c r="D359" i="12" s="1"/>
  <c r="D1011" i="12" s="1"/>
  <c r="D1056" i="12" s="1"/>
  <c r="C504" i="12"/>
  <c r="C417" i="12"/>
  <c r="D1232" i="12"/>
  <c r="E488" i="12"/>
  <c r="E401" i="12"/>
  <c r="E1136" i="12"/>
  <c r="D1100" i="12"/>
  <c r="B319" i="12"/>
  <c r="B361" i="12" s="1"/>
  <c r="B1013" i="12" s="1"/>
  <c r="B1058" i="12" s="1"/>
  <c r="B490" i="12"/>
  <c r="E493" i="12"/>
  <c r="E322" i="12"/>
  <c r="E364" i="12" s="1"/>
  <c r="E1016" i="12" s="1"/>
  <c r="E1061" i="12" s="1"/>
  <c r="D495" i="12"/>
  <c r="D324" i="12"/>
  <c r="D366" i="12" s="1"/>
  <c r="D1018" i="12" s="1"/>
  <c r="D1063" i="12" s="1"/>
  <c r="E418" i="12"/>
  <c r="B502" i="12"/>
  <c r="E430" i="12"/>
  <c r="E1352" i="12"/>
  <c r="W1352" i="12" s="1"/>
  <c r="B1354" i="12"/>
  <c r="B1594" i="12" s="1"/>
  <c r="B1834" i="12" s="1"/>
  <c r="C1374" i="12"/>
  <c r="J894" i="16"/>
  <c r="B889" i="16"/>
  <c r="D325" i="20"/>
  <c r="F49" i="20"/>
  <c r="C476" i="20"/>
  <c r="E667" i="16"/>
  <c r="C215" i="20" s="1"/>
  <c r="C469" i="20"/>
  <c r="J2263" i="16"/>
  <c r="I54" i="10"/>
  <c r="I53" i="10" s="1"/>
  <c r="I47" i="10" s="1"/>
  <c r="H54" i="10"/>
  <c r="H53" i="10" s="1"/>
  <c r="H47" i="10" s="1"/>
  <c r="H336" i="10"/>
  <c r="F30" i="20"/>
  <c r="H104" i="18"/>
  <c r="G54" i="10"/>
  <c r="G53" i="10" s="1"/>
  <c r="D13" i="9"/>
  <c r="I342" i="10"/>
  <c r="H48" i="10"/>
  <c r="G48" i="10"/>
  <c r="E13" i="9"/>
  <c r="G344" i="10"/>
  <c r="G342" i="10" s="1"/>
  <c r="G341" i="10" s="1"/>
  <c r="H345" i="10"/>
  <c r="H342" i="10" s="1"/>
  <c r="H341" i="10" s="1"/>
  <c r="G336" i="10"/>
  <c r="I336" i="10"/>
  <c r="I48" i="10"/>
  <c r="C13" i="9"/>
  <c r="D1483" i="12"/>
  <c r="D1723" i="12" s="1"/>
  <c r="E478" i="12"/>
  <c r="D1566" i="12"/>
  <c r="D1806" i="12" s="1"/>
  <c r="D1486" i="12"/>
  <c r="D1726" i="12" s="1"/>
  <c r="D1460" i="12"/>
  <c r="D1700" i="12" s="1"/>
  <c r="D1506" i="12"/>
  <c r="D1746" i="12" s="1"/>
  <c r="D1532" i="12"/>
  <c r="D1772" i="12" s="1"/>
  <c r="D1508" i="12"/>
  <c r="D1748" i="12" s="1"/>
  <c r="D1500" i="12"/>
  <c r="D1740" i="12" s="1"/>
  <c r="D1562" i="12"/>
  <c r="D1802" i="12" s="1"/>
  <c r="D1563" i="12"/>
  <c r="D1803" i="12" s="1"/>
  <c r="D1504" i="12"/>
  <c r="D1744" i="12" s="1"/>
  <c r="D1520" i="12"/>
  <c r="D1760" i="12" s="1"/>
  <c r="E1433" i="12"/>
  <c r="E1673" i="12" s="1"/>
  <c r="E1443" i="12"/>
  <c r="E1683" i="12" s="1"/>
  <c r="E1188" i="12"/>
  <c r="E1195" i="12"/>
  <c r="K1195" i="12" s="1"/>
  <c r="E1200" i="12"/>
  <c r="E1440" i="12" s="1"/>
  <c r="E1680" i="12" s="1"/>
  <c r="E1190" i="12"/>
  <c r="E1430" i="12" s="1"/>
  <c r="E1670" i="12" s="1"/>
  <c r="E1192" i="12"/>
  <c r="T1192" i="12" s="1"/>
  <c r="E1197" i="12"/>
  <c r="O1197" i="12" s="1"/>
  <c r="E1202" i="12"/>
  <c r="U1202" i="12" s="1"/>
  <c r="E1187" i="12"/>
  <c r="T1187" i="12" s="1"/>
  <c r="E1201" i="12"/>
  <c r="T1201" i="12" s="1"/>
  <c r="D1439" i="12"/>
  <c r="D1679" i="12" s="1"/>
  <c r="E1189" i="12"/>
  <c r="V1189" i="12" s="1"/>
  <c r="E1191" i="12"/>
  <c r="R1191" i="12" s="1"/>
  <c r="D1430" i="12"/>
  <c r="D1670" i="12" s="1"/>
  <c r="E1186" i="12"/>
  <c r="E1426" i="12" s="1"/>
  <c r="E1666" i="12" s="1"/>
  <c r="E1198" i="12"/>
  <c r="Q1198" i="12" s="1"/>
  <c r="E1194" i="12"/>
  <c r="L1194" i="12" s="1"/>
  <c r="E1199" i="12"/>
  <c r="W1199" i="12" s="1"/>
  <c r="D1385" i="12"/>
  <c r="B1134" i="12"/>
  <c r="D1091" i="12"/>
  <c r="B1090" i="12"/>
  <c r="E1091" i="12"/>
  <c r="B1332" i="12"/>
  <c r="B1572" i="12" s="1"/>
  <c r="B1812" i="12" s="1"/>
  <c r="C1090" i="12"/>
  <c r="B392" i="12"/>
  <c r="D1528" i="12"/>
  <c r="D1768" i="12" s="1"/>
  <c r="C479" i="12"/>
  <c r="B391" i="12"/>
  <c r="C308" i="12"/>
  <c r="C350" i="12" s="1"/>
  <c r="C1002" i="12" s="1"/>
  <c r="C1047" i="12" s="1"/>
  <c r="B478" i="12"/>
  <c r="E308" i="12"/>
  <c r="E350" i="12" s="1"/>
  <c r="E1002" i="12" s="1"/>
  <c r="E1047" i="12" s="1"/>
  <c r="C992" i="12"/>
  <c r="E1233" i="12"/>
  <c r="E1232" i="12"/>
  <c r="E1472" i="12" s="1"/>
  <c r="E1712" i="12" s="1"/>
  <c r="E991" i="12"/>
  <c r="K118" i="22"/>
  <c r="O127" i="22"/>
  <c r="Q127" i="22"/>
  <c r="R127" i="22"/>
  <c r="E492" i="12"/>
  <c r="E405" i="12"/>
  <c r="E321" i="12"/>
  <c r="E363" i="12" s="1"/>
  <c r="E1015" i="12" s="1"/>
  <c r="E1060" i="12" s="1"/>
  <c r="D500" i="12"/>
  <c r="D329" i="12"/>
  <c r="D371" i="12" s="1"/>
  <c r="D1023" i="12" s="1"/>
  <c r="D1068" i="12" s="1"/>
  <c r="E426" i="12"/>
  <c r="E513" i="12"/>
  <c r="E1345" i="12"/>
  <c r="S1345" i="12" s="1"/>
  <c r="E1104" i="12"/>
  <c r="E1349" i="12"/>
  <c r="O1349" i="12" s="1"/>
  <c r="E1108" i="12"/>
  <c r="E1376" i="12"/>
  <c r="E1135" i="12"/>
  <c r="C333" i="12"/>
  <c r="C375" i="12" s="1"/>
  <c r="C1027" i="12" s="1"/>
  <c r="C1072" i="12" s="1"/>
  <c r="D1234" i="12"/>
  <c r="D993" i="12"/>
  <c r="D1494" i="12"/>
  <c r="D1734" i="12" s="1"/>
  <c r="E1340" i="12"/>
  <c r="E1580" i="12" s="1"/>
  <c r="E1820" i="12" s="1"/>
  <c r="E1099" i="12"/>
  <c r="C1348" i="12"/>
  <c r="C1588" i="12" s="1"/>
  <c r="C1828" i="12" s="1"/>
  <c r="C1107" i="12"/>
  <c r="D1387" i="12"/>
  <c r="D1146" i="12"/>
  <c r="D1627" i="12" s="1"/>
  <c r="D1867" i="12" s="1"/>
  <c r="C1109" i="12"/>
  <c r="D1541" i="12"/>
  <c r="D1781" i="12" s="1"/>
  <c r="E1549" i="12"/>
  <c r="E1789" i="12" s="1"/>
  <c r="D1429" i="12"/>
  <c r="D1669" i="12" s="1"/>
  <c r="D480" i="12"/>
  <c r="D309" i="12"/>
  <c r="D351" i="12" s="1"/>
  <c r="D1003" i="12" s="1"/>
  <c r="D1048" i="12" s="1"/>
  <c r="D393" i="12"/>
  <c r="D489" i="12"/>
  <c r="D402" i="12"/>
  <c r="D318" i="12"/>
  <c r="D360" i="12" s="1"/>
  <c r="D1012" i="12" s="1"/>
  <c r="D1057" i="12" s="1"/>
  <c r="B491" i="12"/>
  <c r="B404" i="12"/>
  <c r="B320" i="12"/>
  <c r="B362" i="12" s="1"/>
  <c r="B1014" i="12" s="1"/>
  <c r="B1059" i="12" s="1"/>
  <c r="E330" i="12"/>
  <c r="E372" i="12" s="1"/>
  <c r="E1024" i="12" s="1"/>
  <c r="E1069" i="12" s="1"/>
  <c r="E501" i="12"/>
  <c r="B1337" i="12"/>
  <c r="B1577" i="12" s="1"/>
  <c r="B1817" i="12" s="1"/>
  <c r="B1096" i="12"/>
  <c r="D1342" i="12"/>
  <c r="D1101" i="12"/>
  <c r="B1348" i="12"/>
  <c r="B1588" i="12" s="1"/>
  <c r="B1828" i="12" s="1"/>
  <c r="B1107" i="12"/>
  <c r="C328" i="12"/>
  <c r="C370" i="12" s="1"/>
  <c r="C1022" i="12" s="1"/>
  <c r="C1067" i="12" s="1"/>
  <c r="D1344" i="12"/>
  <c r="D1103" i="12"/>
  <c r="D1558" i="12"/>
  <c r="D1798" i="12" s="1"/>
  <c r="E1559" i="12"/>
  <c r="E1799" i="12" s="1"/>
  <c r="E1485" i="12"/>
  <c r="E1725" i="12" s="1"/>
  <c r="D1340" i="12"/>
  <c r="D1099" i="12"/>
  <c r="B482" i="12"/>
  <c r="E1464" i="12"/>
  <c r="E1704" i="12" s="1"/>
  <c r="C1346" i="12"/>
  <c r="C1586" i="12" s="1"/>
  <c r="C1826" i="12" s="1"/>
  <c r="C1105" i="12"/>
  <c r="C1354" i="12"/>
  <c r="C1594" i="12" s="1"/>
  <c r="C1834" i="12" s="1"/>
  <c r="C1113" i="12"/>
  <c r="D1527" i="12"/>
  <c r="D1767" i="12" s="1"/>
  <c r="E1090" i="12"/>
  <c r="E1101" i="12"/>
  <c r="C1103" i="12"/>
  <c r="B1143" i="12"/>
  <c r="D1461" i="12"/>
  <c r="D1701" i="12" s="1"/>
  <c r="E1116" i="12"/>
  <c r="C499" i="12"/>
  <c r="E342" i="12"/>
  <c r="E384" i="12" s="1"/>
  <c r="E1036" i="12" s="1"/>
  <c r="E1081" i="12" s="1"/>
  <c r="D1537" i="12"/>
  <c r="D1777" i="12" s="1"/>
  <c r="D1557" i="12"/>
  <c r="D1797" i="12" s="1"/>
  <c r="E511" i="12"/>
  <c r="E340" i="12"/>
  <c r="E382" i="12" s="1"/>
  <c r="E1034" i="12" s="1"/>
  <c r="E1079" i="12" s="1"/>
  <c r="E1347" i="12"/>
  <c r="V1347" i="12" s="1"/>
  <c r="E1106" i="12"/>
  <c r="B1146" i="12"/>
  <c r="B1387" i="12"/>
  <c r="B1627" i="12" s="1"/>
  <c r="B1867" i="12" s="1"/>
  <c r="D1338" i="12"/>
  <c r="D1097" i="12"/>
  <c r="B1346" i="12"/>
  <c r="B1586" i="12" s="1"/>
  <c r="B1826" i="12" s="1"/>
  <c r="B1105" i="12"/>
  <c r="B1350" i="12"/>
  <c r="B1590" i="12" s="1"/>
  <c r="B1830" i="12" s="1"/>
  <c r="B1109" i="12"/>
  <c r="E1597" i="12"/>
  <c r="E1837" i="12" s="1"/>
  <c r="D413" i="12"/>
  <c r="E424" i="12"/>
  <c r="D1575" i="12"/>
  <c r="D1815" i="12" s="1"/>
  <c r="C1377" i="12"/>
  <c r="C1136" i="12"/>
  <c r="E1378" i="12"/>
  <c r="E1137" i="12"/>
  <c r="E1385" i="12"/>
  <c r="E1144" i="12"/>
  <c r="D1094" i="12"/>
  <c r="B1233" i="12"/>
  <c r="B1473" i="12" s="1"/>
  <c r="B1713" i="12" s="1"/>
  <c r="D1534" i="12"/>
  <c r="D1774" i="12" s="1"/>
  <c r="C496" i="12"/>
  <c r="B480" i="12"/>
  <c r="B309" i="12"/>
  <c r="B351" i="12" s="1"/>
  <c r="B1003" i="12" s="1"/>
  <c r="B1048" i="12" s="1"/>
  <c r="D396" i="12"/>
  <c r="D483" i="12"/>
  <c r="C485" i="12"/>
  <c r="C398" i="12"/>
  <c r="D506" i="12"/>
  <c r="D335" i="12"/>
  <c r="D377" i="12" s="1"/>
  <c r="D1029" i="12" s="1"/>
  <c r="D1074" i="12" s="1"/>
  <c r="D419" i="12"/>
  <c r="B508" i="12"/>
  <c r="B337" i="12"/>
  <c r="B379" i="12" s="1"/>
  <c r="B1031" i="12" s="1"/>
  <c r="B1076" i="12" s="1"/>
  <c r="B421" i="12"/>
  <c r="C426" i="12"/>
  <c r="C513" i="12"/>
  <c r="D1550" i="12"/>
  <c r="D1790" i="12" s="1"/>
  <c r="C503" i="12"/>
  <c r="C332" i="12"/>
  <c r="C374" i="12" s="1"/>
  <c r="C1026" i="12" s="1"/>
  <c r="C1071" i="12" s="1"/>
  <c r="E1497" i="12"/>
  <c r="E1737" i="12" s="1"/>
  <c r="D1591" i="12"/>
  <c r="D1831" i="12" s="1"/>
  <c r="C1375" i="12"/>
  <c r="C1134" i="12"/>
  <c r="E1467" i="12"/>
  <c r="E1707" i="12" s="1"/>
  <c r="E1359" i="12"/>
  <c r="E1118" i="12"/>
  <c r="B1112" i="12"/>
  <c r="E307" i="12"/>
  <c r="E349" i="12" s="1"/>
  <c r="E1001" i="12" s="1"/>
  <c r="D1110" i="12"/>
  <c r="D1466" i="12"/>
  <c r="D1706" i="12" s="1"/>
  <c r="D1092" i="12"/>
  <c r="C1115" i="12"/>
  <c r="E1114" i="12"/>
  <c r="D1542" i="12"/>
  <c r="D1782" i="12" s="1"/>
  <c r="C325" i="12"/>
  <c r="C367" i="12" s="1"/>
  <c r="C1019" i="12" s="1"/>
  <c r="C1064" i="12" s="1"/>
  <c r="C480" i="12"/>
  <c r="C393" i="12"/>
  <c r="E490" i="12"/>
  <c r="E403" i="12"/>
  <c r="E319" i="12"/>
  <c r="E361" i="12" s="1"/>
  <c r="E1013" i="12" s="1"/>
  <c r="E1058" i="12" s="1"/>
  <c r="B496" i="12"/>
  <c r="B409" i="12"/>
  <c r="D497" i="12"/>
  <c r="D410" i="12"/>
  <c r="D326" i="12"/>
  <c r="D368" i="12" s="1"/>
  <c r="D1020" i="12" s="1"/>
  <c r="D1065" i="12" s="1"/>
  <c r="C413" i="12"/>
  <c r="C329" i="12"/>
  <c r="C371" i="12" s="1"/>
  <c r="C1023" i="12" s="1"/>
  <c r="C1068" i="12" s="1"/>
  <c r="C500" i="12"/>
  <c r="E414" i="12"/>
  <c r="C416" i="12"/>
  <c r="D505" i="12"/>
  <c r="D334" i="12"/>
  <c r="D376" i="12" s="1"/>
  <c r="D1028" i="12" s="1"/>
  <c r="D1073" i="12" s="1"/>
  <c r="C508" i="12"/>
  <c r="C337" i="12"/>
  <c r="C379" i="12" s="1"/>
  <c r="C1031" i="12" s="1"/>
  <c r="C1076" i="12" s="1"/>
  <c r="C421" i="12"/>
  <c r="D513" i="12"/>
  <c r="D342" i="12"/>
  <c r="D384" i="12" s="1"/>
  <c r="D1036" i="12" s="1"/>
  <c r="D1081" i="12" s="1"/>
  <c r="D1107" i="12"/>
  <c r="D412" i="12"/>
  <c r="D328" i="12"/>
  <c r="D370" i="12" s="1"/>
  <c r="D1022" i="12" s="1"/>
  <c r="D1067" i="12" s="1"/>
  <c r="D1515" i="12"/>
  <c r="D1755" i="12" s="1"/>
  <c r="E1105" i="12"/>
  <c r="C1098" i="12"/>
  <c r="D407" i="12"/>
  <c r="B498" i="12"/>
  <c r="D1553" i="12"/>
  <c r="D1793" i="12" s="1"/>
  <c r="B414" i="12"/>
  <c r="E413" i="12"/>
  <c r="E419" i="12"/>
  <c r="D322" i="12"/>
  <c r="D364" i="12" s="1"/>
  <c r="D1016" i="12" s="1"/>
  <c r="D1061" i="12" s="1"/>
  <c r="D406" i="12"/>
  <c r="D1548" i="12"/>
  <c r="D1788" i="12" s="1"/>
  <c r="C1112" i="12"/>
  <c r="D332" i="12"/>
  <c r="D374" i="12" s="1"/>
  <c r="D1026" i="12" s="1"/>
  <c r="D1071" i="12" s="1"/>
  <c r="D416" i="12"/>
  <c r="D1517" i="12"/>
  <c r="D1757" i="12" s="1"/>
  <c r="D1586" i="12"/>
  <c r="D1826" i="12" s="1"/>
  <c r="B1135" i="12"/>
  <c r="E410" i="12"/>
  <c r="C482" i="12"/>
  <c r="E484" i="12"/>
  <c r="E313" i="12"/>
  <c r="E355" i="12" s="1"/>
  <c r="E1007" i="12" s="1"/>
  <c r="E1052" i="12" s="1"/>
  <c r="E512" i="12"/>
  <c r="E341" i="12"/>
  <c r="E383" i="12" s="1"/>
  <c r="E1035" i="12" s="1"/>
  <c r="E1080" i="12" s="1"/>
  <c r="E400" i="12"/>
  <c r="E316" i="12"/>
  <c r="E358" i="12" s="1"/>
  <c r="E1010" i="12" s="1"/>
  <c r="E1055" i="12" s="1"/>
  <c r="D1354" i="12"/>
  <c r="D1113" i="12"/>
  <c r="D1109" i="12"/>
  <c r="C491" i="12"/>
  <c r="D491" i="12"/>
  <c r="D404" i="12"/>
  <c r="C493" i="12"/>
  <c r="C322" i="12"/>
  <c r="C364" i="12" s="1"/>
  <c r="C1016" i="12" s="1"/>
  <c r="C1061" i="12" s="1"/>
  <c r="C406" i="12"/>
  <c r="E494" i="12"/>
  <c r="E407" i="12"/>
  <c r="C1235" i="12"/>
  <c r="C1475" i="12" s="1"/>
  <c r="C1715" i="12" s="1"/>
  <c r="C994" i="12"/>
  <c r="E1146" i="12"/>
  <c r="D417" i="12"/>
  <c r="D1536" i="12"/>
  <c r="D1776" i="12" s="1"/>
  <c r="C311" i="12"/>
  <c r="C353" i="12" s="1"/>
  <c r="C1005" i="12" s="1"/>
  <c r="C1050" i="12" s="1"/>
  <c r="B1098" i="12"/>
  <c r="D1105" i="12"/>
  <c r="E397" i="12"/>
  <c r="B429" i="12"/>
  <c r="E337" i="12"/>
  <c r="E379" i="12" s="1"/>
  <c r="E1031" i="12" s="1"/>
  <c r="E1076" i="12" s="1"/>
  <c r="D320" i="12"/>
  <c r="D362" i="12" s="1"/>
  <c r="D1014" i="12" s="1"/>
  <c r="D1059" i="12" s="1"/>
  <c r="E427" i="12"/>
  <c r="E514" i="12"/>
  <c r="E343" i="12"/>
  <c r="E385" i="12" s="1"/>
  <c r="E1037" i="12" s="1"/>
  <c r="E1082" i="12" s="1"/>
  <c r="D408" i="12"/>
  <c r="C402" i="12"/>
  <c r="D487" i="12"/>
  <c r="D515" i="12"/>
  <c r="D479" i="12"/>
  <c r="D308" i="12"/>
  <c r="D350" i="12" s="1"/>
  <c r="D1002" i="12" s="1"/>
  <c r="D1047" i="12" s="1"/>
  <c r="D484" i="12"/>
  <c r="D313" i="12"/>
  <c r="D355" i="12" s="1"/>
  <c r="D1007" i="12" s="1"/>
  <c r="D1052" i="12" s="1"/>
  <c r="E1486" i="12"/>
  <c r="E1726" i="12" s="1"/>
  <c r="D1448" i="12"/>
  <c r="D1688" i="12" s="1"/>
  <c r="E1462" i="12"/>
  <c r="E1702" i="12" s="1"/>
  <c r="E1489" i="12"/>
  <c r="E1729" i="12" s="1"/>
  <c r="E1493" i="12"/>
  <c r="E1733" i="12" s="1"/>
  <c r="E1496" i="12"/>
  <c r="E1736" i="12" s="1"/>
  <c r="D1467" i="12"/>
  <c r="D1707" i="12" s="1"/>
  <c r="D1475" i="12"/>
  <c r="D1715" i="12" s="1"/>
  <c r="E1498" i="12"/>
  <c r="E1738" i="12" s="1"/>
  <c r="E1528" i="12"/>
  <c r="E1768" i="12" s="1"/>
  <c r="D1530" i="12"/>
  <c r="D1770" i="12" s="1"/>
  <c r="D1531" i="12"/>
  <c r="D1771" i="12" s="1"/>
  <c r="D1533" i="12"/>
  <c r="D1773" i="12" s="1"/>
  <c r="D1490" i="12"/>
  <c r="D1730" i="12" s="1"/>
  <c r="D1492" i="12"/>
  <c r="D1732" i="12" s="1"/>
  <c r="E1563" i="12"/>
  <c r="E1803" i="12" s="1"/>
  <c r="D1431" i="12"/>
  <c r="D1671" i="12" s="1"/>
  <c r="E1539" i="12"/>
  <c r="E1779" i="12" s="1"/>
  <c r="E1543" i="12"/>
  <c r="E1783" i="12" s="1"/>
  <c r="E1555" i="12"/>
  <c r="E1795" i="12" s="1"/>
  <c r="E1595" i="12"/>
  <c r="E1835" i="12" s="1"/>
  <c r="E1538" i="12"/>
  <c r="E1778" i="12" s="1"/>
  <c r="D1482" i="12"/>
  <c r="D1722" i="12" s="1"/>
  <c r="D1556" i="12"/>
  <c r="D1796" i="12" s="1"/>
  <c r="E1572" i="12"/>
  <c r="E1812" i="12" s="1"/>
  <c r="E1574" i="12"/>
  <c r="E1814" i="12" s="1"/>
  <c r="E1581" i="12"/>
  <c r="E1821" i="12" s="1"/>
  <c r="E1545" i="12"/>
  <c r="E1785" i="12" s="1"/>
  <c r="D1485" i="12"/>
  <c r="D1725" i="12" s="1"/>
  <c r="E1459" i="12"/>
  <c r="E1699" i="12" s="1"/>
  <c r="E1491" i="12"/>
  <c r="E1731" i="12" s="1"/>
  <c r="D1452" i="12"/>
  <c r="D1692" i="12" s="1"/>
  <c r="D1573" i="12"/>
  <c r="D1813" i="12" s="1"/>
  <c r="E1550" i="12"/>
  <c r="E1790" i="12" s="1"/>
  <c r="E1553" i="12"/>
  <c r="E1793" i="12" s="1"/>
  <c r="E1499" i="12"/>
  <c r="E1739" i="12" s="1"/>
  <c r="E1502" i="12"/>
  <c r="E1742" i="12" s="1"/>
  <c r="S127" i="22"/>
  <c r="L113" i="22"/>
  <c r="L117" i="22" s="1"/>
  <c r="M113" i="22" s="1"/>
  <c r="M117" i="22" s="1"/>
  <c r="N113" i="22" s="1"/>
  <c r="N117" i="22" s="1"/>
  <c r="O113" i="22" s="1"/>
  <c r="O117" i="22" s="1"/>
  <c r="P113" i="22" s="1"/>
  <c r="P117" i="22" s="1"/>
  <c r="Q113" i="22" s="1"/>
  <c r="Q117" i="22" s="1"/>
  <c r="R113" i="22" s="1"/>
  <c r="R117" i="22" s="1"/>
  <c r="T127" i="22"/>
  <c r="L127" i="22"/>
  <c r="M127" i="22"/>
  <c r="U127" i="22"/>
  <c r="N127" i="22"/>
  <c r="K127" i="22"/>
  <c r="C1142" i="20"/>
  <c r="C1149" i="20" s="1"/>
  <c r="C739" i="20"/>
  <c r="C765" i="20"/>
  <c r="C772" i="20" s="1"/>
  <c r="C779" i="20" s="1"/>
  <c r="C786" i="20" s="1"/>
  <c r="C793" i="20" s="1"/>
  <c r="C800" i="20" s="1"/>
  <c r="C807" i="20" s="1"/>
  <c r="C814" i="20" s="1"/>
  <c r="C821" i="20" s="1"/>
  <c r="C828" i="20" s="1"/>
  <c r="C835" i="20" s="1"/>
  <c r="C842" i="20" s="1"/>
  <c r="C849" i="20" s="1"/>
  <c r="C856" i="20" s="1"/>
  <c r="C863" i="20" s="1"/>
  <c r="C870" i="20" s="1"/>
  <c r="C489" i="20"/>
  <c r="C496" i="20" s="1"/>
  <c r="C1064" i="20"/>
  <c r="C679" i="20"/>
  <c r="C1106" i="20"/>
  <c r="C585" i="20"/>
  <c r="C1085" i="20"/>
  <c r="F13" i="9"/>
  <c r="G160" i="20"/>
  <c r="J271" i="10"/>
  <c r="J141" i="16"/>
  <c r="G158" i="20"/>
  <c r="C2202" i="16"/>
  <c r="I461" i="16"/>
  <c r="D1396" i="16"/>
  <c r="D1402" i="16"/>
  <c r="E1403" i="16" s="1"/>
  <c r="F1403" i="16" s="1"/>
  <c r="D1291" i="16"/>
  <c r="D1292" i="16" s="1"/>
  <c r="E158" i="20"/>
  <c r="F158" i="20" s="1"/>
  <c r="C384" i="16"/>
  <c r="C401" i="16" s="1"/>
  <c r="E107" i="20"/>
  <c r="E160" i="20"/>
  <c r="F160" i="20" s="1"/>
  <c r="I459" i="16"/>
  <c r="G108" i="20"/>
  <c r="E161" i="20"/>
  <c r="F161" i="20" s="1"/>
  <c r="E159" i="20"/>
  <c r="F159" i="20" s="1"/>
  <c r="D890" i="16"/>
  <c r="E891" i="16"/>
  <c r="E890" i="16"/>
  <c r="F890" i="16" s="1"/>
  <c r="C892" i="16"/>
  <c r="G105" i="20"/>
  <c r="E104" i="20"/>
  <c r="D880" i="16"/>
  <c r="F879" i="16" s="1"/>
  <c r="D895" i="16"/>
  <c r="D885" i="16"/>
  <c r="F2066" i="16"/>
  <c r="F2080" i="16" s="1"/>
  <c r="F2094" i="16" s="1"/>
  <c r="D1897" i="16"/>
  <c r="E1898" i="16" s="1"/>
  <c r="F1898" i="16" s="1"/>
  <c r="F2059" i="16"/>
  <c r="F2073" i="16" s="1"/>
  <c r="F2087" i="16" s="1"/>
  <c r="E105" i="20"/>
  <c r="F2063" i="16"/>
  <c r="F2077" i="16" s="1"/>
  <c r="F2091" i="16" s="1"/>
  <c r="F2048" i="16"/>
  <c r="B1850" i="16"/>
  <c r="G104" i="20"/>
  <c r="C2201" i="16"/>
  <c r="C86" i="20"/>
  <c r="G577" i="20" s="1"/>
  <c r="I577" i="20" s="1"/>
  <c r="B363" i="16"/>
  <c r="B384" i="16" s="1"/>
  <c r="B401" i="16" s="1"/>
  <c r="E157" i="20"/>
  <c r="F157" i="20" s="1"/>
  <c r="B511" i="16"/>
  <c r="B558" i="16" s="1"/>
  <c r="B512" i="16"/>
  <c r="B559" i="16" s="1"/>
  <c r="B2202" i="16"/>
  <c r="B2155" i="16"/>
  <c r="B107" i="20"/>
  <c r="B705" i="20" s="1"/>
  <c r="E694" i="16"/>
  <c r="C242" i="20" s="1"/>
  <c r="B2201" i="16"/>
  <c r="E671" i="16"/>
  <c r="C219" i="20" s="1"/>
  <c r="E1437" i="16"/>
  <c r="D1437" i="16" s="1"/>
  <c r="G1505" i="16"/>
  <c r="G107" i="20"/>
  <c r="B1890" i="16"/>
  <c r="E1285" i="16"/>
  <c r="F1285" i="16" s="1"/>
  <c r="D1285" i="16"/>
  <c r="F2052" i="16"/>
  <c r="D476" i="20"/>
  <c r="E476" i="20" s="1"/>
  <c r="E1397" i="16"/>
  <c r="D1397" i="16" s="1"/>
  <c r="F2045" i="16"/>
  <c r="C386" i="16"/>
  <c r="C403" i="16" s="1"/>
  <c r="B1284" i="16"/>
  <c r="X265" i="16"/>
  <c r="X53" i="20" s="1"/>
  <c r="B1395" i="16"/>
  <c r="F2067" i="16"/>
  <c r="F2081" i="16" s="1"/>
  <c r="F2095" i="16" s="1"/>
  <c r="C73" i="20"/>
  <c r="G469" i="20" s="1"/>
  <c r="G157" i="20"/>
  <c r="C2155" i="16"/>
  <c r="F2064" i="16"/>
  <c r="F2078" i="16" s="1"/>
  <c r="F2092" i="16" s="1"/>
  <c r="E697" i="16"/>
  <c r="C245" i="20" s="1"/>
  <c r="E1560" i="16"/>
  <c r="D1560" i="16" s="1"/>
  <c r="E108" i="20"/>
  <c r="B158" i="20"/>
  <c r="B1010" i="20" s="1"/>
  <c r="G1838" i="16"/>
  <c r="E689" i="16"/>
  <c r="C237" i="20" s="1"/>
  <c r="F2047" i="16"/>
  <c r="W265" i="16"/>
  <c r="W53" i="20" s="1"/>
  <c r="D1565" i="16"/>
  <c r="D1864" i="16"/>
  <c r="B509" i="16"/>
  <c r="B556" i="16" s="1"/>
  <c r="B1558" i="16"/>
  <c r="B1857" i="16"/>
  <c r="B510" i="16"/>
  <c r="B557" i="16" s="1"/>
  <c r="E673" i="16"/>
  <c r="C221" i="20" s="1"/>
  <c r="B2199" i="16"/>
  <c r="E1132" i="16"/>
  <c r="F1132" i="16" s="1"/>
  <c r="I458" i="16"/>
  <c r="B1524" i="16"/>
  <c r="D1531" i="16"/>
  <c r="E1532" i="16" s="1"/>
  <c r="F1532" i="16" s="1"/>
  <c r="I460" i="16"/>
  <c r="B2156" i="16"/>
  <c r="F2049" i="16"/>
  <c r="B108" i="20"/>
  <c r="B712" i="20" s="1"/>
  <c r="D1972" i="16"/>
  <c r="C2153" i="16"/>
  <c r="C385" i="16"/>
  <c r="C402" i="16" s="1"/>
  <c r="I462" i="16"/>
  <c r="G161" i="20"/>
  <c r="B2203" i="16"/>
  <c r="B513" i="16"/>
  <c r="B560" i="16" s="1"/>
  <c r="B161" i="20"/>
  <c r="B1031" i="20" s="1"/>
  <c r="E106" i="20"/>
  <c r="G106" i="20"/>
  <c r="G159" i="20"/>
  <c r="S561" i="16"/>
  <c r="S165" i="20" s="1"/>
  <c r="C198" i="20"/>
  <c r="B364" i="16"/>
  <c r="B1517" i="16"/>
  <c r="B386" i="16"/>
  <c r="B403" i="16" s="1"/>
  <c r="B106" i="20"/>
  <c r="B698" i="20" s="1"/>
  <c r="C180" i="20"/>
  <c r="D1443" i="16"/>
  <c r="B1442" i="16"/>
  <c r="D1449" i="16"/>
  <c r="E1443" i="16"/>
  <c r="F1443" i="16" s="1"/>
  <c r="E1444" i="16"/>
  <c r="D1444" i="16" s="1"/>
  <c r="D1436" i="16"/>
  <c r="B1435" i="16"/>
  <c r="E1436" i="16"/>
  <c r="F1436" i="16" s="1"/>
  <c r="C2203" i="16"/>
  <c r="C513" i="16"/>
  <c r="C560" i="16" s="1"/>
  <c r="T322" i="16"/>
  <c r="T76" i="20" s="1"/>
  <c r="D1546" i="12"/>
  <c r="D1786" i="12" s="1"/>
  <c r="E1474" i="12"/>
  <c r="E1714" i="12" s="1"/>
  <c r="D1454" i="12"/>
  <c r="D1694" i="12" s="1"/>
  <c r="D1565" i="12"/>
  <c r="D1805" i="12" s="1"/>
  <c r="E1551" i="12"/>
  <c r="E1791" i="12" s="1"/>
  <c r="E1436" i="12"/>
  <c r="E1676" i="12" s="1"/>
  <c r="D1453" i="12"/>
  <c r="D1693" i="12" s="1"/>
  <c r="D1539" i="12"/>
  <c r="D1779" i="12" s="1"/>
  <c r="D1507" i="12"/>
  <c r="D1747" i="12" s="1"/>
  <c r="D1509" i="12"/>
  <c r="D1749" i="12" s="1"/>
  <c r="D1572" i="12"/>
  <c r="D1812" i="12" s="1"/>
  <c r="V265" i="16"/>
  <c r="V53" i="20" s="1"/>
  <c r="E1133" i="16"/>
  <c r="D1133" i="16" s="1"/>
  <c r="D1138" i="16"/>
  <c r="D1145" i="16" s="1"/>
  <c r="D713" i="20"/>
  <c r="E713" i="20" s="1"/>
  <c r="D1525" i="16"/>
  <c r="E1525" i="16"/>
  <c r="F1525" i="16" s="1"/>
  <c r="V406" i="16"/>
  <c r="V112" i="20" s="1"/>
  <c r="G86" i="20"/>
  <c r="D145" i="8"/>
  <c r="L612" i="16"/>
  <c r="L183" i="20" s="1"/>
  <c r="U561" i="16"/>
  <c r="U165" i="20" s="1"/>
  <c r="Q561" i="16"/>
  <c r="Q165" i="20" s="1"/>
  <c r="V612" i="16"/>
  <c r="V183" i="20" s="1"/>
  <c r="Q654" i="16"/>
  <c r="Q201" i="20" s="1"/>
  <c r="D147" i="8"/>
  <c r="W654" i="16"/>
  <c r="W201" i="20" s="1"/>
  <c r="W561" i="16"/>
  <c r="W165" i="20" s="1"/>
  <c r="T612" i="16"/>
  <c r="T183" i="20" s="1"/>
  <c r="D144" i="8"/>
  <c r="C182" i="8"/>
  <c r="D151" i="8"/>
  <c r="D149" i="8"/>
  <c r="D148" i="8"/>
  <c r="X561" i="16"/>
  <c r="X165" i="20" s="1"/>
  <c r="U349" i="16"/>
  <c r="U89" i="20" s="1"/>
  <c r="K349" i="16"/>
  <c r="K89" i="20" s="1"/>
  <c r="V654" i="16"/>
  <c r="V201" i="20" s="1"/>
  <c r="P349" i="16"/>
  <c r="P89" i="20" s="1"/>
  <c r="R349" i="16"/>
  <c r="R89" i="20" s="1"/>
  <c r="U322" i="16"/>
  <c r="U76" i="20" s="1"/>
  <c r="L406" i="16"/>
  <c r="L112" i="20" s="1"/>
  <c r="T406" i="16"/>
  <c r="T112" i="20" s="1"/>
  <c r="Q406" i="16"/>
  <c r="Q112" i="20" s="1"/>
  <c r="R561" i="16"/>
  <c r="R165" i="20" s="1"/>
  <c r="L561" i="16"/>
  <c r="L165" i="20" s="1"/>
  <c r="R654" i="16"/>
  <c r="R201" i="20" s="1"/>
  <c r="L654" i="16"/>
  <c r="L201" i="20" s="1"/>
  <c r="X654" i="16"/>
  <c r="X201" i="20" s="1"/>
  <c r="S612" i="16"/>
  <c r="S183" i="20" s="1"/>
  <c r="P654" i="16"/>
  <c r="P201" i="20" s="1"/>
  <c r="Q322" i="16"/>
  <c r="Q76" i="20" s="1"/>
  <c r="V349" i="16"/>
  <c r="V89" i="20" s="1"/>
  <c r="T654" i="16"/>
  <c r="T201" i="20" s="1"/>
  <c r="G198" i="20"/>
  <c r="V561" i="16"/>
  <c r="V165" i="20" s="1"/>
  <c r="S349" i="16"/>
  <c r="S89" i="20" s="1"/>
  <c r="Q612" i="16"/>
  <c r="Q183" i="20" s="1"/>
  <c r="Q349" i="16"/>
  <c r="Q89" i="20" s="1"/>
  <c r="U612" i="16"/>
  <c r="U183" i="20" s="1"/>
  <c r="M406" i="16"/>
  <c r="M112" i="20" s="1"/>
  <c r="W322" i="16"/>
  <c r="W76" i="20" s="1"/>
  <c r="V322" i="16"/>
  <c r="V76" i="20" s="1"/>
  <c r="T561" i="16"/>
  <c r="T165" i="20" s="1"/>
  <c r="S322" i="16"/>
  <c r="S76" i="20" s="1"/>
  <c r="J93" i="10"/>
  <c r="N406" i="16"/>
  <c r="N112" i="20" s="1"/>
  <c r="W612" i="16"/>
  <c r="W183" i="20" s="1"/>
  <c r="N349" i="16"/>
  <c r="N89" i="20" s="1"/>
  <c r="K612" i="16"/>
  <c r="K183" i="20" s="1"/>
  <c r="M349" i="16"/>
  <c r="M89" i="20" s="1"/>
  <c r="N654" i="16"/>
  <c r="N201" i="20" s="1"/>
  <c r="P322" i="16"/>
  <c r="P76" i="20" s="1"/>
  <c r="X322" i="16"/>
  <c r="X76" i="20" s="1"/>
  <c r="X349" i="16"/>
  <c r="X89" i="20" s="1"/>
  <c r="R612" i="16"/>
  <c r="R183" i="20" s="1"/>
  <c r="X612" i="16"/>
  <c r="X183" i="20" s="1"/>
  <c r="K654" i="16"/>
  <c r="K201" i="20" s="1"/>
  <c r="U654" i="16"/>
  <c r="U201" i="20" s="1"/>
  <c r="P612" i="16"/>
  <c r="P183" i="20" s="1"/>
  <c r="O349" i="16"/>
  <c r="O89" i="20" s="1"/>
  <c r="O406" i="16"/>
  <c r="O112" i="20" s="1"/>
  <c r="O654" i="16"/>
  <c r="O201" i="20" s="1"/>
  <c r="N612" i="16"/>
  <c r="N183" i="20" s="1"/>
  <c r="R322" i="16"/>
  <c r="R76" i="20" s="1"/>
  <c r="L349" i="16"/>
  <c r="L89" i="20" s="1"/>
  <c r="W349" i="16"/>
  <c r="W89" i="20" s="1"/>
  <c r="K406" i="16"/>
  <c r="K112" i="20" s="1"/>
  <c r="S406" i="16"/>
  <c r="S112" i="20" s="1"/>
  <c r="P406" i="16"/>
  <c r="P112" i="20" s="1"/>
  <c r="X406" i="16"/>
  <c r="X112" i="20" s="1"/>
  <c r="U406" i="16"/>
  <c r="U112" i="20" s="1"/>
  <c r="R406" i="16"/>
  <c r="R112" i="20" s="1"/>
  <c r="W406" i="16"/>
  <c r="W112" i="20" s="1"/>
  <c r="K561" i="16"/>
  <c r="K165" i="20" s="1"/>
  <c r="S654" i="16"/>
  <c r="S201" i="20" s="1"/>
  <c r="K232" i="11"/>
  <c r="T349" i="16"/>
  <c r="T89" i="20" s="1"/>
  <c r="N561" i="16"/>
  <c r="N165" i="20" s="1"/>
  <c r="M561" i="16"/>
  <c r="M165" i="20" s="1"/>
  <c r="P561" i="16"/>
  <c r="P165" i="20" s="1"/>
  <c r="O561" i="16"/>
  <c r="O165" i="20" s="1"/>
  <c r="M654" i="16"/>
  <c r="M201" i="20" s="1"/>
  <c r="G73" i="20"/>
  <c r="O612" i="16"/>
  <c r="O183" i="20" s="1"/>
  <c r="M612" i="16"/>
  <c r="M183" i="20" s="1"/>
  <c r="H14" i="8"/>
  <c r="J19" i="8"/>
  <c r="J20" i="8" s="1"/>
  <c r="I348" i="10"/>
  <c r="D150" i="8"/>
  <c r="D143" i="8"/>
  <c r="J88" i="10"/>
  <c r="J46" i="18" s="1"/>
  <c r="J51" i="18" s="1"/>
  <c r="J12" i="11"/>
  <c r="J124" i="11" s="1"/>
  <c r="J77" i="10"/>
  <c r="J40" i="10"/>
  <c r="J328" i="10" s="1"/>
  <c r="J363" i="10"/>
  <c r="J22" i="10"/>
  <c r="J310" i="10" s="1"/>
  <c r="J334" i="10"/>
  <c r="J26" i="10"/>
  <c r="J314" i="10" s="1"/>
  <c r="J41" i="10"/>
  <c r="J329" i="10" s="1"/>
  <c r="J75" i="10"/>
  <c r="J12" i="16"/>
  <c r="J30" i="10"/>
  <c r="J318" i="10" s="1"/>
  <c r="J63" i="10"/>
  <c r="J351" i="10" s="1"/>
  <c r="J38" i="10"/>
  <c r="J326" i="10" s="1"/>
  <c r="J87" i="10"/>
  <c r="J46" i="10"/>
  <c r="J49" i="10"/>
  <c r="J79" i="10"/>
  <c r="J366" i="10" s="1"/>
  <c r="J98" i="10"/>
  <c r="J393" i="10"/>
  <c r="J12" i="20"/>
  <c r="J44" i="18"/>
  <c r="J116" i="18"/>
  <c r="J61" i="10"/>
  <c r="J349" i="10" s="1"/>
  <c r="J58" i="10"/>
  <c r="J346" i="10" s="1"/>
  <c r="J50" i="10"/>
  <c r="J338" i="10" s="1"/>
  <c r="J52" i="10"/>
  <c r="J340" i="10" s="1"/>
  <c r="J56" i="10"/>
  <c r="J344" i="10" s="1"/>
  <c r="J83" i="10"/>
  <c r="J156" i="10"/>
  <c r="J404" i="10"/>
  <c r="J12" i="18"/>
  <c r="J18" i="10"/>
  <c r="J306" i="10" s="1"/>
  <c r="J12" i="10"/>
  <c r="J19" i="10"/>
  <c r="J307" i="10" s="1"/>
  <c r="J16" i="10"/>
  <c r="J57" i="10"/>
  <c r="J345" i="10" s="1"/>
  <c r="J55" i="10"/>
  <c r="J343" i="10" s="1"/>
  <c r="J60" i="10"/>
  <c r="J348" i="10" s="1"/>
  <c r="J86" i="10"/>
  <c r="J219" i="10"/>
  <c r="J413" i="10"/>
  <c r="J63" i="18"/>
  <c r="J29" i="18"/>
  <c r="J34" i="10"/>
  <c r="J322" i="10" s="1"/>
  <c r="J23" i="10"/>
  <c r="J311" i="10" s="1"/>
  <c r="J59" i="10"/>
  <c r="J347" i="10" s="1"/>
  <c r="J62" i="10"/>
  <c r="J350" i="10" s="1"/>
  <c r="J89" i="10"/>
  <c r="J190" i="10"/>
  <c r="I28" i="8"/>
  <c r="J32" i="8"/>
  <c r="J31" i="8" s="1"/>
  <c r="J83" i="18"/>
  <c r="J12" i="22"/>
  <c r="J25" i="10"/>
  <c r="J313" i="10" s="1"/>
  <c r="J27" i="10"/>
  <c r="J315" i="10" s="1"/>
  <c r="J24" i="10"/>
  <c r="J312" i="10" s="1"/>
  <c r="J72" i="10"/>
  <c r="J360" i="10" s="1"/>
  <c r="J66" i="10"/>
  <c r="J64" i="10"/>
  <c r="J352" i="10" s="1"/>
  <c r="J92" i="10"/>
  <c r="J385" i="10"/>
  <c r="J12" i="12"/>
  <c r="J114" i="12" s="1"/>
  <c r="J206" i="12" s="1"/>
  <c r="J74" i="18"/>
  <c r="J21" i="10"/>
  <c r="J309" i="10" s="1"/>
  <c r="J51" i="10"/>
  <c r="J339" i="10" s="1"/>
  <c r="J31" i="10"/>
  <c r="J319" i="10" s="1"/>
  <c r="J28" i="10"/>
  <c r="J316" i="10" s="1"/>
  <c r="J36" i="10"/>
  <c r="J324" i="10" s="1"/>
  <c r="J70" i="10"/>
  <c r="K27" i="22" s="1"/>
  <c r="K29" i="22" s="1"/>
  <c r="K105" i="11" s="1"/>
  <c r="J127" i="10"/>
  <c r="J242" i="10"/>
  <c r="F11" i="9"/>
  <c r="J96" i="18"/>
  <c r="J107" i="18"/>
  <c r="J17" i="10"/>
  <c r="J305" i="10" s="1"/>
  <c r="J35" i="10"/>
  <c r="J323" i="10" s="1"/>
  <c r="J32" i="10"/>
  <c r="J320" i="10" s="1"/>
  <c r="J80" i="10"/>
  <c r="J367" i="10" s="1"/>
  <c r="J85" i="10"/>
  <c r="J71" i="10"/>
  <c r="J300" i="10"/>
  <c r="C332" i="20"/>
  <c r="C339" i="20" s="1"/>
  <c r="C326" i="20"/>
  <c r="F31" i="20"/>
  <c r="E693" i="16"/>
  <c r="C241" i="20" s="1"/>
  <c r="E685" i="16"/>
  <c r="J2034" i="16"/>
  <c r="J363" i="16"/>
  <c r="J384" i="16" s="1" a="1"/>
  <c r="J384" i="16" s="1"/>
  <c r="J401" i="16" s="1"/>
  <c r="J1500" i="16"/>
  <c r="E675" i="16"/>
  <c r="C223" i="20" s="1"/>
  <c r="E682" i="16"/>
  <c r="C230" i="20" s="1"/>
  <c r="J1501" i="16"/>
  <c r="J720" i="16" a="1"/>
  <c r="J720" i="16" s="1"/>
  <c r="J762" i="16" s="1"/>
  <c r="J1504" i="16"/>
  <c r="J2038" i="16"/>
  <c r="J1834" i="16"/>
  <c r="J459" i="16"/>
  <c r="J2041" i="16"/>
  <c r="J1837" i="16"/>
  <c r="J716" i="16" a="1"/>
  <c r="J716" i="16" s="1"/>
  <c r="J758" i="16" s="1"/>
  <c r="E672" i="16"/>
  <c r="C220" i="20" s="1"/>
  <c r="E690" i="16"/>
  <c r="C238" i="20" s="1"/>
  <c r="J1502" i="16"/>
  <c r="E668" i="16"/>
  <c r="C216" i="20" s="1"/>
  <c r="J2033" i="16"/>
  <c r="J364" i="16"/>
  <c r="J385" i="16" s="1" a="1"/>
  <c r="J385" i="16" s="1"/>
  <c r="J402" i="16" s="1"/>
  <c r="J2032" i="16"/>
  <c r="J704" i="16" a="1"/>
  <c r="J704" i="16" s="1"/>
  <c r="J746" i="16" s="1"/>
  <c r="J727" i="16" a="1"/>
  <c r="J727" i="16" s="1"/>
  <c r="J769" i="16" s="1"/>
  <c r="E683" i="16"/>
  <c r="C231" i="20" s="1"/>
  <c r="J730" i="16" a="1"/>
  <c r="J730" i="16" s="1"/>
  <c r="J772" i="16" s="1"/>
  <c r="E686" i="16"/>
  <c r="C234" i="20" s="1"/>
  <c r="J708" i="16" a="1"/>
  <c r="J708" i="16" s="1"/>
  <c r="J750" i="16" s="1"/>
  <c r="E664" i="16"/>
  <c r="C212" i="20" s="1"/>
  <c r="J723" i="16" a="1"/>
  <c r="J723" i="16" s="1"/>
  <c r="J765" i="16" s="1"/>
  <c r="E679" i="16"/>
  <c r="J731" i="16" a="1"/>
  <c r="J731" i="16" s="1"/>
  <c r="J773" i="16" s="1"/>
  <c r="E687" i="16"/>
  <c r="C235" i="20" s="1"/>
  <c r="J709" i="16" a="1"/>
  <c r="J709" i="16" s="1"/>
  <c r="J751" i="16" s="1"/>
  <c r="E665" i="16"/>
  <c r="C213" i="20" s="1"/>
  <c r="J724" i="16" a="1"/>
  <c r="J724" i="16" s="1"/>
  <c r="J766" i="16" s="1"/>
  <c r="E680" i="16"/>
  <c r="C228" i="20" s="1"/>
  <c r="E688" i="16"/>
  <c r="C236" i="20" s="1"/>
  <c r="J732" i="16" a="1"/>
  <c r="J732" i="16" s="1"/>
  <c r="J774" i="16" s="1"/>
  <c r="E691" i="16"/>
  <c r="C239" i="20" s="1"/>
  <c r="J713" i="16" a="1"/>
  <c r="J713" i="16" s="1"/>
  <c r="J755" i="16" s="1"/>
  <c r="E669" i="16"/>
  <c r="C217" i="20" s="1"/>
  <c r="E678" i="16"/>
  <c r="C226" i="20" s="1"/>
  <c r="J722" i="16" a="1"/>
  <c r="J722" i="16" s="1"/>
  <c r="J764" i="16" s="1"/>
  <c r="J1503" i="16"/>
  <c r="J414" i="16"/>
  <c r="J366" i="16"/>
  <c r="J387" i="16" s="1" a="1"/>
  <c r="J387" i="16" s="1"/>
  <c r="J404" i="16" s="1"/>
  <c r="J2035" i="16"/>
  <c r="J740" i="16" a="1"/>
  <c r="J740" i="16" s="1"/>
  <c r="J782" i="16" s="1"/>
  <c r="E696" i="16"/>
  <c r="C244" i="20" s="1"/>
  <c r="J1835" i="16"/>
  <c r="J2039" i="16"/>
  <c r="J460" i="16"/>
  <c r="E666" i="16"/>
  <c r="C214" i="20" s="1"/>
  <c r="J718" i="16" a="1"/>
  <c r="J718" i="16" s="1"/>
  <c r="J760" i="16" s="1"/>
  <c r="E692" i="16"/>
  <c r="C240" i="20" s="1"/>
  <c r="J728" i="16" a="1"/>
  <c r="J728" i="16" s="1"/>
  <c r="J770" i="16" s="1"/>
  <c r="J739" i="16" a="1"/>
  <c r="J739" i="16" s="1"/>
  <c r="J781" i="16" s="1"/>
  <c r="J365" i="16"/>
  <c r="J386" i="16" s="1" a="1"/>
  <c r="J386" i="16" s="1"/>
  <c r="J403" i="16" s="1"/>
  <c r="J462" i="16"/>
  <c r="J2040" i="16"/>
  <c r="J461" i="16"/>
  <c r="E677" i="16"/>
  <c r="C225" i="20" s="1"/>
  <c r="J706" i="16" a="1"/>
  <c r="J706" i="16" s="1"/>
  <c r="J748" i="16" s="1"/>
  <c r="E674" i="16"/>
  <c r="C222" i="20" s="1"/>
  <c r="J458" i="16"/>
  <c r="J2037" i="16"/>
  <c r="J1833" i="16"/>
  <c r="J2036" i="16"/>
  <c r="E681" i="16"/>
  <c r="C229" i="20" s="1"/>
  <c r="E670" i="16"/>
  <c r="C218" i="20" s="1"/>
  <c r="E394" i="12"/>
  <c r="E481" i="12"/>
  <c r="E310" i="12"/>
  <c r="E352" i="12" s="1"/>
  <c r="E1004" i="12" s="1"/>
  <c r="E1049" i="12" s="1"/>
  <c r="B1136" i="12"/>
  <c r="E482" i="12"/>
  <c r="E311" i="12"/>
  <c r="E353" i="12" s="1"/>
  <c r="E1005" i="12" s="1"/>
  <c r="E1050" i="12" s="1"/>
  <c r="E395" i="12"/>
  <c r="E1488" i="12"/>
  <c r="E1728" i="12" s="1"/>
  <c r="E495" i="12"/>
  <c r="E408" i="12"/>
  <c r="E324" i="12"/>
  <c r="E366" i="12" s="1"/>
  <c r="E1018" i="12" s="1"/>
  <c r="E1063" i="12" s="1"/>
  <c r="D1540" i="12"/>
  <c r="D1780" i="12" s="1"/>
  <c r="D1502" i="12"/>
  <c r="D1742" i="12" s="1"/>
  <c r="D1581" i="12"/>
  <c r="D1821" i="12" s="1"/>
  <c r="C1387" i="12"/>
  <c r="C1146" i="12"/>
  <c r="B339" i="12"/>
  <c r="B381" i="12" s="1"/>
  <c r="B1033" i="12" s="1"/>
  <c r="B1078" i="12" s="1"/>
  <c r="B423" i="12"/>
  <c r="D1501" i="12"/>
  <c r="D1741" i="12" s="1"/>
  <c r="D1596" i="12"/>
  <c r="D1836" i="12" s="1"/>
  <c r="D1576" i="12"/>
  <c r="D1816" i="12" s="1"/>
  <c r="B317" i="12"/>
  <c r="B359" i="12" s="1"/>
  <c r="B1011" i="12" s="1"/>
  <c r="B1056" i="12" s="1"/>
  <c r="B488" i="12"/>
  <c r="B401" i="12"/>
  <c r="D508" i="12"/>
  <c r="D421" i="12"/>
  <c r="C515" i="12"/>
  <c r="C428" i="12"/>
  <c r="B487" i="12"/>
  <c r="B400" i="12"/>
  <c r="E485" i="12"/>
  <c r="E314" i="12"/>
  <c r="E356" i="12" s="1"/>
  <c r="E1008" i="12" s="1"/>
  <c r="E1053" i="12" s="1"/>
  <c r="E398" i="12"/>
  <c r="D411" i="12"/>
  <c r="D498" i="12"/>
  <c r="D327" i="12"/>
  <c r="D369" i="12" s="1"/>
  <c r="D1021" i="12" s="1"/>
  <c r="D1066" i="12" s="1"/>
  <c r="D502" i="12"/>
  <c r="D415" i="12"/>
  <c r="H1278" i="16"/>
  <c r="I1278" i="16" s="1"/>
  <c r="D1425" i="12"/>
  <c r="D1665" i="12" s="1"/>
  <c r="D1280" i="16"/>
  <c r="F1279" i="16" s="1"/>
  <c r="D1424" i="12"/>
  <c r="D1664" i="12" s="1"/>
  <c r="D1391" i="16"/>
  <c r="F1390" i="16" s="1"/>
  <c r="F1430" i="16"/>
  <c r="J337" i="16" a="1"/>
  <c r="J337" i="16" s="1"/>
  <c r="J344" i="16" s="1"/>
  <c r="J374" i="16" a="1"/>
  <c r="J374" i="16" s="1"/>
  <c r="J391" i="16" s="1"/>
  <c r="D1286" i="16"/>
  <c r="D1287" i="16" s="1"/>
  <c r="E363" i="16"/>
  <c r="D104" i="20" s="1"/>
  <c r="E1518" i="16"/>
  <c r="F1518" i="16" s="1"/>
  <c r="E1511" i="16"/>
  <c r="F1511" i="16" s="1"/>
  <c r="D1518" i="16"/>
  <c r="D131" i="8" l="1"/>
  <c r="F131" i="8" s="1"/>
  <c r="I126" i="8"/>
  <c r="E1592" i="12"/>
  <c r="E1832" i="12" s="1"/>
  <c r="C746" i="20"/>
  <c r="C725" i="20"/>
  <c r="U100" i="22"/>
  <c r="T100" i="22"/>
  <c r="S100" i="22"/>
  <c r="W100" i="22"/>
  <c r="E11" i="9"/>
  <c r="E149" i="9" s="1"/>
  <c r="G416" i="10"/>
  <c r="G47" i="10"/>
  <c r="C630" i="20"/>
  <c r="C1071" i="20"/>
  <c r="C616" i="20"/>
  <c r="C732" i="20"/>
  <c r="E1442" i="12"/>
  <c r="E1682" i="12" s="1"/>
  <c r="O1198" i="12"/>
  <c r="V1195" i="12"/>
  <c r="V1331" i="12"/>
  <c r="U1190" i="12"/>
  <c r="K1347" i="12"/>
  <c r="T1352" i="12"/>
  <c r="N1202" i="12"/>
  <c r="L1339" i="12"/>
  <c r="T1345" i="12"/>
  <c r="V1210" i="12"/>
  <c r="M1339" i="12"/>
  <c r="R1197" i="12"/>
  <c r="K1189" i="12"/>
  <c r="R1214" i="12"/>
  <c r="X1198" i="12"/>
  <c r="U1186" i="12"/>
  <c r="R1242" i="12"/>
  <c r="P1197" i="12"/>
  <c r="X1190" i="12"/>
  <c r="V1287" i="12"/>
  <c r="N1214" i="12"/>
  <c r="S1202" i="12"/>
  <c r="W1194" i="12"/>
  <c r="P1186" i="12"/>
  <c r="W1242" i="12"/>
  <c r="W1211" i="12"/>
  <c r="E1583" i="12"/>
  <c r="E1823" i="12" s="1"/>
  <c r="L1192" i="12"/>
  <c r="U1191" i="12"/>
  <c r="X1191" i="12"/>
  <c r="M1200" i="12"/>
  <c r="X1192" i="12"/>
  <c r="W1215" i="12"/>
  <c r="K1343" i="12"/>
  <c r="R1345" i="12"/>
  <c r="X1352" i="12"/>
  <c r="P1200" i="12"/>
  <c r="K1215" i="12"/>
  <c r="T1343" i="12"/>
  <c r="O1187" i="12"/>
  <c r="L1187" i="12"/>
  <c r="K1340" i="12"/>
  <c r="U1340" i="12"/>
  <c r="R1340" i="12"/>
  <c r="V1340" i="12"/>
  <c r="L1340" i="12"/>
  <c r="T1340" i="12"/>
  <c r="Q1340" i="12"/>
  <c r="P1340" i="12"/>
  <c r="X1340" i="12"/>
  <c r="S1340" i="12"/>
  <c r="M1340" i="12"/>
  <c r="W1340" i="12"/>
  <c r="N1340" i="12"/>
  <c r="O1340" i="12"/>
  <c r="D1599" i="12"/>
  <c r="D1839" i="12" s="1"/>
  <c r="S1359" i="12"/>
  <c r="M1359" i="12"/>
  <c r="U1359" i="12"/>
  <c r="K1359" i="12"/>
  <c r="R1359" i="12"/>
  <c r="Q1359" i="12"/>
  <c r="L1359" i="12"/>
  <c r="T1359" i="12"/>
  <c r="N1359" i="12"/>
  <c r="V1359" i="12"/>
  <c r="O1359" i="12"/>
  <c r="P1359" i="12"/>
  <c r="X1359" i="12"/>
  <c r="W1359" i="12"/>
  <c r="D1600" i="12"/>
  <c r="D1840" i="12" s="1"/>
  <c r="Q1360" i="12"/>
  <c r="N1360" i="12"/>
  <c r="R1360" i="12"/>
  <c r="V1360" i="12"/>
  <c r="P1360" i="12"/>
  <c r="M1360" i="12"/>
  <c r="X1360" i="12"/>
  <c r="L1360" i="12"/>
  <c r="U1360" i="12"/>
  <c r="T1360" i="12"/>
  <c r="O1360" i="12"/>
  <c r="W1360" i="12"/>
  <c r="S1360" i="12"/>
  <c r="K1360" i="12"/>
  <c r="L1345" i="12"/>
  <c r="Q1345" i="12"/>
  <c r="R1189" i="12"/>
  <c r="M1189" i="12"/>
  <c r="L1352" i="12"/>
  <c r="O1352" i="12"/>
  <c r="K1214" i="12"/>
  <c r="V1214" i="12"/>
  <c r="K1210" i="12"/>
  <c r="P1202" i="12"/>
  <c r="L1202" i="12"/>
  <c r="R1200" i="12"/>
  <c r="N1200" i="12"/>
  <c r="S1198" i="12"/>
  <c r="N1198" i="12"/>
  <c r="P1194" i="12"/>
  <c r="V1192" i="12"/>
  <c r="S1190" i="12"/>
  <c r="V1190" i="12"/>
  <c r="S1186" i="12"/>
  <c r="Q1186" i="12"/>
  <c r="P1331" i="12"/>
  <c r="L1331" i="12"/>
  <c r="L1242" i="12"/>
  <c r="P1242" i="12"/>
  <c r="R1213" i="12"/>
  <c r="L1213" i="12"/>
  <c r="O1201" i="12"/>
  <c r="S1191" i="12"/>
  <c r="P1287" i="12"/>
  <c r="P1215" i="12"/>
  <c r="M1215" i="12"/>
  <c r="R1195" i="12"/>
  <c r="M1211" i="12"/>
  <c r="P1199" i="12"/>
  <c r="V1187" i="12"/>
  <c r="S1187" i="12"/>
  <c r="K1349" i="12"/>
  <c r="U1349" i="12"/>
  <c r="W1347" i="12"/>
  <c r="N1343" i="12"/>
  <c r="T1339" i="12"/>
  <c r="V1339" i="12"/>
  <c r="K1197" i="12"/>
  <c r="N1197" i="12"/>
  <c r="O1199" i="12"/>
  <c r="W1342" i="12"/>
  <c r="V1342" i="12"/>
  <c r="Q1342" i="12"/>
  <c r="K1342" i="12"/>
  <c r="S1342" i="12"/>
  <c r="P1342" i="12"/>
  <c r="X1342" i="12"/>
  <c r="R1342" i="12"/>
  <c r="O1342" i="12"/>
  <c r="N1342" i="12"/>
  <c r="U1342" i="12"/>
  <c r="L1342" i="12"/>
  <c r="T1342" i="12"/>
  <c r="M1342" i="12"/>
  <c r="D1472" i="12"/>
  <c r="D1712" i="12" s="1"/>
  <c r="R1232" i="12"/>
  <c r="U1232" i="12"/>
  <c r="N1232" i="12"/>
  <c r="K1232" i="12"/>
  <c r="S1232" i="12"/>
  <c r="L1232" i="12"/>
  <c r="M1232" i="12"/>
  <c r="X1232" i="12"/>
  <c r="O1232" i="12"/>
  <c r="T1232" i="12"/>
  <c r="W1232" i="12"/>
  <c r="V1232" i="12"/>
  <c r="Q1232" i="12"/>
  <c r="P1232" i="12"/>
  <c r="W1345" i="12"/>
  <c r="Q1189" i="12"/>
  <c r="M1352" i="12"/>
  <c r="U1352" i="12"/>
  <c r="L1214" i="12"/>
  <c r="T1210" i="12"/>
  <c r="N1210" i="12"/>
  <c r="W1202" i="12"/>
  <c r="M1202" i="12"/>
  <c r="L1200" i="12"/>
  <c r="O1200" i="12"/>
  <c r="K1198" i="12"/>
  <c r="O1194" i="12"/>
  <c r="M1194" i="12"/>
  <c r="K1192" i="12"/>
  <c r="W1192" i="12"/>
  <c r="T1190" i="12"/>
  <c r="N1190" i="12"/>
  <c r="L1186" i="12"/>
  <c r="R1186" i="12"/>
  <c r="N1331" i="12"/>
  <c r="U1242" i="12"/>
  <c r="O1242" i="12"/>
  <c r="W1213" i="12"/>
  <c r="L1201" i="12"/>
  <c r="V1201" i="12"/>
  <c r="W1191" i="12"/>
  <c r="T1191" i="12"/>
  <c r="K1287" i="12"/>
  <c r="N1287" i="12"/>
  <c r="T1215" i="12"/>
  <c r="N1195" i="12"/>
  <c r="W1195" i="12"/>
  <c r="U1211" i="12"/>
  <c r="O1211" i="12"/>
  <c r="N1199" i="12"/>
  <c r="L1199" i="12"/>
  <c r="N1187" i="12"/>
  <c r="U1187" i="12"/>
  <c r="N1349" i="12"/>
  <c r="S1347" i="12"/>
  <c r="O1347" i="12"/>
  <c r="X1343" i="12"/>
  <c r="O1343" i="12"/>
  <c r="O1339" i="12"/>
  <c r="N1339" i="12"/>
  <c r="S1197" i="12"/>
  <c r="W1201" i="12"/>
  <c r="X1345" i="12"/>
  <c r="T1189" i="12"/>
  <c r="O1189" i="12"/>
  <c r="P1352" i="12"/>
  <c r="Q1214" i="12"/>
  <c r="L1210" i="12"/>
  <c r="X1210" i="12"/>
  <c r="R1202" i="12"/>
  <c r="K1202" i="12"/>
  <c r="U1200" i="12"/>
  <c r="M1198" i="12"/>
  <c r="R1194" i="12"/>
  <c r="T1194" i="12"/>
  <c r="S1192" i="12"/>
  <c r="N1192" i="12"/>
  <c r="M1190" i="12"/>
  <c r="P1190" i="12"/>
  <c r="V1186" i="12"/>
  <c r="M1186" i="12"/>
  <c r="O1331" i="12"/>
  <c r="K1331" i="12"/>
  <c r="M1242" i="12"/>
  <c r="V1242" i="12"/>
  <c r="V1213" i="12"/>
  <c r="U1201" i="12"/>
  <c r="Q1201" i="12"/>
  <c r="O1191" i="12"/>
  <c r="M1191" i="12"/>
  <c r="R1287" i="12"/>
  <c r="S1287" i="12"/>
  <c r="L1215" i="12"/>
  <c r="M1195" i="12"/>
  <c r="X1195" i="12"/>
  <c r="T1211" i="12"/>
  <c r="S1211" i="12"/>
  <c r="M1199" i="12"/>
  <c r="K1199" i="12"/>
  <c r="Q1187" i="12"/>
  <c r="M1187" i="12"/>
  <c r="R1349" i="12"/>
  <c r="S1349" i="12"/>
  <c r="T1347" i="12"/>
  <c r="R1347" i="12"/>
  <c r="P1343" i="12"/>
  <c r="L1343" i="12"/>
  <c r="R1339" i="12"/>
  <c r="Q1339" i="12"/>
  <c r="U1197" i="12"/>
  <c r="S1213" i="12"/>
  <c r="V1349" i="12"/>
  <c r="M1234" i="12"/>
  <c r="U1234" i="12"/>
  <c r="V1234" i="12"/>
  <c r="O1234" i="12"/>
  <c r="W1234" i="12"/>
  <c r="P1234" i="12"/>
  <c r="X1234" i="12"/>
  <c r="N1234" i="12"/>
  <c r="T1234" i="12"/>
  <c r="S1234" i="12"/>
  <c r="K1234" i="12"/>
  <c r="Q1234" i="12"/>
  <c r="L1234" i="12"/>
  <c r="R1234" i="12"/>
  <c r="M1345" i="12"/>
  <c r="O1345" i="12"/>
  <c r="L1189" i="12"/>
  <c r="N1189" i="12"/>
  <c r="V1352" i="12"/>
  <c r="T1214" i="12"/>
  <c r="X1214" i="12"/>
  <c r="O1210" i="12"/>
  <c r="M1210" i="12"/>
  <c r="O1202" i="12"/>
  <c r="T1200" i="12"/>
  <c r="T1198" i="12"/>
  <c r="V1198" i="12"/>
  <c r="N1194" i="12"/>
  <c r="V1194" i="12"/>
  <c r="R1192" i="12"/>
  <c r="P1192" i="12"/>
  <c r="L1190" i="12"/>
  <c r="R1190" i="12"/>
  <c r="N1186" i="12"/>
  <c r="Q1331" i="12"/>
  <c r="S1331" i="12"/>
  <c r="T1242" i="12"/>
  <c r="N1242" i="12"/>
  <c r="O1213" i="12"/>
  <c r="N1213" i="12"/>
  <c r="M1201" i="12"/>
  <c r="S1201" i="12"/>
  <c r="Q1191" i="12"/>
  <c r="L1191" i="12"/>
  <c r="Q1287" i="12"/>
  <c r="T1287" i="12"/>
  <c r="V1215" i="12"/>
  <c r="S1215" i="12"/>
  <c r="U1195" i="12"/>
  <c r="O1195" i="12"/>
  <c r="N1211" i="12"/>
  <c r="R1211" i="12"/>
  <c r="Q1199" i="12"/>
  <c r="S1199" i="12"/>
  <c r="K1187" i="12"/>
  <c r="X1187" i="12"/>
  <c r="Q1349" i="12"/>
  <c r="T1349" i="12"/>
  <c r="L1347" i="12"/>
  <c r="X1347" i="12"/>
  <c r="W1343" i="12"/>
  <c r="Q1343" i="12"/>
  <c r="X1339" i="12"/>
  <c r="W1339" i="12"/>
  <c r="Q1197" i="12"/>
  <c r="W1197" i="12"/>
  <c r="V1344" i="12"/>
  <c r="P1344" i="12"/>
  <c r="M1344" i="12"/>
  <c r="X1344" i="12"/>
  <c r="L1344" i="12"/>
  <c r="U1344" i="12"/>
  <c r="T1344" i="12"/>
  <c r="O1344" i="12"/>
  <c r="W1344" i="12"/>
  <c r="Q1344" i="12"/>
  <c r="N1344" i="12"/>
  <c r="S1344" i="12"/>
  <c r="K1344" i="12"/>
  <c r="R1344" i="12"/>
  <c r="V1345" i="12"/>
  <c r="P1345" i="12"/>
  <c r="X1189" i="12"/>
  <c r="U1189" i="12"/>
  <c r="S1352" i="12"/>
  <c r="N1352" i="12"/>
  <c r="U1214" i="12"/>
  <c r="P1214" i="12"/>
  <c r="R1210" i="12"/>
  <c r="P1210" i="12"/>
  <c r="T1202" i="12"/>
  <c r="Q1200" i="12"/>
  <c r="V1200" i="12"/>
  <c r="L1198" i="12"/>
  <c r="P1198" i="12"/>
  <c r="X1194" i="12"/>
  <c r="K1194" i="12"/>
  <c r="M1192" i="12"/>
  <c r="O1192" i="12"/>
  <c r="O1190" i="12"/>
  <c r="Q1190" i="12"/>
  <c r="W1186" i="12"/>
  <c r="U1331" i="12"/>
  <c r="T1331" i="12"/>
  <c r="Q1242" i="12"/>
  <c r="P1213" i="12"/>
  <c r="U1213" i="12"/>
  <c r="N1201" i="12"/>
  <c r="R1201" i="12"/>
  <c r="K1191" i="12"/>
  <c r="V1191" i="12"/>
  <c r="U1287" i="12"/>
  <c r="W1287" i="12"/>
  <c r="N1215" i="12"/>
  <c r="R1215" i="12"/>
  <c r="T1195" i="12"/>
  <c r="Q1195" i="12"/>
  <c r="L1211" i="12"/>
  <c r="Q1211" i="12"/>
  <c r="R1199" i="12"/>
  <c r="U1199" i="12"/>
  <c r="P1187" i="12"/>
  <c r="X1349" i="12"/>
  <c r="W1349" i="12"/>
  <c r="M1347" i="12"/>
  <c r="P1347" i="12"/>
  <c r="M1343" i="12"/>
  <c r="R1343" i="12"/>
  <c r="P1339" i="12"/>
  <c r="T1197" i="12"/>
  <c r="V1197" i="12"/>
  <c r="W1336" i="12"/>
  <c r="Q1336" i="12"/>
  <c r="N1336" i="12"/>
  <c r="V1336" i="12"/>
  <c r="P1336" i="12"/>
  <c r="M1336" i="12"/>
  <c r="X1336" i="12"/>
  <c r="L1336" i="12"/>
  <c r="U1336" i="12"/>
  <c r="T1336" i="12"/>
  <c r="O1336" i="12"/>
  <c r="R1336" i="12"/>
  <c r="S1336" i="12"/>
  <c r="K1336" i="12"/>
  <c r="V1199" i="12"/>
  <c r="N1345" i="12"/>
  <c r="U1345" i="12"/>
  <c r="P1189" i="12"/>
  <c r="W1189" i="12"/>
  <c r="R1352" i="12"/>
  <c r="Q1352" i="12"/>
  <c r="M1214" i="12"/>
  <c r="W1214" i="12"/>
  <c r="Q1210" i="12"/>
  <c r="W1210" i="12"/>
  <c r="X1202" i="12"/>
  <c r="V1202" i="12"/>
  <c r="K1200" i="12"/>
  <c r="X1200" i="12"/>
  <c r="U1198" i="12"/>
  <c r="R1198" i="12"/>
  <c r="S1194" i="12"/>
  <c r="U1194" i="12"/>
  <c r="U1192" i="12"/>
  <c r="Q1192" i="12"/>
  <c r="W1190" i="12"/>
  <c r="K1186" i="12"/>
  <c r="X1186" i="12"/>
  <c r="X1331" i="12"/>
  <c r="R1331" i="12"/>
  <c r="X1242" i="12"/>
  <c r="Q1213" i="12"/>
  <c r="M1213" i="12"/>
  <c r="X1201" i="12"/>
  <c r="K1201" i="12"/>
  <c r="P1191" i="12"/>
  <c r="N1191" i="12"/>
  <c r="X1287" i="12"/>
  <c r="L1287" i="12"/>
  <c r="X1215" i="12"/>
  <c r="Q1215" i="12"/>
  <c r="S1195" i="12"/>
  <c r="P1195" i="12"/>
  <c r="K1211" i="12"/>
  <c r="P1211" i="12"/>
  <c r="X1199" i="12"/>
  <c r="T1199" i="12"/>
  <c r="R1187" i="12"/>
  <c r="M1349" i="12"/>
  <c r="L1349" i="12"/>
  <c r="N1347" i="12"/>
  <c r="U1347" i="12"/>
  <c r="S1343" i="12"/>
  <c r="U1343" i="12"/>
  <c r="U1339" i="12"/>
  <c r="L1197" i="12"/>
  <c r="M1197" i="12"/>
  <c r="K1213" i="12"/>
  <c r="K1354" i="12"/>
  <c r="T1354" i="12"/>
  <c r="N1354" i="12"/>
  <c r="V1354" i="12"/>
  <c r="S1354" i="12"/>
  <c r="R1354" i="12"/>
  <c r="M1354" i="12"/>
  <c r="U1354" i="12"/>
  <c r="O1354" i="12"/>
  <c r="L1354" i="12"/>
  <c r="W1354" i="12"/>
  <c r="Q1354" i="12"/>
  <c r="P1354" i="12"/>
  <c r="X1354" i="12"/>
  <c r="V1338" i="12"/>
  <c r="P1338" i="12"/>
  <c r="S1338" i="12"/>
  <c r="R1338" i="12"/>
  <c r="M1338" i="12"/>
  <c r="Q1338" i="12"/>
  <c r="U1338" i="12"/>
  <c r="O1338" i="12"/>
  <c r="L1338" i="12"/>
  <c r="W1338" i="12"/>
  <c r="K1338" i="12"/>
  <c r="T1338" i="12"/>
  <c r="N1338" i="12"/>
  <c r="X1338" i="12"/>
  <c r="K1345" i="12"/>
  <c r="S1189" i="12"/>
  <c r="K1352" i="12"/>
  <c r="S1214" i="12"/>
  <c r="O1214" i="12"/>
  <c r="S1210" i="12"/>
  <c r="U1210" i="12"/>
  <c r="Q1202" i="12"/>
  <c r="S1200" i="12"/>
  <c r="W1200" i="12"/>
  <c r="W1198" i="12"/>
  <c r="Q1194" i="12"/>
  <c r="K1190" i="12"/>
  <c r="T1186" i="12"/>
  <c r="O1186" i="12"/>
  <c r="M1331" i="12"/>
  <c r="W1331" i="12"/>
  <c r="S1242" i="12"/>
  <c r="K1242" i="12"/>
  <c r="X1213" i="12"/>
  <c r="T1213" i="12"/>
  <c r="P1201" i="12"/>
  <c r="M1287" i="12"/>
  <c r="O1287" i="12"/>
  <c r="O1215" i="12"/>
  <c r="U1215" i="12"/>
  <c r="L1195" i="12"/>
  <c r="V1211" i="12"/>
  <c r="X1211" i="12"/>
  <c r="W1187" i="12"/>
  <c r="P1349" i="12"/>
  <c r="Q1347" i="12"/>
  <c r="S1339" i="12"/>
  <c r="X1197" i="12"/>
  <c r="C753" i="20"/>
  <c r="C658" i="20"/>
  <c r="C644" i="20"/>
  <c r="C760" i="20"/>
  <c r="D1594" i="12"/>
  <c r="D1834" i="12" s="1"/>
  <c r="J115" i="10"/>
  <c r="J402" i="10" s="1"/>
  <c r="G19" i="18"/>
  <c r="G24" i="18" s="1"/>
  <c r="G29" i="10"/>
  <c r="G49" i="18"/>
  <c r="G54" i="18" s="1"/>
  <c r="H33" i="10"/>
  <c r="H37" i="10" s="1"/>
  <c r="H39" i="10" s="1"/>
  <c r="H42" i="10" s="1"/>
  <c r="H317" i="10"/>
  <c r="H321" i="10" s="1"/>
  <c r="H437" i="10" s="1"/>
  <c r="I317" i="10"/>
  <c r="I416" i="10" s="1"/>
  <c r="I19" i="18"/>
  <c r="I24" i="18" s="1"/>
  <c r="I49" i="18"/>
  <c r="I54" i="18" s="1"/>
  <c r="I33" i="10"/>
  <c r="I130" i="10"/>
  <c r="I105" i="10"/>
  <c r="G21" i="18"/>
  <c r="G26" i="18"/>
  <c r="G104" i="18" s="1"/>
  <c r="G354" i="10" s="1"/>
  <c r="G389" i="10" s="1"/>
  <c r="G109" i="10"/>
  <c r="G108" i="10" s="1"/>
  <c r="G82" i="10"/>
  <c r="E144" i="9"/>
  <c r="H1158" i="16"/>
  <c r="I1151" i="16" a="1"/>
  <c r="I1151" i="16" s="1"/>
  <c r="H1578" i="16"/>
  <c r="I1571" i="16" a="1"/>
  <c r="I1571" i="16" s="1"/>
  <c r="H1985" i="16"/>
  <c r="I1978" i="16" a="1"/>
  <c r="I1978" i="16" s="1"/>
  <c r="H1455" i="16"/>
  <c r="I1448" i="16" a="1"/>
  <c r="I1448" i="16" s="1"/>
  <c r="H1415" i="16"/>
  <c r="I1408" i="16" a="1"/>
  <c r="I1408" i="16" s="1"/>
  <c r="H1304" i="16"/>
  <c r="I1297" i="16" a="1"/>
  <c r="I1297" i="16" s="1"/>
  <c r="H1910" i="16"/>
  <c r="I1903" i="16" a="1"/>
  <c r="I1903" i="16" s="1"/>
  <c r="C1424" i="12"/>
  <c r="C1425" i="12"/>
  <c r="C1665" i="12" s="1"/>
  <c r="J859" i="20" a="1"/>
  <c r="J859" i="20" s="1"/>
  <c r="D863" i="20"/>
  <c r="J17" i="22"/>
  <c r="K15" i="22" s="1"/>
  <c r="K17" i="22" s="1"/>
  <c r="L15" i="22" s="1"/>
  <c r="L17" i="22" s="1"/>
  <c r="M15" i="22" s="1"/>
  <c r="M17" i="22" s="1"/>
  <c r="J16" i="18"/>
  <c r="J21" i="18" s="1"/>
  <c r="E1579" i="12"/>
  <c r="E1819" i="12" s="1"/>
  <c r="C104" i="9"/>
  <c r="I84" i="10"/>
  <c r="H335" i="10"/>
  <c r="J67" i="10"/>
  <c r="J31" i="18" s="1"/>
  <c r="J41" i="18" s="1"/>
  <c r="J113" i="18" s="1"/>
  <c r="J356" i="10" s="1"/>
  <c r="J355" i="10" s="1"/>
  <c r="F87" i="9"/>
  <c r="I103" i="10"/>
  <c r="C49" i="9"/>
  <c r="C87" i="9" s="1"/>
  <c r="G103" i="10"/>
  <c r="H103" i="10"/>
  <c r="E199" i="9"/>
  <c r="D94" i="9"/>
  <c r="I116" i="10"/>
  <c r="I403" i="10" s="1"/>
  <c r="I115" i="10"/>
  <c r="I402" i="10" s="1"/>
  <c r="G325" i="10"/>
  <c r="G327" i="10" s="1"/>
  <c r="G330" i="10" s="1"/>
  <c r="G437" i="10"/>
  <c r="D199" i="9"/>
  <c r="F199" i="9"/>
  <c r="F144" i="9"/>
  <c r="C94" i="9"/>
  <c r="H116" i="10"/>
  <c r="H403" i="10" s="1"/>
  <c r="H115" i="10"/>
  <c r="H402" i="10" s="1"/>
  <c r="C199" i="9"/>
  <c r="H325" i="10"/>
  <c r="H327" i="10" s="1"/>
  <c r="H330" i="10" s="1"/>
  <c r="I392" i="10"/>
  <c r="J380" i="10"/>
  <c r="D104" i="9"/>
  <c r="H90" i="10"/>
  <c r="H377" i="10" s="1"/>
  <c r="H374" i="10" s="1"/>
  <c r="H87" i="10"/>
  <c r="H82" i="10" s="1"/>
  <c r="G90" i="10"/>
  <c r="G377" i="10" s="1"/>
  <c r="G56" i="18"/>
  <c r="G122" i="18" s="1"/>
  <c r="G375" i="10" s="1"/>
  <c r="G51" i="18"/>
  <c r="I87" i="10"/>
  <c r="I90" i="10"/>
  <c r="I377" i="10" s="1"/>
  <c r="I374" i="10" s="1"/>
  <c r="J373" i="10"/>
  <c r="H118" i="10"/>
  <c r="H370" i="10"/>
  <c r="I405" i="10" s="1"/>
  <c r="J370" i="10"/>
  <c r="G118" i="10"/>
  <c r="G112" i="10" s="1"/>
  <c r="G370" i="10"/>
  <c r="I118" i="10"/>
  <c r="I41" i="18"/>
  <c r="I113" i="18" s="1"/>
  <c r="H41" i="18"/>
  <c r="H36" i="18"/>
  <c r="G41" i="18"/>
  <c r="G36" i="18"/>
  <c r="E49" i="9"/>
  <c r="E87" i="9" s="1"/>
  <c r="I71" i="10"/>
  <c r="D49" i="9"/>
  <c r="D87" i="9" s="1"/>
  <c r="H71" i="10"/>
  <c r="G69" i="10"/>
  <c r="G65" i="10" s="1"/>
  <c r="G73" i="10" s="1"/>
  <c r="H392" i="10"/>
  <c r="G392" i="10"/>
  <c r="G397" i="10"/>
  <c r="H397" i="10"/>
  <c r="E1449" i="12"/>
  <c r="E1689" i="12" s="1"/>
  <c r="C1057" i="20"/>
  <c r="C665" i="20"/>
  <c r="C1050" i="20"/>
  <c r="C1092" i="20"/>
  <c r="C1078" i="20"/>
  <c r="C637" i="20"/>
  <c r="C592" i="20"/>
  <c r="C623" i="20"/>
  <c r="C606" i="20"/>
  <c r="C484" i="20"/>
  <c r="C1099" i="20"/>
  <c r="D1624" i="12"/>
  <c r="D1864" i="12" s="1"/>
  <c r="D1614" i="12"/>
  <c r="D1854" i="12" s="1"/>
  <c r="E1046" i="12"/>
  <c r="C477" i="20"/>
  <c r="C478" i="20" s="1"/>
  <c r="F86" i="20"/>
  <c r="C672" i="20" s="1"/>
  <c r="C599" i="20"/>
  <c r="C651" i="20"/>
  <c r="F180" i="20"/>
  <c r="C1130" i="20"/>
  <c r="I574" i="16"/>
  <c r="C1123" i="20"/>
  <c r="C1137" i="20"/>
  <c r="I326" i="16"/>
  <c r="I331" i="16" s="1"/>
  <c r="F73" i="20"/>
  <c r="C470" i="20"/>
  <c r="C471" i="20" s="1"/>
  <c r="I269" i="16"/>
  <c r="I284" i="16" s="1"/>
  <c r="D1438" i="16"/>
  <c r="F1437" i="16" s="1"/>
  <c r="C1116" i="20"/>
  <c r="I616" i="16"/>
  <c r="I626" i="16" s="1"/>
  <c r="F198" i="20"/>
  <c r="D1445" i="16"/>
  <c r="F1444" i="16" s="1"/>
  <c r="D1398" i="16"/>
  <c r="F1397" i="16" s="1"/>
  <c r="D1580" i="12"/>
  <c r="D1820" i="12" s="1"/>
  <c r="E1589" i="12"/>
  <c r="E1829" i="12" s="1"/>
  <c r="C334" i="20"/>
  <c r="C335" i="20" s="1"/>
  <c r="D470" i="20" s="1"/>
  <c r="D1561" i="16"/>
  <c r="E1559" i="16"/>
  <c r="F1559" i="16" s="1"/>
  <c r="C227" i="20"/>
  <c r="D1552" i="16"/>
  <c r="E1552" i="16"/>
  <c r="F1552" i="16" s="1"/>
  <c r="D1554" i="16"/>
  <c r="D1559" i="16"/>
  <c r="C233" i="20"/>
  <c r="E1427" i="12"/>
  <c r="E1667" i="12" s="1"/>
  <c r="D339" i="20"/>
  <c r="C341" i="20"/>
  <c r="D1582" i="12"/>
  <c r="D1822" i="12" s="1"/>
  <c r="C327" i="20"/>
  <c r="C328" i="20" s="1"/>
  <c r="J900" i="16"/>
  <c r="B895" i="16"/>
  <c r="C460" i="20"/>
  <c r="C461" i="20" s="1"/>
  <c r="D1152" i="16"/>
  <c r="D1159" i="16" s="1"/>
  <c r="E1147" i="16"/>
  <c r="E1146" i="16"/>
  <c r="D1146" i="16"/>
  <c r="D1403" i="16"/>
  <c r="C346" i="20"/>
  <c r="C348" i="20" s="1"/>
  <c r="C349" i="20" s="1"/>
  <c r="C340" i="20"/>
  <c r="C788" i="20"/>
  <c r="C459" i="20"/>
  <c r="D332" i="20"/>
  <c r="C491" i="20"/>
  <c r="C492" i="20" s="1"/>
  <c r="C865" i="20"/>
  <c r="C713" i="20"/>
  <c r="D490" i="20"/>
  <c r="E490" i="20" s="1"/>
  <c r="C498" i="20"/>
  <c r="C499" i="20" s="1"/>
  <c r="C490" i="20"/>
  <c r="D1134" i="16"/>
  <c r="F1133" i="16" s="1"/>
  <c r="I109" i="10"/>
  <c r="I108" i="10" s="1"/>
  <c r="H354" i="10"/>
  <c r="I341" i="10"/>
  <c r="I335" i="10" s="1"/>
  <c r="H109" i="10"/>
  <c r="H108" i="10" s="1"/>
  <c r="G335" i="10"/>
  <c r="H396" i="10"/>
  <c r="G396" i="10"/>
  <c r="D1578" i="12"/>
  <c r="D1818" i="12" s="1"/>
  <c r="E1432" i="12"/>
  <c r="E1672" i="12" s="1"/>
  <c r="E1441" i="12"/>
  <c r="E1681" i="12" s="1"/>
  <c r="E1438" i="12"/>
  <c r="E1678" i="12" s="1"/>
  <c r="E1437" i="12"/>
  <c r="E1677" i="12" s="1"/>
  <c r="E1429" i="12"/>
  <c r="E1669" i="12" s="1"/>
  <c r="E1428" i="12"/>
  <c r="E1668" i="12" s="1"/>
  <c r="E1439" i="12"/>
  <c r="E1679" i="12" s="1"/>
  <c r="E1435" i="12"/>
  <c r="E1675" i="12" s="1"/>
  <c r="E1431" i="12"/>
  <c r="E1671" i="12" s="1"/>
  <c r="E1434" i="12"/>
  <c r="E1674" i="12" s="1"/>
  <c r="E1473" i="12"/>
  <c r="E1713" i="12" s="1"/>
  <c r="C1151" i="20"/>
  <c r="C1144" i="20"/>
  <c r="C858" i="20"/>
  <c r="C809" i="20"/>
  <c r="C802" i="20"/>
  <c r="K92" i="10"/>
  <c r="K91" i="10" s="1"/>
  <c r="M118" i="22"/>
  <c r="E1599" i="12"/>
  <c r="E1839" i="12" s="1"/>
  <c r="D1584" i="12"/>
  <c r="D1824" i="12" s="1"/>
  <c r="D1474" i="12"/>
  <c r="D1714" i="12" s="1"/>
  <c r="E1587" i="12"/>
  <c r="E1827" i="12" s="1"/>
  <c r="E1585" i="12"/>
  <c r="E1825" i="12" s="1"/>
  <c r="L118" i="22"/>
  <c r="N118" i="22"/>
  <c r="O118" i="22"/>
  <c r="Q118" i="22"/>
  <c r="P118" i="22"/>
  <c r="R118" i="22"/>
  <c r="S113" i="22"/>
  <c r="S117" i="22" s="1"/>
  <c r="J585" i="12"/>
  <c r="C1156" i="20"/>
  <c r="D850" i="20"/>
  <c r="E850" i="20" s="1"/>
  <c r="D836" i="20"/>
  <c r="E836" i="20" s="1"/>
  <c r="C830" i="20"/>
  <c r="D843" i="20"/>
  <c r="E843" i="20" s="1"/>
  <c r="C781" i="20"/>
  <c r="C816" i="20"/>
  <c r="C767" i="20"/>
  <c r="C851" i="20"/>
  <c r="C843" i="20"/>
  <c r="C836" i="20"/>
  <c r="C774" i="20"/>
  <c r="C837" i="20"/>
  <c r="C838" i="20" s="1"/>
  <c r="C823" i="20"/>
  <c r="C850" i="20"/>
  <c r="C844" i="20"/>
  <c r="C845" i="20" s="1"/>
  <c r="D844" i="20"/>
  <c r="C795" i="20"/>
  <c r="J594" i="12"/>
  <c r="C333" i="20"/>
  <c r="D497" i="20"/>
  <c r="E497" i="20" s="1"/>
  <c r="C497" i="20"/>
  <c r="C503" i="20"/>
  <c r="C877" i="20"/>
  <c r="C872" i="20"/>
  <c r="D1409" i="16"/>
  <c r="D1416" i="16" s="1"/>
  <c r="B1402" i="16"/>
  <c r="E1404" i="16"/>
  <c r="D1404" i="16" s="1"/>
  <c r="G109" i="20"/>
  <c r="E1292" i="16"/>
  <c r="F1292" i="16" s="1"/>
  <c r="B1291" i="16"/>
  <c r="D1298" i="16"/>
  <c r="E1299" i="16" s="1"/>
  <c r="F1299" i="16" s="1"/>
  <c r="E1293" i="16"/>
  <c r="D1293" i="16" s="1"/>
  <c r="D1898" i="16"/>
  <c r="F162" i="20"/>
  <c r="I469" i="20"/>
  <c r="D896" i="16"/>
  <c r="E897" i="16"/>
  <c r="E896" i="16"/>
  <c r="F896" i="16" s="1"/>
  <c r="C898" i="16"/>
  <c r="D886" i="16"/>
  <c r="F885" i="16" s="1"/>
  <c r="D901" i="16"/>
  <c r="D891" i="16"/>
  <c r="B1897" i="16"/>
  <c r="D1904" i="16"/>
  <c r="B2152" i="16"/>
  <c r="B104" i="20"/>
  <c r="B684" i="20" s="1"/>
  <c r="J365" i="10"/>
  <c r="J434" i="12"/>
  <c r="J264" i="12"/>
  <c r="J161" i="12"/>
  <c r="J221" i="12"/>
  <c r="J306" i="12"/>
  <c r="D154" i="8"/>
  <c r="D155" i="8" s="1"/>
  <c r="J116" i="12"/>
  <c r="J520" i="12"/>
  <c r="I463" i="16"/>
  <c r="G162" i="20"/>
  <c r="D1871" i="16"/>
  <c r="B1864" i="16"/>
  <c r="B1565" i="16"/>
  <c r="E1566" i="16"/>
  <c r="F1566" i="16" s="1"/>
  <c r="E1567" i="16"/>
  <c r="D1572" i="16"/>
  <c r="D1566" i="16"/>
  <c r="B1531" i="16"/>
  <c r="D1538" i="16"/>
  <c r="B1538" i="16" s="1"/>
  <c r="D1532" i="16"/>
  <c r="D1979" i="16"/>
  <c r="B2153" i="16"/>
  <c r="B385" i="16"/>
  <c r="B402" i="16" s="1"/>
  <c r="B105" i="20"/>
  <c r="B691" i="20" s="1"/>
  <c r="G1115" i="20"/>
  <c r="I1115" i="20" s="1"/>
  <c r="G1042" i="20"/>
  <c r="I1042" i="20" s="1"/>
  <c r="E1451" i="16"/>
  <c r="D1451" i="16" s="1"/>
  <c r="E1450" i="16"/>
  <c r="F1450" i="16" s="1"/>
  <c r="D1450" i="16"/>
  <c r="D1456" i="16"/>
  <c r="B1449" i="16"/>
  <c r="D1139" i="16"/>
  <c r="E1140" i="16"/>
  <c r="E1139" i="16"/>
  <c r="F1139" i="16" s="1"/>
  <c r="J84" i="10"/>
  <c r="K79" i="10"/>
  <c r="K366" i="10" s="1"/>
  <c r="J56" i="18"/>
  <c r="J122" i="18" s="1"/>
  <c r="J375" i="10" s="1"/>
  <c r="J102" i="10"/>
  <c r="J116" i="10"/>
  <c r="J403" i="10" s="1"/>
  <c r="J397" i="10"/>
  <c r="J342" i="10"/>
  <c r="J341" i="10" s="1"/>
  <c r="K19" i="8"/>
  <c r="K20" i="8" s="1"/>
  <c r="I396" i="10"/>
  <c r="I395" i="10" s="1"/>
  <c r="I63" i="18"/>
  <c r="H68" i="22" s="1"/>
  <c r="I12" i="10"/>
  <c r="I96" i="18"/>
  <c r="I116" i="18"/>
  <c r="I31" i="8"/>
  <c r="I98" i="10"/>
  <c r="I12" i="18"/>
  <c r="I107" i="18"/>
  <c r="I74" i="18"/>
  <c r="I83" i="18"/>
  <c r="I242" i="10"/>
  <c r="I44" i="18"/>
  <c r="I300" i="10"/>
  <c r="I385" i="10"/>
  <c r="I29" i="18"/>
  <c r="I156" i="10"/>
  <c r="I271" i="10"/>
  <c r="I334" i="10"/>
  <c r="I12" i="11"/>
  <c r="I124" i="11" s="1"/>
  <c r="I12" i="12"/>
  <c r="I114" i="12" s="1"/>
  <c r="I116" i="12" s="1"/>
  <c r="I363" i="10"/>
  <c r="I413" i="10"/>
  <c r="I219" i="10"/>
  <c r="I75" i="10"/>
  <c r="I127" i="10"/>
  <c r="I46" i="10"/>
  <c r="H28" i="8"/>
  <c r="I190" i="10"/>
  <c r="J54" i="10"/>
  <c r="J53" i="10" s="1"/>
  <c r="J308" i="10"/>
  <c r="J114" i="10"/>
  <c r="J388" i="10"/>
  <c r="K33" i="22"/>
  <c r="K37" i="22" s="1"/>
  <c r="J359" i="10"/>
  <c r="F149" i="9"/>
  <c r="F93" i="9"/>
  <c r="J376" i="10"/>
  <c r="J400" i="10" s="1"/>
  <c r="J60" i="22"/>
  <c r="K60" i="22" s="1"/>
  <c r="J104" i="10"/>
  <c r="J51" i="22"/>
  <c r="K51" i="22" s="1"/>
  <c r="K55" i="22" s="1"/>
  <c r="J372" i="10"/>
  <c r="J379" i="10"/>
  <c r="J91" i="10"/>
  <c r="J105" i="10" s="1"/>
  <c r="K110" i="10"/>
  <c r="K397" i="10" s="1"/>
  <c r="J113" i="10"/>
  <c r="J69" i="10"/>
  <c r="J110" i="10"/>
  <c r="J20" i="10"/>
  <c r="J145" i="10" s="1"/>
  <c r="J17" i="18" s="1"/>
  <c r="J90" i="10"/>
  <c r="J48" i="10"/>
  <c r="J337" i="10"/>
  <c r="J336" i="10" s="1"/>
  <c r="J304" i="10"/>
  <c r="J303" i="10" s="1"/>
  <c r="J15" i="10"/>
  <c r="J101" i="10"/>
  <c r="J48" i="18"/>
  <c r="J53" i="18" s="1"/>
  <c r="J33" i="18"/>
  <c r="J38" i="18" s="1"/>
  <c r="J18" i="18"/>
  <c r="J23" i="18" s="1"/>
  <c r="M22" i="20"/>
  <c r="L92" i="10"/>
  <c r="J510" i="16" a="1"/>
  <c r="J510" i="16" s="1"/>
  <c r="J557" i="16" s="1"/>
  <c r="J2042" i="16"/>
  <c r="J512" i="16" a="1"/>
  <c r="J512" i="16" s="1"/>
  <c r="J559" i="16" s="1"/>
  <c r="J513" i="16" a="1"/>
  <c r="J513" i="16" s="1"/>
  <c r="J560" i="16" s="1"/>
  <c r="J511" i="16" a="1"/>
  <c r="J511" i="16" s="1"/>
  <c r="J558" i="16" s="1"/>
  <c r="J509" i="16" a="1"/>
  <c r="J509" i="16" s="1"/>
  <c r="J556" i="16" s="1"/>
  <c r="F1286" i="16"/>
  <c r="I584" i="16" l="1"/>
  <c r="G170" i="20"/>
  <c r="D132" i="8"/>
  <c r="D133" i="8" s="1"/>
  <c r="D134" i="8" s="1"/>
  <c r="D135" i="8" s="1"/>
  <c r="D136" i="8" s="1"/>
  <c r="H12" i="12"/>
  <c r="H114" i="12" s="1"/>
  <c r="H520" i="12" s="1"/>
  <c r="H126" i="8"/>
  <c r="E93" i="9"/>
  <c r="K115" i="10"/>
  <c r="H151" i="10"/>
  <c r="H416" i="10"/>
  <c r="I321" i="10"/>
  <c r="G33" i="10"/>
  <c r="G130" i="10"/>
  <c r="I151" i="10"/>
  <c r="I37" i="10"/>
  <c r="I39" i="10" s="1"/>
  <c r="I42" i="10" s="1"/>
  <c r="H104" i="10"/>
  <c r="G395" i="10"/>
  <c r="I82" i="10"/>
  <c r="H395" i="10"/>
  <c r="H138" i="10"/>
  <c r="H81" i="10"/>
  <c r="H76" i="10" s="1"/>
  <c r="H150" i="10" s="1"/>
  <c r="H131" i="10"/>
  <c r="H100" i="10"/>
  <c r="D144" i="9"/>
  <c r="D146" i="9" s="1"/>
  <c r="H1917" i="16"/>
  <c r="I1910" i="16" a="1"/>
  <c r="I1910" i="16" s="1"/>
  <c r="H1992" i="16"/>
  <c r="I1985" i="16" a="1"/>
  <c r="I1985" i="16" s="1"/>
  <c r="H1311" i="16"/>
  <c r="I1304" i="16" a="1"/>
  <c r="I1304" i="16" s="1"/>
  <c r="H1585" i="16"/>
  <c r="I1578" i="16" a="1"/>
  <c r="I1578" i="16" s="1"/>
  <c r="H1462" i="16"/>
  <c r="I1455" i="16" a="1"/>
  <c r="I1455" i="16" s="1"/>
  <c r="H1422" i="16"/>
  <c r="I1422" i="16" s="1" a="1"/>
  <c r="I1422" i="16" s="1"/>
  <c r="I1415" i="16" a="1"/>
  <c r="I1415" i="16" s="1"/>
  <c r="H1165" i="16"/>
  <c r="I1158" i="16" a="1"/>
  <c r="I1158" i="16" s="1"/>
  <c r="J26" i="18"/>
  <c r="J104" i="18" s="1"/>
  <c r="J354" i="10" s="1"/>
  <c r="C1664" i="12"/>
  <c r="J866" i="20" a="1"/>
  <c r="J866" i="20" s="1"/>
  <c r="D870" i="20"/>
  <c r="J82" i="10"/>
  <c r="K77" i="10"/>
  <c r="J47" i="10"/>
  <c r="J65" i="10"/>
  <c r="J142" i="10" s="1"/>
  <c r="J378" i="10"/>
  <c r="J392" i="10" s="1"/>
  <c r="C144" i="9"/>
  <c r="C92" i="9" s="1"/>
  <c r="G374" i="10"/>
  <c r="G391" i="10" s="1"/>
  <c r="H112" i="10"/>
  <c r="F92" i="9"/>
  <c r="L77" i="10"/>
  <c r="J103" i="10"/>
  <c r="J36" i="18"/>
  <c r="H99" i="10"/>
  <c r="F146" i="9"/>
  <c r="I59" i="18"/>
  <c r="I112" i="10"/>
  <c r="G417" i="10"/>
  <c r="G387" i="10"/>
  <c r="G368" i="10"/>
  <c r="G364" i="10" s="1"/>
  <c r="G422" i="10" s="1"/>
  <c r="G424" i="10"/>
  <c r="I399" i="10"/>
  <c r="H424" i="10"/>
  <c r="H368" i="10"/>
  <c r="H364" i="10" s="1"/>
  <c r="H422" i="10" s="1"/>
  <c r="H417" i="10"/>
  <c r="H387" i="10"/>
  <c r="K380" i="10"/>
  <c r="I391" i="10"/>
  <c r="I369" i="10"/>
  <c r="J377" i="10"/>
  <c r="J374" i="10" s="1"/>
  <c r="J391" i="10" s="1"/>
  <c r="I104" i="10"/>
  <c r="K370" i="10"/>
  <c r="G405" i="10"/>
  <c r="G399" i="10" s="1"/>
  <c r="H405" i="10"/>
  <c r="H399" i="10" s="1"/>
  <c r="H369" i="10"/>
  <c r="E146" i="9"/>
  <c r="E92" i="9"/>
  <c r="G113" i="18"/>
  <c r="G59" i="18"/>
  <c r="H113" i="18"/>
  <c r="H59" i="18"/>
  <c r="I125" i="18"/>
  <c r="I356" i="10"/>
  <c r="I355" i="10" s="1"/>
  <c r="G142" i="10"/>
  <c r="G141" i="10"/>
  <c r="H359" i="10"/>
  <c r="H69" i="10"/>
  <c r="H65" i="10" s="1"/>
  <c r="H73" i="10" s="1"/>
  <c r="I359" i="10"/>
  <c r="I69" i="10"/>
  <c r="E470" i="20"/>
  <c r="D1452" i="16"/>
  <c r="F1451" i="16" s="1"/>
  <c r="D1405" i="16"/>
  <c r="D1294" i="16"/>
  <c r="F1293" i="16" s="1"/>
  <c r="F1560" i="16"/>
  <c r="F1553" i="16"/>
  <c r="F1146" i="16"/>
  <c r="E1884" i="16"/>
  <c r="F1884" i="16" s="1"/>
  <c r="D1884" i="16"/>
  <c r="D1891" i="16"/>
  <c r="E1891" i="16"/>
  <c r="F1891" i="16" s="1"/>
  <c r="J906" i="16"/>
  <c r="B901" i="16"/>
  <c r="D1160" i="16"/>
  <c r="D1166" i="16"/>
  <c r="E1906" i="16" s="1"/>
  <c r="D1906" i="16" s="1"/>
  <c r="E1161" i="16"/>
  <c r="E1160" i="16"/>
  <c r="F1160" i="16" s="1"/>
  <c r="D1147" i="16"/>
  <c r="E1154" i="16"/>
  <c r="E1153" i="16"/>
  <c r="F1153" i="16" s="1"/>
  <c r="D1153" i="16"/>
  <c r="D346" i="20"/>
  <c r="C347" i="20"/>
  <c r="C353" i="20"/>
  <c r="C483" i="20"/>
  <c r="D483" i="20"/>
  <c r="E483" i="20" s="1"/>
  <c r="C485" i="20"/>
  <c r="D498" i="20"/>
  <c r="D491" i="20"/>
  <c r="E491" i="20" s="1"/>
  <c r="D484" i="20"/>
  <c r="D477" i="20"/>
  <c r="E477" i="20" s="1"/>
  <c r="B1298" i="16"/>
  <c r="D1305" i="16"/>
  <c r="D1306" i="16" s="1"/>
  <c r="E1410" i="16"/>
  <c r="F1410" i="16" s="1"/>
  <c r="D1410" i="16"/>
  <c r="H389" i="10"/>
  <c r="I389" i="10"/>
  <c r="K105" i="10"/>
  <c r="S118" i="22"/>
  <c r="T113" i="22"/>
  <c r="T117" i="22" s="1"/>
  <c r="C1163" i="20"/>
  <c r="C1158" i="20"/>
  <c r="E844" i="20"/>
  <c r="C510" i="20"/>
  <c r="C504" i="20"/>
  <c r="C505" i="20"/>
  <c r="C506" i="20" s="1"/>
  <c r="D504" i="20"/>
  <c r="D505" i="20"/>
  <c r="C884" i="20"/>
  <c r="C879" i="20"/>
  <c r="F1404" i="16"/>
  <c r="E1411" i="16"/>
  <c r="D1411" i="16" s="1"/>
  <c r="B1409" i="16"/>
  <c r="D1299" i="16"/>
  <c r="E1300" i="16"/>
  <c r="D1300" i="16" s="1"/>
  <c r="D1905" i="16"/>
  <c r="D1911" i="16"/>
  <c r="E903" i="16"/>
  <c r="E902" i="16"/>
  <c r="F902" i="16" s="1"/>
  <c r="C904" i="16"/>
  <c r="D902" i="16"/>
  <c r="D892" i="16"/>
  <c r="F891" i="16" s="1"/>
  <c r="D907" i="16"/>
  <c r="D897" i="16"/>
  <c r="B1904" i="16"/>
  <c r="E1905" i="16"/>
  <c r="F1905" i="16" s="1"/>
  <c r="J396" i="10"/>
  <c r="J395" i="10" s="1"/>
  <c r="K28" i="8"/>
  <c r="K126" i="8" s="1"/>
  <c r="J433" i="10"/>
  <c r="L79" i="10"/>
  <c r="L366" i="10" s="1"/>
  <c r="D1539" i="16"/>
  <c r="D1872" i="16"/>
  <c r="B1871" i="16"/>
  <c r="E1872" i="16"/>
  <c r="F1872" i="16" s="1"/>
  <c r="E1539" i="16"/>
  <c r="F1539" i="16" s="1"/>
  <c r="D1579" i="16"/>
  <c r="D1573" i="16"/>
  <c r="B1572" i="16"/>
  <c r="E1574" i="16"/>
  <c r="D1574" i="16" s="1"/>
  <c r="E1573" i="16"/>
  <c r="F1573" i="16" s="1"/>
  <c r="D1567" i="16"/>
  <c r="D1986" i="16"/>
  <c r="B1979" i="16"/>
  <c r="E1418" i="16"/>
  <c r="D1417" i="16"/>
  <c r="B1416" i="16"/>
  <c r="E1417" i="16"/>
  <c r="F1417" i="16" s="1"/>
  <c r="E1457" i="16"/>
  <c r="F1457" i="16" s="1"/>
  <c r="D1457" i="16"/>
  <c r="D1463" i="16"/>
  <c r="B1456" i="16"/>
  <c r="E1458" i="16"/>
  <c r="D1458" i="16" s="1"/>
  <c r="D1459" i="16" s="1"/>
  <c r="J118" i="10"/>
  <c r="J112" i="10" s="1"/>
  <c r="K116" i="10"/>
  <c r="D1140" i="16"/>
  <c r="D1141" i="16" s="1"/>
  <c r="F1140" i="16" s="1"/>
  <c r="J147" i="10"/>
  <c r="J47" i="18" s="1"/>
  <c r="J52" i="18" s="1"/>
  <c r="J29" i="10"/>
  <c r="J130" i="10" s="1"/>
  <c r="J19" i="18"/>
  <c r="J24" i="18" s="1"/>
  <c r="J49" i="18"/>
  <c r="J54" i="18" s="1"/>
  <c r="D156" i="8"/>
  <c r="J109" i="10"/>
  <c r="J108" i="10" s="1"/>
  <c r="J335" i="10"/>
  <c r="J317" i="10"/>
  <c r="I431" i="10"/>
  <c r="I147" i="10"/>
  <c r="I47" i="18" s="1"/>
  <c r="I201" i="18" s="1"/>
  <c r="I33" i="18"/>
  <c r="I38" i="18" s="1"/>
  <c r="I145" i="10"/>
  <c r="I17" i="18" s="1"/>
  <c r="I22" i="18" s="1"/>
  <c r="I48" i="18"/>
  <c r="I53" i="18" s="1"/>
  <c r="I18" i="18"/>
  <c r="I23" i="18" s="1"/>
  <c r="I433" i="10"/>
  <c r="I146" i="10"/>
  <c r="I32" i="18" s="1"/>
  <c r="I200" i="18" s="1"/>
  <c r="H300" i="10"/>
  <c r="H46" i="10"/>
  <c r="I306" i="12"/>
  <c r="I264" i="12"/>
  <c r="H12" i="18"/>
  <c r="H75" i="10"/>
  <c r="H83" i="18"/>
  <c r="H116" i="18"/>
  <c r="H363" i="10"/>
  <c r="G28" i="8"/>
  <c r="G126" i="8" s="1"/>
  <c r="H190" i="10"/>
  <c r="H12" i="10"/>
  <c r="I206" i="12"/>
  <c r="H31" i="8"/>
  <c r="H431" i="10" s="1"/>
  <c r="H96" i="18"/>
  <c r="H156" i="10"/>
  <c r="H242" i="10"/>
  <c r="H12" i="11"/>
  <c r="H124" i="11" s="1"/>
  <c r="H29" i="18"/>
  <c r="D11" i="9"/>
  <c r="D93" i="9" s="1"/>
  <c r="H413" i="10"/>
  <c r="H271" i="10"/>
  <c r="H334" i="10"/>
  <c r="I161" i="12"/>
  <c r="H385" i="10"/>
  <c r="H74" i="18"/>
  <c r="H98" i="10"/>
  <c r="I221" i="12"/>
  <c r="I434" i="12"/>
  <c r="H63" i="18"/>
  <c r="G68" i="22" s="1"/>
  <c r="I520" i="12"/>
  <c r="I585" i="12"/>
  <c r="H219" i="10"/>
  <c r="H127" i="10"/>
  <c r="H107" i="18"/>
  <c r="H44" i="18"/>
  <c r="I594" i="12"/>
  <c r="J432" i="10"/>
  <c r="J34" i="18"/>
  <c r="J39" i="18" s="1"/>
  <c r="J146" i="10"/>
  <c r="J32" i="18" s="1"/>
  <c r="J401" i="10"/>
  <c r="J371" i="10"/>
  <c r="J405" i="10" s="1"/>
  <c r="K71" i="10"/>
  <c r="K38" i="22"/>
  <c r="K106" i="11" s="1"/>
  <c r="L33" i="22"/>
  <c r="L37" i="22" s="1"/>
  <c r="K85" i="10"/>
  <c r="K56" i="22"/>
  <c r="L51" i="22"/>
  <c r="L55" i="22" s="1"/>
  <c r="L60" i="22"/>
  <c r="K64" i="22"/>
  <c r="N22" i="20"/>
  <c r="M92" i="10"/>
  <c r="J199" i="18"/>
  <c r="J22" i="18"/>
  <c r="M77" i="10"/>
  <c r="N15" i="22"/>
  <c r="N17" i="22" s="1"/>
  <c r="H161" i="12" l="1"/>
  <c r="H434" i="12"/>
  <c r="H585" i="12"/>
  <c r="H264" i="12"/>
  <c r="H594" i="12"/>
  <c r="H306" i="12"/>
  <c r="H116" i="12"/>
  <c r="H206" i="12"/>
  <c r="H221" i="12"/>
  <c r="G156" i="10"/>
  <c r="K1142" i="12"/>
  <c r="K1143" i="12"/>
  <c r="K1144" i="12"/>
  <c r="K1145" i="12"/>
  <c r="K1146" i="12"/>
  <c r="K1133" i="12"/>
  <c r="K1134" i="12"/>
  <c r="K1135" i="12"/>
  <c r="K1136" i="12"/>
  <c r="K1137" i="12"/>
  <c r="K1090" i="12"/>
  <c r="K1091" i="12"/>
  <c r="K1099" i="12"/>
  <c r="K1107" i="12"/>
  <c r="K1115" i="12"/>
  <c r="K1092" i="12"/>
  <c r="K1100" i="12"/>
  <c r="K1108" i="12"/>
  <c r="K1116" i="12"/>
  <c r="K1113" i="12"/>
  <c r="K1093" i="12"/>
  <c r="K1101" i="12"/>
  <c r="K1109" i="12"/>
  <c r="K1117" i="12"/>
  <c r="K1105" i="12"/>
  <c r="K1094" i="12"/>
  <c r="K1102" i="12"/>
  <c r="K1110" i="12"/>
  <c r="K1118" i="12"/>
  <c r="K1095" i="12"/>
  <c r="K1103" i="12"/>
  <c r="K1111" i="12"/>
  <c r="K1119" i="12"/>
  <c r="K1096" i="12"/>
  <c r="K1104" i="12"/>
  <c r="K1112" i="12"/>
  <c r="K1097" i="12"/>
  <c r="K1098" i="12"/>
  <c r="K1106" i="12"/>
  <c r="K1114" i="12"/>
  <c r="K1046" i="12"/>
  <c r="K1047" i="12"/>
  <c r="K1055" i="12"/>
  <c r="K1063" i="12"/>
  <c r="K1071" i="12"/>
  <c r="K1079" i="12"/>
  <c r="K1048" i="12"/>
  <c r="K1056" i="12"/>
  <c r="K1064" i="12"/>
  <c r="K1072" i="12"/>
  <c r="K1080" i="12"/>
  <c r="K1049" i="12"/>
  <c r="K1057" i="12"/>
  <c r="K1065" i="12"/>
  <c r="K1073" i="12"/>
  <c r="K1081" i="12"/>
  <c r="K1078" i="12"/>
  <c r="K1050" i="12"/>
  <c r="K1058" i="12"/>
  <c r="K1066" i="12"/>
  <c r="K1074" i="12"/>
  <c r="K1082" i="12"/>
  <c r="K1062" i="12"/>
  <c r="K1051" i="12"/>
  <c r="K1059" i="12"/>
  <c r="K1067" i="12"/>
  <c r="K1075" i="12"/>
  <c r="K1083" i="12"/>
  <c r="K1070" i="12"/>
  <c r="K1052" i="12"/>
  <c r="K1060" i="12"/>
  <c r="K1068" i="12"/>
  <c r="K1076" i="12"/>
  <c r="K1084" i="12"/>
  <c r="K1053" i="12"/>
  <c r="K1061" i="12"/>
  <c r="K1069" i="12"/>
  <c r="K1077" i="12"/>
  <c r="K1085" i="12"/>
  <c r="K1054" i="12"/>
  <c r="K1001" i="12"/>
  <c r="K1002" i="12"/>
  <c r="K1010" i="12"/>
  <c r="K1018" i="12"/>
  <c r="K1026" i="12"/>
  <c r="K1034" i="12"/>
  <c r="K1023" i="12"/>
  <c r="K1032" i="12"/>
  <c r="K1003" i="12"/>
  <c r="K1011" i="12"/>
  <c r="K1019" i="12"/>
  <c r="K1027" i="12"/>
  <c r="K1035" i="12"/>
  <c r="K1031" i="12"/>
  <c r="K1008" i="12"/>
  <c r="K1004" i="12"/>
  <c r="K1012" i="12"/>
  <c r="K1020" i="12"/>
  <c r="K1028" i="12"/>
  <c r="K1036" i="12"/>
  <c r="K1015" i="12"/>
  <c r="K1040" i="12"/>
  <c r="K1025" i="12"/>
  <c r="K1033" i="12"/>
  <c r="K1005" i="12"/>
  <c r="K1013" i="12"/>
  <c r="K1021" i="12"/>
  <c r="K1029" i="12"/>
  <c r="K1037" i="12"/>
  <c r="K1039" i="12"/>
  <c r="K1024" i="12"/>
  <c r="K1009" i="12"/>
  <c r="K1006" i="12"/>
  <c r="K1014" i="12"/>
  <c r="K1022" i="12"/>
  <c r="K1030" i="12"/>
  <c r="K1038" i="12"/>
  <c r="K1007" i="12"/>
  <c r="K1016" i="12"/>
  <c r="K1017" i="12"/>
  <c r="K991" i="12"/>
  <c r="K992" i="12"/>
  <c r="K993" i="12"/>
  <c r="K994" i="12"/>
  <c r="K995" i="12"/>
  <c r="K967" i="12"/>
  <c r="K968" i="12"/>
  <c r="K976" i="12"/>
  <c r="K984" i="12"/>
  <c r="K969" i="12"/>
  <c r="K977" i="12"/>
  <c r="K985" i="12"/>
  <c r="K970" i="12"/>
  <c r="K978" i="12"/>
  <c r="K986" i="12"/>
  <c r="K974" i="12"/>
  <c r="K971" i="12"/>
  <c r="K979" i="12"/>
  <c r="K982" i="12"/>
  <c r="K972" i="12"/>
  <c r="K980" i="12"/>
  <c r="K973" i="12"/>
  <c r="K981" i="12"/>
  <c r="K975" i="12"/>
  <c r="K983" i="12"/>
  <c r="K900" i="12"/>
  <c r="K901" i="12"/>
  <c r="K902" i="12"/>
  <c r="K903" i="12"/>
  <c r="K904" i="12"/>
  <c r="K891" i="12"/>
  <c r="K893" i="12"/>
  <c r="K894" i="12"/>
  <c r="K895" i="12"/>
  <c r="K892" i="12"/>
  <c r="K848" i="12"/>
  <c r="K849" i="12"/>
  <c r="K1332" i="12" s="1"/>
  <c r="K857" i="12"/>
  <c r="K865" i="12"/>
  <c r="K873" i="12"/>
  <c r="K850" i="12"/>
  <c r="K858" i="12"/>
  <c r="K866" i="12"/>
  <c r="K874" i="12"/>
  <c r="K851" i="12"/>
  <c r="K859" i="12"/>
  <c r="K867" i="12"/>
  <c r="K875" i="12"/>
  <c r="K856" i="12"/>
  <c r="K852" i="12"/>
  <c r="K1335" i="12" s="1"/>
  <c r="K860" i="12"/>
  <c r="K868" i="12"/>
  <c r="K876" i="12"/>
  <c r="K863" i="12"/>
  <c r="K872" i="12"/>
  <c r="K853" i="12"/>
  <c r="K861" i="12"/>
  <c r="K869" i="12"/>
  <c r="K877" i="12"/>
  <c r="K871" i="12"/>
  <c r="K854" i="12"/>
  <c r="K862" i="12"/>
  <c r="K870" i="12"/>
  <c r="K855" i="12"/>
  <c r="K864" i="12"/>
  <c r="K804" i="12"/>
  <c r="K805" i="12"/>
  <c r="K1288" i="12" s="1"/>
  <c r="K813" i="12"/>
  <c r="K821" i="12"/>
  <c r="K829" i="12"/>
  <c r="K837" i="12"/>
  <c r="K806" i="12"/>
  <c r="K814" i="12"/>
  <c r="K822" i="12"/>
  <c r="K830" i="12"/>
  <c r="K838" i="12"/>
  <c r="K807" i="12"/>
  <c r="K815" i="12"/>
  <c r="K823" i="12"/>
  <c r="K831" i="12"/>
  <c r="K839" i="12"/>
  <c r="K828" i="12"/>
  <c r="K808" i="12"/>
  <c r="K1291" i="12" s="1"/>
  <c r="K816" i="12"/>
  <c r="K824" i="12"/>
  <c r="K832" i="12"/>
  <c r="K840" i="12"/>
  <c r="K836" i="12"/>
  <c r="K809" i="12"/>
  <c r="K817" i="12"/>
  <c r="K825" i="12"/>
  <c r="K833" i="12"/>
  <c r="K841" i="12"/>
  <c r="K810" i="12"/>
  <c r="K818" i="12"/>
  <c r="K826" i="12"/>
  <c r="K834" i="12"/>
  <c r="K842" i="12"/>
  <c r="K820" i="12"/>
  <c r="K811" i="12"/>
  <c r="K819" i="12"/>
  <c r="K827" i="12"/>
  <c r="K835" i="12"/>
  <c r="K843" i="12"/>
  <c r="K812" i="12"/>
  <c r="K759" i="12"/>
  <c r="K760" i="12"/>
  <c r="K1243" i="12" s="1"/>
  <c r="K768" i="12"/>
  <c r="K776" i="12"/>
  <c r="K784" i="12"/>
  <c r="K792" i="12"/>
  <c r="K790" i="12"/>
  <c r="K761" i="12"/>
  <c r="K769" i="12"/>
  <c r="K777" i="12"/>
  <c r="K785" i="12"/>
  <c r="K793" i="12"/>
  <c r="K789" i="12"/>
  <c r="K766" i="12"/>
  <c r="K762" i="12"/>
  <c r="K770" i="12"/>
  <c r="K778" i="12"/>
  <c r="K786" i="12"/>
  <c r="K794" i="12"/>
  <c r="K781" i="12"/>
  <c r="K774" i="12"/>
  <c r="K763" i="12"/>
  <c r="K1246" i="12" s="1"/>
  <c r="K771" i="12"/>
  <c r="K779" i="12"/>
  <c r="K787" i="12"/>
  <c r="K795" i="12"/>
  <c r="K765" i="12"/>
  <c r="K782" i="12"/>
  <c r="K764" i="12"/>
  <c r="K772" i="12"/>
  <c r="K780" i="12"/>
  <c r="K788" i="12"/>
  <c r="K796" i="12"/>
  <c r="K773" i="12"/>
  <c r="K798" i="12"/>
  <c r="K767" i="12"/>
  <c r="K775" i="12"/>
  <c r="K783" i="12"/>
  <c r="K791" i="12"/>
  <c r="K797" i="12"/>
  <c r="K749" i="12"/>
  <c r="K750" i="12"/>
  <c r="K1233" i="12" s="1"/>
  <c r="K753" i="12"/>
  <c r="K752" i="12"/>
  <c r="K751" i="12"/>
  <c r="K725" i="12"/>
  <c r="K726" i="12"/>
  <c r="K1209" i="12" s="1"/>
  <c r="K734" i="12"/>
  <c r="K742" i="12"/>
  <c r="K727" i="12"/>
  <c r="K735" i="12"/>
  <c r="K743" i="12"/>
  <c r="K728" i="12"/>
  <c r="K736" i="12"/>
  <c r="K744" i="12"/>
  <c r="K729" i="12"/>
  <c r="K1212" i="12" s="1"/>
  <c r="K737" i="12"/>
  <c r="K730" i="12"/>
  <c r="K738" i="12"/>
  <c r="K740" i="12"/>
  <c r="K731" i="12"/>
  <c r="K739" i="12"/>
  <c r="K732" i="12"/>
  <c r="K733" i="12"/>
  <c r="K741" i="12"/>
  <c r="K701" i="12"/>
  <c r="K943" i="12"/>
  <c r="K944" i="12"/>
  <c r="K948" i="12"/>
  <c r="K952" i="12"/>
  <c r="K956" i="12"/>
  <c r="K960" i="12"/>
  <c r="K957" i="12"/>
  <c r="K947" i="12"/>
  <c r="K951" i="12"/>
  <c r="K955" i="12"/>
  <c r="K959" i="12"/>
  <c r="K961" i="12"/>
  <c r="K953" i="12"/>
  <c r="K946" i="12"/>
  <c r="K950" i="12"/>
  <c r="K954" i="12"/>
  <c r="K958" i="12"/>
  <c r="K962" i="12"/>
  <c r="K949" i="12"/>
  <c r="K945" i="12"/>
  <c r="K702" i="12"/>
  <c r="K1185" i="12" s="1"/>
  <c r="K706" i="12"/>
  <c r="K710" i="12"/>
  <c r="K714" i="12"/>
  <c r="K718" i="12"/>
  <c r="K719" i="12"/>
  <c r="K705" i="12"/>
  <c r="K1188" i="12" s="1"/>
  <c r="K709" i="12"/>
  <c r="K713" i="12"/>
  <c r="K717" i="12"/>
  <c r="K707" i="12"/>
  <c r="K711" i="12"/>
  <c r="K704" i="12"/>
  <c r="K708" i="12"/>
  <c r="K712" i="12"/>
  <c r="K716" i="12"/>
  <c r="K720" i="12"/>
  <c r="K703" i="12"/>
  <c r="K715" i="12"/>
  <c r="G151" i="10"/>
  <c r="G37" i="10"/>
  <c r="G39" i="10" s="1"/>
  <c r="G42" i="10" s="1"/>
  <c r="I437" i="10"/>
  <c r="I325" i="10"/>
  <c r="I327" i="10" s="1"/>
  <c r="I330" i="10" s="1"/>
  <c r="I100" i="10"/>
  <c r="I99" i="10" s="1"/>
  <c r="I121" i="10" s="1"/>
  <c r="I131" i="10"/>
  <c r="I81" i="10"/>
  <c r="I76" i="10" s="1"/>
  <c r="I136" i="10" s="1"/>
  <c r="I138" i="10"/>
  <c r="J141" i="10"/>
  <c r="G369" i="10"/>
  <c r="H391" i="10"/>
  <c r="I65" i="10"/>
  <c r="I73" i="10" s="1"/>
  <c r="I132" i="10" s="1"/>
  <c r="D92" i="9"/>
  <c r="H94" i="10"/>
  <c r="H135" i="10" s="1"/>
  <c r="H136" i="10"/>
  <c r="H121" i="10"/>
  <c r="C146" i="9"/>
  <c r="J59" i="18"/>
  <c r="J60" i="18" s="1"/>
  <c r="J125" i="18"/>
  <c r="J126" i="18" s="1"/>
  <c r="H1592" i="16"/>
  <c r="I1585" i="16" a="1"/>
  <c r="I1585" i="16" s="1"/>
  <c r="H1172" i="16"/>
  <c r="I1165" i="16" a="1"/>
  <c r="I1165" i="16" s="1"/>
  <c r="H1318" i="16"/>
  <c r="I1311" i="16" a="1"/>
  <c r="I1311" i="16" s="1"/>
  <c r="H1999" i="16"/>
  <c r="I1992" i="16" a="1"/>
  <c r="I1992" i="16" s="1"/>
  <c r="H1469" i="16"/>
  <c r="I1462" i="16" a="1"/>
  <c r="I1462" i="16" s="1"/>
  <c r="H1924" i="16"/>
  <c r="I1917" i="16" a="1"/>
  <c r="I1917" i="16" s="1"/>
  <c r="J873" i="20" a="1"/>
  <c r="J873" i="20" s="1"/>
  <c r="D877" i="20"/>
  <c r="J73" i="10"/>
  <c r="I60" i="18"/>
  <c r="L380" i="10"/>
  <c r="L91" i="10"/>
  <c r="L105" i="10" s="1"/>
  <c r="L370" i="10"/>
  <c r="G436" i="10"/>
  <c r="G381" i="10"/>
  <c r="H436" i="10"/>
  <c r="H381" i="10"/>
  <c r="J390" i="10"/>
  <c r="H356" i="10"/>
  <c r="H355" i="10" s="1"/>
  <c r="I390" i="10" s="1"/>
  <c r="H125" i="18"/>
  <c r="I126" i="18" s="1"/>
  <c r="I432" i="10"/>
  <c r="H60" i="18"/>
  <c r="G125" i="18"/>
  <c r="G356" i="10"/>
  <c r="G355" i="10" s="1"/>
  <c r="H141" i="10"/>
  <c r="H142" i="10"/>
  <c r="I141" i="10"/>
  <c r="F1458" i="16"/>
  <c r="D1412" i="16"/>
  <c r="F1411" i="16" s="1"/>
  <c r="K1412" i="16" s="1"/>
  <c r="D1301" i="16"/>
  <c r="F1300" i="16" s="1"/>
  <c r="E504" i="20"/>
  <c r="E505" i="20" s="1"/>
  <c r="D1575" i="16"/>
  <c r="F1574" i="16" s="1"/>
  <c r="D1148" i="16"/>
  <c r="E1892" i="16"/>
  <c r="D1568" i="16"/>
  <c r="E1885" i="16" s="1"/>
  <c r="D1907" i="16"/>
  <c r="F1906" i="16" s="1"/>
  <c r="B1911" i="16"/>
  <c r="C360" i="20"/>
  <c r="C361" i="20" s="1"/>
  <c r="C355" i="20"/>
  <c r="C356" i="20" s="1"/>
  <c r="K200" i="16"/>
  <c r="K204" i="16"/>
  <c r="K208" i="16"/>
  <c r="K212" i="16"/>
  <c r="K110" i="16"/>
  <c r="K199" i="16"/>
  <c r="K203" i="16"/>
  <c r="K207" i="16"/>
  <c r="K211" i="16"/>
  <c r="K215" i="16"/>
  <c r="K202" i="16"/>
  <c r="K206" i="16"/>
  <c r="K210" i="16"/>
  <c r="K214" i="16"/>
  <c r="K201" i="16"/>
  <c r="K205" i="16"/>
  <c r="K209" i="16"/>
  <c r="K213" i="16"/>
  <c r="K113" i="16"/>
  <c r="K121" i="16"/>
  <c r="K106" i="16"/>
  <c r="K114" i="16"/>
  <c r="K111" i="16"/>
  <c r="K108" i="16"/>
  <c r="K133" i="16"/>
  <c r="K105" i="16"/>
  <c r="K122" i="16"/>
  <c r="K130" i="16"/>
  <c r="K115" i="16"/>
  <c r="K112" i="16"/>
  <c r="K125" i="16"/>
  <c r="K119" i="16"/>
  <c r="K116" i="16"/>
  <c r="K117" i="16"/>
  <c r="K123" i="16"/>
  <c r="K120" i="16"/>
  <c r="K109" i="16"/>
  <c r="K118" i="16"/>
  <c r="K126" i="16"/>
  <c r="K127" i="16"/>
  <c r="K124" i="16"/>
  <c r="K132" i="16"/>
  <c r="K129" i="16"/>
  <c r="K134" i="16"/>
  <c r="K131" i="16"/>
  <c r="K128" i="16"/>
  <c r="K107" i="16"/>
  <c r="K34" i="20"/>
  <c r="K43" i="20"/>
  <c r="K48" i="20"/>
  <c r="K44" i="20"/>
  <c r="K45" i="20"/>
  <c r="K47" i="20"/>
  <c r="K41" i="20"/>
  <c r="K37" i="20"/>
  <c r="K36" i="20"/>
  <c r="K33" i="20"/>
  <c r="K38" i="20"/>
  <c r="K39" i="20"/>
  <c r="K40" i="20"/>
  <c r="K35" i="20"/>
  <c r="K42" i="20"/>
  <c r="K46" i="20"/>
  <c r="K32" i="20"/>
  <c r="J912" i="16"/>
  <c r="B907" i="16"/>
  <c r="D1161" i="16"/>
  <c r="D1162" i="16" s="1"/>
  <c r="F1161" i="16" s="1"/>
  <c r="D1173" i="16"/>
  <c r="D1167" i="16"/>
  <c r="E1913" i="16" s="1"/>
  <c r="D1913" i="16" s="1"/>
  <c r="E1167" i="16"/>
  <c r="F1167" i="16" s="1"/>
  <c r="K1917" i="16" s="1"/>
  <c r="E1168" i="16"/>
  <c r="D1154" i="16"/>
  <c r="D1155" i="16" s="1"/>
  <c r="F1154" i="16" s="1"/>
  <c r="E484" i="20"/>
  <c r="K485" i="20" s="1"/>
  <c r="E498" i="20"/>
  <c r="K499" i="20" s="1"/>
  <c r="C706" i="20"/>
  <c r="D706" i="20"/>
  <c r="E706" i="20" s="1"/>
  <c r="C367" i="20"/>
  <c r="C369" i="20" s="1"/>
  <c r="C370" i="20" s="1"/>
  <c r="C354" i="20"/>
  <c r="D353" i="20"/>
  <c r="E1307" i="16"/>
  <c r="D1307" i="16" s="1"/>
  <c r="D1308" i="16" s="1"/>
  <c r="E1306" i="16"/>
  <c r="F1306" i="16" s="1"/>
  <c r="B1305" i="16"/>
  <c r="D1312" i="16"/>
  <c r="K1318" i="16" s="1"/>
  <c r="K915" i="12"/>
  <c r="K1930" i="12" s="1"/>
  <c r="K1836" i="12"/>
  <c r="K1787" i="12"/>
  <c r="K1311" i="16"/>
  <c r="K113" i="11"/>
  <c r="K1816" i="12"/>
  <c r="K447" i="16"/>
  <c r="K1578" i="16"/>
  <c r="K573" i="16"/>
  <c r="L28" i="8"/>
  <c r="K171" i="11"/>
  <c r="K82" i="22"/>
  <c r="K363" i="10"/>
  <c r="K1639" i="12"/>
  <c r="K283" i="16"/>
  <c r="K1564" i="16"/>
  <c r="K1422" i="16"/>
  <c r="K1561" i="16"/>
  <c r="K155" i="20"/>
  <c r="K801" i="16"/>
  <c r="K159" i="20"/>
  <c r="K1788" i="12"/>
  <c r="K1791" i="12"/>
  <c r="K118" i="20"/>
  <c r="K432" i="16"/>
  <c r="K1714" i="12"/>
  <c r="K94" i="20"/>
  <c r="K1712" i="12"/>
  <c r="K149" i="20"/>
  <c r="K1735" i="12"/>
  <c r="K127" i="20"/>
  <c r="K1452" i="16"/>
  <c r="K1454" i="16" s="1"/>
  <c r="K1811" i="12"/>
  <c r="K58" i="20"/>
  <c r="K457" i="16"/>
  <c r="K1571" i="16"/>
  <c r="K174" i="20"/>
  <c r="K1824" i="12"/>
  <c r="K272" i="16"/>
  <c r="K1732" i="12"/>
  <c r="K126" i="20"/>
  <c r="K845" i="20"/>
  <c r="K1694" i="12"/>
  <c r="K657" i="16"/>
  <c r="K435" i="16"/>
  <c r="K325" i="16"/>
  <c r="K12" i="20"/>
  <c r="K25" i="20" s="1"/>
  <c r="K1188" i="20" s="1"/>
  <c r="K161" i="20"/>
  <c r="K352" i="16"/>
  <c r="K119" i="20"/>
  <c r="K1405" i="16"/>
  <c r="K582" i="16"/>
  <c r="K96" i="20"/>
  <c r="K179" i="20"/>
  <c r="K268" i="16"/>
  <c r="K1820" i="12"/>
  <c r="K1754" i="12"/>
  <c r="K2057" i="16"/>
  <c r="K419" i="16"/>
  <c r="K54" i="16"/>
  <c r="K1673" i="12"/>
  <c r="K12" i="10"/>
  <c r="K1753" i="12"/>
  <c r="K1724" i="12"/>
  <c r="K71" i="20"/>
  <c r="K385" i="10"/>
  <c r="K489" i="10" s="1"/>
  <c r="K1462" i="16"/>
  <c r="K1828" i="12"/>
  <c r="K147" i="20"/>
  <c r="K623" i="16"/>
  <c r="K577" i="16"/>
  <c r="K1690" i="12"/>
  <c r="K72" i="20"/>
  <c r="K123" i="20"/>
  <c r="K124" i="11"/>
  <c r="K198" i="16"/>
  <c r="K1818" i="12"/>
  <c r="K30" i="20"/>
  <c r="K579" i="16"/>
  <c r="K135" i="20"/>
  <c r="K300" i="10"/>
  <c r="K426" i="16"/>
  <c r="K85" i="20"/>
  <c r="K616" i="16"/>
  <c r="K144" i="20"/>
  <c r="K1516" i="16"/>
  <c r="K274" i="16"/>
  <c r="K88" i="22"/>
  <c r="K1840" i="12"/>
  <c r="K1745" i="12"/>
  <c r="K277" i="16"/>
  <c r="K231" i="11"/>
  <c r="K1774" i="12"/>
  <c r="K1789" i="12"/>
  <c r="K196" i="20"/>
  <c r="K66" i="20"/>
  <c r="K449" i="16"/>
  <c r="K178" i="20"/>
  <c r="K62" i="20"/>
  <c r="K73" i="12"/>
  <c r="K169" i="20"/>
  <c r="K1742" i="12"/>
  <c r="K1683" i="12"/>
  <c r="K619" i="16"/>
  <c r="K2044" i="16"/>
  <c r="K192" i="20"/>
  <c r="K282" i="16"/>
  <c r="K157" i="20"/>
  <c r="K1394" i="16"/>
  <c r="K326" i="16"/>
  <c r="K1294" i="16"/>
  <c r="K2113" i="16" s="1"/>
  <c r="K1434" i="16"/>
  <c r="K1672" i="12"/>
  <c r="K156" i="10"/>
  <c r="K418" i="16"/>
  <c r="K618" i="16"/>
  <c r="K425" i="16"/>
  <c r="K1665" i="12"/>
  <c r="K1884" i="12"/>
  <c r="K1707" i="12"/>
  <c r="K1674" i="12"/>
  <c r="K152" i="20"/>
  <c r="K281" i="16"/>
  <c r="K423" i="16"/>
  <c r="K1878" i="12"/>
  <c r="K1916" i="12" s="1"/>
  <c r="K137" i="20"/>
  <c r="K1797" i="12"/>
  <c r="K1795" i="12"/>
  <c r="K1879" i="12"/>
  <c r="K1918" i="12" s="1"/>
  <c r="K1700" i="12"/>
  <c r="K82" i="12"/>
  <c r="K1297" i="16"/>
  <c r="K1798" i="12"/>
  <c r="K93" i="20"/>
  <c r="K1827" i="12"/>
  <c r="K270" i="16"/>
  <c r="K434" i="16"/>
  <c r="K580" i="16"/>
  <c r="K441" i="16"/>
  <c r="K603" i="12"/>
  <c r="K2038" i="16"/>
  <c r="K2051" i="16" s="1"/>
  <c r="K50" i="22"/>
  <c r="K2071" i="16"/>
  <c r="K450" i="16"/>
  <c r="K22" i="16"/>
  <c r="K1821" i="12"/>
  <c r="K102" i="20"/>
  <c r="K2040" i="16"/>
  <c r="K2053" i="16" s="1"/>
  <c r="K438" i="16"/>
  <c r="K1749" i="12"/>
  <c r="K698" i="12"/>
  <c r="K112" i="22"/>
  <c r="K451" i="16"/>
  <c r="K1455" i="16"/>
  <c r="K1805" i="12"/>
  <c r="K187" i="20"/>
  <c r="K1819" i="12"/>
  <c r="K1796" i="12"/>
  <c r="K271" i="10"/>
  <c r="K1815" i="12"/>
  <c r="K145" i="20"/>
  <c r="K1739" i="12"/>
  <c r="K26" i="22"/>
  <c r="K1833" i="16"/>
  <c r="K458" i="16" s="1"/>
  <c r="K84" i="20"/>
  <c r="K128" i="20"/>
  <c r="K1415" i="16"/>
  <c r="K1544" i="16"/>
  <c r="K75" i="10"/>
  <c r="K1670" i="12"/>
  <c r="K107" i="18"/>
  <c r="K63" i="18"/>
  <c r="K156" i="20"/>
  <c r="K1802" i="12"/>
  <c r="K442" i="16"/>
  <c r="K130" i="22"/>
  <c r="K1781" i="12"/>
  <c r="K12" i="18"/>
  <c r="K59" i="22"/>
  <c r="K100" i="20"/>
  <c r="K1759" i="12"/>
  <c r="K576" i="16"/>
  <c r="K20" i="22"/>
  <c r="K1829" i="12"/>
  <c r="K1734" i="12"/>
  <c r="K65" i="20"/>
  <c r="K146" i="20"/>
  <c r="K70" i="16"/>
  <c r="K492" i="20"/>
  <c r="K493" i="20" s="1"/>
  <c r="K494" i="20" s="1"/>
  <c r="K1391" i="16"/>
  <c r="K353" i="16"/>
  <c r="K193" i="20"/>
  <c r="K455" i="16"/>
  <c r="K1401" i="16"/>
  <c r="K279" i="16"/>
  <c r="K430" i="16"/>
  <c r="K2041" i="16"/>
  <c r="K2067" i="16" s="1"/>
  <c r="K2081" i="16" s="1"/>
  <c r="K194" i="20"/>
  <c r="K68" i="20"/>
  <c r="K151" i="20"/>
  <c r="K129" i="20"/>
  <c r="K29" i="18"/>
  <c r="K98" i="10"/>
  <c r="K1813" i="12"/>
  <c r="K170" i="20"/>
  <c r="K99" i="20"/>
  <c r="K201" i="11"/>
  <c r="K130" i="20"/>
  <c r="K624" i="16"/>
  <c r="K1775" i="12"/>
  <c r="K41" i="22"/>
  <c r="K1838" i="12"/>
  <c r="K1769" i="12"/>
  <c r="K1793" i="12"/>
  <c r="K1705" i="12"/>
  <c r="K97" i="20"/>
  <c r="K1768" i="12"/>
  <c r="K1699" i="12"/>
  <c r="K173" i="20"/>
  <c r="K83" i="20"/>
  <c r="K1760" i="12"/>
  <c r="K271" i="16"/>
  <c r="K139" i="20"/>
  <c r="K581" i="16"/>
  <c r="K74" i="11"/>
  <c r="K141" i="20"/>
  <c r="K357" i="16"/>
  <c r="K1785" i="12"/>
  <c r="K629" i="12"/>
  <c r="K446" i="16"/>
  <c r="K1287" i="16"/>
  <c r="K1288" i="16" s="1"/>
  <c r="K471" i="20"/>
  <c r="K472" i="20" s="1"/>
  <c r="K1438" i="16"/>
  <c r="K1439" i="16" s="1"/>
  <c r="K57" i="20"/>
  <c r="K1693" i="12"/>
  <c r="K1776" i="12"/>
  <c r="K280" i="16"/>
  <c r="K359" i="16"/>
  <c r="K440" i="16"/>
  <c r="K95" i="20"/>
  <c r="K1792" i="12"/>
  <c r="K1692" i="12"/>
  <c r="K1780" i="12"/>
  <c r="K64" i="20"/>
  <c r="K478" i="20"/>
  <c r="K479" i="20" s="1"/>
  <c r="K480" i="20" s="1"/>
  <c r="K153" i="20"/>
  <c r="K1716" i="12"/>
  <c r="K1398" i="16"/>
  <c r="K1431" i="16"/>
  <c r="K1433" i="16" s="1"/>
  <c r="K622" i="16"/>
  <c r="K197" i="16"/>
  <c r="K1746" i="12"/>
  <c r="K1728" i="12"/>
  <c r="K132" i="20"/>
  <c r="K116" i="18"/>
  <c r="K1445" i="16"/>
  <c r="K1447" i="16" s="1"/>
  <c r="K158" i="20"/>
  <c r="K30" i="16"/>
  <c r="K2039" i="16"/>
  <c r="K2065" i="16" s="1"/>
  <c r="K2093" i="16" s="1"/>
  <c r="K1783" i="12"/>
  <c r="K428" i="16"/>
  <c r="K242" i="10"/>
  <c r="K1740" i="12"/>
  <c r="K1500" i="16"/>
  <c r="K363" i="16" s="1"/>
  <c r="K1803" i="12"/>
  <c r="K103" i="22"/>
  <c r="U113" i="22"/>
  <c r="U117" i="22" s="1"/>
  <c r="T118" i="22"/>
  <c r="K98" i="20"/>
  <c r="K83" i="18"/>
  <c r="K1804" i="12"/>
  <c r="K1400" i="12"/>
  <c r="K443" i="16"/>
  <c r="K617" i="12"/>
  <c r="K1799" i="12"/>
  <c r="K35" i="11"/>
  <c r="K222" i="11"/>
  <c r="K1835" i="12"/>
  <c r="K575" i="16"/>
  <c r="K1181" i="12"/>
  <c r="K175" i="20"/>
  <c r="K138" i="20"/>
  <c r="K583" i="16"/>
  <c r="K273" i="16"/>
  <c r="K1777" i="12"/>
  <c r="K355" i="16"/>
  <c r="K96" i="18"/>
  <c r="K1790" i="12"/>
  <c r="K454" i="16"/>
  <c r="K150" i="20"/>
  <c r="K1741" i="12"/>
  <c r="K1748" i="12"/>
  <c r="K362" i="16"/>
  <c r="K1640" i="12"/>
  <c r="K1706" i="12"/>
  <c r="K1704" i="12"/>
  <c r="K1688" i="12"/>
  <c r="K101" i="20"/>
  <c r="K420" i="16"/>
  <c r="K1814" i="12"/>
  <c r="K177" i="20"/>
  <c r="K1502" i="16"/>
  <c r="K365" i="16" s="1"/>
  <c r="K69" i="20"/>
  <c r="K121" i="22"/>
  <c r="K1801" i="12"/>
  <c r="K1750" i="12"/>
  <c r="K1737" i="12"/>
  <c r="K1696" i="12"/>
  <c r="K1689" i="12"/>
  <c r="K1758" i="12"/>
  <c r="K1755" i="12"/>
  <c r="K205" i="20"/>
  <c r="K1398" i="12"/>
  <c r="K1441" i="16"/>
  <c r="K12" i="11"/>
  <c r="K131" i="20"/>
  <c r="K328" i="16"/>
  <c r="K1448" i="16"/>
  <c r="K1408" i="16"/>
  <c r="K1825" i="12"/>
  <c r="K46" i="16"/>
  <c r="K171" i="20"/>
  <c r="K117" i="20"/>
  <c r="K1770" i="12"/>
  <c r="K1666" i="12"/>
  <c r="K195" i="20"/>
  <c r="K91" i="12"/>
  <c r="K12" i="22"/>
  <c r="K452" i="16"/>
  <c r="K1835" i="16"/>
  <c r="K460" i="16" s="1"/>
  <c r="K1877" i="16"/>
  <c r="K1833" i="12"/>
  <c r="K32" i="22"/>
  <c r="K143" i="20"/>
  <c r="K1817" i="12"/>
  <c r="K160" i="20"/>
  <c r="K1757" i="12"/>
  <c r="K940" i="12"/>
  <c r="K421" i="16"/>
  <c r="K59" i="20"/>
  <c r="K1530" i="16"/>
  <c r="K32" i="12"/>
  <c r="K104" i="11"/>
  <c r="K46" i="10"/>
  <c r="K1782" i="12"/>
  <c r="K1731" i="12"/>
  <c r="K1503" i="16"/>
  <c r="K366" i="16" s="1"/>
  <c r="K444" i="16"/>
  <c r="K1786" i="12"/>
  <c r="K1668" i="12"/>
  <c r="K74" i="18"/>
  <c r="K1830" i="12"/>
  <c r="K1823" i="12"/>
  <c r="K136" i="20"/>
  <c r="K276" i="16"/>
  <c r="K1839" i="12"/>
  <c r="K1752" i="12"/>
  <c r="K269" i="16"/>
  <c r="K12" i="12"/>
  <c r="K1399" i="12"/>
  <c r="K360" i="16"/>
  <c r="K1812" i="12"/>
  <c r="K356" i="16"/>
  <c r="K275" i="16"/>
  <c r="K1826" i="12"/>
  <c r="K68" i="22"/>
  <c r="K176" i="20"/>
  <c r="K1727" i="12"/>
  <c r="K120" i="20"/>
  <c r="K278" i="16"/>
  <c r="K361" i="16"/>
  <c r="K1834" i="12"/>
  <c r="K448" i="16"/>
  <c r="K1537" i="16"/>
  <c r="K921" i="12"/>
  <c r="K134" i="20"/>
  <c r="K417" i="16"/>
  <c r="K122" i="20"/>
  <c r="K408" i="16"/>
  <c r="K564" i="16"/>
  <c r="C1165" i="20"/>
  <c r="C1170" i="20"/>
  <c r="K1744" i="12"/>
  <c r="K1800" i="12"/>
  <c r="K95" i="11"/>
  <c r="K124" i="20"/>
  <c r="K1682" i="12"/>
  <c r="K1691" i="12"/>
  <c r="K2031" i="16"/>
  <c r="K190" i="20"/>
  <c r="K1669" i="12"/>
  <c r="K140" i="20"/>
  <c r="K1557" i="16"/>
  <c r="K53" i="11"/>
  <c r="K121" i="20"/>
  <c r="K445" i="16"/>
  <c r="K12" i="16"/>
  <c r="K192" i="16" s="1"/>
  <c r="K1155" i="16" s="1"/>
  <c r="K1158" i="16" s="1"/>
  <c r="K248" i="16" s="1"/>
  <c r="K1832" i="12"/>
  <c r="K1772" i="12"/>
  <c r="K1523" i="16"/>
  <c r="K1702" i="12"/>
  <c r="K1664" i="12"/>
  <c r="K329" i="16"/>
  <c r="K1722" i="12"/>
  <c r="K1747" i="12"/>
  <c r="K2032" i="16"/>
  <c r="K2045" i="16" s="1"/>
  <c r="K1404" i="12"/>
  <c r="K456" i="16"/>
  <c r="K116" i="20"/>
  <c r="K1676" i="12"/>
  <c r="K31" i="20"/>
  <c r="K433" i="16"/>
  <c r="K216" i="16"/>
  <c r="K625" i="16"/>
  <c r="K617" i="16"/>
  <c r="K1910" i="16"/>
  <c r="K61" i="20"/>
  <c r="K114" i="12"/>
  <c r="K424" i="16"/>
  <c r="K44" i="11"/>
  <c r="K23" i="12"/>
  <c r="K189" i="20"/>
  <c r="K2033" i="16"/>
  <c r="K1703" i="12"/>
  <c r="K1767" i="12"/>
  <c r="K1784" i="12"/>
  <c r="K1713" i="12"/>
  <c r="K1680" i="12"/>
  <c r="K142" i="20"/>
  <c r="K1822" i="12"/>
  <c r="K240" i="11"/>
  <c r="K1638" i="12"/>
  <c r="K70" i="20"/>
  <c r="K1678" i="12"/>
  <c r="K621" i="16"/>
  <c r="K197" i="20"/>
  <c r="K698" i="16"/>
  <c r="K427" i="16"/>
  <c r="K1698" i="12"/>
  <c r="K1679" i="12"/>
  <c r="K1695" i="12"/>
  <c r="K1504" i="16"/>
  <c r="K367" i="16" s="1"/>
  <c r="K2034" i="16"/>
  <c r="K2047" i="16" s="1"/>
  <c r="K620" i="16"/>
  <c r="K431" i="16"/>
  <c r="K1280" i="16"/>
  <c r="K1282" i="16" s="1"/>
  <c r="K63" i="12"/>
  <c r="K1743" i="12"/>
  <c r="K422" i="16"/>
  <c r="K1831" i="12"/>
  <c r="K1554" i="16"/>
  <c r="K174" i="16"/>
  <c r="K141" i="16"/>
  <c r="K506" i="20"/>
  <c r="K507" i="20" s="1"/>
  <c r="K508" i="20" s="1"/>
  <c r="K1585" i="16"/>
  <c r="C891" i="20"/>
  <c r="D885" i="20"/>
  <c r="E885" i="20" s="1"/>
  <c r="C886" i="20"/>
  <c r="C887" i="20" s="1"/>
  <c r="C885" i="20"/>
  <c r="C517" i="20"/>
  <c r="D511" i="20"/>
  <c r="C511" i="20"/>
  <c r="D512" i="20"/>
  <c r="C512" i="20"/>
  <c r="C513" i="20" s="1"/>
  <c r="K892" i="16"/>
  <c r="K1907" i="16"/>
  <c r="K1575" i="16"/>
  <c r="K1301" i="16"/>
  <c r="K1303" i="16" s="1"/>
  <c r="K1304" i="16"/>
  <c r="K79" i="16"/>
  <c r="K157" i="16"/>
  <c r="K95" i="16"/>
  <c r="K100" i="16"/>
  <c r="K97" i="16"/>
  <c r="K96" i="16"/>
  <c r="K102" i="16"/>
  <c r="K101" i="16"/>
  <c r="K135" i="16"/>
  <c r="K103" i="16"/>
  <c r="K98" i="16"/>
  <c r="K104" i="16"/>
  <c r="K99" i="16"/>
  <c r="K874" i="16"/>
  <c r="K880" i="16"/>
  <c r="K886" i="16"/>
  <c r="D1918" i="16"/>
  <c r="E909" i="16"/>
  <c r="E908" i="16"/>
  <c r="F908" i="16" s="1"/>
  <c r="C910" i="16"/>
  <c r="D908" i="16"/>
  <c r="D898" i="16"/>
  <c r="F897" i="16" s="1"/>
  <c r="D903" i="16"/>
  <c r="D913" i="16"/>
  <c r="K62" i="16"/>
  <c r="K154" i="20"/>
  <c r="K1773" i="12"/>
  <c r="K1681" i="12"/>
  <c r="K219" i="10"/>
  <c r="K786" i="16"/>
  <c r="K334" i="10"/>
  <c r="K1771" i="12"/>
  <c r="K1163" i="12"/>
  <c r="K2037" i="16"/>
  <c r="K2063" i="16" s="1"/>
  <c r="K2077" i="16" s="1"/>
  <c r="K1756" i="12"/>
  <c r="K1726" i="12"/>
  <c r="K1806" i="12"/>
  <c r="K133" i="20"/>
  <c r="K1779" i="12"/>
  <c r="K1725" i="12"/>
  <c r="K103" i="20"/>
  <c r="K615" i="16"/>
  <c r="K1738" i="12"/>
  <c r="K63" i="20"/>
  <c r="K453" i="16"/>
  <c r="K1903" i="16"/>
  <c r="K1644" i="12"/>
  <c r="K38" i="16"/>
  <c r="K100" i="12"/>
  <c r="K1697" i="12"/>
  <c r="K67" i="20"/>
  <c r="K42" i="12"/>
  <c r="K1730" i="12"/>
  <c r="K1889" i="16"/>
  <c r="K1157" i="12"/>
  <c r="K1421" i="12"/>
  <c r="K1442" i="12" s="1"/>
  <c r="K413" i="10"/>
  <c r="K1837" i="16"/>
  <c r="K462" i="16" s="1"/>
  <c r="K1671" i="12"/>
  <c r="K1729" i="12"/>
  <c r="K1677" i="12"/>
  <c r="K1661" i="12"/>
  <c r="K148" i="20"/>
  <c r="K80" i="20"/>
  <c r="K49" i="20"/>
  <c r="K1715" i="12"/>
  <c r="K578" i="16"/>
  <c r="K436" i="16"/>
  <c r="K1290" i="16"/>
  <c r="K1834" i="16"/>
  <c r="K459" i="16" s="1"/>
  <c r="K127" i="10"/>
  <c r="K1778" i="12"/>
  <c r="K1794" i="12"/>
  <c r="K44" i="18"/>
  <c r="K2085" i="16"/>
  <c r="K81" i="20"/>
  <c r="K172" i="20"/>
  <c r="K1667" i="12"/>
  <c r="K162" i="11"/>
  <c r="K190" i="10"/>
  <c r="K1736" i="12"/>
  <c r="K1308" i="16"/>
  <c r="K1309" i="16" s="1"/>
  <c r="J201" i="18"/>
  <c r="K1836" i="16"/>
  <c r="K461" i="16" s="1"/>
  <c r="K32" i="8"/>
  <c r="K31" i="8" s="1"/>
  <c r="K68" i="18" s="1"/>
  <c r="K439" i="16"/>
  <c r="K1501" i="16"/>
  <c r="K364" i="16" s="1"/>
  <c r="K1761" i="12"/>
  <c r="K1880" i="12"/>
  <c r="K1919" i="12" s="1"/>
  <c r="K358" i="16"/>
  <c r="K1723" i="12"/>
  <c r="K1675" i="12"/>
  <c r="K2035" i="16"/>
  <c r="K188" i="20"/>
  <c r="K180" i="11"/>
  <c r="K125" i="20"/>
  <c r="K94" i="22"/>
  <c r="K60" i="20"/>
  <c r="K574" i="16"/>
  <c r="K327" i="16"/>
  <c r="K82" i="20"/>
  <c r="K1751" i="12"/>
  <c r="K1837" i="12"/>
  <c r="K1459" i="16"/>
  <c r="K1461" i="16" s="1"/>
  <c r="K354" i="16"/>
  <c r="K1701" i="12"/>
  <c r="K437" i="16"/>
  <c r="K2036" i="16"/>
  <c r="K191" i="20"/>
  <c r="K429" i="16"/>
  <c r="K330" i="16"/>
  <c r="K1733" i="12"/>
  <c r="J369" i="10"/>
  <c r="M79" i="10"/>
  <c r="N79" i="10" s="1"/>
  <c r="E1581" i="16"/>
  <c r="D1581" i="16" s="1"/>
  <c r="E1580" i="16"/>
  <c r="F1580" i="16" s="1"/>
  <c r="D1580" i="16"/>
  <c r="D1586" i="16"/>
  <c r="B1579" i="16"/>
  <c r="D1993" i="16"/>
  <c r="D1418" i="16"/>
  <c r="D1470" i="16"/>
  <c r="E1465" i="16"/>
  <c r="D1465" i="16" s="1"/>
  <c r="E1464" i="16"/>
  <c r="F1464" i="16" s="1"/>
  <c r="B1463" i="16"/>
  <c r="D1464" i="16"/>
  <c r="K1469" i="16"/>
  <c r="J33" i="10"/>
  <c r="J37" i="10" s="1"/>
  <c r="J39" i="10" s="1"/>
  <c r="J42" i="10" s="1"/>
  <c r="J100" i="10" s="1"/>
  <c r="J99" i="10" s="1"/>
  <c r="J121" i="10" s="1"/>
  <c r="D157" i="8"/>
  <c r="J321" i="10"/>
  <c r="J416" i="10"/>
  <c r="J399" i="10"/>
  <c r="G12" i="10"/>
  <c r="G413" i="10"/>
  <c r="I52" i="18"/>
  <c r="G98" i="10"/>
  <c r="I199" i="18"/>
  <c r="G83" i="18"/>
  <c r="G300" i="10"/>
  <c r="G334" i="10"/>
  <c r="I37" i="18"/>
  <c r="D149" i="9"/>
  <c r="H18" i="18"/>
  <c r="H23" i="18" s="1"/>
  <c r="G12" i="11"/>
  <c r="G124" i="11" s="1"/>
  <c r="G63" i="18"/>
  <c r="F68" i="22" s="1"/>
  <c r="G116" i="18"/>
  <c r="G46" i="10"/>
  <c r="G127" i="10"/>
  <c r="G12" i="18"/>
  <c r="G75" i="10"/>
  <c r="G385" i="10"/>
  <c r="G242" i="10"/>
  <c r="G363" i="10"/>
  <c r="C11" i="9"/>
  <c r="C93" i="9" s="1"/>
  <c r="G31" i="8"/>
  <c r="G147" i="10" s="1"/>
  <c r="G47" i="18" s="1"/>
  <c r="G107" i="18"/>
  <c r="G271" i="10"/>
  <c r="G219" i="10"/>
  <c r="G12" i="12"/>
  <c r="G114" i="12" s="1"/>
  <c r="G520" i="12" s="1"/>
  <c r="G29" i="18"/>
  <c r="G44" i="18"/>
  <c r="G74" i="18"/>
  <c r="G96" i="18"/>
  <c r="G190" i="10"/>
  <c r="H433" i="10"/>
  <c r="H146" i="10"/>
  <c r="H32" i="18" s="1"/>
  <c r="H37" i="18" s="1"/>
  <c r="H48" i="18"/>
  <c r="H53" i="18" s="1"/>
  <c r="H33" i="18"/>
  <c r="H38" i="18" s="1"/>
  <c r="H145" i="10"/>
  <c r="H17" i="18" s="1"/>
  <c r="H22" i="18" s="1"/>
  <c r="H147" i="10"/>
  <c r="H47" i="18" s="1"/>
  <c r="H52" i="18" s="1"/>
  <c r="M51" i="22"/>
  <c r="M55" i="22" s="1"/>
  <c r="L56" i="22"/>
  <c r="L85" i="10"/>
  <c r="M60" i="22"/>
  <c r="L64" i="22"/>
  <c r="K114" i="10"/>
  <c r="K84" i="10"/>
  <c r="K118" i="10" s="1"/>
  <c r="J37" i="18"/>
  <c r="J200" i="18"/>
  <c r="L38" i="22"/>
  <c r="L106" i="11" s="1"/>
  <c r="L71" i="10"/>
  <c r="M33" i="22"/>
  <c r="M37" i="22" s="1"/>
  <c r="K89" i="10"/>
  <c r="K113" i="10" s="1"/>
  <c r="K65" i="22"/>
  <c r="K92" i="12" s="1"/>
  <c r="O22" i="20"/>
  <c r="N92" i="10"/>
  <c r="J431" i="10"/>
  <c r="J389" i="10"/>
  <c r="N77" i="10"/>
  <c r="O15" i="22"/>
  <c r="O17" i="22" s="1"/>
  <c r="D137" i="8"/>
  <c r="L126" i="8" l="1"/>
  <c r="L27" i="8"/>
  <c r="L11" i="12" s="1"/>
  <c r="K770" i="16"/>
  <c r="K232" i="20" s="1"/>
  <c r="L1142" i="12"/>
  <c r="L1145" i="12"/>
  <c r="L1144" i="12"/>
  <c r="L1146" i="12"/>
  <c r="L1143" i="12"/>
  <c r="L1133" i="12"/>
  <c r="L1135" i="12"/>
  <c r="L1137" i="12"/>
  <c r="L1134" i="12"/>
  <c r="L1136" i="12"/>
  <c r="L1090" i="12"/>
  <c r="L1098" i="12"/>
  <c r="L1106" i="12"/>
  <c r="L1114" i="12"/>
  <c r="L1095" i="12"/>
  <c r="L1103" i="12"/>
  <c r="L1111" i="12"/>
  <c r="L1119" i="12"/>
  <c r="L1092" i="12"/>
  <c r="L1100" i="12"/>
  <c r="L1108" i="12"/>
  <c r="L1116" i="12"/>
  <c r="L1097" i="12"/>
  <c r="L1105" i="12"/>
  <c r="L1113" i="12"/>
  <c r="L1094" i="12"/>
  <c r="L1102" i="12"/>
  <c r="L1110" i="12"/>
  <c r="L1118" i="12"/>
  <c r="L1104" i="12"/>
  <c r="L1112" i="12"/>
  <c r="L1091" i="12"/>
  <c r="L1099" i="12"/>
  <c r="L1107" i="12"/>
  <c r="L1115" i="12"/>
  <c r="L1093" i="12"/>
  <c r="L1101" i="12"/>
  <c r="L1109" i="12"/>
  <c r="L1117" i="12"/>
  <c r="L1096" i="12"/>
  <c r="L1046" i="12"/>
  <c r="L1054" i="12"/>
  <c r="L1062" i="12"/>
  <c r="L1070" i="12"/>
  <c r="L1078" i="12"/>
  <c r="L1050" i="12"/>
  <c r="L1051" i="12"/>
  <c r="L1059" i="12"/>
  <c r="L1067" i="12"/>
  <c r="L1075" i="12"/>
  <c r="L1083" i="12"/>
  <c r="L1066" i="12"/>
  <c r="L1048" i="12"/>
  <c r="L1056" i="12"/>
  <c r="L1064" i="12"/>
  <c r="L1072" i="12"/>
  <c r="L1080" i="12"/>
  <c r="L1058" i="12"/>
  <c r="L1074" i="12"/>
  <c r="L1053" i="12"/>
  <c r="L1061" i="12"/>
  <c r="L1069" i="12"/>
  <c r="L1077" i="12"/>
  <c r="L1085" i="12"/>
  <c r="L1047" i="12"/>
  <c r="L1055" i="12"/>
  <c r="L1063" i="12"/>
  <c r="L1071" i="12"/>
  <c r="L1079" i="12"/>
  <c r="L1057" i="12"/>
  <c r="L1052" i="12"/>
  <c r="L1060" i="12"/>
  <c r="L1068" i="12"/>
  <c r="L1076" i="12"/>
  <c r="L1084" i="12"/>
  <c r="L1049" i="12"/>
  <c r="L1065" i="12"/>
  <c r="L1082" i="12"/>
  <c r="L1081" i="12"/>
  <c r="L1073" i="12"/>
  <c r="L1001" i="12"/>
  <c r="L1009" i="12"/>
  <c r="L1017" i="12"/>
  <c r="L1025" i="12"/>
  <c r="L1033" i="12"/>
  <c r="L1006" i="12"/>
  <c r="L1014" i="12"/>
  <c r="L1022" i="12"/>
  <c r="L1030" i="12"/>
  <c r="L1038" i="12"/>
  <c r="L1003" i="12"/>
  <c r="L1011" i="12"/>
  <c r="L1019" i="12"/>
  <c r="L1027" i="12"/>
  <c r="L1035" i="12"/>
  <c r="L1008" i="12"/>
  <c r="L1016" i="12"/>
  <c r="L1024" i="12"/>
  <c r="L1032" i="12"/>
  <c r="L1040" i="12"/>
  <c r="L1007" i="12"/>
  <c r="L1005" i="12"/>
  <c r="L1013" i="12"/>
  <c r="L1021" i="12"/>
  <c r="L1029" i="12"/>
  <c r="L1037" i="12"/>
  <c r="L1002" i="12"/>
  <c r="L1010" i="12"/>
  <c r="L1018" i="12"/>
  <c r="L1026" i="12"/>
  <c r="L1034" i="12"/>
  <c r="L1015" i="12"/>
  <c r="L1004" i="12"/>
  <c r="L1012" i="12"/>
  <c r="L1020" i="12"/>
  <c r="L1028" i="12"/>
  <c r="L1036" i="12"/>
  <c r="L1031" i="12"/>
  <c r="L1023" i="12"/>
  <c r="L1039" i="12"/>
  <c r="L991" i="12"/>
  <c r="L994" i="12"/>
  <c r="L993" i="12"/>
  <c r="L995" i="12"/>
  <c r="L992" i="12"/>
  <c r="L967" i="12"/>
  <c r="L975" i="12"/>
  <c r="L983" i="12"/>
  <c r="L981" i="12"/>
  <c r="L972" i="12"/>
  <c r="L980" i="12"/>
  <c r="L969" i="12"/>
  <c r="L977" i="12"/>
  <c r="L985" i="12"/>
  <c r="L974" i="12"/>
  <c r="L982" i="12"/>
  <c r="L971" i="12"/>
  <c r="L979" i="12"/>
  <c r="L973" i="12"/>
  <c r="L968" i="12"/>
  <c r="L976" i="12"/>
  <c r="L984" i="12"/>
  <c r="L970" i="12"/>
  <c r="L978" i="12"/>
  <c r="L986" i="12"/>
  <c r="L900" i="12"/>
  <c r="L903" i="12"/>
  <c r="L902" i="12"/>
  <c r="L904" i="12"/>
  <c r="L901" i="12"/>
  <c r="L891" i="12"/>
  <c r="L893" i="12"/>
  <c r="L892" i="12"/>
  <c r="L895" i="12"/>
  <c r="L894" i="12"/>
  <c r="L848" i="12"/>
  <c r="L856" i="12"/>
  <c r="L864" i="12"/>
  <c r="L872" i="12"/>
  <c r="L853" i="12"/>
  <c r="L861" i="12"/>
  <c r="L869" i="12"/>
  <c r="L877" i="12"/>
  <c r="L849" i="12"/>
  <c r="L1332" i="12" s="1"/>
  <c r="L865" i="12"/>
  <c r="L850" i="12"/>
  <c r="L858" i="12"/>
  <c r="L866" i="12"/>
  <c r="L874" i="12"/>
  <c r="L855" i="12"/>
  <c r="L863" i="12"/>
  <c r="L871" i="12"/>
  <c r="L857" i="12"/>
  <c r="L852" i="12"/>
  <c r="L1335" i="12" s="1"/>
  <c r="L860" i="12"/>
  <c r="L868" i="12"/>
  <c r="L876" i="12"/>
  <c r="L873" i="12"/>
  <c r="L854" i="12"/>
  <c r="L862" i="12"/>
  <c r="L870" i="12"/>
  <c r="L851" i="12"/>
  <c r="L859" i="12"/>
  <c r="L867" i="12"/>
  <c r="L875" i="12"/>
  <c r="L804" i="12"/>
  <c r="L812" i="12"/>
  <c r="L820" i="12"/>
  <c r="L828" i="12"/>
  <c r="L836" i="12"/>
  <c r="L810" i="12"/>
  <c r="L818" i="12"/>
  <c r="L809" i="12"/>
  <c r="L817" i="12"/>
  <c r="L825" i="12"/>
  <c r="L833" i="12"/>
  <c r="L841" i="12"/>
  <c r="L806" i="12"/>
  <c r="L814" i="12"/>
  <c r="L822" i="12"/>
  <c r="L830" i="12"/>
  <c r="L838" i="12"/>
  <c r="L811" i="12"/>
  <c r="L819" i="12"/>
  <c r="L827" i="12"/>
  <c r="L835" i="12"/>
  <c r="L843" i="12"/>
  <c r="L826" i="12"/>
  <c r="L808" i="12"/>
  <c r="L1291" i="12" s="1"/>
  <c r="L816" i="12"/>
  <c r="L824" i="12"/>
  <c r="L832" i="12"/>
  <c r="L840" i="12"/>
  <c r="L842" i="12"/>
  <c r="L805" i="12"/>
  <c r="L1288" i="12" s="1"/>
  <c r="L813" i="12"/>
  <c r="L821" i="12"/>
  <c r="L829" i="12"/>
  <c r="L837" i="12"/>
  <c r="L807" i="12"/>
  <c r="L815" i="12"/>
  <c r="L823" i="12"/>
  <c r="L831" i="12"/>
  <c r="L839" i="12"/>
  <c r="L834" i="12"/>
  <c r="K1237" i="12"/>
  <c r="K1394" i="12" s="1"/>
  <c r="L759" i="12"/>
  <c r="L767" i="12"/>
  <c r="L775" i="12"/>
  <c r="L783" i="12"/>
  <c r="L791" i="12"/>
  <c r="L764" i="12"/>
  <c r="L772" i="12"/>
  <c r="L780" i="12"/>
  <c r="L788" i="12"/>
  <c r="L796" i="12"/>
  <c r="L761" i="12"/>
  <c r="L769" i="12"/>
  <c r="L777" i="12"/>
  <c r="L785" i="12"/>
  <c r="L793" i="12"/>
  <c r="L766" i="12"/>
  <c r="L774" i="12"/>
  <c r="L782" i="12"/>
  <c r="L790" i="12"/>
  <c r="L798" i="12"/>
  <c r="L763" i="12"/>
  <c r="L1246" i="12" s="1"/>
  <c r="L771" i="12"/>
  <c r="L779" i="12"/>
  <c r="L787" i="12"/>
  <c r="L795" i="12"/>
  <c r="L760" i="12"/>
  <c r="L1243" i="12" s="1"/>
  <c r="L768" i="12"/>
  <c r="L776" i="12"/>
  <c r="L784" i="12"/>
  <c r="L792" i="12"/>
  <c r="L765" i="12"/>
  <c r="L773" i="12"/>
  <c r="L781" i="12"/>
  <c r="L789" i="12"/>
  <c r="L797" i="12"/>
  <c r="L762" i="12"/>
  <c r="L770" i="12"/>
  <c r="L778" i="12"/>
  <c r="L786" i="12"/>
  <c r="L794" i="12"/>
  <c r="L749" i="12"/>
  <c r="L750" i="12"/>
  <c r="L1233" i="12" s="1"/>
  <c r="L751" i="12"/>
  <c r="L753" i="12"/>
  <c r="L752" i="12"/>
  <c r="K1282" i="12"/>
  <c r="K1395" i="12" s="1"/>
  <c r="K1361" i="12"/>
  <c r="K1397" i="12" s="1"/>
  <c r="K1327" i="12"/>
  <c r="K1396" i="12" s="1"/>
  <c r="L725" i="12"/>
  <c r="L733" i="12"/>
  <c r="L741" i="12"/>
  <c r="L737" i="12"/>
  <c r="L730" i="12"/>
  <c r="L738" i="12"/>
  <c r="L727" i="12"/>
  <c r="L735" i="12"/>
  <c r="L743" i="12"/>
  <c r="L732" i="12"/>
  <c r="L740" i="12"/>
  <c r="L729" i="12"/>
  <c r="L1212" i="12" s="1"/>
  <c r="L726" i="12"/>
  <c r="L1209" i="12" s="1"/>
  <c r="L734" i="12"/>
  <c r="L742" i="12"/>
  <c r="L736" i="12"/>
  <c r="L731" i="12"/>
  <c r="L739" i="12"/>
  <c r="L728" i="12"/>
  <c r="L744" i="12"/>
  <c r="L943" i="12"/>
  <c r="L944" i="12"/>
  <c r="L948" i="12"/>
  <c r="L952" i="12"/>
  <c r="L956" i="12"/>
  <c r="L960" i="12"/>
  <c r="L947" i="12"/>
  <c r="L951" i="12"/>
  <c r="L955" i="12"/>
  <c r="L959" i="12"/>
  <c r="L946" i="12"/>
  <c r="L950" i="12"/>
  <c r="L954" i="12"/>
  <c r="L958" i="12"/>
  <c r="L962" i="12"/>
  <c r="L945" i="12"/>
  <c r="L949" i="12"/>
  <c r="L953" i="12"/>
  <c r="L957" i="12"/>
  <c r="L961" i="12"/>
  <c r="L701" i="12"/>
  <c r="L702" i="12"/>
  <c r="L1185" i="12" s="1"/>
  <c r="L706" i="12"/>
  <c r="L710" i="12"/>
  <c r="L714" i="12"/>
  <c r="L718" i="12"/>
  <c r="L705" i="12"/>
  <c r="L1188" i="12" s="1"/>
  <c r="L709" i="12"/>
  <c r="L713" i="12"/>
  <c r="L717" i="12"/>
  <c r="L720" i="12"/>
  <c r="L716" i="12"/>
  <c r="L704" i="12"/>
  <c r="L708" i="12"/>
  <c r="L712" i="12"/>
  <c r="L703" i="12"/>
  <c r="L707" i="12"/>
  <c r="L711" i="12"/>
  <c r="L715" i="12"/>
  <c r="L719" i="12"/>
  <c r="L157" i="16"/>
  <c r="I150" i="10"/>
  <c r="I424" i="10"/>
  <c r="I368" i="10"/>
  <c r="I364" i="10" s="1"/>
  <c r="I417" i="10"/>
  <c r="I387" i="10"/>
  <c r="I386" i="10" s="1"/>
  <c r="I407" i="10" s="1"/>
  <c r="G100" i="10"/>
  <c r="G99" i="10" s="1"/>
  <c r="G121" i="10" s="1"/>
  <c r="G123" i="10" s="1"/>
  <c r="G138" i="10"/>
  <c r="G81" i="10"/>
  <c r="G76" i="10" s="1"/>
  <c r="G131" i="10"/>
  <c r="G132" i="10"/>
  <c r="I94" i="10"/>
  <c r="I137" i="10" s="1"/>
  <c r="I142" i="10"/>
  <c r="H137" i="10"/>
  <c r="H2006" i="16"/>
  <c r="I1999" i="16" a="1"/>
  <c r="I1999" i="16" s="1"/>
  <c r="H1325" i="16"/>
  <c r="I1318" i="16" a="1"/>
  <c r="I1318" i="16" s="1"/>
  <c r="H1931" i="16"/>
  <c r="I1924" i="16" a="1"/>
  <c r="I1924" i="16" s="1"/>
  <c r="H1179" i="16"/>
  <c r="I1172" i="16" a="1"/>
  <c r="I1172" i="16" s="1"/>
  <c r="H1476" i="16"/>
  <c r="I1469" i="16" a="1"/>
  <c r="I1469" i="16" s="1"/>
  <c r="H1599" i="16"/>
  <c r="I1592" i="16" a="1"/>
  <c r="I1592" i="16" s="1"/>
  <c r="K264" i="12"/>
  <c r="J880" i="20" a="1"/>
  <c r="J880" i="20" s="1"/>
  <c r="D884" i="20"/>
  <c r="K136" i="16"/>
  <c r="K1228" i="12"/>
  <c r="K1393" i="12" s="1"/>
  <c r="H432" i="10"/>
  <c r="M380" i="10"/>
  <c r="N91" i="10"/>
  <c r="M91" i="10"/>
  <c r="M105" i="10" s="1"/>
  <c r="I135" i="10"/>
  <c r="G423" i="10"/>
  <c r="G421" i="10"/>
  <c r="M370" i="10"/>
  <c r="H423" i="10"/>
  <c r="H421" i="10"/>
  <c r="G390" i="10"/>
  <c r="G386" i="10" s="1"/>
  <c r="G407" i="10" s="1"/>
  <c r="G409" i="10" s="1"/>
  <c r="H390" i="10"/>
  <c r="H386" i="10" s="1"/>
  <c r="H407" i="10" s="1"/>
  <c r="H126" i="18"/>
  <c r="G126" i="18"/>
  <c r="H132" i="10"/>
  <c r="H95" i="10"/>
  <c r="H96" i="10"/>
  <c r="L499" i="20"/>
  <c r="L501" i="20" s="1"/>
  <c r="D1466" i="16"/>
  <c r="F1465" i="16" s="1"/>
  <c r="D1419" i="16"/>
  <c r="F1418" i="16" s="1"/>
  <c r="K1419" i="16" s="1"/>
  <c r="K2139" i="16" s="1"/>
  <c r="E511" i="20"/>
  <c r="E512" i="20" s="1"/>
  <c r="K513" i="20" s="1"/>
  <c r="F1567" i="16"/>
  <c r="K1568" i="16" s="1"/>
  <c r="K2161" i="16" s="1"/>
  <c r="F1307" i="16"/>
  <c r="D1912" i="16"/>
  <c r="E1912" i="16"/>
  <c r="F1912" i="16" s="1"/>
  <c r="D1892" i="16"/>
  <c r="D1893" i="16" s="1"/>
  <c r="F1147" i="16"/>
  <c r="K1896" i="16" s="1"/>
  <c r="E1899" i="16"/>
  <c r="D1582" i="16"/>
  <c r="F1581" i="16" s="1"/>
  <c r="D1885" i="16"/>
  <c r="D1886" i="16" s="1"/>
  <c r="D1914" i="16"/>
  <c r="D360" i="20"/>
  <c r="C362" i="20"/>
  <c r="C363" i="20" s="1"/>
  <c r="K363" i="20" s="1"/>
  <c r="K364" i="20" s="1"/>
  <c r="K2066" i="16"/>
  <c r="K2080" i="16" s="1"/>
  <c r="K2052" i="16"/>
  <c r="K2054" i="16"/>
  <c r="K2064" i="16"/>
  <c r="K2078" i="16" s="1"/>
  <c r="L32" i="8"/>
  <c r="L31" i="8" s="1"/>
  <c r="L68" i="18" s="1"/>
  <c r="L201" i="16"/>
  <c r="L205" i="16"/>
  <c r="L209" i="16"/>
  <c r="L213" i="16"/>
  <c r="L127" i="16"/>
  <c r="L206" i="16"/>
  <c r="L210" i="16"/>
  <c r="L214" i="16"/>
  <c r="L200" i="16"/>
  <c r="L204" i="16"/>
  <c r="L208" i="16"/>
  <c r="L212" i="16"/>
  <c r="L119" i="16"/>
  <c r="L199" i="16"/>
  <c r="L203" i="16"/>
  <c r="L207" i="16"/>
  <c r="L211" i="16"/>
  <c r="L215" i="16"/>
  <c r="L202" i="16"/>
  <c r="L115" i="16"/>
  <c r="L126" i="16"/>
  <c r="L108" i="16"/>
  <c r="L125" i="16"/>
  <c r="L130" i="16"/>
  <c r="L112" i="16"/>
  <c r="L129" i="16"/>
  <c r="L121" i="16"/>
  <c r="L134" i="16"/>
  <c r="L116" i="16"/>
  <c r="L133" i="16"/>
  <c r="L111" i="16"/>
  <c r="L106" i="16"/>
  <c r="L120" i="16"/>
  <c r="L105" i="16"/>
  <c r="L110" i="16"/>
  <c r="L124" i="16"/>
  <c r="L109" i="16"/>
  <c r="L107" i="16"/>
  <c r="L114" i="16"/>
  <c r="L123" i="16"/>
  <c r="L128" i="16"/>
  <c r="L113" i="16"/>
  <c r="L118" i="16"/>
  <c r="L132" i="16"/>
  <c r="L131" i="16"/>
  <c r="L117" i="16"/>
  <c r="L122" i="16"/>
  <c r="L47" i="20"/>
  <c r="L33" i="20"/>
  <c r="L39" i="20"/>
  <c r="L40" i="20"/>
  <c r="L36" i="20"/>
  <c r="L35" i="20"/>
  <c r="L38" i="20"/>
  <c r="L42" i="20"/>
  <c r="L32" i="20"/>
  <c r="L37" i="20"/>
  <c r="L46" i="20"/>
  <c r="L44" i="20"/>
  <c r="L43" i="20"/>
  <c r="L45" i="20"/>
  <c r="L48" i="20"/>
  <c r="L34" i="20"/>
  <c r="L41" i="20"/>
  <c r="L1155" i="16"/>
  <c r="L1158" i="16" s="1"/>
  <c r="L248" i="16" s="1"/>
  <c r="J918" i="16"/>
  <c r="B913" i="16"/>
  <c r="K1162" i="16"/>
  <c r="K1169" i="16"/>
  <c r="D1180" i="16"/>
  <c r="D1187" i="16" s="1"/>
  <c r="E1175" i="16"/>
  <c r="E1174" i="16"/>
  <c r="F1174" i="16" s="1"/>
  <c r="D1174" i="16"/>
  <c r="D1168" i="16"/>
  <c r="D1169" i="16" s="1"/>
  <c r="F1168" i="16" s="1"/>
  <c r="K1924" i="16" s="1"/>
  <c r="K1156" i="16"/>
  <c r="K1157" i="16"/>
  <c r="K1134" i="16"/>
  <c r="K1135" i="16" s="1"/>
  <c r="K1136" i="16" s="1"/>
  <c r="K1148" i="16"/>
  <c r="C374" i="20"/>
  <c r="C368" i="20"/>
  <c r="D367" i="20"/>
  <c r="K356" i="20"/>
  <c r="K357" i="20" s="1"/>
  <c r="K335" i="20"/>
  <c r="K337" i="20" s="1"/>
  <c r="K349" i="20"/>
  <c r="D1313" i="16"/>
  <c r="E1313" i="16"/>
  <c r="F1313" i="16" s="1"/>
  <c r="E1314" i="16"/>
  <c r="D1314" i="16" s="1"/>
  <c r="B1312" i="16"/>
  <c r="D1319" i="16"/>
  <c r="B1319" i="16" s="1"/>
  <c r="K1283" i="16"/>
  <c r="K307" i="16" s="1"/>
  <c r="K322" i="16" s="1"/>
  <c r="K76" i="20" s="1"/>
  <c r="K116" i="12"/>
  <c r="K306" i="12"/>
  <c r="K2060" i="16"/>
  <c r="K2074" i="16" s="1"/>
  <c r="L1408" i="16"/>
  <c r="L62" i="20"/>
  <c r="L1501" i="16"/>
  <c r="L364" i="16" s="1"/>
  <c r="L270" i="16"/>
  <c r="L175" i="20"/>
  <c r="L1668" i="12"/>
  <c r="L1757" i="12"/>
  <c r="L2071" i="16"/>
  <c r="L12" i="12"/>
  <c r="L1664" i="12"/>
  <c r="L216" i="16"/>
  <c r="L1701" i="12"/>
  <c r="L129" i="20"/>
  <c r="L1682" i="12"/>
  <c r="L242" i="10"/>
  <c r="L104" i="16"/>
  <c r="L1825" i="12"/>
  <c r="L1434" i="16"/>
  <c r="L435" i="16"/>
  <c r="L358" i="16"/>
  <c r="L1806" i="12"/>
  <c r="L1739" i="12"/>
  <c r="L1441" i="16"/>
  <c r="L1735" i="12"/>
  <c r="L131" i="20"/>
  <c r="L1729" i="12"/>
  <c r="L1798" i="12"/>
  <c r="L1404" i="12"/>
  <c r="L32" i="22"/>
  <c r="L1690" i="12"/>
  <c r="L451" i="16"/>
  <c r="L169" i="20"/>
  <c r="L1585" i="16"/>
  <c r="L1502" i="16"/>
  <c r="L365" i="16" s="1"/>
  <c r="L44" i="18"/>
  <c r="L112" i="22"/>
  <c r="L1557" i="16"/>
  <c r="L66" i="20"/>
  <c r="L574" i="16"/>
  <c r="L434" i="16"/>
  <c r="L272" i="16"/>
  <c r="L1644" i="12"/>
  <c r="L96" i="16"/>
  <c r="L117" i="20"/>
  <c r="L141" i="20"/>
  <c r="L431" i="16"/>
  <c r="L356" i="16"/>
  <c r="L453" i="16"/>
  <c r="L420" i="16"/>
  <c r="L413" i="10"/>
  <c r="L1742" i="12"/>
  <c r="L1537" i="16"/>
  <c r="L1415" i="16"/>
  <c r="L1571" i="16"/>
  <c r="L85" i="20"/>
  <c r="L1681" i="12"/>
  <c r="L160" i="20"/>
  <c r="L921" i="12"/>
  <c r="L142" i="20"/>
  <c r="L441" i="16"/>
  <c r="L177" i="20"/>
  <c r="L1670" i="12"/>
  <c r="L113" i="11"/>
  <c r="L1771" i="12"/>
  <c r="L1722" i="12"/>
  <c r="L35" i="11"/>
  <c r="L329" i="16"/>
  <c r="L440" i="16"/>
  <c r="L354" i="16"/>
  <c r="L433" i="16"/>
  <c r="L583" i="16"/>
  <c r="L139" i="20"/>
  <c r="L1836" i="12"/>
  <c r="L2034" i="16"/>
  <c r="L2060" i="16" s="1"/>
  <c r="L2088" i="16" s="1"/>
  <c r="L1812" i="12"/>
  <c r="L1831" i="12"/>
  <c r="L698" i="16"/>
  <c r="L156" i="10"/>
  <c r="L88" i="22"/>
  <c r="L2040" i="16"/>
  <c r="L2066" i="16" s="1"/>
  <c r="L2094" i="16" s="1"/>
  <c r="L130" i="20"/>
  <c r="L116" i="18"/>
  <c r="L1677" i="12"/>
  <c r="L63" i="12"/>
  <c r="L448" i="16"/>
  <c r="L1802" i="12"/>
  <c r="L1880" i="12"/>
  <c r="L1919" i="12" s="1"/>
  <c r="L98" i="16"/>
  <c r="L102" i="16"/>
  <c r="L1725" i="12"/>
  <c r="L12" i="11"/>
  <c r="L1838" i="12"/>
  <c r="L352" i="16"/>
  <c r="L2037" i="16"/>
  <c r="L1789" i="12"/>
  <c r="L447" i="16"/>
  <c r="L1794" i="12"/>
  <c r="L564" i="16"/>
  <c r="L436" i="16"/>
  <c r="L1835" i="12"/>
  <c r="L423" i="16"/>
  <c r="L178" i="20"/>
  <c r="L32" i="12"/>
  <c r="L198" i="16"/>
  <c r="L428" i="16"/>
  <c r="L1697" i="12"/>
  <c r="L170" i="20"/>
  <c r="L148" i="20"/>
  <c r="L1834" i="16"/>
  <c r="L459" i="16" s="1"/>
  <c r="L219" i="10"/>
  <c r="L1290" i="16"/>
  <c r="L578" i="16"/>
  <c r="L49" i="20"/>
  <c r="L2031" i="16"/>
  <c r="L619" i="16"/>
  <c r="L98" i="10"/>
  <c r="L133" i="20"/>
  <c r="L96" i="20"/>
  <c r="L83" i="18"/>
  <c r="L1769" i="12"/>
  <c r="L621" i="16"/>
  <c r="L1760" i="12"/>
  <c r="L74" i="18"/>
  <c r="L2032" i="16"/>
  <c r="L2045" i="16" s="1"/>
  <c r="L438" i="16"/>
  <c r="L1788" i="12"/>
  <c r="L171" i="20"/>
  <c r="L187" i="20"/>
  <c r="L1815" i="12"/>
  <c r="L437" i="16"/>
  <c r="L60" i="20"/>
  <c r="L174" i="20"/>
  <c r="L84" i="20"/>
  <c r="L91" i="12"/>
  <c r="L74" i="11"/>
  <c r="L1304" i="16"/>
  <c r="L418" i="16"/>
  <c r="L1770" i="12"/>
  <c r="L456" i="16"/>
  <c r="L1399" i="12"/>
  <c r="L1712" i="12"/>
  <c r="L1821" i="12"/>
  <c r="L29" i="18"/>
  <c r="L98" i="20"/>
  <c r="L1800" i="12"/>
  <c r="L104" i="11"/>
  <c r="L101" i="16"/>
  <c r="L135" i="16"/>
  <c r="L103" i="16"/>
  <c r="L419" i="16"/>
  <c r="L1716" i="12"/>
  <c r="L114" i="12"/>
  <c r="L306" i="12" s="1"/>
  <c r="L30" i="16"/>
  <c r="L1737" i="12"/>
  <c r="L408" i="16"/>
  <c r="L99" i="20"/>
  <c r="L1640" i="12"/>
  <c r="L156" i="20"/>
  <c r="L334" i="10"/>
  <c r="L2038" i="16"/>
  <c r="L2051" i="16" s="1"/>
  <c r="L1824" i="12"/>
  <c r="L205" i="20"/>
  <c r="L101" i="20"/>
  <c r="L70" i="20"/>
  <c r="L1727" i="12"/>
  <c r="L1768" i="12"/>
  <c r="L12" i="16"/>
  <c r="L192" i="16" s="1"/>
  <c r="L80" i="20"/>
  <c r="L190" i="20"/>
  <c r="L1678" i="12"/>
  <c r="L173" i="20"/>
  <c r="L191" i="20"/>
  <c r="L1783" i="12"/>
  <c r="L63" i="18"/>
  <c r="L1772" i="12"/>
  <c r="L1797" i="12"/>
  <c r="L22" i="16"/>
  <c r="L1683" i="12"/>
  <c r="L1730" i="12"/>
  <c r="L1779" i="12"/>
  <c r="L786" i="16"/>
  <c r="L1736" i="12"/>
  <c r="L12" i="18"/>
  <c r="L67" i="20"/>
  <c r="L1781" i="12"/>
  <c r="L41" i="22"/>
  <c r="L1675" i="12"/>
  <c r="L1748" i="12"/>
  <c r="L2036" i="16"/>
  <c r="L2062" i="16" s="1"/>
  <c r="L2090" i="16" s="1"/>
  <c r="L1676" i="12"/>
  <c r="L1837" i="12"/>
  <c r="L94" i="22"/>
  <c r="L1832" i="12"/>
  <c r="L1666" i="12"/>
  <c r="L1696" i="12"/>
  <c r="L1811" i="12"/>
  <c r="L1820" i="12"/>
  <c r="L68" i="20"/>
  <c r="L1805" i="12"/>
  <c r="L1723" i="12"/>
  <c r="L122" i="20"/>
  <c r="L1578" i="16"/>
  <c r="L1694" i="12"/>
  <c r="L141" i="16"/>
  <c r="L1817" i="12"/>
  <c r="L1837" i="16"/>
  <c r="L462" i="16" s="1"/>
  <c r="L1181" i="12"/>
  <c r="L1828" i="12"/>
  <c r="L1792" i="12"/>
  <c r="L103" i="20"/>
  <c r="L1816" i="12"/>
  <c r="L1823" i="12"/>
  <c r="L1679" i="12"/>
  <c r="L576" i="16"/>
  <c r="L1674" i="12"/>
  <c r="L1835" i="16"/>
  <c r="L460" i="16" s="1"/>
  <c r="L1707" i="12"/>
  <c r="L575" i="16"/>
  <c r="L1421" i="12"/>
  <c r="L1556" i="12" s="1"/>
  <c r="L135" i="20"/>
  <c r="L149" i="20"/>
  <c r="L278" i="16"/>
  <c r="L359" i="16"/>
  <c r="L363" i="10"/>
  <c r="L1814" i="12"/>
  <c r="L327" i="16"/>
  <c r="L64" i="20"/>
  <c r="L174" i="16"/>
  <c r="L79" i="16"/>
  <c r="L1753" i="12"/>
  <c r="L162" i="11"/>
  <c r="L126" i="20"/>
  <c r="L72" i="20"/>
  <c r="L617" i="12"/>
  <c r="L698" i="12"/>
  <c r="L457" i="16"/>
  <c r="L330" i="16"/>
  <c r="L421" i="16"/>
  <c r="L1836" i="16"/>
  <c r="L461" i="16" s="1"/>
  <c r="L93" i="20"/>
  <c r="L119" i="20"/>
  <c r="L1700" i="12"/>
  <c r="L155" i="20"/>
  <c r="L1672" i="12"/>
  <c r="L1829" i="12"/>
  <c r="L449" i="16"/>
  <c r="L623" i="16"/>
  <c r="L68" i="22"/>
  <c r="L1784" i="12"/>
  <c r="L132" i="20"/>
  <c r="L50" i="22"/>
  <c r="L450" i="16"/>
  <c r="L2044" i="16"/>
  <c r="L59" i="20"/>
  <c r="L1801" i="12"/>
  <c r="L577" i="16"/>
  <c r="L801" i="16"/>
  <c r="L1699" i="12"/>
  <c r="L12" i="10"/>
  <c r="L2033" i="16"/>
  <c r="L2059" i="16" s="1"/>
  <c r="L2087" i="16" s="1"/>
  <c r="L1163" i="12"/>
  <c r="L603" i="12"/>
  <c r="L1695" i="12"/>
  <c r="L195" i="20"/>
  <c r="L150" i="20"/>
  <c r="L1834" i="12"/>
  <c r="L454" i="16"/>
  <c r="L2085" i="16"/>
  <c r="L1671" i="12"/>
  <c r="L1667" i="12"/>
  <c r="L1705" i="12"/>
  <c r="L1504" i="16"/>
  <c r="L367" i="16" s="1"/>
  <c r="L1448" i="16"/>
  <c r="L620" i="16"/>
  <c r="L1744" i="12"/>
  <c r="L82" i="20"/>
  <c r="L282" i="16"/>
  <c r="L69" i="20"/>
  <c r="L355" i="16"/>
  <c r="L1665" i="12"/>
  <c r="L1743" i="12"/>
  <c r="L12" i="20"/>
  <c r="L25" i="20" s="1"/>
  <c r="L1188" i="20" s="1"/>
  <c r="L1714" i="12"/>
  <c r="L1839" i="12"/>
  <c r="L1669" i="12"/>
  <c r="L97" i="16"/>
  <c r="L95" i="16"/>
  <c r="L1693" i="12"/>
  <c r="L190" i="10"/>
  <c r="L446" i="16"/>
  <c r="L430" i="16"/>
  <c r="L1680" i="12"/>
  <c r="L273" i="16"/>
  <c r="L1759" i="12"/>
  <c r="L579" i="16"/>
  <c r="L82" i="12"/>
  <c r="L2057" i="16"/>
  <c r="L120" i="20"/>
  <c r="L1745" i="12"/>
  <c r="L46" i="16"/>
  <c r="L1724" i="12"/>
  <c r="L2041" i="16"/>
  <c r="L2067" i="16" s="1"/>
  <c r="L2081" i="16" s="1"/>
  <c r="L1713" i="12"/>
  <c r="L1799" i="12"/>
  <c r="L445" i="16"/>
  <c r="L61" i="20"/>
  <c r="L357" i="16"/>
  <c r="L1827" i="12"/>
  <c r="L362" i="16"/>
  <c r="L276" i="16"/>
  <c r="L107" i="18"/>
  <c r="L63" i="20"/>
  <c r="L385" i="10"/>
  <c r="L489" i="10" s="1"/>
  <c r="L97" i="20"/>
  <c r="L439" i="16"/>
  <c r="L452" i="16"/>
  <c r="L145" i="20"/>
  <c r="L1761" i="12"/>
  <c r="L629" i="12"/>
  <c r="L1903" i="16"/>
  <c r="L1754" i="12"/>
  <c r="L422" i="16"/>
  <c r="L124" i="20"/>
  <c r="L1756" i="12"/>
  <c r="L71" i="20"/>
  <c r="L125" i="20"/>
  <c r="L1795" i="12"/>
  <c r="L581" i="16"/>
  <c r="L1884" i="12"/>
  <c r="L151" i="20"/>
  <c r="L23" i="12"/>
  <c r="L136" i="20"/>
  <c r="L54" i="16"/>
  <c r="L1726" i="12"/>
  <c r="L427" i="16"/>
  <c r="L1751" i="12"/>
  <c r="L1804" i="12"/>
  <c r="L328" i="16"/>
  <c r="L268" i="16"/>
  <c r="L424" i="16"/>
  <c r="L1822" i="12"/>
  <c r="L81" i="20"/>
  <c r="L123" i="20"/>
  <c r="L127" i="20"/>
  <c r="L1741" i="12"/>
  <c r="L1592" i="16"/>
  <c r="L99" i="16"/>
  <c r="L442" i="16"/>
  <c r="L657" i="16"/>
  <c r="L762" i="16" s="1"/>
  <c r="L224" i="20" s="1"/>
  <c r="L417" i="16"/>
  <c r="L179" i="20"/>
  <c r="L96" i="18"/>
  <c r="L1689" i="12"/>
  <c r="L275" i="16"/>
  <c r="L1910" i="16"/>
  <c r="L1462" i="16"/>
  <c r="L1703" i="12"/>
  <c r="L1530" i="16"/>
  <c r="L1793" i="12"/>
  <c r="L73" i="12"/>
  <c r="L1503" i="16"/>
  <c r="L366" i="16" s="1"/>
  <c r="L1688" i="12"/>
  <c r="L2035" i="16"/>
  <c r="L2061" i="16" s="1"/>
  <c r="L2089" i="16" s="1"/>
  <c r="L580" i="16"/>
  <c r="L271" i="16"/>
  <c r="L65" i="20"/>
  <c r="L153" i="20"/>
  <c r="L1747" i="12"/>
  <c r="L455" i="16"/>
  <c r="L283" i="16"/>
  <c r="L1896" i="16"/>
  <c r="L146" i="20"/>
  <c r="L582" i="16"/>
  <c r="L274" i="16"/>
  <c r="L140" i="20"/>
  <c r="L280" i="16"/>
  <c r="L444" i="16"/>
  <c r="L622" i="16"/>
  <c r="L42" i="12"/>
  <c r="L1776" i="12"/>
  <c r="L201" i="11"/>
  <c r="L1732" i="12"/>
  <c r="L1398" i="12"/>
  <c r="L100" i="16"/>
  <c r="L1523" i="16"/>
  <c r="L1728" i="12"/>
  <c r="L1775" i="12"/>
  <c r="L1833" i="12"/>
  <c r="L137" i="20"/>
  <c r="L222" i="11"/>
  <c r="L128" i="20"/>
  <c r="L616" i="16"/>
  <c r="L940" i="12"/>
  <c r="L95" i="20"/>
  <c r="L1877" i="16"/>
  <c r="L1777" i="12"/>
  <c r="L1796" i="12"/>
  <c r="L116" i="20"/>
  <c r="L1394" i="16"/>
  <c r="L158" i="20"/>
  <c r="L100" i="20"/>
  <c r="L188" i="20"/>
  <c r="L189" i="20"/>
  <c r="L1401" i="16"/>
  <c r="L1833" i="16"/>
  <c r="L458" i="16" s="1"/>
  <c r="L1755" i="12"/>
  <c r="L1738" i="12"/>
  <c r="L180" i="11"/>
  <c r="L1564" i="16"/>
  <c r="L1715" i="12"/>
  <c r="L144" i="20"/>
  <c r="L1746" i="12"/>
  <c r="L361" i="16"/>
  <c r="L1752" i="12"/>
  <c r="L147" i="20"/>
  <c r="L138" i="20"/>
  <c r="L31" i="20"/>
  <c r="L1780" i="12"/>
  <c r="L197" i="16"/>
  <c r="L429" i="16"/>
  <c r="L46" i="10"/>
  <c r="L271" i="10"/>
  <c r="L1698" i="12"/>
  <c r="L1773" i="12"/>
  <c r="L193" i="20"/>
  <c r="L1704" i="12"/>
  <c r="L38" i="16"/>
  <c r="L426" i="16"/>
  <c r="L95" i="11"/>
  <c r="L100" i="12"/>
  <c r="L277" i="16"/>
  <c r="L624" i="16"/>
  <c r="L94" i="20"/>
  <c r="L1639" i="12"/>
  <c r="L1500" i="16"/>
  <c r="L363" i="16" s="1"/>
  <c r="L161" i="20"/>
  <c r="L159" i="20"/>
  <c r="L443" i="16"/>
  <c r="L1778" i="12"/>
  <c r="L240" i="11"/>
  <c r="L615" i="16"/>
  <c r="L1311" i="16"/>
  <c r="L70" i="16"/>
  <c r="L62" i="16"/>
  <c r="L1774" i="12"/>
  <c r="L618" i="16"/>
  <c r="L281" i="16"/>
  <c r="L172" i="20"/>
  <c r="L326" i="16"/>
  <c r="L157" i="20"/>
  <c r="L1318" i="16"/>
  <c r="L1422" i="16"/>
  <c r="L127" i="10"/>
  <c r="L1455" i="16"/>
  <c r="L134" i="20"/>
  <c r="L20" i="22"/>
  <c r="L1889" i="16"/>
  <c r="L1731" i="12"/>
  <c r="L1879" i="12"/>
  <c r="L1918" i="12" s="1"/>
  <c r="L57" i="20"/>
  <c r="L102" i="20"/>
  <c r="L1157" i="12"/>
  <c r="L82" i="22"/>
  <c r="L1830" i="12"/>
  <c r="L279" i="16"/>
  <c r="L194" i="20"/>
  <c r="L103" i="22"/>
  <c r="L1785" i="12"/>
  <c r="L625" i="16"/>
  <c r="L617" i="16"/>
  <c r="L1702" i="12"/>
  <c r="L1786" i="12"/>
  <c r="L1400" i="12"/>
  <c r="L83" i="20"/>
  <c r="L1818" i="12"/>
  <c r="L1749" i="12"/>
  <c r="L30" i="20"/>
  <c r="L130" i="22"/>
  <c r="L360" i="16"/>
  <c r="L1734" i="12"/>
  <c r="L300" i="10"/>
  <c r="L192" i="20"/>
  <c r="L1840" i="12"/>
  <c r="M28" i="8"/>
  <c r="M126" i="8" s="1"/>
  <c r="L176" i="20"/>
  <c r="L1516" i="16"/>
  <c r="L143" i="20"/>
  <c r="L1813" i="12"/>
  <c r="L1673" i="12"/>
  <c r="L1791" i="12"/>
  <c r="L1767" i="12"/>
  <c r="L269" i="16"/>
  <c r="L12" i="22"/>
  <c r="L1740" i="12"/>
  <c r="L1544" i="16"/>
  <c r="L353" i="16"/>
  <c r="L1917" i="16"/>
  <c r="L1469" i="16"/>
  <c r="L124" i="11"/>
  <c r="L121" i="22"/>
  <c r="L154" i="20"/>
  <c r="L432" i="16"/>
  <c r="L1297" i="16"/>
  <c r="L1782" i="12"/>
  <c r="L1787" i="12"/>
  <c r="L1661" i="12"/>
  <c r="L1733" i="12"/>
  <c r="L573" i="16"/>
  <c r="L231" i="11"/>
  <c r="L425" i="16"/>
  <c r="L44" i="11"/>
  <c r="L1790" i="12"/>
  <c r="L1826" i="12"/>
  <c r="L118" i="20"/>
  <c r="L197" i="20"/>
  <c r="L58" i="20"/>
  <c r="L1803" i="12"/>
  <c r="L1750" i="12"/>
  <c r="L1758" i="12"/>
  <c r="L1706" i="12"/>
  <c r="L1878" i="12"/>
  <c r="L1916" i="12" s="1"/>
  <c r="L121" i="20"/>
  <c r="L59" i="22"/>
  <c r="L75" i="10"/>
  <c r="L1819" i="12"/>
  <c r="L196" i="20"/>
  <c r="L1691" i="12"/>
  <c r="L152" i="20"/>
  <c r="L325" i="16"/>
  <c r="L1692" i="12"/>
  <c r="L2039" i="16"/>
  <c r="L2065" i="16" s="1"/>
  <c r="L1638" i="12"/>
  <c r="L26" i="22"/>
  <c r="L53" i="11"/>
  <c r="L171" i="11"/>
  <c r="L1476" i="16"/>
  <c r="L886" i="16"/>
  <c r="L880" i="16"/>
  <c r="L892" i="16"/>
  <c r="L874" i="16"/>
  <c r="L1554" i="16"/>
  <c r="K1204" i="12"/>
  <c r="K1392" i="12" s="1"/>
  <c r="K206" i="12"/>
  <c r="L915" i="12"/>
  <c r="L1930" i="12" s="1"/>
  <c r="C73" i="25"/>
  <c r="K594" i="12"/>
  <c r="L485" i="20"/>
  <c r="L1405" i="16"/>
  <c r="L2137" i="16" s="1"/>
  <c r="K221" i="12"/>
  <c r="K585" i="12"/>
  <c r="L1398" i="16"/>
  <c r="K161" i="12"/>
  <c r="K328" i="20"/>
  <c r="L328" i="20" s="1"/>
  <c r="L845" i="20"/>
  <c r="K461" i="20"/>
  <c r="K463" i="20" s="1"/>
  <c r="C13" i="25"/>
  <c r="L1561" i="16"/>
  <c r="L2160" i="16" s="1"/>
  <c r="K2145" i="16"/>
  <c r="K1453" i="16"/>
  <c r="L1452" i="16"/>
  <c r="L2145" i="16" s="1"/>
  <c r="K500" i="20"/>
  <c r="K501" i="20" s="1"/>
  <c r="K1592" i="12"/>
  <c r="K1508" i="12"/>
  <c r="K1580" i="12"/>
  <c r="K1450" i="12"/>
  <c r="K1597" i="12"/>
  <c r="K1432" i="12"/>
  <c r="K1538" i="12"/>
  <c r="K1520" i="12"/>
  <c r="K1488" i="12"/>
  <c r="K1424" i="12"/>
  <c r="K749" i="16"/>
  <c r="K754" i="16"/>
  <c r="K755" i="16"/>
  <c r="K778" i="16"/>
  <c r="K747" i="16"/>
  <c r="L492" i="20"/>
  <c r="L493" i="20" s="1"/>
  <c r="K486" i="20"/>
  <c r="K1562" i="16"/>
  <c r="K846" i="20"/>
  <c r="K847" i="20" s="1"/>
  <c r="K2135" i="16"/>
  <c r="K1392" i="16"/>
  <c r="K1393" i="16" s="1"/>
  <c r="K2137" i="16"/>
  <c r="K1406" i="16"/>
  <c r="K1407" i="16" s="1"/>
  <c r="K1399" i="16"/>
  <c r="K1400" i="16" s="1"/>
  <c r="K1446" i="16"/>
  <c r="K2144" i="16"/>
  <c r="K2136" i="16"/>
  <c r="K2142" i="16"/>
  <c r="K1296" i="16"/>
  <c r="L471" i="20"/>
  <c r="K1432" i="16"/>
  <c r="L1431" i="16"/>
  <c r="K1563" i="16"/>
  <c r="L1438" i="16"/>
  <c r="L2143" i="16" s="1"/>
  <c r="K2120" i="16"/>
  <c r="K2112" i="16"/>
  <c r="L1287" i="16"/>
  <c r="L478" i="20"/>
  <c r="K284" i="16"/>
  <c r="K804" i="16" s="1"/>
  <c r="K2138" i="16"/>
  <c r="K2160" i="16"/>
  <c r="K1413" i="16"/>
  <c r="K1414" i="16" s="1"/>
  <c r="K1295" i="16"/>
  <c r="K2119" i="16"/>
  <c r="K1289" i="16"/>
  <c r="L1294" i="16"/>
  <c r="L1412" i="16"/>
  <c r="K779" i="16"/>
  <c r="K777" i="16"/>
  <c r="K746" i="16"/>
  <c r="K766" i="16"/>
  <c r="K756" i="16"/>
  <c r="K1531" i="12"/>
  <c r="K780" i="16"/>
  <c r="K763" i="16"/>
  <c r="K1440" i="16"/>
  <c r="K434" i="12"/>
  <c r="K1431" i="12"/>
  <c r="K1546" i="12"/>
  <c r="K1554" i="12"/>
  <c r="K1565" i="12"/>
  <c r="K762" i="16"/>
  <c r="K781" i="16"/>
  <c r="K745" i="16"/>
  <c r="K744" i="16"/>
  <c r="K769" i="16"/>
  <c r="K2079" i="16"/>
  <c r="K1505" i="16"/>
  <c r="L1391" i="16"/>
  <c r="L1445" i="16"/>
  <c r="L1447" i="16" s="1"/>
  <c r="K757" i="16"/>
  <c r="K752" i="16"/>
  <c r="K1499" i="12"/>
  <c r="K774" i="16"/>
  <c r="K750" i="16"/>
  <c r="K2143" i="16"/>
  <c r="K520" i="12"/>
  <c r="K1443" i="12"/>
  <c r="K1515" i="12"/>
  <c r="K1542" i="12"/>
  <c r="K1512" i="12"/>
  <c r="K2091" i="16"/>
  <c r="K782" i="16"/>
  <c r="K768" i="16"/>
  <c r="K758" i="16"/>
  <c r="K767" i="16"/>
  <c r="K776" i="16"/>
  <c r="K2095" i="16"/>
  <c r="K773" i="16"/>
  <c r="K1543" i="12"/>
  <c r="K1561" i="12"/>
  <c r="K761" i="16"/>
  <c r="K1587" i="12"/>
  <c r="K1537" i="12"/>
  <c r="K1457" i="12"/>
  <c r="K1575" i="12"/>
  <c r="K775" i="16"/>
  <c r="K783" i="16"/>
  <c r="K760" i="16"/>
  <c r="K751" i="16"/>
  <c r="K771" i="16"/>
  <c r="K765" i="16"/>
  <c r="K772" i="16"/>
  <c r="K1452" i="12"/>
  <c r="K1507" i="12"/>
  <c r="K1600" i="12"/>
  <c r="K1473" i="12"/>
  <c r="K748" i="16"/>
  <c r="K764" i="16"/>
  <c r="K759" i="16"/>
  <c r="K753" i="16"/>
  <c r="K1555" i="16"/>
  <c r="V113" i="22"/>
  <c r="V117" i="22" s="1"/>
  <c r="U118" i="22"/>
  <c r="K1435" i="12"/>
  <c r="K1440" i="12"/>
  <c r="K1427" i="12"/>
  <c r="K1509" i="12"/>
  <c r="K1534" i="12"/>
  <c r="K1514" i="12"/>
  <c r="K1533" i="12"/>
  <c r="K1484" i="12"/>
  <c r="K1505" i="12"/>
  <c r="K1439" i="12"/>
  <c r="K1598" i="12"/>
  <c r="K1519" i="12"/>
  <c r="K996" i="12"/>
  <c r="K1153" i="12" s="1"/>
  <c r="K1556" i="12"/>
  <c r="K1506" i="12"/>
  <c r="K1430" i="12"/>
  <c r="K1599" i="12"/>
  <c r="K1503" i="12"/>
  <c r="K1560" i="12"/>
  <c r="K1577" i="12"/>
  <c r="K1517" i="12"/>
  <c r="K1455" i="12"/>
  <c r="K1510" i="12"/>
  <c r="K1530" i="12"/>
  <c r="K1493" i="12"/>
  <c r="K1516" i="12"/>
  <c r="K754" i="12"/>
  <c r="K911" i="12" s="1"/>
  <c r="K1926" i="12" s="1"/>
  <c r="K180" i="20"/>
  <c r="K1208" i="20" s="1"/>
  <c r="K1566" i="12"/>
  <c r="K1529" i="12"/>
  <c r="K1449" i="12"/>
  <c r="K1550" i="12"/>
  <c r="K1564" i="12"/>
  <c r="K1496" i="12"/>
  <c r="K1563" i="12"/>
  <c r="K1476" i="12"/>
  <c r="K1591" i="12"/>
  <c r="K1540" i="12"/>
  <c r="K1528" i="12"/>
  <c r="K1474" i="12"/>
  <c r="K1433" i="12"/>
  <c r="K1527" i="12"/>
  <c r="K1558" i="12"/>
  <c r="K1549" i="12"/>
  <c r="K1497" i="12"/>
  <c r="K1579" i="12"/>
  <c r="K1571" i="12"/>
  <c r="K1487" i="12"/>
  <c r="K1578" i="12"/>
  <c r="K1429" i="12"/>
  <c r="K1581" i="12"/>
  <c r="K1589" i="12"/>
  <c r="K1555" i="12"/>
  <c r="K1467" i="12"/>
  <c r="K1551" i="12"/>
  <c r="K1453" i="12"/>
  <c r="K1454" i="12"/>
  <c r="K1434" i="12"/>
  <c r="K1462" i="12"/>
  <c r="K1576" i="12"/>
  <c r="K1511" i="12"/>
  <c r="K1485" i="12"/>
  <c r="K1535" i="12"/>
  <c r="K1504" i="12"/>
  <c r="K1541" i="12"/>
  <c r="K1483" i="12"/>
  <c r="K1596" i="12"/>
  <c r="K1475" i="12"/>
  <c r="K1502" i="12"/>
  <c r="K1583" i="12"/>
  <c r="K905" i="12"/>
  <c r="K917" i="12" s="1"/>
  <c r="K1425" i="12"/>
  <c r="K1495" i="12"/>
  <c r="K1513" i="12"/>
  <c r="K1466" i="12"/>
  <c r="K1545" i="12"/>
  <c r="K1461" i="12"/>
  <c r="K1582" i="12"/>
  <c r="K1491" i="12"/>
  <c r="K1436" i="12"/>
  <c r="K1539" i="12"/>
  <c r="K1500" i="12"/>
  <c r="K1518" i="12"/>
  <c r="K1588" i="12"/>
  <c r="K1574" i="12"/>
  <c r="K1553" i="12"/>
  <c r="K1573" i="12"/>
  <c r="K1464" i="12"/>
  <c r="K1595" i="12"/>
  <c r="K1552" i="12"/>
  <c r="K1482" i="12"/>
  <c r="K1717" i="12"/>
  <c r="K1874" i="12" s="1"/>
  <c r="K1912" i="12" s="1"/>
  <c r="K626" i="16"/>
  <c r="K810" i="16" s="1"/>
  <c r="K1501" i="12"/>
  <c r="K1489" i="12"/>
  <c r="K1428" i="12"/>
  <c r="K1544" i="12"/>
  <c r="K1547" i="12"/>
  <c r="K1486" i="12"/>
  <c r="K1472" i="12"/>
  <c r="K1451" i="12"/>
  <c r="K1562" i="12"/>
  <c r="K1572" i="12"/>
  <c r="K1438" i="12"/>
  <c r="K1448" i="12"/>
  <c r="K1459" i="12"/>
  <c r="K1548" i="12"/>
  <c r="K1463" i="12"/>
  <c r="K1586" i="12"/>
  <c r="K1559" i="12"/>
  <c r="K1584" i="12"/>
  <c r="K1458" i="12"/>
  <c r="K1492" i="12"/>
  <c r="K1521" i="12"/>
  <c r="K1426" i="12"/>
  <c r="K1557" i="12"/>
  <c r="K1594" i="12"/>
  <c r="K1532" i="12"/>
  <c r="K1536" i="12"/>
  <c r="K1593" i="12"/>
  <c r="K1460" i="12"/>
  <c r="K1441" i="12"/>
  <c r="K1494" i="12"/>
  <c r="K1585" i="12"/>
  <c r="K1498" i="12"/>
  <c r="K1465" i="12"/>
  <c r="K1456" i="12"/>
  <c r="K1437" i="12"/>
  <c r="K1590" i="12"/>
  <c r="K1490" i="12"/>
  <c r="K119" i="18"/>
  <c r="M366" i="10"/>
  <c r="C1177" i="20"/>
  <c r="C1172" i="20"/>
  <c r="K2159" i="16"/>
  <c r="K1556" i="16"/>
  <c r="K101" i="18"/>
  <c r="K33" i="18"/>
  <c r="K38" i="18" s="1"/>
  <c r="K18" i="18"/>
  <c r="K23" i="18" s="1"/>
  <c r="K77" i="18"/>
  <c r="K110" i="18"/>
  <c r="K48" i="18"/>
  <c r="K53" i="18" s="1"/>
  <c r="K86" i="18"/>
  <c r="K1841" i="12"/>
  <c r="K1877" i="12" s="1"/>
  <c r="K1915" i="12" s="1"/>
  <c r="K1281" i="16"/>
  <c r="L1280" i="16"/>
  <c r="L1283" i="16" s="1"/>
  <c r="L307" i="16" s="1"/>
  <c r="L322" i="16" s="1"/>
  <c r="L76" i="20" s="1"/>
  <c r="K2118" i="16"/>
  <c r="K1141" i="16"/>
  <c r="K2050" i="16"/>
  <c r="K745" i="12"/>
  <c r="K910" i="12" s="1"/>
  <c r="K2046" i="16"/>
  <c r="K2059" i="16"/>
  <c r="K2058" i="16"/>
  <c r="K2072" i="16" s="1"/>
  <c r="K1086" i="12"/>
  <c r="K1155" i="12" s="1"/>
  <c r="K1147" i="12"/>
  <c r="K1159" i="12" s="1"/>
  <c r="L506" i="20"/>
  <c r="L508" i="20" s="1"/>
  <c r="K1807" i="12"/>
  <c r="K1876" i="12" s="1"/>
  <c r="K1914" i="12" s="1"/>
  <c r="K878" i="12"/>
  <c r="K914" i="12" s="1"/>
  <c r="K963" i="12"/>
  <c r="K1151" i="12" s="1"/>
  <c r="K2162" i="16"/>
  <c r="K2121" i="16"/>
  <c r="K2114" i="16"/>
  <c r="K1302" i="16"/>
  <c r="K1576" i="16"/>
  <c r="K1577" i="16" s="1"/>
  <c r="K1908" i="16"/>
  <c r="K1909" i="16" s="1"/>
  <c r="K2209" i="16"/>
  <c r="L1575" i="16"/>
  <c r="L1301" i="16"/>
  <c r="L1303" i="16" s="1"/>
  <c r="L1907" i="16"/>
  <c r="C524" i="20"/>
  <c r="D519" i="20"/>
  <c r="D518" i="20"/>
  <c r="E518" i="20" s="1"/>
  <c r="C519" i="20"/>
  <c r="C520" i="20" s="1"/>
  <c r="C518" i="20"/>
  <c r="C898" i="20"/>
  <c r="C893" i="20"/>
  <c r="C894" i="20" s="1"/>
  <c r="D892" i="20"/>
  <c r="E892" i="20" s="1"/>
  <c r="D893" i="20"/>
  <c r="C892" i="20"/>
  <c r="K898" i="16"/>
  <c r="K899" i="16" s="1"/>
  <c r="L1459" i="16"/>
  <c r="K893" i="16"/>
  <c r="K1466" i="16"/>
  <c r="K2147" i="16" s="1"/>
  <c r="K887" i="16"/>
  <c r="K888" i="16" s="1"/>
  <c r="L1308" i="16"/>
  <c r="K875" i="16"/>
  <c r="K876" i="16" s="1"/>
  <c r="K1582" i="16"/>
  <c r="K881" i="16"/>
  <c r="D1919" i="16"/>
  <c r="E1919" i="16"/>
  <c r="F1919" i="16" s="1"/>
  <c r="K882" i="16"/>
  <c r="D1925" i="16"/>
  <c r="L1931" i="16" s="1"/>
  <c r="B1918" i="16"/>
  <c r="E915" i="16"/>
  <c r="E914" i="16"/>
  <c r="F914" i="16" s="1"/>
  <c r="C916" i="16"/>
  <c r="D914" i="16"/>
  <c r="D904" i="16"/>
  <c r="F903" i="16" s="1"/>
  <c r="D919" i="16"/>
  <c r="D909" i="16"/>
  <c r="K2042" i="16"/>
  <c r="K811" i="16" s="1"/>
  <c r="K162" i="20"/>
  <c r="K1207" i="20" s="1"/>
  <c r="K1838" i="16"/>
  <c r="K331" i="16"/>
  <c r="K806" i="16" s="1"/>
  <c r="K73" i="20"/>
  <c r="K1203" i="20" s="1"/>
  <c r="K1708" i="12"/>
  <c r="K1873" i="12" s="1"/>
  <c r="K1911" i="12" s="1"/>
  <c r="K86" i="20"/>
  <c r="K1205" i="20" s="1"/>
  <c r="K1138" i="12"/>
  <c r="K1158" i="12" s="1"/>
  <c r="K1310" i="16"/>
  <c r="K2122" i="16"/>
  <c r="K2115" i="16"/>
  <c r="K584" i="16"/>
  <c r="K809" i="16" s="1"/>
  <c r="K1684" i="12"/>
  <c r="K1872" i="12" s="1"/>
  <c r="K1910" i="12" s="1"/>
  <c r="K1762" i="12"/>
  <c r="K1875" i="12" s="1"/>
  <c r="K1913" i="12" s="1"/>
  <c r="K721" i="12"/>
  <c r="K909" i="12" s="1"/>
  <c r="K1041" i="12"/>
  <c r="K1154" i="12" s="1"/>
  <c r="K808" i="16"/>
  <c r="K1120" i="12"/>
  <c r="K1156" i="12" s="1"/>
  <c r="K198" i="20"/>
  <c r="K1209" i="20" s="1"/>
  <c r="K799" i="12"/>
  <c r="K912" i="12" s="1"/>
  <c r="K2049" i="16"/>
  <c r="K2062" i="16"/>
  <c r="K2048" i="16"/>
  <c r="K2061" i="16"/>
  <c r="K807" i="16"/>
  <c r="K2146" i="16"/>
  <c r="K463" i="16"/>
  <c r="K987" i="12"/>
  <c r="K1152" i="12" s="1"/>
  <c r="K896" i="12"/>
  <c r="K916" i="12" s="1"/>
  <c r="K844" i="12"/>
  <c r="K913" i="12" s="1"/>
  <c r="K1460" i="16"/>
  <c r="K368" i="16"/>
  <c r="K1592" i="16"/>
  <c r="D1587" i="16"/>
  <c r="E1588" i="16"/>
  <c r="D1588" i="16" s="1"/>
  <c r="E1587" i="16"/>
  <c r="F1587" i="16" s="1"/>
  <c r="B1586" i="16"/>
  <c r="D1593" i="16"/>
  <c r="D2000" i="16"/>
  <c r="B1993" i="16"/>
  <c r="E1471" i="16"/>
  <c r="F1471" i="16" s="1"/>
  <c r="D1471" i="16"/>
  <c r="B1470" i="16"/>
  <c r="E1472" i="16"/>
  <c r="D1477" i="16"/>
  <c r="K1476" i="16"/>
  <c r="J151" i="10"/>
  <c r="J132" i="10"/>
  <c r="J131" i="10"/>
  <c r="J138" i="10"/>
  <c r="D158" i="8"/>
  <c r="H199" i="18"/>
  <c r="J81" i="10"/>
  <c r="J76" i="10" s="1"/>
  <c r="J94" i="10" s="1"/>
  <c r="J325" i="10"/>
  <c r="J327" i="10" s="1"/>
  <c r="J330" i="10" s="1"/>
  <c r="J437" i="10"/>
  <c r="C149" i="9"/>
  <c r="H200" i="18"/>
  <c r="G18" i="18"/>
  <c r="G23" i="18" s="1"/>
  <c r="G33" i="18"/>
  <c r="G38" i="18" s="1"/>
  <c r="G48" i="18"/>
  <c r="G53" i="18" s="1"/>
  <c r="G145" i="10"/>
  <c r="G17" i="18" s="1"/>
  <c r="G22" i="18" s="1"/>
  <c r="G146" i="10"/>
  <c r="G32" i="18" s="1"/>
  <c r="G200" i="18" s="1"/>
  <c r="G432" i="10"/>
  <c r="G433" i="10"/>
  <c r="G431" i="10"/>
  <c r="G206" i="12"/>
  <c r="G306" i="12"/>
  <c r="G161" i="12"/>
  <c r="G434" i="12"/>
  <c r="G594" i="12"/>
  <c r="G264" i="12"/>
  <c r="G221" i="12"/>
  <c r="G585" i="12"/>
  <c r="G116" i="12"/>
  <c r="H201" i="18"/>
  <c r="K112" i="10"/>
  <c r="O79" i="10"/>
  <c r="N366" i="10"/>
  <c r="K36" i="10"/>
  <c r="M38" i="22"/>
  <c r="M106" i="11" s="1"/>
  <c r="M71" i="10"/>
  <c r="N33" i="22"/>
  <c r="N37" i="22" s="1"/>
  <c r="L89" i="10"/>
  <c r="L113" i="10" s="1"/>
  <c r="L65" i="22"/>
  <c r="L92" i="12" s="1"/>
  <c r="N60" i="22"/>
  <c r="M64" i="22"/>
  <c r="L84" i="10"/>
  <c r="L118" i="10" s="1"/>
  <c r="L114" i="10"/>
  <c r="N51" i="22"/>
  <c r="N55" i="22" s="1"/>
  <c r="M56" i="22"/>
  <c r="M85" i="10"/>
  <c r="P22" i="20"/>
  <c r="O92" i="10"/>
  <c r="K487" i="20"/>
  <c r="K473" i="20"/>
  <c r="O77" i="10"/>
  <c r="P15" i="22"/>
  <c r="P17" i="22" s="1"/>
  <c r="G201" i="18"/>
  <c r="G52" i="18"/>
  <c r="D138" i="8"/>
  <c r="L11" i="11" l="1"/>
  <c r="L11" i="20"/>
  <c r="L11" i="18"/>
  <c r="L11" i="22"/>
  <c r="L11" i="10"/>
  <c r="L11" i="16"/>
  <c r="M27" i="8"/>
  <c r="M11" i="22" s="1"/>
  <c r="L1568" i="16"/>
  <c r="L2161" i="16" s="1"/>
  <c r="K1570" i="16"/>
  <c r="K1569" i="16"/>
  <c r="L1577" i="16"/>
  <c r="K332" i="16"/>
  <c r="K1420" i="16"/>
  <c r="K1421" i="16" s="1"/>
  <c r="K334" i="16" s="1"/>
  <c r="K791" i="16" s="1"/>
  <c r="L1414" i="16"/>
  <c r="E1320" i="16"/>
  <c r="F1320" i="16" s="1"/>
  <c r="D1320" i="16"/>
  <c r="M1145" i="12"/>
  <c r="M1142" i="12"/>
  <c r="M1144" i="12"/>
  <c r="M1146" i="12"/>
  <c r="M1143" i="12"/>
  <c r="M1136" i="12"/>
  <c r="M1133" i="12"/>
  <c r="M1135" i="12"/>
  <c r="M1137" i="12"/>
  <c r="M1134" i="12"/>
  <c r="M1093" i="12"/>
  <c r="M1101" i="12"/>
  <c r="M1109" i="12"/>
  <c r="M1117" i="12"/>
  <c r="M1107" i="12"/>
  <c r="M1115" i="12"/>
  <c r="M1090" i="12"/>
  <c r="M1098" i="12"/>
  <c r="M1106" i="12"/>
  <c r="M1114" i="12"/>
  <c r="M1095" i="12"/>
  <c r="M1103" i="12"/>
  <c r="M1111" i="12"/>
  <c r="M1119" i="12"/>
  <c r="M1092" i="12"/>
  <c r="M1100" i="12"/>
  <c r="M1108" i="12"/>
  <c r="M1116" i="12"/>
  <c r="M1091" i="12"/>
  <c r="M1097" i="12"/>
  <c r="M1105" i="12"/>
  <c r="M1113" i="12"/>
  <c r="M1094" i="12"/>
  <c r="M1102" i="12"/>
  <c r="M1110" i="12"/>
  <c r="M1118" i="12"/>
  <c r="M1096" i="12"/>
  <c r="M1104" i="12"/>
  <c r="M1112" i="12"/>
  <c r="M1099" i="12"/>
  <c r="M1049" i="12"/>
  <c r="M1057" i="12"/>
  <c r="M1065" i="12"/>
  <c r="M1073" i="12"/>
  <c r="M1081" i="12"/>
  <c r="M1061" i="12"/>
  <c r="M1046" i="12"/>
  <c r="M1054" i="12"/>
  <c r="M1062" i="12"/>
  <c r="M1070" i="12"/>
  <c r="M1078" i="12"/>
  <c r="M1069" i="12"/>
  <c r="M1051" i="12"/>
  <c r="M1059" i="12"/>
  <c r="M1067" i="12"/>
  <c r="M1075" i="12"/>
  <c r="M1083" i="12"/>
  <c r="M1053" i="12"/>
  <c r="M1048" i="12"/>
  <c r="M1056" i="12"/>
  <c r="M1064" i="12"/>
  <c r="M1072" i="12"/>
  <c r="M1080" i="12"/>
  <c r="M1050" i="12"/>
  <c r="M1058" i="12"/>
  <c r="M1066" i="12"/>
  <c r="M1074" i="12"/>
  <c r="M1082" i="12"/>
  <c r="M1047" i="12"/>
  <c r="M1055" i="12"/>
  <c r="M1063" i="12"/>
  <c r="M1071" i="12"/>
  <c r="M1079" i="12"/>
  <c r="M1052" i="12"/>
  <c r="M1060" i="12"/>
  <c r="M1068" i="12"/>
  <c r="M1085" i="12"/>
  <c r="M1076" i="12"/>
  <c r="M1077" i="12"/>
  <c r="M1084" i="12"/>
  <c r="M1004" i="12"/>
  <c r="M1012" i="12"/>
  <c r="M1020" i="12"/>
  <c r="M1028" i="12"/>
  <c r="M1036" i="12"/>
  <c r="M1001" i="12"/>
  <c r="M1009" i="12"/>
  <c r="M1017" i="12"/>
  <c r="M1025" i="12"/>
  <c r="M1033" i="12"/>
  <c r="M1006" i="12"/>
  <c r="M1014" i="12"/>
  <c r="M1022" i="12"/>
  <c r="M1030" i="12"/>
  <c r="M1038" i="12"/>
  <c r="M1018" i="12"/>
  <c r="M1003" i="12"/>
  <c r="M1011" i="12"/>
  <c r="M1019" i="12"/>
  <c r="M1027" i="12"/>
  <c r="M1035" i="12"/>
  <c r="M1008" i="12"/>
  <c r="M1016" i="12"/>
  <c r="M1024" i="12"/>
  <c r="M1032" i="12"/>
  <c r="M1040" i="12"/>
  <c r="M1005" i="12"/>
  <c r="M1013" i="12"/>
  <c r="M1021" i="12"/>
  <c r="M1029" i="12"/>
  <c r="M1037" i="12"/>
  <c r="M1002" i="12"/>
  <c r="M1007" i="12"/>
  <c r="M1015" i="12"/>
  <c r="M1023" i="12"/>
  <c r="M1031" i="12"/>
  <c r="M1039" i="12"/>
  <c r="M1026" i="12"/>
  <c r="M1010" i="12"/>
  <c r="M1034" i="12"/>
  <c r="M994" i="12"/>
  <c r="M991" i="12"/>
  <c r="M993" i="12"/>
  <c r="M995" i="12"/>
  <c r="M992" i="12"/>
  <c r="M970" i="12"/>
  <c r="M978" i="12"/>
  <c r="M986" i="12"/>
  <c r="M967" i="12"/>
  <c r="M975" i="12"/>
  <c r="M983" i="12"/>
  <c r="M972" i="12"/>
  <c r="M980" i="12"/>
  <c r="M969" i="12"/>
  <c r="M977" i="12"/>
  <c r="M985" i="12"/>
  <c r="M976" i="12"/>
  <c r="M974" i="12"/>
  <c r="M982" i="12"/>
  <c r="M968" i="12"/>
  <c r="M971" i="12"/>
  <c r="M979" i="12"/>
  <c r="M984" i="12"/>
  <c r="M973" i="12"/>
  <c r="M981" i="12"/>
  <c r="M903" i="12"/>
  <c r="M900" i="12"/>
  <c r="M902" i="12"/>
  <c r="M904" i="12"/>
  <c r="M901" i="12"/>
  <c r="M894" i="12"/>
  <c r="M892" i="12"/>
  <c r="M891" i="12"/>
  <c r="M893" i="12"/>
  <c r="M895" i="12"/>
  <c r="M851" i="12"/>
  <c r="M859" i="12"/>
  <c r="M867" i="12"/>
  <c r="M875" i="12"/>
  <c r="M865" i="12"/>
  <c r="M873" i="12"/>
  <c r="M848" i="12"/>
  <c r="M856" i="12"/>
  <c r="M864" i="12"/>
  <c r="M872" i="12"/>
  <c r="M852" i="12"/>
  <c r="M1335" i="12" s="1"/>
  <c r="M860" i="12"/>
  <c r="M868" i="12"/>
  <c r="M849" i="12"/>
  <c r="M1332" i="12" s="1"/>
  <c r="M853" i="12"/>
  <c r="M861" i="12"/>
  <c r="M869" i="12"/>
  <c r="M877" i="12"/>
  <c r="M850" i="12"/>
  <c r="M858" i="12"/>
  <c r="M866" i="12"/>
  <c r="M874" i="12"/>
  <c r="M857" i="12"/>
  <c r="M855" i="12"/>
  <c r="M863" i="12"/>
  <c r="M871" i="12"/>
  <c r="M876" i="12"/>
  <c r="M854" i="12"/>
  <c r="M862" i="12"/>
  <c r="M870" i="12"/>
  <c r="M807" i="12"/>
  <c r="M815" i="12"/>
  <c r="M823" i="12"/>
  <c r="M831" i="12"/>
  <c r="M839" i="12"/>
  <c r="M805" i="12"/>
  <c r="M1288" i="12" s="1"/>
  <c r="M821" i="12"/>
  <c r="M829" i="12"/>
  <c r="M804" i="12"/>
  <c r="M812" i="12"/>
  <c r="M820" i="12"/>
  <c r="M828" i="12"/>
  <c r="M836" i="12"/>
  <c r="M809" i="12"/>
  <c r="M817" i="12"/>
  <c r="M825" i="12"/>
  <c r="M833" i="12"/>
  <c r="M841" i="12"/>
  <c r="M806" i="12"/>
  <c r="M814" i="12"/>
  <c r="M822" i="12"/>
  <c r="M830" i="12"/>
  <c r="M838" i="12"/>
  <c r="M837" i="12"/>
  <c r="M811" i="12"/>
  <c r="M819" i="12"/>
  <c r="M827" i="12"/>
  <c r="M835" i="12"/>
  <c r="M843" i="12"/>
  <c r="M813" i="12"/>
  <c r="M808" i="12"/>
  <c r="M1291" i="12" s="1"/>
  <c r="M816" i="12"/>
  <c r="M824" i="12"/>
  <c r="M832" i="12"/>
  <c r="M840" i="12"/>
  <c r="M810" i="12"/>
  <c r="M818" i="12"/>
  <c r="M826" i="12"/>
  <c r="M834" i="12"/>
  <c r="M842" i="12"/>
  <c r="L1327" i="12"/>
  <c r="L1396" i="12" s="1"/>
  <c r="M762" i="12"/>
  <c r="M770" i="12"/>
  <c r="M778" i="12"/>
  <c r="M786" i="12"/>
  <c r="M794" i="12"/>
  <c r="M759" i="12"/>
  <c r="M767" i="12"/>
  <c r="M775" i="12"/>
  <c r="M783" i="12"/>
  <c r="M791" i="12"/>
  <c r="M764" i="12"/>
  <c r="M772" i="12"/>
  <c r="M780" i="12"/>
  <c r="M788" i="12"/>
  <c r="M796" i="12"/>
  <c r="M761" i="12"/>
  <c r="M769" i="12"/>
  <c r="M777" i="12"/>
  <c r="M785" i="12"/>
  <c r="M793" i="12"/>
  <c r="M766" i="12"/>
  <c r="M774" i="12"/>
  <c r="M782" i="12"/>
  <c r="M790" i="12"/>
  <c r="M798" i="12"/>
  <c r="M763" i="12"/>
  <c r="M1246" i="12" s="1"/>
  <c r="M771" i="12"/>
  <c r="M779" i="12"/>
  <c r="M787" i="12"/>
  <c r="M795" i="12"/>
  <c r="M760" i="12"/>
  <c r="M1243" i="12" s="1"/>
  <c r="M768" i="12"/>
  <c r="M776" i="12"/>
  <c r="M784" i="12"/>
  <c r="M792" i="12"/>
  <c r="M765" i="12"/>
  <c r="M773" i="12"/>
  <c r="M781" i="12"/>
  <c r="M789" i="12"/>
  <c r="M797" i="12"/>
  <c r="L1237" i="12"/>
  <c r="L1394" i="12" s="1"/>
  <c r="M749" i="12"/>
  <c r="M751" i="12"/>
  <c r="M750" i="12"/>
  <c r="M1233" i="12" s="1"/>
  <c r="M753" i="12"/>
  <c r="M752" i="12"/>
  <c r="L1282" i="12"/>
  <c r="L1395" i="12" s="1"/>
  <c r="L1361" i="12"/>
  <c r="L1397" i="12" s="1"/>
  <c r="M728" i="12"/>
  <c r="M736" i="12"/>
  <c r="M744" i="12"/>
  <c r="M740" i="12"/>
  <c r="M725" i="12"/>
  <c r="M733" i="12"/>
  <c r="M741" i="12"/>
  <c r="M730" i="12"/>
  <c r="M738" i="12"/>
  <c r="M732" i="12"/>
  <c r="M727" i="12"/>
  <c r="M735" i="12"/>
  <c r="M743" i="12"/>
  <c r="M729" i="12"/>
  <c r="M1212" i="12" s="1"/>
  <c r="M737" i="12"/>
  <c r="M731" i="12"/>
  <c r="M726" i="12"/>
  <c r="M1209" i="12" s="1"/>
  <c r="M734" i="12"/>
  <c r="M742" i="12"/>
  <c r="M739" i="12"/>
  <c r="M943" i="12"/>
  <c r="M945" i="12"/>
  <c r="M949" i="12"/>
  <c r="M953" i="12"/>
  <c r="M957" i="12"/>
  <c r="M961" i="12"/>
  <c r="M958" i="12"/>
  <c r="M962" i="12"/>
  <c r="M946" i="12"/>
  <c r="M944" i="12"/>
  <c r="M948" i="12"/>
  <c r="M952" i="12"/>
  <c r="M956" i="12"/>
  <c r="M960" i="12"/>
  <c r="M950" i="12"/>
  <c r="M947" i="12"/>
  <c r="M951" i="12"/>
  <c r="M955" i="12"/>
  <c r="M959" i="12"/>
  <c r="M954" i="12"/>
  <c r="M701" i="12"/>
  <c r="M703" i="12"/>
  <c r="M707" i="12"/>
  <c r="M711" i="12"/>
  <c r="M715" i="12"/>
  <c r="M719" i="12"/>
  <c r="M712" i="12"/>
  <c r="M702" i="12"/>
  <c r="M1185" i="12" s="1"/>
  <c r="M706" i="12"/>
  <c r="M710" i="12"/>
  <c r="M714" i="12"/>
  <c r="M718" i="12"/>
  <c r="M704" i="12"/>
  <c r="M705" i="12"/>
  <c r="M1188" i="12" s="1"/>
  <c r="M709" i="12"/>
  <c r="M713" i="12"/>
  <c r="M717" i="12"/>
  <c r="M716" i="12"/>
  <c r="M720" i="12"/>
  <c r="M708" i="12"/>
  <c r="K1401" i="12"/>
  <c r="K1411" i="12" s="1"/>
  <c r="K1412" i="12" s="1"/>
  <c r="K257" i="20" s="1"/>
  <c r="I96" i="10"/>
  <c r="H122" i="10"/>
  <c r="H123" i="10" s="1"/>
  <c r="G124" i="10"/>
  <c r="G125" i="10"/>
  <c r="I422" i="10"/>
  <c r="I436" i="10"/>
  <c r="I381" i="10"/>
  <c r="I423" i="10" s="1"/>
  <c r="I95" i="10"/>
  <c r="G94" i="10"/>
  <c r="G136" i="10"/>
  <c r="G150" i="10"/>
  <c r="C324" i="25"/>
  <c r="C119" i="25"/>
  <c r="C127" i="25" s="1"/>
  <c r="C138" i="25" s="1"/>
  <c r="C146" i="25" s="1"/>
  <c r="H1186" i="16"/>
  <c r="I1179" i="16" a="1"/>
  <c r="I1179" i="16" s="1"/>
  <c r="H1938" i="16"/>
  <c r="I1931" i="16" a="1"/>
  <c r="I1931" i="16" s="1"/>
  <c r="H1606" i="16"/>
  <c r="I1599" i="16" a="1"/>
  <c r="I1599" i="16" s="1"/>
  <c r="H1332" i="16"/>
  <c r="I1325" i="16" a="1"/>
  <c r="I1325" i="16" s="1"/>
  <c r="H1483" i="16"/>
  <c r="I1476" i="16" a="1"/>
  <c r="I1476" i="16" s="1"/>
  <c r="H2013" i="16"/>
  <c r="I2006" i="16" a="1"/>
  <c r="I2006" i="16" s="1"/>
  <c r="J887" i="20" a="1"/>
  <c r="J887" i="20" s="1"/>
  <c r="D891" i="20"/>
  <c r="N105" i="10"/>
  <c r="M1693" i="12"/>
  <c r="M157" i="16"/>
  <c r="L136" i="16"/>
  <c r="N380" i="10"/>
  <c r="O91" i="10"/>
  <c r="O105" i="10" s="1"/>
  <c r="N370" i="10"/>
  <c r="G358" i="10"/>
  <c r="G357" i="10" s="1"/>
  <c r="G353" i="10" s="1"/>
  <c r="H408" i="10"/>
  <c r="H409" i="10" s="1"/>
  <c r="L2064" i="16"/>
  <c r="L2092" i="16" s="1"/>
  <c r="L2095" i="16"/>
  <c r="M1434" i="16"/>
  <c r="L2054" i="16"/>
  <c r="L1228" i="12"/>
  <c r="L1393" i="12" s="1"/>
  <c r="L1419" i="16"/>
  <c r="L2052" i="16"/>
  <c r="L2047" i="16"/>
  <c r="K221" i="20"/>
  <c r="K229" i="20"/>
  <c r="K224" i="20"/>
  <c r="K210" i="20"/>
  <c r="K213" i="20"/>
  <c r="K223" i="20"/>
  <c r="K220" i="20"/>
  <c r="K222" i="20"/>
  <c r="K230" i="20"/>
  <c r="K218" i="20"/>
  <c r="K233" i="20"/>
  <c r="K242" i="20"/>
  <c r="K245" i="20"/>
  <c r="K244" i="20"/>
  <c r="K212" i="20"/>
  <c r="K228" i="20"/>
  <c r="K226" i="20"/>
  <c r="K211" i="20"/>
  <c r="K237" i="20"/>
  <c r="K235" i="20"/>
  <c r="K236" i="20"/>
  <c r="K231" i="20"/>
  <c r="K208" i="20"/>
  <c r="K209" i="20"/>
  <c r="K206" i="20"/>
  <c r="K239" i="20"/>
  <c r="K240" i="20"/>
  <c r="K215" i="20"/>
  <c r="K234" i="20"/>
  <c r="K214" i="20"/>
  <c r="K207" i="20"/>
  <c r="K241" i="20"/>
  <c r="K217" i="20"/>
  <c r="K227" i="20"/>
  <c r="K238" i="20"/>
  <c r="K219" i="20"/>
  <c r="K243" i="20"/>
  <c r="K225" i="20"/>
  <c r="K216" i="20"/>
  <c r="D1899" i="16"/>
  <c r="L2049" i="16"/>
  <c r="D1315" i="16"/>
  <c r="F1314" i="16" s="1"/>
  <c r="K1315" i="16" s="1"/>
  <c r="M1804" i="12"/>
  <c r="M418" i="16"/>
  <c r="M1714" i="12"/>
  <c r="M1813" i="12"/>
  <c r="M1798" i="12"/>
  <c r="M82" i="12"/>
  <c r="M198" i="16"/>
  <c r="M1680" i="12"/>
  <c r="M121" i="20"/>
  <c r="M1421" i="12"/>
  <c r="M1591" i="12" s="1"/>
  <c r="M1415" i="16"/>
  <c r="M1825" i="12"/>
  <c r="M328" i="16"/>
  <c r="F1892" i="16"/>
  <c r="K1893" i="16" s="1"/>
  <c r="L1893" i="16" s="1"/>
  <c r="F1913" i="16"/>
  <c r="K1914" i="16" s="1"/>
  <c r="L1924" i="16"/>
  <c r="E1920" i="16"/>
  <c r="F1885" i="16"/>
  <c r="K1886" i="16" s="1"/>
  <c r="L1886" i="16" s="1"/>
  <c r="L2206" i="16" s="1"/>
  <c r="K2094" i="16"/>
  <c r="D1589" i="16"/>
  <c r="F1588" i="16" s="1"/>
  <c r="L110" i="18"/>
  <c r="C381" i="20"/>
  <c r="C382" i="20" s="1"/>
  <c r="C376" i="20"/>
  <c r="C377" i="20" s="1"/>
  <c r="L18" i="18"/>
  <c r="L23" i="18" s="1"/>
  <c r="L2050" i="16"/>
  <c r="L101" i="18"/>
  <c r="L77" i="18"/>
  <c r="L119" i="18"/>
  <c r="L86" i="18"/>
  <c r="L33" i="18"/>
  <c r="L38" i="18" s="1"/>
  <c r="L48" i="18"/>
  <c r="L53" i="18" s="1"/>
  <c r="K2092" i="16"/>
  <c r="L2048" i="16"/>
  <c r="L1453" i="12"/>
  <c r="L1440" i="12"/>
  <c r="L2063" i="16"/>
  <c r="L2077" i="16" s="1"/>
  <c r="L1487" i="12"/>
  <c r="L1558" i="12"/>
  <c r="L2058" i="16"/>
  <c r="L2086" i="16" s="1"/>
  <c r="L1543" i="12"/>
  <c r="L1521" i="12"/>
  <c r="L2053" i="16"/>
  <c r="L1589" i="12"/>
  <c r="L1467" i="12"/>
  <c r="L1564" i="12"/>
  <c r="L1441" i="12"/>
  <c r="L1491" i="12"/>
  <c r="L1581" i="12"/>
  <c r="L1482" i="12"/>
  <c r="L1530" i="12"/>
  <c r="L2080" i="16"/>
  <c r="L1461" i="12"/>
  <c r="L1509" i="12"/>
  <c r="L1431" i="12"/>
  <c r="L1464" i="12"/>
  <c r="L1463" i="12"/>
  <c r="L1557" i="12"/>
  <c r="D73" i="25"/>
  <c r="M26" i="22"/>
  <c r="M201" i="16"/>
  <c r="M205" i="16"/>
  <c r="M209" i="16"/>
  <c r="M213" i="16"/>
  <c r="M200" i="16"/>
  <c r="M204" i="16"/>
  <c r="M208" i="16"/>
  <c r="M212" i="16"/>
  <c r="M199" i="16"/>
  <c r="M203" i="16"/>
  <c r="M207" i="16"/>
  <c r="M211" i="16"/>
  <c r="M215" i="16"/>
  <c r="M127" i="16"/>
  <c r="M202" i="16"/>
  <c r="M206" i="16"/>
  <c r="M210" i="16"/>
  <c r="M214" i="16"/>
  <c r="M111" i="16"/>
  <c r="M119" i="16"/>
  <c r="M120" i="16"/>
  <c r="M117" i="16"/>
  <c r="M130" i="16"/>
  <c r="M124" i="16"/>
  <c r="M121" i="16"/>
  <c r="M122" i="16"/>
  <c r="M128" i="16"/>
  <c r="M125" i="16"/>
  <c r="M114" i="16"/>
  <c r="M132" i="16"/>
  <c r="M129" i="16"/>
  <c r="M110" i="16"/>
  <c r="M106" i="16"/>
  <c r="M134" i="16"/>
  <c r="M123" i="16"/>
  <c r="M133" i="16"/>
  <c r="M126" i="16"/>
  <c r="M107" i="16"/>
  <c r="M108" i="16"/>
  <c r="M105" i="16"/>
  <c r="M115" i="16"/>
  <c r="M112" i="16"/>
  <c r="M116" i="16"/>
  <c r="M118" i="16"/>
  <c r="M131" i="16"/>
  <c r="M109" i="16"/>
  <c r="M113" i="16"/>
  <c r="M33" i="20"/>
  <c r="M44" i="20"/>
  <c r="M37" i="20"/>
  <c r="M35" i="20"/>
  <c r="M41" i="20"/>
  <c r="M36" i="20"/>
  <c r="M38" i="20"/>
  <c r="M42" i="20"/>
  <c r="M47" i="20"/>
  <c r="M39" i="20"/>
  <c r="M40" i="20"/>
  <c r="M32" i="20"/>
  <c r="M45" i="20"/>
  <c r="M46" i="20"/>
  <c r="M43" i="20"/>
  <c r="M48" i="20"/>
  <c r="M34" i="20"/>
  <c r="L1134" i="16"/>
  <c r="L1137" i="16" s="1"/>
  <c r="L245" i="16" s="1"/>
  <c r="L363" i="20"/>
  <c r="M363" i="20" s="1"/>
  <c r="L1156" i="16"/>
  <c r="L1157" i="16" s="1"/>
  <c r="L335" i="20"/>
  <c r="M335" i="20" s="1"/>
  <c r="L1169" i="16"/>
  <c r="L1172" i="16" s="1"/>
  <c r="L250" i="16" s="1"/>
  <c r="L356" i="20"/>
  <c r="M356" i="20" s="1"/>
  <c r="L349" i="20"/>
  <c r="M349" i="20" s="1"/>
  <c r="K1165" i="16"/>
  <c r="K249" i="16" s="1"/>
  <c r="L1162" i="16"/>
  <c r="L1165" i="16" s="1"/>
  <c r="L249" i="16" s="1"/>
  <c r="K1151" i="16"/>
  <c r="K247" i="16" s="1"/>
  <c r="L1148" i="16"/>
  <c r="L1151" i="16" s="1"/>
  <c r="L247" i="16" s="1"/>
  <c r="M1155" i="16"/>
  <c r="M874" i="16"/>
  <c r="J924" i="16"/>
  <c r="B919" i="16"/>
  <c r="K336" i="20"/>
  <c r="K1137" i="16"/>
  <c r="K1142" i="16"/>
  <c r="K1144" i="16"/>
  <c r="K246" i="16" s="1"/>
  <c r="K1170" i="16"/>
  <c r="K1171" i="16" s="1"/>
  <c r="K1172" i="16"/>
  <c r="K250" i="16" s="1"/>
  <c r="E1188" i="16"/>
  <c r="F1188" i="16" s="1"/>
  <c r="D1188" i="16"/>
  <c r="D1194" i="16"/>
  <c r="E1189" i="16"/>
  <c r="K1176" i="16"/>
  <c r="E1182" i="16"/>
  <c r="D1181" i="16"/>
  <c r="E1181" i="16"/>
  <c r="F1181" i="16" s="1"/>
  <c r="D1175" i="16"/>
  <c r="K1163" i="16"/>
  <c r="K1164" i="16"/>
  <c r="K1149" i="16"/>
  <c r="K1150" i="16"/>
  <c r="K365" i="20"/>
  <c r="K370" i="20"/>
  <c r="K371" i="20" s="1"/>
  <c r="C375" i="20"/>
  <c r="D374" i="20"/>
  <c r="K358" i="20"/>
  <c r="K350" i="20"/>
  <c r="K351" i="20"/>
  <c r="K1325" i="16"/>
  <c r="L1325" i="16"/>
  <c r="D1326" i="16"/>
  <c r="K1332" i="16" s="1"/>
  <c r="E1321" i="16"/>
  <c r="D1321" i="16" s="1"/>
  <c r="L745" i="16"/>
  <c r="L207" i="20" s="1"/>
  <c r="L765" i="16"/>
  <c r="L227" i="20" s="1"/>
  <c r="L766" i="16"/>
  <c r="L228" i="20" s="1"/>
  <c r="L756" i="16"/>
  <c r="L218" i="20" s="1"/>
  <c r="L777" i="16"/>
  <c r="L239" i="20" s="1"/>
  <c r="L757" i="16"/>
  <c r="L219" i="20" s="1"/>
  <c r="L747" i="16"/>
  <c r="L209" i="20" s="1"/>
  <c r="L781" i="16"/>
  <c r="L243" i="20" s="1"/>
  <c r="L774" i="16"/>
  <c r="L236" i="20" s="1"/>
  <c r="L768" i="16"/>
  <c r="L230" i="20" s="1"/>
  <c r="L746" i="16"/>
  <c r="L208" i="20" s="1"/>
  <c r="L778" i="16"/>
  <c r="L240" i="20" s="1"/>
  <c r="L749" i="16"/>
  <c r="L211" i="20" s="1"/>
  <c r="L753" i="16"/>
  <c r="L215" i="20" s="1"/>
  <c r="L780" i="16"/>
  <c r="L242" i="20" s="1"/>
  <c r="L750" i="16"/>
  <c r="L212" i="20" s="1"/>
  <c r="L755" i="16"/>
  <c r="L217" i="20" s="1"/>
  <c r="L779" i="16"/>
  <c r="L241" i="20" s="1"/>
  <c r="L760" i="16"/>
  <c r="L222" i="20" s="1"/>
  <c r="L752" i="16"/>
  <c r="L214" i="20" s="1"/>
  <c r="L782" i="16"/>
  <c r="L244" i="20" s="1"/>
  <c r="L758" i="16"/>
  <c r="L220" i="20" s="1"/>
  <c r="L759" i="16"/>
  <c r="L221" i="20" s="1"/>
  <c r="L751" i="16"/>
  <c r="L213" i="20" s="1"/>
  <c r="L748" i="16"/>
  <c r="L210" i="20" s="1"/>
  <c r="L763" i="16"/>
  <c r="L225" i="20" s="1"/>
  <c r="L764" i="16"/>
  <c r="L226" i="20" s="1"/>
  <c r="L771" i="16"/>
  <c r="L233" i="20" s="1"/>
  <c r="L767" i="16"/>
  <c r="L229" i="20" s="1"/>
  <c r="L744" i="16"/>
  <c r="L206" i="20" s="1"/>
  <c r="L769" i="16"/>
  <c r="L231" i="20" s="1"/>
  <c r="L775" i="16"/>
  <c r="L237" i="20" s="1"/>
  <c r="L754" i="16"/>
  <c r="L216" i="20" s="1"/>
  <c r="L761" i="16"/>
  <c r="L223" i="20" s="1"/>
  <c r="L773" i="16"/>
  <c r="L235" i="20" s="1"/>
  <c r="L770" i="16"/>
  <c r="L772" i="16"/>
  <c r="L234" i="20" s="1"/>
  <c r="L776" i="16"/>
  <c r="L238" i="20" s="1"/>
  <c r="L783" i="16"/>
  <c r="L245" i="20" s="1"/>
  <c r="K2088" i="16"/>
  <c r="K245" i="16"/>
  <c r="L1138" i="12"/>
  <c r="L1158" i="12" s="1"/>
  <c r="D13" i="25"/>
  <c r="L264" i="12"/>
  <c r="L1838" i="16"/>
  <c r="L161" i="12"/>
  <c r="L221" i="12"/>
  <c r="L2046" i="16"/>
  <c r="L996" i="12"/>
  <c r="L1153" i="12" s="1"/>
  <c r="M1537" i="16"/>
  <c r="M1571" i="16"/>
  <c r="M1797" i="12"/>
  <c r="M1756" i="12"/>
  <c r="M1666" i="12"/>
  <c r="M1799" i="12"/>
  <c r="M1879" i="12"/>
  <c r="M1918" i="12" s="1"/>
  <c r="M98" i="16"/>
  <c r="M1697" i="12"/>
  <c r="M57" i="20"/>
  <c r="M134" i="20"/>
  <c r="M456" i="16"/>
  <c r="M70" i="20"/>
  <c r="M1290" i="16"/>
  <c r="M2035" i="16"/>
  <c r="M1839" i="12"/>
  <c r="M222" i="11"/>
  <c r="M240" i="11"/>
  <c r="M141" i="16"/>
  <c r="M135" i="16"/>
  <c r="M174" i="16"/>
  <c r="M96" i="16"/>
  <c r="M145" i="20"/>
  <c r="M137" i="20"/>
  <c r="M156" i="10"/>
  <c r="M95" i="20"/>
  <c r="M41" i="22"/>
  <c r="M20" i="22"/>
  <c r="M138" i="20"/>
  <c r="M116" i="20"/>
  <c r="M657" i="16"/>
  <c r="M766" i="16" s="1"/>
  <c r="M228" i="20" s="1"/>
  <c r="M273" i="16"/>
  <c r="M434" i="16"/>
  <c r="M1782" i="12"/>
  <c r="M139" i="20"/>
  <c r="M128" i="20"/>
  <c r="M440" i="16"/>
  <c r="M1780" i="12"/>
  <c r="M1734" i="12"/>
  <c r="M453" i="16"/>
  <c r="M135" i="20"/>
  <c r="M576" i="16"/>
  <c r="M325" i="16"/>
  <c r="M1690" i="12"/>
  <c r="M1794" i="12"/>
  <c r="M1703" i="12"/>
  <c r="M50" i="22"/>
  <c r="M152" i="20"/>
  <c r="M619" i="16"/>
  <c r="M1816" i="12"/>
  <c r="M1771" i="12"/>
  <c r="M1837" i="12"/>
  <c r="M455" i="16"/>
  <c r="M438" i="16"/>
  <c r="M169" i="20"/>
  <c r="M1732" i="12"/>
  <c r="M1695" i="12"/>
  <c r="M180" i="11"/>
  <c r="M132" i="20"/>
  <c r="M1836" i="12"/>
  <c r="M1673" i="12"/>
  <c r="M35" i="11"/>
  <c r="M59" i="20"/>
  <c r="M1806" i="12"/>
  <c r="M886" i="16"/>
  <c r="M880" i="16"/>
  <c r="M99" i="16"/>
  <c r="M413" i="10"/>
  <c r="M363" i="10"/>
  <c r="M98" i="20"/>
  <c r="M107" i="18"/>
  <c r="M12" i="20"/>
  <c r="M25" i="20" s="1"/>
  <c r="M1188" i="20" s="1"/>
  <c r="M155" i="20"/>
  <c r="M147" i="20"/>
  <c r="M102" i="20"/>
  <c r="M154" i="20"/>
  <c r="M622" i="16"/>
  <c r="M1731" i="12"/>
  <c r="M1725" i="12"/>
  <c r="M195" i="20"/>
  <c r="M103" i="20"/>
  <c r="M435" i="16"/>
  <c r="M1831" i="12"/>
  <c r="M1713" i="12"/>
  <c r="M1671" i="12"/>
  <c r="M385" i="10"/>
  <c r="M489" i="10" s="1"/>
  <c r="M123" i="20"/>
  <c r="M573" i="16"/>
  <c r="M95" i="16"/>
  <c r="M97" i="16"/>
  <c r="M127" i="10"/>
  <c r="M98" i="10"/>
  <c r="M144" i="20"/>
  <c r="M74" i="18"/>
  <c r="M119" i="20"/>
  <c r="M126" i="20"/>
  <c r="M196" i="20"/>
  <c r="M219" i="10"/>
  <c r="M2085" i="16"/>
  <c r="M578" i="16"/>
  <c r="M1840" i="12"/>
  <c r="M1795" i="12"/>
  <c r="M1674" i="12"/>
  <c r="M174" i="20"/>
  <c r="M583" i="16"/>
  <c r="M272" i="16"/>
  <c r="M1747" i="12"/>
  <c r="M1785" i="12"/>
  <c r="M82" i="22"/>
  <c r="M192" i="20"/>
  <c r="M447" i="16"/>
  <c r="M426" i="16"/>
  <c r="M1878" i="12"/>
  <c r="M1916" i="12" s="1"/>
  <c r="M1691" i="12"/>
  <c r="M499" i="20"/>
  <c r="M103" i="16"/>
  <c r="M102" i="16"/>
  <c r="M121" i="22"/>
  <c r="M112" i="22"/>
  <c r="M31" i="20"/>
  <c r="M190" i="20"/>
  <c r="M176" i="20"/>
  <c r="M156" i="20"/>
  <c r="M96" i="18"/>
  <c r="M49" i="20"/>
  <c r="M361" i="16"/>
  <c r="M1760" i="12"/>
  <c r="M1705" i="12"/>
  <c r="M1805" i="12"/>
  <c r="M172" i="20"/>
  <c r="M451" i="16"/>
  <c r="M330" i="16"/>
  <c r="M22" i="16"/>
  <c r="M1707" i="12"/>
  <c r="M193" i="20"/>
  <c r="M2036" i="16"/>
  <c r="M2062" i="16" s="1"/>
  <c r="M446" i="16"/>
  <c r="M1820" i="12"/>
  <c r="M1775" i="12"/>
  <c r="M1729" i="12"/>
  <c r="M65" i="20"/>
  <c r="M116" i="18"/>
  <c r="M281" i="16"/>
  <c r="M1683" i="12"/>
  <c r="M1790" i="12"/>
  <c r="M125" i="20"/>
  <c r="M358" i="16"/>
  <c r="M354" i="16"/>
  <c r="M42" i="12"/>
  <c r="M136" i="20"/>
  <c r="M437" i="16"/>
  <c r="M1838" i="12"/>
  <c r="M97" i="20"/>
  <c r="M1791" i="12"/>
  <c r="M624" i="16"/>
  <c r="M1702" i="12"/>
  <c r="M1668" i="12"/>
  <c r="M444" i="16"/>
  <c r="M1783" i="12"/>
  <c r="M1399" i="12"/>
  <c r="M231" i="11"/>
  <c r="M2044" i="16"/>
  <c r="M1792" i="12"/>
  <c r="M1777" i="12"/>
  <c r="M1163" i="12"/>
  <c r="M698" i="12"/>
  <c r="M12" i="10"/>
  <c r="M360" i="16"/>
  <c r="M101" i="16"/>
  <c r="M104" i="16"/>
  <c r="M12" i="22"/>
  <c r="M32" i="22"/>
  <c r="M131" i="20"/>
  <c r="M142" i="20"/>
  <c r="M603" i="12"/>
  <c r="M242" i="10"/>
  <c r="M179" i="20"/>
  <c r="M153" i="20"/>
  <c r="M2034" i="16"/>
  <c r="M433" i="16"/>
  <c r="M1728" i="12"/>
  <c r="M1834" i="12"/>
  <c r="M1681" i="12"/>
  <c r="M120" i="20"/>
  <c r="M450" i="16"/>
  <c r="M1824" i="12"/>
  <c r="M1779" i="12"/>
  <c r="M422" i="16"/>
  <c r="M151" i="20"/>
  <c r="M801" i="16"/>
  <c r="M197" i="16"/>
  <c r="M1740" i="12"/>
  <c r="M1678" i="12"/>
  <c r="M1880" i="12"/>
  <c r="M1919" i="12" s="1"/>
  <c r="M133" i="20"/>
  <c r="M623" i="16"/>
  <c r="M427" i="16"/>
  <c r="M1823" i="12"/>
  <c r="M1700" i="12"/>
  <c r="M2032" i="16"/>
  <c r="M2045" i="16" s="1"/>
  <c r="M1748" i="12"/>
  <c r="M1761" i="12"/>
  <c r="M12" i="11"/>
  <c r="M149" i="20"/>
  <c r="M428" i="16"/>
  <c r="M38" i="16"/>
  <c r="M940" i="12"/>
  <c r="M63" i="18"/>
  <c r="M429" i="16"/>
  <c r="M1830" i="12"/>
  <c r="M448" i="16"/>
  <c r="M1755" i="12"/>
  <c r="M100" i="16"/>
  <c r="M29" i="18"/>
  <c r="M141" i="20"/>
  <c r="M101" i="20"/>
  <c r="M442" i="16"/>
  <c r="M1692" i="12"/>
  <c r="M282" i="16"/>
  <c r="M1745" i="12"/>
  <c r="M436" i="16"/>
  <c r="M1730" i="12"/>
  <c r="M177" i="20"/>
  <c r="M443" i="16"/>
  <c r="M1772" i="12"/>
  <c r="M1716" i="12"/>
  <c r="M2031" i="16"/>
  <c r="M1738" i="12"/>
  <c r="M95" i="11"/>
  <c r="M2038" i="16"/>
  <c r="M2064" i="16" s="1"/>
  <c r="M2092" i="16" s="1"/>
  <c r="M1696" i="12"/>
  <c r="M617" i="12"/>
  <c r="M452" i="16"/>
  <c r="M1672" i="12"/>
  <c r="M160" i="20"/>
  <c r="M425" i="16"/>
  <c r="M1669" i="12"/>
  <c r="M276" i="16"/>
  <c r="M1639" i="12"/>
  <c r="M1404" i="12"/>
  <c r="M71" i="20"/>
  <c r="M46" i="16"/>
  <c r="M74" i="11"/>
  <c r="M146" i="20"/>
  <c r="M1723" i="12"/>
  <c r="M449" i="16"/>
  <c r="M1741" i="12"/>
  <c r="M201" i="11"/>
  <c r="M1181" i="12"/>
  <c r="M457" i="16"/>
  <c r="M12" i="12"/>
  <c r="M58" i="20"/>
  <c r="M1462" i="16"/>
  <c r="M1401" i="16"/>
  <c r="M1917" i="16"/>
  <c r="M1311" i="16"/>
  <c r="M159" i="20"/>
  <c r="M1530" i="16"/>
  <c r="M1394" i="16"/>
  <c r="M424" i="16"/>
  <c r="M408" i="16"/>
  <c r="M189" i="20"/>
  <c r="M431" i="16"/>
  <c r="M1704" i="12"/>
  <c r="M129" i="20"/>
  <c r="M441" i="16"/>
  <c r="M1739" i="12"/>
  <c r="M54" i="16"/>
  <c r="M564" i="16"/>
  <c r="M1677" i="12"/>
  <c r="M53" i="11"/>
  <c r="M1737" i="12"/>
  <c r="M1828" i="12"/>
  <c r="M1665" i="12"/>
  <c r="M104" i="11"/>
  <c r="M1727" i="12"/>
  <c r="M150" i="20"/>
  <c r="M271" i="10"/>
  <c r="M84" i="20"/>
  <c r="M1793" i="12"/>
  <c r="M1640" i="12"/>
  <c r="M1770" i="12"/>
  <c r="M579" i="16"/>
  <c r="M420" i="16"/>
  <c r="M280" i="16"/>
  <c r="M175" i="20"/>
  <c r="M581" i="16"/>
  <c r="M327" i="16"/>
  <c r="M194" i="20"/>
  <c r="M103" i="22"/>
  <c r="M118" i="20"/>
  <c r="M419" i="16"/>
  <c r="M46" i="10"/>
  <c r="M1744" i="12"/>
  <c r="M12" i="16"/>
  <c r="M192" i="16" s="1"/>
  <c r="M124" i="20"/>
  <c r="M268" i="16"/>
  <c r="M1769" i="12"/>
  <c r="M93" i="20"/>
  <c r="M274" i="16"/>
  <c r="M1803" i="12"/>
  <c r="M1829" i="12"/>
  <c r="M216" i="16"/>
  <c r="M1733" i="12"/>
  <c r="M582" i="16"/>
  <c r="M1699" i="12"/>
  <c r="M23" i="12"/>
  <c r="M352" i="16"/>
  <c r="M921" i="12"/>
  <c r="M1811" i="12"/>
  <c r="M1832" i="12"/>
  <c r="M205" i="20"/>
  <c r="M283" i="16"/>
  <c r="M1664" i="12"/>
  <c r="M32" i="8"/>
  <c r="M31" i="8" s="1"/>
  <c r="M77" i="18" s="1"/>
  <c r="M615" i="16"/>
  <c r="M1701" i="12"/>
  <c r="M1157" i="12"/>
  <c r="M616" i="16"/>
  <c r="M329" i="16"/>
  <c r="M1742" i="12"/>
  <c r="M277" i="16"/>
  <c r="M82" i="20"/>
  <c r="M1644" i="12"/>
  <c r="M122" i="20"/>
  <c r="M269" i="16"/>
  <c r="M1722" i="12"/>
  <c r="M1297" i="16"/>
  <c r="M1304" i="16"/>
  <c r="M1592" i="16"/>
  <c r="M1325" i="16"/>
  <c r="M157" i="20"/>
  <c r="M143" i="20"/>
  <c r="M94" i="22"/>
  <c r="M80" i="20"/>
  <c r="M1796" i="12"/>
  <c r="M171" i="20"/>
  <c r="M70" i="16"/>
  <c r="M100" i="20"/>
  <c r="M1884" i="12"/>
  <c r="M275" i="16"/>
  <c r="M1661" i="12"/>
  <c r="M66" i="20"/>
  <c r="M432" i="16"/>
  <c r="M62" i="16"/>
  <c r="M356" i="16"/>
  <c r="M1781" i="12"/>
  <c r="M96" i="20"/>
  <c r="M423" i="16"/>
  <c r="M1753" i="12"/>
  <c r="M114" i="12"/>
  <c r="M520" i="12" s="1"/>
  <c r="M1724" i="12"/>
  <c r="M12" i="18"/>
  <c r="M430" i="16"/>
  <c r="M271" i="16"/>
  <c r="M60" i="20"/>
  <c r="M1698" i="12"/>
  <c r="M81" i="20"/>
  <c r="M1746" i="12"/>
  <c r="M1400" i="12"/>
  <c r="M574" i="16"/>
  <c r="M445" i="16"/>
  <c r="M1774" i="12"/>
  <c r="M1754" i="12"/>
  <c r="M1398" i="12"/>
  <c r="M300" i="10"/>
  <c r="M170" i="20"/>
  <c r="M270" i="16"/>
  <c r="M1688" i="12"/>
  <c r="M1889" i="16"/>
  <c r="M1564" i="16"/>
  <c r="M1910" i="16"/>
  <c r="M158" i="20"/>
  <c r="M1877" i="16"/>
  <c r="M1689" i="12"/>
  <c r="M130" i="20"/>
  <c r="M334" i="10"/>
  <c r="M72" i="20"/>
  <c r="M1715" i="12"/>
  <c r="M127" i="20"/>
  <c r="M1694" i="12"/>
  <c r="M69" i="20"/>
  <c r="M1776" i="12"/>
  <c r="M786" i="16"/>
  <c r="M577" i="16"/>
  <c r="M1758" i="12"/>
  <c r="M439" i="16"/>
  <c r="M1767" i="12"/>
  <c r="M30" i="16"/>
  <c r="M67" i="20"/>
  <c r="M1706" i="12"/>
  <c r="M68" i="20"/>
  <c r="M1787" i="12"/>
  <c r="M197" i="20"/>
  <c r="M1751" i="12"/>
  <c r="M1638" i="12"/>
  <c r="M161" i="20"/>
  <c r="M357" i="16"/>
  <c r="M1778" i="12"/>
  <c r="M148" i="20"/>
  <c r="M362" i="16"/>
  <c r="M1675" i="12"/>
  <c r="M73" i="12"/>
  <c r="M1812" i="12"/>
  <c r="M1455" i="16"/>
  <c r="M113" i="11"/>
  <c r="M1735" i="12"/>
  <c r="M124" i="11"/>
  <c r="M44" i="11"/>
  <c r="M1448" i="16"/>
  <c r="M1557" i="16"/>
  <c r="M1441" i="16"/>
  <c r="M1318" i="16"/>
  <c r="M1523" i="16"/>
  <c r="M1516" i="16"/>
  <c r="M359" i="16"/>
  <c r="M1788" i="12"/>
  <c r="M355" i="16"/>
  <c r="M1712" i="12"/>
  <c r="M30" i="20"/>
  <c r="M1408" i="16"/>
  <c r="M353" i="16"/>
  <c r="M88" i="22"/>
  <c r="M75" i="10"/>
  <c r="M68" i="22"/>
  <c r="M2057" i="16"/>
  <c r="M1815" i="12"/>
  <c r="M698" i="16"/>
  <c r="M1682" i="12"/>
  <c r="M61" i="20"/>
  <c r="M1827" i="12"/>
  <c r="M625" i="16"/>
  <c r="M279" i="16"/>
  <c r="M1726" i="12"/>
  <c r="M1784" i="12"/>
  <c r="M59" i="22"/>
  <c r="M1768" i="12"/>
  <c r="M1667" i="12"/>
  <c r="M99" i="20"/>
  <c r="M1759" i="12"/>
  <c r="M100" i="12"/>
  <c r="M2071" i="16"/>
  <c r="M1826" i="12"/>
  <c r="M620" i="16"/>
  <c r="M1822" i="12"/>
  <c r="M190" i="10"/>
  <c r="M417" i="16"/>
  <c r="M1676" i="12"/>
  <c r="M629" i="12"/>
  <c r="M62" i="20"/>
  <c r="M1752" i="12"/>
  <c r="M1773" i="12"/>
  <c r="N28" i="8"/>
  <c r="N126" i="8" s="1"/>
  <c r="M1821" i="12"/>
  <c r="M173" i="20"/>
  <c r="M117" i="20"/>
  <c r="M63" i="12"/>
  <c r="M83" i="20"/>
  <c r="M1896" i="16"/>
  <c r="M1469" i="16"/>
  <c r="M1422" i="16"/>
  <c r="M326" i="16"/>
  <c r="M79" i="16"/>
  <c r="M188" i="20"/>
  <c r="M191" i="20"/>
  <c r="M83" i="18"/>
  <c r="M617" i="16"/>
  <c r="M1750" i="12"/>
  <c r="M580" i="16"/>
  <c r="M1818" i="12"/>
  <c r="M2033" i="16"/>
  <c r="M2059" i="16" s="1"/>
  <c r="M1743" i="12"/>
  <c r="M2041" i="16"/>
  <c r="M2067" i="16" s="1"/>
  <c r="M2081" i="16" s="1"/>
  <c r="M1736" i="12"/>
  <c r="M1757" i="12"/>
  <c r="M130" i="22"/>
  <c r="M1835" i="12"/>
  <c r="M85" i="20"/>
  <c r="M1819" i="12"/>
  <c r="M64" i="20"/>
  <c r="M1833" i="12"/>
  <c r="M162" i="11"/>
  <c r="M2040" i="16"/>
  <c r="M1817" i="12"/>
  <c r="M454" i="16"/>
  <c r="M1802" i="12"/>
  <c r="M178" i="20"/>
  <c r="M1789" i="12"/>
  <c r="M32" i="12"/>
  <c r="M63" i="20"/>
  <c r="M1749" i="12"/>
  <c r="M1800" i="12"/>
  <c r="M171" i="11"/>
  <c r="M1578" i="16"/>
  <c r="M1585" i="16"/>
  <c r="M1544" i="16"/>
  <c r="M575" i="16"/>
  <c r="M1476" i="16"/>
  <c r="M1903" i="16"/>
  <c r="M1679" i="12"/>
  <c r="M1786" i="12"/>
  <c r="M618" i="16"/>
  <c r="M1814" i="12"/>
  <c r="M187" i="20"/>
  <c r="M621" i="16"/>
  <c r="M2039" i="16"/>
  <c r="M2052" i="16" s="1"/>
  <c r="M1801" i="12"/>
  <c r="M1670" i="12"/>
  <c r="M278" i="16"/>
  <c r="M44" i="18"/>
  <c r="M94" i="20"/>
  <c r="M1924" i="16"/>
  <c r="M91" i="12"/>
  <c r="M421" i="16"/>
  <c r="M2037" i="16"/>
  <c r="M2063" i="16" s="1"/>
  <c r="M140" i="20"/>
  <c r="M328" i="20"/>
  <c r="M1483" i="16"/>
  <c r="M1907" i="16"/>
  <c r="M1280" i="16"/>
  <c r="M1459" i="16"/>
  <c r="M1287" i="16"/>
  <c r="M2112" i="16" s="1"/>
  <c r="L284" i="16"/>
  <c r="L804" i="16" s="1"/>
  <c r="L368" i="16"/>
  <c r="M845" i="20"/>
  <c r="M1398" i="16"/>
  <c r="M2136" i="16" s="1"/>
  <c r="M1599" i="16"/>
  <c r="M485" i="20"/>
  <c r="L807" i="16"/>
  <c r="L198" i="20"/>
  <c r="L1209" i="20" s="1"/>
  <c r="L1505" i="16"/>
  <c r="L86" i="20"/>
  <c r="L1205" i="20" s="1"/>
  <c r="M1554" i="16"/>
  <c r="M2159" i="16" s="1"/>
  <c r="L626" i="16"/>
  <c r="L810" i="16" s="1"/>
  <c r="M915" i="12"/>
  <c r="M1930" i="12" s="1"/>
  <c r="M892" i="16"/>
  <c r="L434" i="12"/>
  <c r="L987" i="12"/>
  <c r="L1152" i="12" s="1"/>
  <c r="L162" i="20"/>
  <c r="L1207" i="20" s="1"/>
  <c r="L1086" i="12"/>
  <c r="L1155" i="12" s="1"/>
  <c r="L1762" i="12"/>
  <c r="L1875" i="12" s="1"/>
  <c r="L1913" i="12" s="1"/>
  <c r="L1147" i="12"/>
  <c r="L1159" i="12" s="1"/>
  <c r="L1041" i="12"/>
  <c r="L1154" i="12" s="1"/>
  <c r="L584" i="16"/>
  <c r="L809" i="16" s="1"/>
  <c r="L73" i="20"/>
  <c r="L1203" i="20" s="1"/>
  <c r="L1717" i="12"/>
  <c r="L1874" i="12" s="1"/>
  <c r="L1912" i="12" s="1"/>
  <c r="L963" i="12"/>
  <c r="L1151" i="12" s="1"/>
  <c r="L1841" i="12"/>
  <c r="L1877" i="12" s="1"/>
  <c r="L1915" i="12" s="1"/>
  <c r="L1708" i="12"/>
  <c r="L1873" i="12" s="1"/>
  <c r="L1911" i="12" s="1"/>
  <c r="L1684" i="12"/>
  <c r="L1872" i="12" s="1"/>
  <c r="L1910" i="12" s="1"/>
  <c r="L1807" i="12"/>
  <c r="L1876" i="12" s="1"/>
  <c r="L1914" i="12" s="1"/>
  <c r="L180" i="20"/>
  <c r="L1208" i="20" s="1"/>
  <c r="L463" i="16"/>
  <c r="L2042" i="16"/>
  <c r="L811" i="16" s="1"/>
  <c r="L331" i="16"/>
  <c r="L806" i="16" s="1"/>
  <c r="L1120" i="12"/>
  <c r="L1156" i="12" s="1"/>
  <c r="L520" i="12"/>
  <c r="L585" i="12"/>
  <c r="L206" i="12"/>
  <c r="L116" i="12"/>
  <c r="L594" i="12"/>
  <c r="L875" i="16"/>
  <c r="L2159" i="16"/>
  <c r="L1555" i="16"/>
  <c r="L1585" i="12"/>
  <c r="L1537" i="12"/>
  <c r="L1547" i="12"/>
  <c r="L1508" i="12"/>
  <c r="L1571" i="12"/>
  <c r="L1599" i="12"/>
  <c r="L1518" i="12"/>
  <c r="L1541" i="12"/>
  <c r="L1591" i="12"/>
  <c r="L1587" i="12"/>
  <c r="L1592" i="12"/>
  <c r="L1490" i="12"/>
  <c r="L1448" i="12"/>
  <c r="L1552" i="12"/>
  <c r="L1457" i="12"/>
  <c r="L1529" i="12"/>
  <c r="L1545" i="12"/>
  <c r="L1511" i="12"/>
  <c r="L1432" i="12"/>
  <c r="L1472" i="12"/>
  <c r="L1485" i="12"/>
  <c r="L1577" i="12"/>
  <c r="L1546" i="12"/>
  <c r="L1439" i="12"/>
  <c r="L1590" i="12"/>
  <c r="L1505" i="12"/>
  <c r="L1544" i="12"/>
  <c r="L1498" i="12"/>
  <c r="L1427" i="12"/>
  <c r="L1535" i="12"/>
  <c r="L1451" i="12"/>
  <c r="L1540" i="12"/>
  <c r="L1578" i="12"/>
  <c r="L1594" i="12"/>
  <c r="L1454" i="12"/>
  <c r="L1496" i="12"/>
  <c r="L1460" i="12"/>
  <c r="L1583" i="12"/>
  <c r="L1488" i="12"/>
  <c r="L1584" i="12"/>
  <c r="L1580" i="12"/>
  <c r="L1462" i="12"/>
  <c r="L808" i="16"/>
  <c r="L1497" i="12"/>
  <c r="L1532" i="12"/>
  <c r="L1459" i="12"/>
  <c r="L1586" i="12"/>
  <c r="L1504" i="12"/>
  <c r="L1565" i="12"/>
  <c r="L1434" i="12"/>
  <c r="L1433" i="12"/>
  <c r="L1528" i="12"/>
  <c r="L1549" i="12"/>
  <c r="L1437" i="12"/>
  <c r="L1579" i="12"/>
  <c r="L1425" i="12"/>
  <c r="L1456" i="12"/>
  <c r="L1442" i="12"/>
  <c r="L1588" i="12"/>
  <c r="L1536" i="12"/>
  <c r="L1542" i="12"/>
  <c r="L1561" i="12"/>
  <c r="L1426" i="12"/>
  <c r="L1572" i="12"/>
  <c r="L1531" i="12"/>
  <c r="L1495" i="12"/>
  <c r="L1515" i="12"/>
  <c r="L1486" i="12"/>
  <c r="L1600" i="12"/>
  <c r="L1507" i="12"/>
  <c r="L1574" i="12"/>
  <c r="L1512" i="12"/>
  <c r="L1443" i="12"/>
  <c r="L1596" i="12"/>
  <c r="L1499" i="12"/>
  <c r="L1519" i="12"/>
  <c r="L1494" i="12"/>
  <c r="L1455" i="12"/>
  <c r="L1563" i="12"/>
  <c r="L1562" i="12"/>
  <c r="L1458" i="12"/>
  <c r="L1450" i="12"/>
  <c r="L1550" i="12"/>
  <c r="L1502" i="12"/>
  <c r="L1573" i="12"/>
  <c r="L1513" i="12"/>
  <c r="C277" i="25"/>
  <c r="L1510" i="12"/>
  <c r="L1474" i="12"/>
  <c r="L1429" i="12"/>
  <c r="L1534" i="12"/>
  <c r="L1436" i="12"/>
  <c r="L1506" i="12"/>
  <c r="L1575" i="12"/>
  <c r="L1501" i="12"/>
  <c r="L1435" i="12"/>
  <c r="L1428" i="12"/>
  <c r="L1553" i="12"/>
  <c r="L1484" i="12"/>
  <c r="L1598" i="12"/>
  <c r="L1514" i="12"/>
  <c r="L1449" i="12"/>
  <c r="L1560" i="12"/>
  <c r="L1476" i="12"/>
  <c r="L1533" i="12"/>
  <c r="L1503" i="12"/>
  <c r="L1517" i="12"/>
  <c r="L1500" i="12"/>
  <c r="L1430" i="12"/>
  <c r="L1527" i="12"/>
  <c r="L1548" i="12"/>
  <c r="L1466" i="12"/>
  <c r="L1438" i="12"/>
  <c r="L1516" i="12"/>
  <c r="L1551" i="12"/>
  <c r="L1465" i="12"/>
  <c r="C418" i="25"/>
  <c r="L1475" i="12"/>
  <c r="L1473" i="12"/>
  <c r="L1576" i="12"/>
  <c r="L1493" i="12"/>
  <c r="L1593" i="12"/>
  <c r="L1452" i="12"/>
  <c r="L1539" i="12"/>
  <c r="L1597" i="12"/>
  <c r="L1492" i="12"/>
  <c r="L1582" i="12"/>
  <c r="L1566" i="12"/>
  <c r="L1483" i="12"/>
  <c r="L1538" i="12"/>
  <c r="L1520" i="12"/>
  <c r="L1559" i="12"/>
  <c r="L1489" i="12"/>
  <c r="L1595" i="12"/>
  <c r="L1555" i="12"/>
  <c r="L1554" i="12"/>
  <c r="L1424" i="12"/>
  <c r="L487" i="20"/>
  <c r="C155" i="25"/>
  <c r="C465" i="25"/>
  <c r="L1204" i="12"/>
  <c r="L1392" i="12" s="1"/>
  <c r="C371" i="25"/>
  <c r="K330" i="20"/>
  <c r="M1405" i="16"/>
  <c r="K329" i="20"/>
  <c r="L329" i="20" s="1"/>
  <c r="L1407" i="16"/>
  <c r="L1296" i="16"/>
  <c r="L486" i="20"/>
  <c r="M1561" i="16"/>
  <c r="M2160" i="16" s="1"/>
  <c r="L1562" i="16"/>
  <c r="L1406" i="16"/>
  <c r="K462" i="20"/>
  <c r="L1563" i="16"/>
  <c r="L2136" i="16"/>
  <c r="L1399" i="16"/>
  <c r="L1400" i="16"/>
  <c r="L847" i="20"/>
  <c r="C62" i="25"/>
  <c r="L461" i="20"/>
  <c r="M461" i="20" s="1"/>
  <c r="C48" i="25"/>
  <c r="L1454" i="16"/>
  <c r="L1453" i="16"/>
  <c r="M1452" i="16"/>
  <c r="M2145" i="16" s="1"/>
  <c r="L500" i="20"/>
  <c r="L721" i="12"/>
  <c r="L909" i="12" s="1"/>
  <c r="L754" i="12"/>
  <c r="L911" i="12" s="1"/>
  <c r="L1926" i="12" s="1"/>
  <c r="L799" i="12"/>
  <c r="L905" i="12"/>
  <c r="L878" i="12"/>
  <c r="L914" i="12" s="1"/>
  <c r="J150" i="10"/>
  <c r="K21" i="22"/>
  <c r="K23" i="22" s="1"/>
  <c r="L844" i="12"/>
  <c r="L913" i="12" s="1"/>
  <c r="L896" i="12"/>
  <c r="L916" i="12" s="1"/>
  <c r="L745" i="12"/>
  <c r="L910" i="12" s="1"/>
  <c r="K1928" i="12"/>
  <c r="K1932" i="12"/>
  <c r="K1924" i="12"/>
  <c r="K1933" i="12"/>
  <c r="K1925" i="12"/>
  <c r="K1929" i="12"/>
  <c r="L494" i="20"/>
  <c r="M492" i="20"/>
  <c r="M1445" i="16"/>
  <c r="M2144" i="16" s="1"/>
  <c r="L2144" i="16"/>
  <c r="L846" i="20"/>
  <c r="L1392" i="16"/>
  <c r="L1446" i="16"/>
  <c r="L1295" i="16"/>
  <c r="L1288" i="16"/>
  <c r="L1289" i="16" s="1"/>
  <c r="L2112" i="16"/>
  <c r="L2119" i="16"/>
  <c r="M1431" i="16"/>
  <c r="M2142" i="16" s="1"/>
  <c r="M1412" i="16"/>
  <c r="M2138" i="16" s="1"/>
  <c r="L2120" i="16"/>
  <c r="L2142" i="16"/>
  <c r="M471" i="20"/>
  <c r="L472" i="20"/>
  <c r="L473" i="20" s="1"/>
  <c r="L2138" i="16"/>
  <c r="M1294" i="16"/>
  <c r="M2113" i="16" s="1"/>
  <c r="L2113" i="16"/>
  <c r="M478" i="20"/>
  <c r="L1413" i="16"/>
  <c r="L479" i="20"/>
  <c r="L480" i="20" s="1"/>
  <c r="L1439" i="16"/>
  <c r="L1440" i="16" s="1"/>
  <c r="M1438" i="16"/>
  <c r="M2143" i="16" s="1"/>
  <c r="L2135" i="16"/>
  <c r="M1391" i="16"/>
  <c r="L1393" i="16"/>
  <c r="L1432" i="16"/>
  <c r="L1433" i="16" s="1"/>
  <c r="K699" i="16"/>
  <c r="K1477" i="12"/>
  <c r="K1634" i="12" s="1"/>
  <c r="K1444" i="12"/>
  <c r="K1632" i="12" s="1"/>
  <c r="W113" i="22"/>
  <c r="W117" i="22" s="1"/>
  <c r="V118" i="22"/>
  <c r="L1281" i="16"/>
  <c r="L1282" i="16" s="1"/>
  <c r="K1567" i="12"/>
  <c r="K1636" i="12" s="1"/>
  <c r="L2118" i="16"/>
  <c r="K1601" i="12"/>
  <c r="K1637" i="12" s="1"/>
  <c r="K1522" i="12"/>
  <c r="K1635" i="12" s="1"/>
  <c r="K1468" i="12"/>
  <c r="K1633" i="12" s="1"/>
  <c r="L1556" i="16"/>
  <c r="C1179" i="20"/>
  <c r="L507" i="20"/>
  <c r="M506" i="20"/>
  <c r="L1141" i="16"/>
  <c r="K2086" i="16"/>
  <c r="L898" i="16"/>
  <c r="M898" i="16" s="1"/>
  <c r="K2073" i="16"/>
  <c r="L2073" i="16" s="1"/>
  <c r="K2087" i="16"/>
  <c r="K1881" i="12"/>
  <c r="K1886" i="12" s="1"/>
  <c r="L2146" i="16"/>
  <c r="L1576" i="16"/>
  <c r="L2162" i="16"/>
  <c r="L887" i="16"/>
  <c r="L888" i="16" s="1"/>
  <c r="L2121" i="16"/>
  <c r="L1302" i="16"/>
  <c r="L2114" i="16"/>
  <c r="M1301" i="16"/>
  <c r="M1575" i="16"/>
  <c r="M2162" i="16" s="1"/>
  <c r="L2209" i="16"/>
  <c r="L1909" i="16"/>
  <c r="L1908" i="16"/>
  <c r="L1466" i="16"/>
  <c r="M1466" i="16" s="1"/>
  <c r="M2147" i="16" s="1"/>
  <c r="K2163" i="16"/>
  <c r="K1583" i="16"/>
  <c r="K1584" i="16" s="1"/>
  <c r="L330" i="20"/>
  <c r="E519" i="20"/>
  <c r="K520" i="20" s="1"/>
  <c r="L513" i="20"/>
  <c r="K514" i="20"/>
  <c r="K515" i="20" s="1"/>
  <c r="K1467" i="16"/>
  <c r="K1468" i="16" s="1"/>
  <c r="E893" i="20"/>
  <c r="K894" i="20" s="1"/>
  <c r="C905" i="20"/>
  <c r="C899" i="20"/>
  <c r="C900" i="20"/>
  <c r="C901" i="20" s="1"/>
  <c r="D899" i="20"/>
  <c r="E899" i="20" s="1"/>
  <c r="C531" i="20"/>
  <c r="D526" i="20"/>
  <c r="D525" i="20"/>
  <c r="C525" i="20"/>
  <c r="C526" i="20"/>
  <c r="C527" i="20" s="1"/>
  <c r="K904" i="16"/>
  <c r="K905" i="16" s="1"/>
  <c r="K906" i="16" s="1"/>
  <c r="M1308" i="16"/>
  <c r="K894" i="16"/>
  <c r="L893" i="16"/>
  <c r="L1582" i="16"/>
  <c r="M1582" i="16" s="1"/>
  <c r="L881" i="16"/>
  <c r="L882" i="16" s="1"/>
  <c r="M1931" i="16"/>
  <c r="D1926" i="16"/>
  <c r="K1931" i="16"/>
  <c r="D1932" i="16"/>
  <c r="M1938" i="16" s="1"/>
  <c r="K900" i="16"/>
  <c r="E1926" i="16"/>
  <c r="F1926" i="16" s="1"/>
  <c r="E1927" i="16"/>
  <c r="D1927" i="16" s="1"/>
  <c r="B1925" i="16"/>
  <c r="E921" i="16"/>
  <c r="E920" i="16"/>
  <c r="F920" i="16" s="1"/>
  <c r="C922" i="16"/>
  <c r="D920" i="16"/>
  <c r="D910" i="16"/>
  <c r="F909" i="16" s="1"/>
  <c r="D925" i="16"/>
  <c r="D931" i="16" s="1"/>
  <c r="D915" i="16"/>
  <c r="K805" i="16"/>
  <c r="L1310" i="16"/>
  <c r="L1309" i="16"/>
  <c r="L2115" i="16"/>
  <c r="L2122" i="16"/>
  <c r="K2055" i="16"/>
  <c r="K796" i="16" s="1"/>
  <c r="K1160" i="12"/>
  <c r="L1460" i="16"/>
  <c r="L1461" i="16" s="1"/>
  <c r="K2075" i="16"/>
  <c r="K2089" i="16"/>
  <c r="K2090" i="16"/>
  <c r="K2076" i="16"/>
  <c r="L2076" i="16" s="1"/>
  <c r="K2068" i="16"/>
  <c r="K2069" i="16" s="1"/>
  <c r="K1589" i="16"/>
  <c r="K1599" i="16"/>
  <c r="E1594" i="16"/>
  <c r="F1594" i="16" s="1"/>
  <c r="D1594" i="16"/>
  <c r="L1599" i="16"/>
  <c r="B1593" i="16"/>
  <c r="E1595" i="16"/>
  <c r="D1595" i="16" s="1"/>
  <c r="D1600" i="16"/>
  <c r="D2007" i="16"/>
  <c r="B2000" i="16"/>
  <c r="D1484" i="16"/>
  <c r="B1477" i="16"/>
  <c r="D1478" i="16"/>
  <c r="E1479" i="16"/>
  <c r="E1478" i="16"/>
  <c r="F1478" i="16" s="1"/>
  <c r="K1483" i="16"/>
  <c r="L1483" i="16"/>
  <c r="D1472" i="16"/>
  <c r="L2074" i="16"/>
  <c r="C20" i="8"/>
  <c r="C21" i="8" s="1"/>
  <c r="J387" i="10"/>
  <c r="J386" i="10" s="1"/>
  <c r="J407" i="10" s="1"/>
  <c r="J417" i="10"/>
  <c r="J368" i="10"/>
  <c r="J364" i="10" s="1"/>
  <c r="J424" i="10"/>
  <c r="K200" i="18"/>
  <c r="L200" i="18" s="1"/>
  <c r="G199" i="18"/>
  <c r="K199" i="18" s="1"/>
  <c r="L199" i="18" s="1"/>
  <c r="K201" i="18"/>
  <c r="L201" i="18" s="1"/>
  <c r="G37" i="18"/>
  <c r="K1143" i="16"/>
  <c r="L112" i="10"/>
  <c r="O366" i="10"/>
  <c r="P79" i="10"/>
  <c r="O33" i="22"/>
  <c r="O37" i="22" s="1"/>
  <c r="N38" i="22"/>
  <c r="N106" i="11" s="1"/>
  <c r="N71" i="10"/>
  <c r="M114" i="10"/>
  <c r="M84" i="10"/>
  <c r="M118" i="10" s="1"/>
  <c r="N56" i="22"/>
  <c r="N85" i="10"/>
  <c r="O51" i="22"/>
  <c r="O55" i="22" s="1"/>
  <c r="M65" i="22"/>
  <c r="M92" i="12" s="1"/>
  <c r="M89" i="10"/>
  <c r="M113" i="10" s="1"/>
  <c r="O60" i="22"/>
  <c r="N64" i="22"/>
  <c r="L36" i="10"/>
  <c r="Q22" i="20"/>
  <c r="P92" i="10"/>
  <c r="L2093" i="16"/>
  <c r="L2079" i="16"/>
  <c r="K1917" i="12"/>
  <c r="K1920" i="12" s="1"/>
  <c r="P77" i="10"/>
  <c r="Q15" i="22"/>
  <c r="Q17" i="22" s="1"/>
  <c r="D139" i="8"/>
  <c r="K29" i="8" s="1"/>
  <c r="K127" i="8" s="1"/>
  <c r="M11" i="10" l="1"/>
  <c r="M11" i="16"/>
  <c r="M11" i="11"/>
  <c r="M11" i="12"/>
  <c r="N27" i="8"/>
  <c r="N11" i="11" s="1"/>
  <c r="M11" i="20"/>
  <c r="M11" i="18"/>
  <c r="L1569" i="16"/>
  <c r="M1568" i="16"/>
  <c r="M2161" i="16" s="1"/>
  <c r="L1570" i="16"/>
  <c r="L1421" i="16"/>
  <c r="K333" i="16"/>
  <c r="L1914" i="16"/>
  <c r="M1914" i="16" s="1"/>
  <c r="M2210" i="16" s="1"/>
  <c r="K2210" i="16"/>
  <c r="K1915" i="16"/>
  <c r="K1916" i="16" s="1"/>
  <c r="K1317" i="16"/>
  <c r="K1316" i="16"/>
  <c r="K2123" i="16"/>
  <c r="K2207" i="16"/>
  <c r="K1894" i="16"/>
  <c r="K1895" i="16" s="1"/>
  <c r="L1895" i="16" s="1"/>
  <c r="D1900" i="16"/>
  <c r="K1887" i="16"/>
  <c r="K1888" i="16" s="1"/>
  <c r="L1888" i="16" s="1"/>
  <c r="K2206" i="16"/>
  <c r="D119" i="25"/>
  <c r="D127" i="25" s="1"/>
  <c r="D138" i="25" s="1"/>
  <c r="D146" i="25" s="1"/>
  <c r="N1143" i="12"/>
  <c r="N1145" i="12"/>
  <c r="N1142" i="12"/>
  <c r="N1144" i="12"/>
  <c r="N1146" i="12"/>
  <c r="N1136" i="12"/>
  <c r="N1137" i="12"/>
  <c r="N1133" i="12"/>
  <c r="N1135" i="12"/>
  <c r="N1134" i="12"/>
  <c r="N1096" i="12"/>
  <c r="N1104" i="12"/>
  <c r="N1112" i="12"/>
  <c r="N1093" i="12"/>
  <c r="N1101" i="12"/>
  <c r="N1109" i="12"/>
  <c r="N1117" i="12"/>
  <c r="N1090" i="12"/>
  <c r="N1098" i="12"/>
  <c r="N1106" i="12"/>
  <c r="N1114" i="12"/>
  <c r="N1095" i="12"/>
  <c r="N1103" i="12"/>
  <c r="N1111" i="12"/>
  <c r="N1119" i="12"/>
  <c r="N1092" i="12"/>
  <c r="N1100" i="12"/>
  <c r="N1108" i="12"/>
  <c r="N1116" i="12"/>
  <c r="N1097" i="12"/>
  <c r="N1105" i="12"/>
  <c r="N1113" i="12"/>
  <c r="N1110" i="12"/>
  <c r="N1091" i="12"/>
  <c r="N1099" i="12"/>
  <c r="N1107" i="12"/>
  <c r="N1115" i="12"/>
  <c r="N1094" i="12"/>
  <c r="N1102" i="12"/>
  <c r="N1118" i="12"/>
  <c r="N1052" i="12"/>
  <c r="N1060" i="12"/>
  <c r="N1068" i="12"/>
  <c r="N1076" i="12"/>
  <c r="N1084" i="12"/>
  <c r="N1049" i="12"/>
  <c r="N1057" i="12"/>
  <c r="N1065" i="12"/>
  <c r="N1073" i="12"/>
  <c r="N1081" i="12"/>
  <c r="N1046" i="12"/>
  <c r="N1054" i="12"/>
  <c r="N1062" i="12"/>
  <c r="N1070" i="12"/>
  <c r="N1078" i="12"/>
  <c r="N1056" i="12"/>
  <c r="N1064" i="12"/>
  <c r="N1051" i="12"/>
  <c r="N1059" i="12"/>
  <c r="N1067" i="12"/>
  <c r="N1075" i="12"/>
  <c r="N1083" i="12"/>
  <c r="N1048" i="12"/>
  <c r="N1072" i="12"/>
  <c r="N1053" i="12"/>
  <c r="N1061" i="12"/>
  <c r="N1069" i="12"/>
  <c r="N1077" i="12"/>
  <c r="N1085" i="12"/>
  <c r="N1047" i="12"/>
  <c r="N1055" i="12"/>
  <c r="N1050" i="12"/>
  <c r="N1058" i="12"/>
  <c r="N1066" i="12"/>
  <c r="N1074" i="12"/>
  <c r="N1082" i="12"/>
  <c r="N1063" i="12"/>
  <c r="N1080" i="12"/>
  <c r="N1071" i="12"/>
  <c r="N1079" i="12"/>
  <c r="N1007" i="12"/>
  <c r="N1015" i="12"/>
  <c r="N1023" i="12"/>
  <c r="N1031" i="12"/>
  <c r="N1039" i="12"/>
  <c r="N1004" i="12"/>
  <c r="N1012" i="12"/>
  <c r="N1020" i="12"/>
  <c r="N1028" i="12"/>
  <c r="N1036" i="12"/>
  <c r="N1001" i="12"/>
  <c r="N1009" i="12"/>
  <c r="N1017" i="12"/>
  <c r="N1025" i="12"/>
  <c r="N1033" i="12"/>
  <c r="N1021" i="12"/>
  <c r="N1006" i="12"/>
  <c r="N1014" i="12"/>
  <c r="N1022" i="12"/>
  <c r="N1030" i="12"/>
  <c r="N1038" i="12"/>
  <c r="N1003" i="12"/>
  <c r="N1011" i="12"/>
  <c r="N1019" i="12"/>
  <c r="N1027" i="12"/>
  <c r="N1035" i="12"/>
  <c r="N1005" i="12"/>
  <c r="N1008" i="12"/>
  <c r="N1016" i="12"/>
  <c r="N1024" i="12"/>
  <c r="N1032" i="12"/>
  <c r="N1040" i="12"/>
  <c r="N1013" i="12"/>
  <c r="N1002" i="12"/>
  <c r="N1010" i="12"/>
  <c r="N1018" i="12"/>
  <c r="N1026" i="12"/>
  <c r="N1034" i="12"/>
  <c r="N1037" i="12"/>
  <c r="N1029" i="12"/>
  <c r="N994" i="12"/>
  <c r="N991" i="12"/>
  <c r="N993" i="12"/>
  <c r="N992" i="12"/>
  <c r="N995" i="12"/>
  <c r="N973" i="12"/>
  <c r="N981" i="12"/>
  <c r="N970" i="12"/>
  <c r="N978" i="12"/>
  <c r="N986" i="12"/>
  <c r="N967" i="12"/>
  <c r="N975" i="12"/>
  <c r="N983" i="12"/>
  <c r="N972" i="12"/>
  <c r="N980" i="12"/>
  <c r="N979" i="12"/>
  <c r="N969" i="12"/>
  <c r="N977" i="12"/>
  <c r="N985" i="12"/>
  <c r="N974" i="12"/>
  <c r="N982" i="12"/>
  <c r="N968" i="12"/>
  <c r="N976" i="12"/>
  <c r="N984" i="12"/>
  <c r="N971" i="12"/>
  <c r="N903" i="12"/>
  <c r="N900" i="12"/>
  <c r="N902" i="12"/>
  <c r="N901" i="12"/>
  <c r="N904" i="12"/>
  <c r="N895" i="12"/>
  <c r="N894" i="12"/>
  <c r="N891" i="12"/>
  <c r="N893" i="12"/>
  <c r="N892" i="12"/>
  <c r="N854" i="12"/>
  <c r="N862" i="12"/>
  <c r="N870" i="12"/>
  <c r="N851" i="12"/>
  <c r="N859" i="12"/>
  <c r="N867" i="12"/>
  <c r="N875" i="12"/>
  <c r="N855" i="12"/>
  <c r="N852" i="12"/>
  <c r="N1335" i="12" s="1"/>
  <c r="N868" i="12"/>
  <c r="N848" i="12"/>
  <c r="N856" i="12"/>
  <c r="N864" i="12"/>
  <c r="N872" i="12"/>
  <c r="N876" i="12"/>
  <c r="N853" i="12"/>
  <c r="N861" i="12"/>
  <c r="N869" i="12"/>
  <c r="N877" i="12"/>
  <c r="N871" i="12"/>
  <c r="N860" i="12"/>
  <c r="N850" i="12"/>
  <c r="N858" i="12"/>
  <c r="N866" i="12"/>
  <c r="N874" i="12"/>
  <c r="N863" i="12"/>
  <c r="N849" i="12"/>
  <c r="N1332" i="12" s="1"/>
  <c r="N857" i="12"/>
  <c r="N865" i="12"/>
  <c r="N873" i="12"/>
  <c r="N810" i="12"/>
  <c r="N818" i="12"/>
  <c r="N826" i="12"/>
  <c r="N834" i="12"/>
  <c r="N842" i="12"/>
  <c r="N824" i="12"/>
  <c r="N832" i="12"/>
  <c r="N807" i="12"/>
  <c r="N815" i="12"/>
  <c r="N823" i="12"/>
  <c r="N831" i="12"/>
  <c r="N839" i="12"/>
  <c r="N804" i="12"/>
  <c r="N812" i="12"/>
  <c r="N820" i="12"/>
  <c r="N828" i="12"/>
  <c r="N836" i="12"/>
  <c r="N809" i="12"/>
  <c r="N817" i="12"/>
  <c r="N825" i="12"/>
  <c r="N833" i="12"/>
  <c r="N841" i="12"/>
  <c r="N840" i="12"/>
  <c r="N806" i="12"/>
  <c r="N814" i="12"/>
  <c r="N822" i="12"/>
  <c r="N830" i="12"/>
  <c r="N838" i="12"/>
  <c r="N816" i="12"/>
  <c r="N811" i="12"/>
  <c r="N819" i="12"/>
  <c r="N827" i="12"/>
  <c r="N835" i="12"/>
  <c r="N843" i="12"/>
  <c r="N805" i="12"/>
  <c r="N1288" i="12" s="1"/>
  <c r="N813" i="12"/>
  <c r="N821" i="12"/>
  <c r="N829" i="12"/>
  <c r="N837" i="12"/>
  <c r="N808" i="12"/>
  <c r="N1291" i="12" s="1"/>
  <c r="M1237" i="12"/>
  <c r="M1394" i="12" s="1"/>
  <c r="N765" i="12"/>
  <c r="N773" i="12"/>
  <c r="N781" i="12"/>
  <c r="N789" i="12"/>
  <c r="N797" i="12"/>
  <c r="N762" i="12"/>
  <c r="N770" i="12"/>
  <c r="N778" i="12"/>
  <c r="N786" i="12"/>
  <c r="N794" i="12"/>
  <c r="N759" i="12"/>
  <c r="N767" i="12"/>
  <c r="N775" i="12"/>
  <c r="N783" i="12"/>
  <c r="N791" i="12"/>
  <c r="N764" i="12"/>
  <c r="N772" i="12"/>
  <c r="N780" i="12"/>
  <c r="N788" i="12"/>
  <c r="N796" i="12"/>
  <c r="N761" i="12"/>
  <c r="N769" i="12"/>
  <c r="N777" i="12"/>
  <c r="N785" i="12"/>
  <c r="N793" i="12"/>
  <c r="N766" i="12"/>
  <c r="N774" i="12"/>
  <c r="N782" i="12"/>
  <c r="N790" i="12"/>
  <c r="N798" i="12"/>
  <c r="N763" i="12"/>
  <c r="N1246" i="12" s="1"/>
  <c r="N771" i="12"/>
  <c r="N779" i="12"/>
  <c r="N787" i="12"/>
  <c r="N795" i="12"/>
  <c r="N760" i="12"/>
  <c r="N1243" i="12" s="1"/>
  <c r="N768" i="12"/>
  <c r="N776" i="12"/>
  <c r="N784" i="12"/>
  <c r="N792" i="12"/>
  <c r="N749" i="12"/>
  <c r="N751" i="12"/>
  <c r="N750" i="12"/>
  <c r="N1233" i="12" s="1"/>
  <c r="N752" i="12"/>
  <c r="N753" i="12"/>
  <c r="M1361" i="12"/>
  <c r="M1397" i="12" s="1"/>
  <c r="M1327" i="12"/>
  <c r="M1396" i="12" s="1"/>
  <c r="M1282" i="12"/>
  <c r="M1395" i="12" s="1"/>
  <c r="N731" i="12"/>
  <c r="N739" i="12"/>
  <c r="N735" i="12"/>
  <c r="N728" i="12"/>
  <c r="N736" i="12"/>
  <c r="N744" i="12"/>
  <c r="N727" i="12"/>
  <c r="N725" i="12"/>
  <c r="N733" i="12"/>
  <c r="N741" i="12"/>
  <c r="N730" i="12"/>
  <c r="N738" i="12"/>
  <c r="N743" i="12"/>
  <c r="N732" i="12"/>
  <c r="N740" i="12"/>
  <c r="N726" i="12"/>
  <c r="N1209" i="12" s="1"/>
  <c r="N734" i="12"/>
  <c r="N729" i="12"/>
  <c r="N1212" i="12" s="1"/>
  <c r="N737" i="12"/>
  <c r="N742" i="12"/>
  <c r="K1165" i="12"/>
  <c r="K1172" i="12" s="1"/>
  <c r="K1170" i="12"/>
  <c r="K1171" i="12" s="1"/>
  <c r="N943" i="12"/>
  <c r="N945" i="12"/>
  <c r="N949" i="12"/>
  <c r="N953" i="12"/>
  <c r="N957" i="12"/>
  <c r="N961" i="12"/>
  <c r="N944" i="12"/>
  <c r="N948" i="12"/>
  <c r="N952" i="12"/>
  <c r="N956" i="12"/>
  <c r="N960" i="12"/>
  <c r="N947" i="12"/>
  <c r="N951" i="12"/>
  <c r="N955" i="12"/>
  <c r="N959" i="12"/>
  <c r="N946" i="12"/>
  <c r="N950" i="12"/>
  <c r="N954" i="12"/>
  <c r="N958" i="12"/>
  <c r="N962" i="12"/>
  <c r="N701" i="12"/>
  <c r="N717" i="12"/>
  <c r="N703" i="12"/>
  <c r="N707" i="12"/>
  <c r="N711" i="12"/>
  <c r="N715" i="12"/>
  <c r="N719" i="12"/>
  <c r="N702" i="12"/>
  <c r="N1185" i="12" s="1"/>
  <c r="N706" i="12"/>
  <c r="N710" i="12"/>
  <c r="N714" i="12"/>
  <c r="N718" i="12"/>
  <c r="N705" i="12"/>
  <c r="N1188" i="12" s="1"/>
  <c r="N709" i="12"/>
  <c r="N713" i="12"/>
  <c r="N704" i="12"/>
  <c r="N708" i="12"/>
  <c r="N712" i="12"/>
  <c r="N716" i="12"/>
  <c r="N720" i="12"/>
  <c r="K1406" i="12"/>
  <c r="L2078" i="16"/>
  <c r="M2047" i="16"/>
  <c r="K35" i="8"/>
  <c r="C256" i="25" s="1"/>
  <c r="L35" i="8"/>
  <c r="N26" i="22"/>
  <c r="N35" i="8"/>
  <c r="M35" i="8"/>
  <c r="C255" i="25"/>
  <c r="I421" i="10"/>
  <c r="G135" i="10"/>
  <c r="G96" i="10"/>
  <c r="G95" i="10"/>
  <c r="G137" i="10"/>
  <c r="I122" i="10"/>
  <c r="I123" i="10" s="1"/>
  <c r="H125" i="10"/>
  <c r="H124" i="10"/>
  <c r="C135" i="25"/>
  <c r="C217" i="25"/>
  <c r="C209" i="25"/>
  <c r="C247" i="25" s="1"/>
  <c r="C201" i="25"/>
  <c r="C239" i="25" s="1"/>
  <c r="C258" i="25" s="1"/>
  <c r="C266" i="25" s="1"/>
  <c r="H1613" i="16"/>
  <c r="I1606" i="16" a="1"/>
  <c r="I1606" i="16" s="1"/>
  <c r="H1339" i="16"/>
  <c r="I1332" i="16" a="1"/>
  <c r="I1332" i="16" s="1"/>
  <c r="H2020" i="16"/>
  <c r="I2013" i="16" a="1"/>
  <c r="I2013" i="16" s="1"/>
  <c r="H1945" i="16"/>
  <c r="I1938" i="16" a="1"/>
  <c r="I1938" i="16" s="1"/>
  <c r="H1490" i="16"/>
  <c r="I1483" i="16" a="1"/>
  <c r="I1483" i="16" s="1"/>
  <c r="H1193" i="16"/>
  <c r="I1186" i="16" a="1"/>
  <c r="I1186" i="16" s="1"/>
  <c r="M2051" i="16"/>
  <c r="D277" i="25"/>
  <c r="J894" i="20" a="1"/>
  <c r="J894" i="20" s="1"/>
  <c r="D898" i="20"/>
  <c r="C388" i="20"/>
  <c r="C390" i="20" s="1"/>
  <c r="C391" i="20" s="1"/>
  <c r="M2073" i="16"/>
  <c r="L1401" i="12"/>
  <c r="L1411" i="12" s="1"/>
  <c r="L1412" i="12" s="1"/>
  <c r="L257" i="20" s="1"/>
  <c r="M1429" i="12"/>
  <c r="N82" i="20"/>
  <c r="N157" i="16"/>
  <c r="M136" i="16"/>
  <c r="N1789" i="12"/>
  <c r="N1788" i="12"/>
  <c r="N162" i="11"/>
  <c r="O380" i="10"/>
  <c r="G410" i="10"/>
  <c r="O370" i="10"/>
  <c r="I408" i="10"/>
  <c r="I409" i="10" s="1"/>
  <c r="H358" i="10"/>
  <c r="H357" i="10" s="1"/>
  <c r="H353" i="10" s="1"/>
  <c r="H361" i="10" s="1"/>
  <c r="G428" i="10"/>
  <c r="G427" i="10"/>
  <c r="G361" i="10"/>
  <c r="M1538" i="12"/>
  <c r="M1517" i="12"/>
  <c r="M1544" i="12"/>
  <c r="M1546" i="12"/>
  <c r="M1509" i="12"/>
  <c r="M1452" i="12"/>
  <c r="M1536" i="12"/>
  <c r="M1558" i="12"/>
  <c r="M1507" i="12"/>
  <c r="M1459" i="12"/>
  <c r="M1582" i="12"/>
  <c r="M1528" i="12"/>
  <c r="M1488" i="12"/>
  <c r="M1508" i="12"/>
  <c r="M1516" i="12"/>
  <c r="M1545" i="12"/>
  <c r="M1572" i="12"/>
  <c r="M1590" i="12"/>
  <c r="M1450" i="12"/>
  <c r="M1542" i="12"/>
  <c r="M1427" i="12"/>
  <c r="M1584" i="12"/>
  <c r="M1514" i="12"/>
  <c r="M1490" i="12"/>
  <c r="M1425" i="12"/>
  <c r="M1426" i="12"/>
  <c r="M1472" i="12"/>
  <c r="M1520" i="12"/>
  <c r="M1493" i="12"/>
  <c r="M1547" i="12"/>
  <c r="M1527" i="12"/>
  <c r="M1535" i="12"/>
  <c r="M1501" i="12"/>
  <c r="M1449" i="12"/>
  <c r="M1561" i="12"/>
  <c r="M1466" i="12"/>
  <c r="M1530" i="12"/>
  <c r="M1428" i="12"/>
  <c r="M1489" i="12"/>
  <c r="M1438" i="12"/>
  <c r="M1521" i="12"/>
  <c r="M1451" i="12"/>
  <c r="M1555" i="12"/>
  <c r="M1433" i="12"/>
  <c r="M1597" i="12"/>
  <c r="M1492" i="12"/>
  <c r="M1503" i="12"/>
  <c r="M1575" i="12"/>
  <c r="M1442" i="12"/>
  <c r="M1506" i="12"/>
  <c r="M1441" i="12"/>
  <c r="M1581" i="12"/>
  <c r="M1560" i="12"/>
  <c r="M1549" i="12"/>
  <c r="M1598" i="12"/>
  <c r="M1565" i="12"/>
  <c r="M1589" i="12"/>
  <c r="M1484" i="12"/>
  <c r="M1573" i="12"/>
  <c r="M1453" i="12"/>
  <c r="M1431" i="12"/>
  <c r="M1552" i="12"/>
  <c r="M1562" i="12"/>
  <c r="M1486" i="12"/>
  <c r="M1531" i="12"/>
  <c r="M1515" i="12"/>
  <c r="M1579" i="12"/>
  <c r="M1571" i="12"/>
  <c r="M1532" i="12"/>
  <c r="M1518" i="12"/>
  <c r="M1498" i="12"/>
  <c r="M1557" i="12"/>
  <c r="M1435" i="12"/>
  <c r="M1588" i="12"/>
  <c r="M1495" i="12"/>
  <c r="M1513" i="12"/>
  <c r="M1457" i="12"/>
  <c r="M1500" i="12"/>
  <c r="M1510" i="12"/>
  <c r="M1496" i="12"/>
  <c r="M1554" i="12"/>
  <c r="M1467" i="12"/>
  <c r="M1461" i="12"/>
  <c r="M1460" i="12"/>
  <c r="M1494" i="12"/>
  <c r="M1456" i="12"/>
  <c r="M1541" i="12"/>
  <c r="M1596" i="12"/>
  <c r="M1595" i="12"/>
  <c r="M1487" i="12"/>
  <c r="M1464" i="12"/>
  <c r="M1553" i="12"/>
  <c r="M1505" i="12"/>
  <c r="M1462" i="12"/>
  <c r="M1432" i="12"/>
  <c r="M1440" i="12"/>
  <c r="M1439" i="12"/>
  <c r="M1497" i="12"/>
  <c r="M1537" i="12"/>
  <c r="M1585" i="12"/>
  <c r="M1424" i="12"/>
  <c r="M1511" i="12"/>
  <c r="M1540" i="12"/>
  <c r="M1593" i="12"/>
  <c r="M1436" i="12"/>
  <c r="M1563" i="12"/>
  <c r="M1476" i="12"/>
  <c r="M1559" i="12"/>
  <c r="M1434" i="12"/>
  <c r="M1502" i="12"/>
  <c r="M1529" i="12"/>
  <c r="M1577" i="12"/>
  <c r="M1556" i="12"/>
  <c r="M1443" i="12"/>
  <c r="M1543" i="12"/>
  <c r="M1483" i="12"/>
  <c r="M1534" i="12"/>
  <c r="M1512" i="12"/>
  <c r="M1454" i="12"/>
  <c r="M1551" i="12"/>
  <c r="M1548" i="12"/>
  <c r="M1448" i="12"/>
  <c r="M1539" i="12"/>
  <c r="M1587" i="12"/>
  <c r="M1455" i="12"/>
  <c r="M1578" i="12"/>
  <c r="M1519" i="12"/>
  <c r="M1437" i="12"/>
  <c r="M1574" i="12"/>
  <c r="M1550" i="12"/>
  <c r="M1474" i="12"/>
  <c r="M1580" i="12"/>
  <c r="M1475" i="12"/>
  <c r="M1594" i="12"/>
  <c r="M1564" i="12"/>
  <c r="M1600" i="12"/>
  <c r="M1482" i="12"/>
  <c r="M1465" i="12"/>
  <c r="M1458" i="12"/>
  <c r="M1576" i="12"/>
  <c r="M1485" i="12"/>
  <c r="M1599" i="12"/>
  <c r="M1491" i="12"/>
  <c r="M1586" i="12"/>
  <c r="M1499" i="12"/>
  <c r="M1473" i="12"/>
  <c r="M1504" i="12"/>
  <c r="M1533" i="12"/>
  <c r="M1583" i="12"/>
  <c r="M1463" i="12"/>
  <c r="M1566" i="12"/>
  <c r="M1592" i="12"/>
  <c r="M1430" i="12"/>
  <c r="N118" i="20"/>
  <c r="L332" i="16"/>
  <c r="L2139" i="16"/>
  <c r="M1228" i="12"/>
  <c r="M1393" i="12" s="1"/>
  <c r="M68" i="18"/>
  <c r="L1420" i="16"/>
  <c r="L333" i="16" s="1"/>
  <c r="M1419" i="16"/>
  <c r="N1419" i="16" s="1"/>
  <c r="L1315" i="16"/>
  <c r="L2123" i="16" s="1"/>
  <c r="N1669" i="12"/>
  <c r="N281" i="16"/>
  <c r="N1917" i="16"/>
  <c r="N1746" i="12"/>
  <c r="N1735" i="12"/>
  <c r="N161" i="20"/>
  <c r="N801" i="16"/>
  <c r="N99" i="16"/>
  <c r="N1585" i="16"/>
  <c r="N231" i="11"/>
  <c r="N170" i="20"/>
  <c r="N100" i="12"/>
  <c r="N121" i="22"/>
  <c r="N1830" i="12"/>
  <c r="N326" i="16"/>
  <c r="N270" i="16"/>
  <c r="N1823" i="12"/>
  <c r="N698" i="16"/>
  <c r="N431" i="16"/>
  <c r="N437" i="16"/>
  <c r="N1394" i="16"/>
  <c r="N1700" i="12"/>
  <c r="N1702" i="12"/>
  <c r="N573" i="16"/>
  <c r="N408" i="16"/>
  <c r="N30" i="16"/>
  <c r="N158" i="20"/>
  <c r="O28" i="8"/>
  <c r="N1564" i="16"/>
  <c r="N1688" i="12"/>
  <c r="N439" i="16"/>
  <c r="N157" i="20"/>
  <c r="N1729" i="12"/>
  <c r="N1787" i="12"/>
  <c r="N1880" i="12"/>
  <c r="N1919" i="12" s="1"/>
  <c r="M2077" i="16"/>
  <c r="K246" i="20"/>
  <c r="L2091" i="16"/>
  <c r="L2096" i="16" s="1"/>
  <c r="M1893" i="16"/>
  <c r="M2207" i="16" s="1"/>
  <c r="L232" i="20"/>
  <c r="L246" i="20" s="1"/>
  <c r="F1899" i="16"/>
  <c r="D1473" i="16"/>
  <c r="F1472" i="16" s="1"/>
  <c r="K1473" i="16" s="1"/>
  <c r="K2148" i="16" s="1"/>
  <c r="D1322" i="16"/>
  <c r="F1321" i="16" s="1"/>
  <c r="K1322" i="16" s="1"/>
  <c r="L2207" i="16"/>
  <c r="E525" i="20"/>
  <c r="E526" i="20" s="1"/>
  <c r="D808" i="20"/>
  <c r="E808" i="20" s="1"/>
  <c r="C808" i="20"/>
  <c r="C810" i="20"/>
  <c r="M2091" i="16"/>
  <c r="M1886" i="16"/>
  <c r="N1886" i="16" s="1"/>
  <c r="D1920" i="16"/>
  <c r="D1596" i="16"/>
  <c r="F1595" i="16" s="1"/>
  <c r="D1928" i="16"/>
  <c r="F1927" i="16" s="1"/>
  <c r="N1530" i="16"/>
  <c r="N1592" i="16"/>
  <c r="N101" i="20"/>
  <c r="N1399" i="12"/>
  <c r="N1797" i="12"/>
  <c r="N1819" i="12"/>
  <c r="N1817" i="12"/>
  <c r="N1801" i="12"/>
  <c r="N1800" i="12"/>
  <c r="N1827" i="12"/>
  <c r="N82" i="12"/>
  <c r="N1667" i="12"/>
  <c r="N1571" i="16"/>
  <c r="N117" i="20"/>
  <c r="N1826" i="12"/>
  <c r="N63" i="12"/>
  <c r="N1878" i="12"/>
  <c r="N1916" i="12" s="1"/>
  <c r="N449" i="16"/>
  <c r="N2071" i="16"/>
  <c r="N1681" i="12"/>
  <c r="N31" i="20"/>
  <c r="N455" i="16"/>
  <c r="N1490" i="16"/>
  <c r="N96" i="16"/>
  <c r="N1544" i="16"/>
  <c r="N452" i="16"/>
  <c r="N113" i="11"/>
  <c r="N1780" i="12"/>
  <c r="N786" i="16"/>
  <c r="N1318" i="16"/>
  <c r="N1704" i="12"/>
  <c r="N362" i="16"/>
  <c r="N564" i="16"/>
  <c r="N1694" i="12"/>
  <c r="N1695" i="12"/>
  <c r="N615" i="16"/>
  <c r="N74" i="11"/>
  <c r="N1837" i="12"/>
  <c r="N1782" i="12"/>
  <c r="N1803" i="12"/>
  <c r="N130" i="20"/>
  <c r="N1696" i="12"/>
  <c r="N413" i="10"/>
  <c r="N100" i="20"/>
  <c r="N95" i="16"/>
  <c r="N1931" i="16"/>
  <c r="N1422" i="16"/>
  <c r="N95" i="20"/>
  <c r="N616" i="16"/>
  <c r="N1441" i="16"/>
  <c r="N279" i="16"/>
  <c r="N1802" i="12"/>
  <c r="N2036" i="16"/>
  <c r="N2062" i="16" s="1"/>
  <c r="N64" i="20"/>
  <c r="N1690" i="12"/>
  <c r="N277" i="16"/>
  <c r="N1639" i="12"/>
  <c r="N444" i="16"/>
  <c r="N180" i="11"/>
  <c r="N1661" i="12"/>
  <c r="N2041" i="16"/>
  <c r="N2067" i="16" s="1"/>
  <c r="N216" i="16"/>
  <c r="N58" i="20"/>
  <c r="N1726" i="12"/>
  <c r="N1679" i="12"/>
  <c r="N576" i="16"/>
  <c r="N1644" i="12"/>
  <c r="N127" i="20"/>
  <c r="N189" i="20"/>
  <c r="N38" i="16"/>
  <c r="N205" i="20"/>
  <c r="N80" i="20"/>
  <c r="N1838" i="12"/>
  <c r="N1434" i="16"/>
  <c r="N1877" i="16"/>
  <c r="N1415" i="16"/>
  <c r="N1910" i="16"/>
  <c r="N1557" i="16"/>
  <c r="N1401" i="16"/>
  <c r="N446" i="16"/>
  <c r="N1723" i="12"/>
  <c r="N75" i="10"/>
  <c r="N12" i="11"/>
  <c r="N273" i="16"/>
  <c r="N175" i="20"/>
  <c r="N1737" i="12"/>
  <c r="N657" i="16"/>
  <c r="N357" i="16"/>
  <c r="N69" i="20"/>
  <c r="N1814" i="12"/>
  <c r="N617" i="12"/>
  <c r="N1799" i="12"/>
  <c r="N622" i="16"/>
  <c r="N625" i="16"/>
  <c r="N1774" i="12"/>
  <c r="N122" i="20"/>
  <c r="N88" i="22"/>
  <c r="N1796" i="12"/>
  <c r="N148" i="20"/>
  <c r="N63" i="18"/>
  <c r="N1606" i="16"/>
  <c r="N1448" i="16"/>
  <c r="N1832" i="12"/>
  <c r="N353" i="16"/>
  <c r="N1523" i="16"/>
  <c r="N1599" i="16"/>
  <c r="N1297" i="16"/>
  <c r="N1304" i="16"/>
  <c r="N129" i="20"/>
  <c r="N142" i="20"/>
  <c r="N114" i="12"/>
  <c r="N264" i="12" s="1"/>
  <c r="N66" i="20"/>
  <c r="N128" i="20"/>
  <c r="N1829" i="12"/>
  <c r="N61" i="20"/>
  <c r="N1716" i="12"/>
  <c r="N102" i="20"/>
  <c r="N1795" i="12"/>
  <c r="N423" i="16"/>
  <c r="N617" i="16"/>
  <c r="N124" i="20"/>
  <c r="N1738" i="12"/>
  <c r="N94" i="22"/>
  <c r="N300" i="10"/>
  <c r="N428" i="16"/>
  <c r="N2032" i="16"/>
  <c r="N2058" i="16" s="1"/>
  <c r="N2086" i="16" s="1"/>
  <c r="N103" i="22"/>
  <c r="D48" i="25"/>
  <c r="N915" i="12"/>
  <c r="N1930" i="12" s="1"/>
  <c r="N141" i="16"/>
  <c r="N101" i="16"/>
  <c r="N102" i="16"/>
  <c r="N196" i="20"/>
  <c r="N57" i="20"/>
  <c r="N454" i="16"/>
  <c r="N59" i="22"/>
  <c r="N68" i="20"/>
  <c r="N98" i="10"/>
  <c r="N62" i="20"/>
  <c r="N29" i="18"/>
  <c r="N192" i="20"/>
  <c r="N623" i="16"/>
  <c r="N359" i="16"/>
  <c r="N1727" i="12"/>
  <c r="N1825" i="12"/>
  <c r="N1736" i="12"/>
  <c r="N1828" i="12"/>
  <c r="N107" i="18"/>
  <c r="N172" i="20"/>
  <c r="N619" i="16"/>
  <c r="N276" i="16"/>
  <c r="N187" i="20"/>
  <c r="N2044" i="16"/>
  <c r="N1833" i="16"/>
  <c r="N458" i="16" s="1"/>
  <c r="N426" i="16"/>
  <c r="N1682" i="12"/>
  <c r="N1670" i="12"/>
  <c r="N575" i="16"/>
  <c r="N1683" i="12"/>
  <c r="N1761" i="12"/>
  <c r="N73" i="12"/>
  <c r="N1903" i="16"/>
  <c r="N356" i="16"/>
  <c r="N1705" i="12"/>
  <c r="N1699" i="12"/>
  <c r="N1163" i="12"/>
  <c r="N188" i="20"/>
  <c r="N618" i="16"/>
  <c r="N1839" i="12"/>
  <c r="N1677" i="12"/>
  <c r="N1785" i="12"/>
  <c r="N104" i="11"/>
  <c r="N174" i="20"/>
  <c r="N432" i="16"/>
  <c r="N1693" i="12"/>
  <c r="N1836" i="12"/>
  <c r="N355" i="16"/>
  <c r="N83" i="18"/>
  <c r="N420" i="16"/>
  <c r="N1678" i="12"/>
  <c r="N1793" i="12"/>
  <c r="N103" i="16"/>
  <c r="N176" i="20"/>
  <c r="N103" i="20"/>
  <c r="N2037" i="16"/>
  <c r="N2063" i="16" s="1"/>
  <c r="N2091" i="16" s="1"/>
  <c r="N12" i="18"/>
  <c r="N71" i="20"/>
  <c r="N130" i="22"/>
  <c r="N149" i="20"/>
  <c r="N145" i="20"/>
  <c r="N190" i="20"/>
  <c r="N582" i="16"/>
  <c r="N280" i="16"/>
  <c r="N1791" i="12"/>
  <c r="N1745" i="12"/>
  <c r="N32" i="22"/>
  <c r="N147" i="20"/>
  <c r="N578" i="16"/>
  <c r="N1712" i="12"/>
  <c r="N169" i="20"/>
  <c r="N2034" i="16"/>
  <c r="N2060" i="16" s="1"/>
  <c r="N2088" i="16" s="1"/>
  <c r="N620" i="16"/>
  <c r="N197" i="16"/>
  <c r="N1822" i="12"/>
  <c r="N1756" i="12"/>
  <c r="N98" i="16"/>
  <c r="N151" i="20"/>
  <c r="N134" i="20"/>
  <c r="N278" i="16"/>
  <c r="N173" i="20"/>
  <c r="N49" i="20"/>
  <c r="N12" i="22"/>
  <c r="N60" i="20"/>
  <c r="N140" i="20"/>
  <c r="N93" i="20"/>
  <c r="N1834" i="16"/>
  <c r="N459" i="16" s="1"/>
  <c r="N438" i="16"/>
  <c r="N1701" i="12"/>
  <c r="N1680" i="12"/>
  <c r="N137" i="20"/>
  <c r="N135" i="16"/>
  <c r="N385" i="10"/>
  <c r="N489" i="10" s="1"/>
  <c r="N146" i="20"/>
  <c r="N2033" i="16"/>
  <c r="N2059" i="16" s="1"/>
  <c r="N2087" i="16" s="1"/>
  <c r="N440" i="16"/>
  <c r="N156" i="20"/>
  <c r="N179" i="20"/>
  <c r="N116" i="18"/>
  <c r="N1811" i="12"/>
  <c r="N197" i="20"/>
  <c r="N2040" i="16"/>
  <c r="N2066" i="16" s="1"/>
  <c r="N2094" i="16" s="1"/>
  <c r="N443" i="16"/>
  <c r="N275" i="16"/>
  <c r="N1834" i="12"/>
  <c r="N1805" i="12"/>
  <c r="N44" i="18"/>
  <c r="N59" i="20"/>
  <c r="N457" i="16"/>
  <c r="N46" i="10"/>
  <c r="N138" i="20"/>
  <c r="N2038" i="16"/>
  <c r="N2064" i="16" s="1"/>
  <c r="N2092" i="16" s="1"/>
  <c r="N421" i="16"/>
  <c r="N1698" i="12"/>
  <c r="N1806" i="12"/>
  <c r="N1760" i="12"/>
  <c r="N12" i="10"/>
  <c r="N417" i="16"/>
  <c r="N1714" i="12"/>
  <c r="N1640" i="12"/>
  <c r="N1502" i="16"/>
  <c r="N365" i="16" s="1"/>
  <c r="N119" i="20"/>
  <c r="N361" i="16"/>
  <c r="N1790" i="12"/>
  <c r="N1675" i="12"/>
  <c r="N95" i="11"/>
  <c r="N171" i="20"/>
  <c r="N436" i="16"/>
  <c r="N1697" i="12"/>
  <c r="N1671" i="12"/>
  <c r="N574" i="16"/>
  <c r="N98" i="20"/>
  <c r="N1884" i="12"/>
  <c r="N1778" i="12"/>
  <c r="N2085" i="16"/>
  <c r="N1804" i="12"/>
  <c r="N1770" i="12"/>
  <c r="N1398" i="12"/>
  <c r="N104" i="16"/>
  <c r="N100" i="16"/>
  <c r="N65" i="20"/>
  <c r="N603" i="12"/>
  <c r="N125" i="20"/>
  <c r="N219" i="10"/>
  <c r="N85" i="20"/>
  <c r="N1715" i="12"/>
  <c r="N1820" i="12"/>
  <c r="N144" i="20"/>
  <c r="N1836" i="16"/>
  <c r="N461" i="16" s="1"/>
  <c r="N150" i="20"/>
  <c r="N621" i="16"/>
  <c r="N268" i="16"/>
  <c r="N12" i="16"/>
  <c r="N192" i="16" s="1"/>
  <c r="N453" i="16"/>
  <c r="N1734" i="12"/>
  <c r="N1752" i="12"/>
  <c r="N1504" i="16"/>
  <c r="N367" i="16" s="1"/>
  <c r="N445" i="16"/>
  <c r="N1730" i="12"/>
  <c r="N20" i="22"/>
  <c r="N434" i="16"/>
  <c r="N1753" i="12"/>
  <c r="N12" i="12"/>
  <c r="N96" i="18"/>
  <c r="N430" i="16"/>
  <c r="N1749" i="12"/>
  <c r="N1676" i="12"/>
  <c r="N1767" i="12"/>
  <c r="N425" i="16"/>
  <c r="N1879" i="12"/>
  <c r="N1918" i="12" s="1"/>
  <c r="N32" i="8"/>
  <c r="N31" i="8" s="1"/>
  <c r="N101" i="18" s="1"/>
  <c r="N193" i="20"/>
  <c r="N282" i="16"/>
  <c r="N1783" i="12"/>
  <c r="N1777" i="12"/>
  <c r="N62" i="16"/>
  <c r="N1728" i="12"/>
  <c r="N1835" i="16"/>
  <c r="N460" i="16" s="1"/>
  <c r="N1824" i="12"/>
  <c r="N1815" i="12"/>
  <c r="N2035" i="16"/>
  <c r="N2061" i="16" s="1"/>
  <c r="N2089" i="16" s="1"/>
  <c r="N198" i="16"/>
  <c r="N1837" i="16"/>
  <c r="N462" i="16" s="1"/>
  <c r="N91" i="12"/>
  <c r="N274" i="16"/>
  <c r="N1722" i="12"/>
  <c r="N1924" i="16"/>
  <c r="N1311" i="16"/>
  <c r="N1516" i="16"/>
  <c r="N1776" i="12"/>
  <c r="N35" i="11"/>
  <c r="N1666" i="12"/>
  <c r="N2039" i="16"/>
  <c r="N2065" i="16" s="1"/>
  <c r="N2093" i="16" s="1"/>
  <c r="N1157" i="12"/>
  <c r="N1455" i="16"/>
  <c r="N84" i="20"/>
  <c r="N242" i="10"/>
  <c r="N577" i="16"/>
  <c r="N112" i="22"/>
  <c r="N2031" i="16"/>
  <c r="N46" i="16"/>
  <c r="N1672" i="12"/>
  <c r="N12" i="20"/>
  <c r="N25" i="20" s="1"/>
  <c r="N1188" i="20" s="1"/>
  <c r="N429" i="16"/>
  <c r="N191" i="20"/>
  <c r="N120" i="20"/>
  <c r="N1784" i="12"/>
  <c r="N1813" i="12"/>
  <c r="N435" i="16"/>
  <c r="N1794" i="12"/>
  <c r="N698" i="12"/>
  <c r="N160" i="20"/>
  <c r="N427" i="16"/>
  <c r="N1757" i="12"/>
  <c r="N99" i="20"/>
  <c r="N70" i="16"/>
  <c r="N1740" i="12"/>
  <c r="N53" i="11"/>
  <c r="N133" i="20"/>
  <c r="N1768" i="12"/>
  <c r="N1674" i="12"/>
  <c r="N1578" i="16"/>
  <c r="N352" i="16"/>
  <c r="N1833" i="12"/>
  <c r="N327" i="16"/>
  <c r="N141" i="20"/>
  <c r="N325" i="16"/>
  <c r="N329" i="16"/>
  <c r="N1840" i="12"/>
  <c r="N921" i="12"/>
  <c r="N1501" i="16"/>
  <c r="N364" i="16" s="1"/>
  <c r="N1821" i="12"/>
  <c r="N42" i="12"/>
  <c r="N1500" i="16"/>
  <c r="N363" i="16" s="1"/>
  <c r="N1400" i="12"/>
  <c r="N1742" i="12"/>
  <c r="N450" i="16"/>
  <c r="N1798" i="12"/>
  <c r="N1290" i="16"/>
  <c r="N1462" i="16"/>
  <c r="N1673" i="12"/>
  <c r="N1792" i="12"/>
  <c r="N583" i="16"/>
  <c r="N1325" i="16"/>
  <c r="N1665" i="12"/>
  <c r="N222" i="11"/>
  <c r="N2057" i="16"/>
  <c r="N1739" i="12"/>
  <c r="N154" i="20"/>
  <c r="N83" i="20"/>
  <c r="N72" i="20"/>
  <c r="N68" i="22"/>
  <c r="N363" i="10"/>
  <c r="N74" i="18"/>
  <c r="N177" i="20"/>
  <c r="N1759" i="12"/>
  <c r="N1781" i="12"/>
  <c r="N126" i="20"/>
  <c r="N442" i="16"/>
  <c r="N121" i="20"/>
  <c r="N579" i="16"/>
  <c r="N1831" i="12"/>
  <c r="N1733" i="12"/>
  <c r="N358" i="16"/>
  <c r="N1692" i="12"/>
  <c r="N1689" i="12"/>
  <c r="N330" i="16"/>
  <c r="N1691" i="12"/>
  <c r="N32" i="12"/>
  <c r="N123" i="20"/>
  <c r="N1772" i="12"/>
  <c r="N1668" i="12"/>
  <c r="N171" i="11"/>
  <c r="N139" i="20"/>
  <c r="N1835" i="12"/>
  <c r="N1724" i="12"/>
  <c r="N240" i="11"/>
  <c r="N422" i="16"/>
  <c r="N1741" i="12"/>
  <c r="N328" i="16"/>
  <c r="N63" i="20"/>
  <c r="N272" i="16"/>
  <c r="N1754" i="12"/>
  <c r="N1638" i="12"/>
  <c r="N81" i="20"/>
  <c r="N1744" i="12"/>
  <c r="N1421" i="12"/>
  <c r="N1551" i="12" s="1"/>
  <c r="N156" i="10"/>
  <c r="N1725" i="12"/>
  <c r="N283" i="16"/>
  <c r="N629" i="12"/>
  <c r="N1816" i="12"/>
  <c r="N1771" i="12"/>
  <c r="N1889" i="16"/>
  <c r="N1896" i="16"/>
  <c r="N1469" i="16"/>
  <c r="N1476" i="16"/>
  <c r="N1537" i="16"/>
  <c r="N178" i="20"/>
  <c r="N1743" i="12"/>
  <c r="N418" i="16"/>
  <c r="N1706" i="12"/>
  <c r="N354" i="16"/>
  <c r="N940" i="12"/>
  <c r="N79" i="16"/>
  <c r="N127" i="10"/>
  <c r="N581" i="16"/>
  <c r="N143" i="20"/>
  <c r="N153" i="20"/>
  <c r="N195" i="20"/>
  <c r="N580" i="16"/>
  <c r="N1750" i="12"/>
  <c r="N1769" i="12"/>
  <c r="N152" i="20"/>
  <c r="N424" i="16"/>
  <c r="N116" i="20"/>
  <c r="N456" i="16"/>
  <c r="N1747" i="12"/>
  <c r="N1404" i="12"/>
  <c r="N271" i="16"/>
  <c r="N1707" i="12"/>
  <c r="N1181" i="12"/>
  <c r="N82" i="22"/>
  <c r="N1773" i="12"/>
  <c r="N136" i="20"/>
  <c r="N1664" i="12"/>
  <c r="N1713" i="12"/>
  <c r="N97" i="16"/>
  <c r="N50" i="22"/>
  <c r="N448" i="16"/>
  <c r="N70" i="20"/>
  <c r="N135" i="20"/>
  <c r="N131" i="20"/>
  <c r="N624" i="16"/>
  <c r="N1786" i="12"/>
  <c r="N1812" i="12"/>
  <c r="N334" i="10"/>
  <c r="N67" i="20"/>
  <c r="N190" i="10"/>
  <c r="N97" i="20"/>
  <c r="N360" i="16"/>
  <c r="N1779" i="12"/>
  <c r="N1703" i="12"/>
  <c r="N30" i="20"/>
  <c r="N1755" i="12"/>
  <c r="N54" i="16"/>
  <c r="N23" i="12"/>
  <c r="N132" i="20"/>
  <c r="N1751" i="12"/>
  <c r="N1732" i="12"/>
  <c r="N269" i="16"/>
  <c r="N451" i="16"/>
  <c r="N1818" i="12"/>
  <c r="N96" i="20"/>
  <c r="N447" i="16"/>
  <c r="N94" i="20"/>
  <c r="N159" i="20"/>
  <c r="N1483" i="16"/>
  <c r="N1775" i="12"/>
  <c r="N1503" i="16"/>
  <c r="N366" i="16" s="1"/>
  <c r="N201" i="11"/>
  <c r="N124" i="11"/>
  <c r="N1408" i="16"/>
  <c r="N44" i="11"/>
  <c r="N1731" i="12"/>
  <c r="N271" i="10"/>
  <c r="N1758" i="12"/>
  <c r="N419" i="16"/>
  <c r="N441" i="16"/>
  <c r="N194" i="20"/>
  <c r="N1748" i="12"/>
  <c r="N22" i="16"/>
  <c r="N41" i="22"/>
  <c r="N433" i="16"/>
  <c r="N155" i="20"/>
  <c r="N174" i="16"/>
  <c r="N471" i="20"/>
  <c r="N1301" i="16"/>
  <c r="N1391" i="16"/>
  <c r="N1405" i="16"/>
  <c r="N2137" i="16" s="1"/>
  <c r="N898" i="16"/>
  <c r="N892" i="16"/>
  <c r="N328" i="20"/>
  <c r="M1134" i="16"/>
  <c r="N1134" i="16" s="1"/>
  <c r="N1137" i="16" s="1"/>
  <c r="N245" i="16" s="1"/>
  <c r="D381" i="20"/>
  <c r="C383" i="20"/>
  <c r="C384" i="20" s="1"/>
  <c r="K384" i="20" s="1"/>
  <c r="K385" i="20" s="1"/>
  <c r="L2068" i="16"/>
  <c r="L2069" i="16" s="1"/>
  <c r="D62" i="25"/>
  <c r="L1135" i="16"/>
  <c r="L1136" i="16" s="1"/>
  <c r="M2049" i="16"/>
  <c r="M2076" i="16"/>
  <c r="N485" i="20"/>
  <c r="M2048" i="16"/>
  <c r="M2061" i="16"/>
  <c r="L2072" i="16"/>
  <c r="M116" i="12"/>
  <c r="M2053" i="16"/>
  <c r="E13" i="25"/>
  <c r="M161" i="12"/>
  <c r="D155" i="25"/>
  <c r="D418" i="25"/>
  <c r="M2050" i="16"/>
  <c r="D371" i="25"/>
  <c r="D465" i="25"/>
  <c r="D324" i="25"/>
  <c r="E73" i="25"/>
  <c r="M264" i="12"/>
  <c r="M206" i="12"/>
  <c r="M434" i="12"/>
  <c r="M594" i="12"/>
  <c r="M585" i="12"/>
  <c r="M221" i="12"/>
  <c r="M306" i="12"/>
  <c r="L364" i="20"/>
  <c r="M364" i="20" s="1"/>
  <c r="M2065" i="16"/>
  <c r="M2093" i="16" s="1"/>
  <c r="N1280" i="16"/>
  <c r="N2118" i="16" s="1"/>
  <c r="N1459" i="16"/>
  <c r="N2146" i="16" s="1"/>
  <c r="M2066" i="16"/>
  <c r="M2094" i="16" s="1"/>
  <c r="M2046" i="16"/>
  <c r="N349" i="20"/>
  <c r="N874" i="16"/>
  <c r="N202" i="16"/>
  <c r="N206" i="16"/>
  <c r="N210" i="16"/>
  <c r="N214" i="16"/>
  <c r="N211" i="16"/>
  <c r="N108" i="16"/>
  <c r="N116" i="16"/>
  <c r="N203" i="16"/>
  <c r="N201" i="16"/>
  <c r="N205" i="16"/>
  <c r="N209" i="16"/>
  <c r="N213" i="16"/>
  <c r="N207" i="16"/>
  <c r="N199" i="16"/>
  <c r="N215" i="16"/>
  <c r="N200" i="16"/>
  <c r="N204" i="16"/>
  <c r="N208" i="16"/>
  <c r="N212" i="16"/>
  <c r="N117" i="16"/>
  <c r="N134" i="16"/>
  <c r="N128" i="16"/>
  <c r="N107" i="16"/>
  <c r="N121" i="16"/>
  <c r="N106" i="16"/>
  <c r="N124" i="16"/>
  <c r="N132" i="16"/>
  <c r="N111" i="16"/>
  <c r="N125" i="16"/>
  <c r="N110" i="16"/>
  <c r="N130" i="16"/>
  <c r="N115" i="16"/>
  <c r="N129" i="16"/>
  <c r="N114" i="16"/>
  <c r="N119" i="16"/>
  <c r="N133" i="16"/>
  <c r="N118" i="16"/>
  <c r="N131" i="16"/>
  <c r="N123" i="16"/>
  <c r="N105" i="16"/>
  <c r="N122" i="16"/>
  <c r="N127" i="16"/>
  <c r="N109" i="16"/>
  <c r="N112" i="16"/>
  <c r="N120" i="16"/>
  <c r="N126" i="16"/>
  <c r="N113" i="16"/>
  <c r="N43" i="20"/>
  <c r="N36" i="20"/>
  <c r="N48" i="20"/>
  <c r="N34" i="20"/>
  <c r="N46" i="20"/>
  <c r="N35" i="20"/>
  <c r="N44" i="20"/>
  <c r="N42" i="20"/>
  <c r="N39" i="20"/>
  <c r="N38" i="20"/>
  <c r="N32" i="20"/>
  <c r="N45" i="20"/>
  <c r="N40" i="20"/>
  <c r="N41" i="20"/>
  <c r="N37" i="20"/>
  <c r="N47" i="20"/>
  <c r="N33" i="20"/>
  <c r="K77" i="22"/>
  <c r="K79" i="22" s="1"/>
  <c r="K78" i="10" s="1"/>
  <c r="K65" i="16"/>
  <c r="K2238" i="16" s="1"/>
  <c r="K2250" i="16" s="1"/>
  <c r="K17" i="16"/>
  <c r="K2232" i="16" s="1"/>
  <c r="K25" i="16"/>
  <c r="K2233" i="16" s="1"/>
  <c r="K2245" i="16" s="1"/>
  <c r="K73" i="16"/>
  <c r="K2239" i="16" s="1"/>
  <c r="K2251" i="16" s="1"/>
  <c r="K2263" i="16" s="1"/>
  <c r="K76" i="16" s="1"/>
  <c r="K89" i="16" s="1"/>
  <c r="K49" i="16"/>
  <c r="K2236" i="16" s="1"/>
  <c r="K2248" i="16" s="1"/>
  <c r="K41" i="16"/>
  <c r="K2235" i="16" s="1"/>
  <c r="K2247" i="16" s="1"/>
  <c r="K57" i="16"/>
  <c r="K2237" i="16" s="1"/>
  <c r="K2249" i="16" s="1"/>
  <c r="K33" i="16"/>
  <c r="K2234" i="16" s="1"/>
  <c r="K2246" i="16" s="1"/>
  <c r="N1907" i="16"/>
  <c r="N2209" i="16" s="1"/>
  <c r="N363" i="20"/>
  <c r="L1171" i="16"/>
  <c r="L336" i="20"/>
  <c r="L337" i="20" s="1"/>
  <c r="L357" i="20"/>
  <c r="M357" i="20" s="1"/>
  <c r="M358" i="20" s="1"/>
  <c r="L350" i="20"/>
  <c r="M350" i="20" s="1"/>
  <c r="M351" i="20" s="1"/>
  <c r="N356" i="20"/>
  <c r="L358" i="20"/>
  <c r="M365" i="20"/>
  <c r="L365" i="20"/>
  <c r="L351" i="20"/>
  <c r="M1169" i="16"/>
  <c r="L1163" i="16"/>
  <c r="L1164" i="16" s="1"/>
  <c r="L1170" i="16"/>
  <c r="L1149" i="16"/>
  <c r="L1150" i="16" s="1"/>
  <c r="L370" i="20"/>
  <c r="L372" i="20" s="1"/>
  <c r="M1158" i="16"/>
  <c r="M248" i="16" s="1"/>
  <c r="N1155" i="16"/>
  <c r="N1158" i="16" s="1"/>
  <c r="N248" i="16" s="1"/>
  <c r="M1162" i="16"/>
  <c r="M1156" i="16"/>
  <c r="M1157" i="16" s="1"/>
  <c r="M1148" i="16"/>
  <c r="M875" i="16"/>
  <c r="L876" i="16"/>
  <c r="N1332" i="16"/>
  <c r="J930" i="16"/>
  <c r="B925" i="16"/>
  <c r="M1141" i="16"/>
  <c r="M1144" i="16" s="1"/>
  <c r="M246" i="16" s="1"/>
  <c r="L1144" i="16"/>
  <c r="L246" i="16" s="1"/>
  <c r="K1177" i="16"/>
  <c r="K1178" i="16" s="1"/>
  <c r="K1179" i="16"/>
  <c r="K251" i="16" s="1"/>
  <c r="D1333" i="16"/>
  <c r="N1339" i="16" s="1"/>
  <c r="B1326" i="16"/>
  <c r="K1190" i="16"/>
  <c r="D1189" i="16"/>
  <c r="D1190" i="16" s="1"/>
  <c r="F1189" i="16" s="1"/>
  <c r="D1327" i="16"/>
  <c r="E1327" i="16"/>
  <c r="F1327" i="16" s="1"/>
  <c r="E1196" i="16"/>
  <c r="E1195" i="16"/>
  <c r="F1195" i="16" s="1"/>
  <c r="D1201" i="16"/>
  <c r="D1195" i="16"/>
  <c r="E1328" i="16"/>
  <c r="D1328" i="16" s="1"/>
  <c r="L1332" i="16"/>
  <c r="M1332" i="16"/>
  <c r="D1182" i="16"/>
  <c r="D1183" i="16" s="1"/>
  <c r="F1182" i="16" s="1"/>
  <c r="D1176" i="16"/>
  <c r="K1183" i="16"/>
  <c r="K377" i="20"/>
  <c r="K378" i="20" s="1"/>
  <c r="K372" i="20"/>
  <c r="M757" i="16"/>
  <c r="L699" i="16"/>
  <c r="N1283" i="16"/>
  <c r="N307" i="16" s="1"/>
  <c r="N322" i="16" s="1"/>
  <c r="N76" i="20" s="1"/>
  <c r="M1283" i="16"/>
  <c r="M307" i="16" s="1"/>
  <c r="M322" i="16" s="1"/>
  <c r="M76" i="20" s="1"/>
  <c r="N886" i="16"/>
  <c r="N880" i="16"/>
  <c r="M2146" i="16"/>
  <c r="N1287" i="16"/>
  <c r="N2112" i="16" s="1"/>
  <c r="N845" i="20"/>
  <c r="N847" i="20" s="1"/>
  <c r="M762" i="16"/>
  <c r="M750" i="16"/>
  <c r="M212" i="20" s="1"/>
  <c r="M768" i="16"/>
  <c r="M230" i="20" s="1"/>
  <c r="M781" i="16"/>
  <c r="M243" i="20" s="1"/>
  <c r="M2209" i="16"/>
  <c r="N1398" i="16"/>
  <c r="N2136" i="16" s="1"/>
  <c r="M500" i="20"/>
  <c r="M501" i="20" s="1"/>
  <c r="M1399" i="16"/>
  <c r="M1400" i="16" s="1"/>
  <c r="N499" i="20"/>
  <c r="M1708" i="12"/>
  <c r="M1873" i="12" s="1"/>
  <c r="M1911" i="12" s="1"/>
  <c r="M584" i="16"/>
  <c r="M809" i="16" s="1"/>
  <c r="M48" i="18"/>
  <c r="M53" i="18" s="1"/>
  <c r="M101" i="18"/>
  <c r="M119" i="18"/>
  <c r="M33" i="18"/>
  <c r="M38" i="18" s="1"/>
  <c r="M110" i="18"/>
  <c r="M18" i="18"/>
  <c r="M23" i="18" s="1"/>
  <c r="M86" i="18"/>
  <c r="M2119" i="16"/>
  <c r="M1288" i="16"/>
  <c r="M1908" i="16"/>
  <c r="M1909" i="16" s="1"/>
  <c r="M846" i="20"/>
  <c r="M847" i="20" s="1"/>
  <c r="M329" i="20"/>
  <c r="M1204" i="12"/>
  <c r="M1392" i="12" s="1"/>
  <c r="M73" i="20"/>
  <c r="M1203" i="20" s="1"/>
  <c r="M180" i="20"/>
  <c r="M1208" i="20" s="1"/>
  <c r="M331" i="16"/>
  <c r="M806" i="16" s="1"/>
  <c r="M1138" i="12"/>
  <c r="M1158" i="12" s="1"/>
  <c r="M896" i="12"/>
  <c r="M916" i="12" s="1"/>
  <c r="M1932" i="12" s="1"/>
  <c r="M86" i="20"/>
  <c r="M1205" i="20" s="1"/>
  <c r="M2042" i="16"/>
  <c r="M811" i="16" s="1"/>
  <c r="M2058" i="16"/>
  <c r="M1120" i="12"/>
  <c r="M1156" i="12" s="1"/>
  <c r="M1147" i="12"/>
  <c r="M1159" i="12" s="1"/>
  <c r="M626" i="16"/>
  <c r="M810" i="16" s="1"/>
  <c r="M1086" i="12"/>
  <c r="M1155" i="12" s="1"/>
  <c r="M807" i="16"/>
  <c r="M1841" i="12"/>
  <c r="M1877" i="12" s="1"/>
  <c r="M1915" i="12" s="1"/>
  <c r="M996" i="12"/>
  <c r="M1153" i="12" s="1"/>
  <c r="M1684" i="12"/>
  <c r="M1872" i="12" s="1"/>
  <c r="M1041" i="12"/>
  <c r="M1154" i="12" s="1"/>
  <c r="M1762" i="12"/>
  <c r="M1875" i="12" s="1"/>
  <c r="M1913" i="12" s="1"/>
  <c r="M284" i="16"/>
  <c r="M804" i="16" s="1"/>
  <c r="M198" i="20"/>
  <c r="M1209" i="20" s="1"/>
  <c r="M987" i="12"/>
  <c r="M1152" i="12" s="1"/>
  <c r="M963" i="12"/>
  <c r="M1151" i="12" s="1"/>
  <c r="M1717" i="12"/>
  <c r="M1874" i="12" s="1"/>
  <c r="M1912" i="12" s="1"/>
  <c r="M808" i="16"/>
  <c r="M162" i="20"/>
  <c r="M1207" i="20" s="1"/>
  <c r="M1807" i="12"/>
  <c r="M1876" i="12" s="1"/>
  <c r="M1914" i="12" s="1"/>
  <c r="L2055" i="16"/>
  <c r="L796" i="16" s="1"/>
  <c r="M2054" i="16"/>
  <c r="M2060" i="16"/>
  <c r="M2095" i="16"/>
  <c r="L1160" i="12"/>
  <c r="L1170" i="12" s="1"/>
  <c r="L1171" i="12" s="1"/>
  <c r="M745" i="16"/>
  <c r="M207" i="20" s="1"/>
  <c r="M783" i="16"/>
  <c r="M245" i="20" s="1"/>
  <c r="M761" i="16"/>
  <c r="M223" i="20" s="1"/>
  <c r="M782" i="16"/>
  <c r="M244" i="20" s="1"/>
  <c r="M746" i="16"/>
  <c r="M208" i="20" s="1"/>
  <c r="M771" i="16"/>
  <c r="M233" i="20" s="1"/>
  <c r="M744" i="16"/>
  <c r="M206" i="20" s="1"/>
  <c r="M765" i="16"/>
  <c r="M227" i="20" s="1"/>
  <c r="M763" i="16"/>
  <c r="M225" i="20" s="1"/>
  <c r="M759" i="16"/>
  <c r="M221" i="20" s="1"/>
  <c r="M770" i="16"/>
  <c r="M232" i="20" s="1"/>
  <c r="M749" i="16"/>
  <c r="M211" i="20" s="1"/>
  <c r="M748" i="16"/>
  <c r="M769" i="16"/>
  <c r="M231" i="20" s="1"/>
  <c r="M747" i="16"/>
  <c r="M878" i="12"/>
  <c r="M914" i="12" s="1"/>
  <c r="M1929" i="12" s="1"/>
  <c r="M2118" i="16"/>
  <c r="M758" i="16"/>
  <c r="M220" i="20" s="1"/>
  <c r="M772" i="16"/>
  <c r="M234" i="20" s="1"/>
  <c r="M776" i="16"/>
  <c r="M238" i="20" s="1"/>
  <c r="M775" i="16"/>
  <c r="M237" i="20" s="1"/>
  <c r="M764" i="16"/>
  <c r="M226" i="20" s="1"/>
  <c r="M1281" i="16"/>
  <c r="L805" i="16"/>
  <c r="M905" i="12"/>
  <c r="M917" i="12" s="1"/>
  <c r="M1933" i="12" s="1"/>
  <c r="M721" i="12"/>
  <c r="M909" i="12" s="1"/>
  <c r="M1924" i="12" s="1"/>
  <c r="M751" i="16"/>
  <c r="M213" i="20" s="1"/>
  <c r="M754" i="16"/>
  <c r="M216" i="20" s="1"/>
  <c r="M753" i="16"/>
  <c r="M752" i="16"/>
  <c r="M214" i="20" s="1"/>
  <c r="M773" i="16"/>
  <c r="M774" i="16"/>
  <c r="M236" i="20" s="1"/>
  <c r="M780" i="16"/>
  <c r="M755" i="16"/>
  <c r="M217" i="20" s="1"/>
  <c r="M778" i="16"/>
  <c r="M240" i="20" s="1"/>
  <c r="M779" i="16"/>
  <c r="M767" i="16"/>
  <c r="M229" i="20" s="1"/>
  <c r="M777" i="16"/>
  <c r="M239" i="20" s="1"/>
  <c r="M760" i="16"/>
  <c r="M756" i="16"/>
  <c r="M218" i="20" s="1"/>
  <c r="M486" i="20"/>
  <c r="M745" i="12"/>
  <c r="M910" i="12" s="1"/>
  <c r="M1925" i="12" s="1"/>
  <c r="L1917" i="12"/>
  <c r="L1920" i="12" s="1"/>
  <c r="M844" i="12"/>
  <c r="M913" i="12" s="1"/>
  <c r="M1928" i="12" s="1"/>
  <c r="M799" i="12"/>
  <c r="M912" i="12" s="1"/>
  <c r="M1927" i="12" s="1"/>
  <c r="M1555" i="16"/>
  <c r="M1556" i="16" s="1"/>
  <c r="N1554" i="16"/>
  <c r="N2159" i="16" s="1"/>
  <c r="L1468" i="12"/>
  <c r="L1633" i="12" s="1"/>
  <c r="M754" i="12"/>
  <c r="M911" i="12" s="1"/>
  <c r="M1926" i="12" s="1"/>
  <c r="L1881" i="12"/>
  <c r="L1891" i="12" s="1"/>
  <c r="L1477" i="12"/>
  <c r="L1634" i="12" s="1"/>
  <c r="L1601" i="12"/>
  <c r="L1637" i="12" s="1"/>
  <c r="L1444" i="12"/>
  <c r="L1632" i="12" s="1"/>
  <c r="L1522" i="12"/>
  <c r="L1635" i="12" s="1"/>
  <c r="L1567" i="12"/>
  <c r="L1636" i="12" s="1"/>
  <c r="J135" i="10"/>
  <c r="J136" i="10"/>
  <c r="M2137" i="16"/>
  <c r="L917" i="12"/>
  <c r="L1933" i="12" s="1"/>
  <c r="L912" i="12"/>
  <c r="L1927" i="12" s="1"/>
  <c r="M1406" i="16"/>
  <c r="M1407" i="16" s="1"/>
  <c r="N1561" i="16"/>
  <c r="N2160" i="16" s="1"/>
  <c r="M1562" i="16"/>
  <c r="M1563" i="16" s="1"/>
  <c r="L462" i="20"/>
  <c r="M462" i="20" s="1"/>
  <c r="L463" i="20"/>
  <c r="N461" i="20"/>
  <c r="L1924" i="12"/>
  <c r="L1928" i="12"/>
  <c r="L1932" i="12"/>
  <c r="L1925" i="12"/>
  <c r="M1453" i="16"/>
  <c r="M1454" i="16" s="1"/>
  <c r="N1452" i="16"/>
  <c r="K80" i="10"/>
  <c r="K494" i="10"/>
  <c r="K918" i="12"/>
  <c r="K928" i="12" s="1"/>
  <c r="K929" i="12" s="1"/>
  <c r="M493" i="20"/>
  <c r="M494" i="20" s="1"/>
  <c r="N492" i="20"/>
  <c r="K1927" i="12"/>
  <c r="K1931" i="12" s="1"/>
  <c r="K1934" i="12" s="1"/>
  <c r="K1891" i="12"/>
  <c r="M1446" i="16"/>
  <c r="M1447" i="16" s="1"/>
  <c r="N1445" i="16"/>
  <c r="N1431" i="16"/>
  <c r="N2142" i="16" s="1"/>
  <c r="M1392" i="16"/>
  <c r="M1393" i="16" s="1"/>
  <c r="M472" i="20"/>
  <c r="M473" i="20" s="1"/>
  <c r="M479" i="20"/>
  <c r="M480" i="20" s="1"/>
  <c r="N1412" i="16"/>
  <c r="N2138" i="16" s="1"/>
  <c r="N1294" i="16"/>
  <c r="N2120" i="16" s="1"/>
  <c r="M1295" i="16"/>
  <c r="M1296" i="16" s="1"/>
  <c r="M1432" i="16"/>
  <c r="M1433" i="16" s="1"/>
  <c r="M1413" i="16"/>
  <c r="M1414" i="16" s="1"/>
  <c r="M2120" i="16"/>
  <c r="N478" i="20"/>
  <c r="N1438" i="16"/>
  <c r="N2143" i="16" s="1"/>
  <c r="M1439" i="16"/>
  <c r="M1440" i="16" s="1"/>
  <c r="L334" i="16"/>
  <c r="L791" i="16" s="1"/>
  <c r="M2135" i="16"/>
  <c r="C186" i="8"/>
  <c r="K1641" i="12"/>
  <c r="K1646" i="12" s="1"/>
  <c r="X113" i="22"/>
  <c r="X117" i="22" s="1"/>
  <c r="X118" i="22" s="1"/>
  <c r="W118" i="22"/>
  <c r="N506" i="20"/>
  <c r="N508" i="20" s="1"/>
  <c r="M507" i="20"/>
  <c r="M508" i="20" s="1"/>
  <c r="L1142" i="16"/>
  <c r="L1143" i="16" s="1"/>
  <c r="L899" i="16"/>
  <c r="M899" i="16" s="1"/>
  <c r="L894" i="16"/>
  <c r="L904" i="16"/>
  <c r="M904" i="16" s="1"/>
  <c r="M2121" i="16"/>
  <c r="M1576" i="16"/>
  <c r="M1577" i="16" s="1"/>
  <c r="K152" i="16"/>
  <c r="K169" i="16" s="1"/>
  <c r="K186" i="16" s="1"/>
  <c r="K146" i="16"/>
  <c r="K162" i="16" s="1"/>
  <c r="K179" i="16" s="1"/>
  <c r="L514" i="20"/>
  <c r="M2114" i="16"/>
  <c r="M1302" i="16"/>
  <c r="M1303" i="16" s="1"/>
  <c r="M893" i="16"/>
  <c r="N1575" i="16"/>
  <c r="L1468" i="16"/>
  <c r="L2147" i="16"/>
  <c r="N1466" i="16"/>
  <c r="L1467" i="16"/>
  <c r="M1467" i="16" s="1"/>
  <c r="L1584" i="16"/>
  <c r="L520" i="20"/>
  <c r="L894" i="20"/>
  <c r="L1583" i="16"/>
  <c r="M1583" i="16" s="1"/>
  <c r="L2163" i="16"/>
  <c r="L515" i="20"/>
  <c r="M513" i="20"/>
  <c r="N513" i="20" s="1"/>
  <c r="N335" i="20"/>
  <c r="C538" i="20"/>
  <c r="D900" i="20" s="1"/>
  <c r="E900" i="20" s="1"/>
  <c r="K901" i="20" s="1"/>
  <c r="K902" i="20" s="1"/>
  <c r="D533" i="20"/>
  <c r="D532" i="20"/>
  <c r="C533" i="20"/>
  <c r="C534" i="20" s="1"/>
  <c r="C532" i="20"/>
  <c r="K521" i="20"/>
  <c r="K527" i="20"/>
  <c r="C912" i="20"/>
  <c r="C907" i="20"/>
  <c r="K895" i="20"/>
  <c r="M2163" i="16"/>
  <c r="N1582" i="16"/>
  <c r="N2163" i="16" s="1"/>
  <c r="L1589" i="16"/>
  <c r="K910" i="16"/>
  <c r="K911" i="16" s="1"/>
  <c r="K912" i="16" s="1"/>
  <c r="K1928" i="16"/>
  <c r="N1308" i="16"/>
  <c r="M881" i="16"/>
  <c r="M882" i="16" s="1"/>
  <c r="D1939" i="16"/>
  <c r="N1945" i="16" s="1"/>
  <c r="E1933" i="16"/>
  <c r="F1933" i="16" s="1"/>
  <c r="E1934" i="16"/>
  <c r="D1934" i="16" s="1"/>
  <c r="B1932" i="16"/>
  <c r="N1938" i="16"/>
  <c r="D1933" i="16"/>
  <c r="L1938" i="16"/>
  <c r="K1938" i="16"/>
  <c r="M887" i="16"/>
  <c r="E927" i="16"/>
  <c r="E926" i="16"/>
  <c r="F926" i="16" s="1"/>
  <c r="C928" i="16"/>
  <c r="D926" i="16"/>
  <c r="D916" i="16"/>
  <c r="D921" i="16"/>
  <c r="M1309" i="16"/>
  <c r="M1310" i="16" s="1"/>
  <c r="M2122" i="16"/>
  <c r="M2115" i="16"/>
  <c r="M1460" i="16"/>
  <c r="M1461" i="16" s="1"/>
  <c r="K2096" i="16"/>
  <c r="L2075" i="16"/>
  <c r="K2082" i="16"/>
  <c r="K256" i="20" s="1"/>
  <c r="E1602" i="16"/>
  <c r="D1602" i="16" s="1"/>
  <c r="E1601" i="16"/>
  <c r="F1601" i="16" s="1"/>
  <c r="D1601" i="16"/>
  <c r="M1606" i="16"/>
  <c r="D1607" i="16"/>
  <c r="K1606" i="16"/>
  <c r="L1606" i="16"/>
  <c r="B1600" i="16"/>
  <c r="K2164" i="16"/>
  <c r="K1590" i="16"/>
  <c r="K1591" i="16" s="1"/>
  <c r="K1596" i="16"/>
  <c r="D2014" i="16"/>
  <c r="D1479" i="16"/>
  <c r="B1484" i="16"/>
  <c r="E1486" i="16"/>
  <c r="D1486" i="16" s="1"/>
  <c r="E1485" i="16"/>
  <c r="F1485" i="16" s="1"/>
  <c r="D1485" i="16"/>
  <c r="D1491" i="16"/>
  <c r="K1490" i="16"/>
  <c r="L1490" i="16"/>
  <c r="M1490" i="16"/>
  <c r="M112" i="10"/>
  <c r="M29" i="8"/>
  <c r="M127" i="8" s="1"/>
  <c r="N29" i="8"/>
  <c r="N127" i="8" s="1"/>
  <c r="L29" i="8"/>
  <c r="L127" i="8" s="1"/>
  <c r="J422" i="10"/>
  <c r="J436" i="10"/>
  <c r="J381" i="10"/>
  <c r="M1137" i="16"/>
  <c r="P366" i="10"/>
  <c r="Q79" i="10"/>
  <c r="N114" i="10"/>
  <c r="N84" i="10"/>
  <c r="N118" i="10" s="1"/>
  <c r="N65" i="22"/>
  <c r="N92" i="12" s="1"/>
  <c r="N89" i="10"/>
  <c r="N113" i="10" s="1"/>
  <c r="O64" i="22"/>
  <c r="P60" i="22"/>
  <c r="M36" i="10"/>
  <c r="O56" i="22"/>
  <c r="P51" i="22"/>
  <c r="P55" i="22" s="1"/>
  <c r="O85" i="10"/>
  <c r="P33" i="22"/>
  <c r="P37" i="22" s="1"/>
  <c r="O38" i="22"/>
  <c r="O106" i="11" s="1"/>
  <c r="O71" i="10"/>
  <c r="Q92" i="10"/>
  <c r="R22" i="20"/>
  <c r="M463" i="20"/>
  <c r="M2078" i="16"/>
  <c r="Q77" i="10"/>
  <c r="R15" i="22"/>
  <c r="R17" i="22" s="1"/>
  <c r="M201" i="18"/>
  <c r="M200" i="18"/>
  <c r="M199" i="18"/>
  <c r="O126" i="8" l="1"/>
  <c r="N11" i="18"/>
  <c r="N11" i="22"/>
  <c r="O27" i="8"/>
  <c r="O11" i="11" s="1"/>
  <c r="N11" i="10"/>
  <c r="N11" i="20"/>
  <c r="N11" i="16"/>
  <c r="N11" i="12"/>
  <c r="N1568" i="16"/>
  <c r="N2161" i="16" s="1"/>
  <c r="K1474" i="16"/>
  <c r="L2210" i="16"/>
  <c r="M1569" i="16"/>
  <c r="L1915" i="16"/>
  <c r="M1915" i="16" s="1"/>
  <c r="M1570" i="16"/>
  <c r="L1916" i="16"/>
  <c r="M1916" i="16" s="1"/>
  <c r="L1887" i="16"/>
  <c r="M1887" i="16" s="1"/>
  <c r="N1887" i="16" s="1"/>
  <c r="K1323" i="16"/>
  <c r="K1324" i="16" s="1"/>
  <c r="K2124" i="16"/>
  <c r="L1894" i="16"/>
  <c r="M1894" i="16" s="1"/>
  <c r="K1475" i="16"/>
  <c r="K1900" i="16"/>
  <c r="E119" i="25"/>
  <c r="E127" i="25" s="1"/>
  <c r="E138" i="25" s="1"/>
  <c r="E146" i="25" s="1"/>
  <c r="N777" i="16"/>
  <c r="N239" i="20" s="1"/>
  <c r="C395" i="20"/>
  <c r="C397" i="20" s="1"/>
  <c r="C398" i="20" s="1"/>
  <c r="D388" i="20"/>
  <c r="C389" i="20"/>
  <c r="K391" i="20" s="1"/>
  <c r="K392" i="20" s="1"/>
  <c r="O1143" i="12"/>
  <c r="O1145" i="12"/>
  <c r="O1142" i="12"/>
  <c r="O1146" i="12"/>
  <c r="O1144" i="12"/>
  <c r="O1134" i="12"/>
  <c r="O1136" i="12"/>
  <c r="O1133" i="12"/>
  <c r="O1135" i="12"/>
  <c r="O1137" i="12"/>
  <c r="O1091" i="12"/>
  <c r="O1099" i="12"/>
  <c r="O1107" i="12"/>
  <c r="O1115" i="12"/>
  <c r="O1096" i="12"/>
  <c r="O1104" i="12"/>
  <c r="O1112" i="12"/>
  <c r="O1097" i="12"/>
  <c r="O1105" i="12"/>
  <c r="O1093" i="12"/>
  <c r="O1101" i="12"/>
  <c r="O1109" i="12"/>
  <c r="O1117" i="12"/>
  <c r="O1090" i="12"/>
  <c r="O1098" i="12"/>
  <c r="O1106" i="12"/>
  <c r="O1114" i="12"/>
  <c r="O1113" i="12"/>
  <c r="O1095" i="12"/>
  <c r="O1103" i="12"/>
  <c r="O1111" i="12"/>
  <c r="O1119" i="12"/>
  <c r="O1092" i="12"/>
  <c r="O1100" i="12"/>
  <c r="O1108" i="12"/>
  <c r="O1116" i="12"/>
  <c r="O1094" i="12"/>
  <c r="O1102" i="12"/>
  <c r="O1110" i="12"/>
  <c r="O1118" i="12"/>
  <c r="O1047" i="12"/>
  <c r="O1055" i="12"/>
  <c r="O1063" i="12"/>
  <c r="O1071" i="12"/>
  <c r="O1079" i="12"/>
  <c r="O1059" i="12"/>
  <c r="O1052" i="12"/>
  <c r="O1060" i="12"/>
  <c r="O1068" i="12"/>
  <c r="O1076" i="12"/>
  <c r="O1084" i="12"/>
  <c r="O1067" i="12"/>
  <c r="O1075" i="12"/>
  <c r="O1049" i="12"/>
  <c r="O1057" i="12"/>
  <c r="O1065" i="12"/>
  <c r="O1073" i="12"/>
  <c r="O1081" i="12"/>
  <c r="O1051" i="12"/>
  <c r="O1046" i="12"/>
  <c r="O1054" i="12"/>
  <c r="O1062" i="12"/>
  <c r="O1070" i="12"/>
  <c r="O1078" i="12"/>
  <c r="O1048" i="12"/>
  <c r="O1056" i="12"/>
  <c r="O1064" i="12"/>
  <c r="O1072" i="12"/>
  <c r="O1080" i="12"/>
  <c r="O1058" i="12"/>
  <c r="O1053" i="12"/>
  <c r="O1061" i="12"/>
  <c r="O1069" i="12"/>
  <c r="O1077" i="12"/>
  <c r="O1085" i="12"/>
  <c r="O1050" i="12"/>
  <c r="O1066" i="12"/>
  <c r="O1082" i="12"/>
  <c r="O1074" i="12"/>
  <c r="O1083" i="12"/>
  <c r="O1002" i="12"/>
  <c r="O1010" i="12"/>
  <c r="O1018" i="12"/>
  <c r="O1026" i="12"/>
  <c r="O1034" i="12"/>
  <c r="O1007" i="12"/>
  <c r="O1015" i="12"/>
  <c r="O1023" i="12"/>
  <c r="O1031" i="12"/>
  <c r="O1039" i="12"/>
  <c r="O1004" i="12"/>
  <c r="O1012" i="12"/>
  <c r="O1020" i="12"/>
  <c r="O1028" i="12"/>
  <c r="O1036" i="12"/>
  <c r="O1001" i="12"/>
  <c r="O1009" i="12"/>
  <c r="O1017" i="12"/>
  <c r="O1025" i="12"/>
  <c r="O1033" i="12"/>
  <c r="O1006" i="12"/>
  <c r="O1014" i="12"/>
  <c r="O1022" i="12"/>
  <c r="O1030" i="12"/>
  <c r="O1038" i="12"/>
  <c r="O1003" i="12"/>
  <c r="O1011" i="12"/>
  <c r="O1019" i="12"/>
  <c r="O1027" i="12"/>
  <c r="O1035" i="12"/>
  <c r="O1008" i="12"/>
  <c r="O1016" i="12"/>
  <c r="O1005" i="12"/>
  <c r="O1013" i="12"/>
  <c r="O1021" i="12"/>
  <c r="O1029" i="12"/>
  <c r="O1037" i="12"/>
  <c r="O1032" i="12"/>
  <c r="O1024" i="12"/>
  <c r="O1040" i="12"/>
  <c r="O992" i="12"/>
  <c r="O994" i="12"/>
  <c r="O991" i="12"/>
  <c r="O993" i="12"/>
  <c r="O995" i="12"/>
  <c r="O968" i="12"/>
  <c r="O976" i="12"/>
  <c r="O984" i="12"/>
  <c r="O973" i="12"/>
  <c r="O981" i="12"/>
  <c r="O974" i="12"/>
  <c r="O970" i="12"/>
  <c r="O978" i="12"/>
  <c r="O986" i="12"/>
  <c r="O967" i="12"/>
  <c r="O975" i="12"/>
  <c r="O983" i="12"/>
  <c r="O972" i="12"/>
  <c r="O980" i="12"/>
  <c r="O982" i="12"/>
  <c r="O969" i="12"/>
  <c r="O977" i="12"/>
  <c r="O985" i="12"/>
  <c r="O971" i="12"/>
  <c r="O979" i="12"/>
  <c r="O901" i="12"/>
  <c r="O904" i="12"/>
  <c r="O903" i="12"/>
  <c r="O900" i="12"/>
  <c r="O902" i="12"/>
  <c r="O892" i="12"/>
  <c r="O894" i="12"/>
  <c r="O891" i="12"/>
  <c r="O895" i="12"/>
  <c r="O893" i="12"/>
  <c r="O849" i="12"/>
  <c r="O1332" i="12" s="1"/>
  <c r="O857" i="12"/>
  <c r="O865" i="12"/>
  <c r="O873" i="12"/>
  <c r="O854" i="12"/>
  <c r="O862" i="12"/>
  <c r="O870" i="12"/>
  <c r="O855" i="12"/>
  <c r="O851" i="12"/>
  <c r="O859" i="12"/>
  <c r="O867" i="12"/>
  <c r="O875" i="12"/>
  <c r="O858" i="12"/>
  <c r="O848" i="12"/>
  <c r="O856" i="12"/>
  <c r="O864" i="12"/>
  <c r="O872" i="12"/>
  <c r="O874" i="12"/>
  <c r="O853" i="12"/>
  <c r="O861" i="12"/>
  <c r="O869" i="12"/>
  <c r="O877" i="12"/>
  <c r="O850" i="12"/>
  <c r="O866" i="12"/>
  <c r="O852" i="12"/>
  <c r="O1335" i="12" s="1"/>
  <c r="O860" i="12"/>
  <c r="O868" i="12"/>
  <c r="O876" i="12"/>
  <c r="O863" i="12"/>
  <c r="O871" i="12"/>
  <c r="O805" i="12"/>
  <c r="O1288" i="12" s="1"/>
  <c r="O813" i="12"/>
  <c r="O821" i="12"/>
  <c r="O829" i="12"/>
  <c r="O837" i="12"/>
  <c r="O827" i="12"/>
  <c r="O810" i="12"/>
  <c r="O818" i="12"/>
  <c r="O826" i="12"/>
  <c r="O834" i="12"/>
  <c r="O842" i="12"/>
  <c r="O835" i="12"/>
  <c r="O843" i="12"/>
  <c r="O807" i="12"/>
  <c r="O815" i="12"/>
  <c r="O823" i="12"/>
  <c r="O831" i="12"/>
  <c r="O839" i="12"/>
  <c r="O804" i="12"/>
  <c r="O812" i="12"/>
  <c r="O820" i="12"/>
  <c r="O828" i="12"/>
  <c r="O836" i="12"/>
  <c r="O809" i="12"/>
  <c r="O817" i="12"/>
  <c r="O825" i="12"/>
  <c r="O833" i="12"/>
  <c r="O841" i="12"/>
  <c r="O811" i="12"/>
  <c r="O819" i="12"/>
  <c r="O806" i="12"/>
  <c r="O814" i="12"/>
  <c r="O822" i="12"/>
  <c r="O830" i="12"/>
  <c r="O838" i="12"/>
  <c r="O808" i="12"/>
  <c r="O1291" i="12" s="1"/>
  <c r="O816" i="12"/>
  <c r="O824" i="12"/>
  <c r="O832" i="12"/>
  <c r="O840" i="12"/>
  <c r="O760" i="12"/>
  <c r="O1243" i="12" s="1"/>
  <c r="O768" i="12"/>
  <c r="O776" i="12"/>
  <c r="O784" i="12"/>
  <c r="O792" i="12"/>
  <c r="O765" i="12"/>
  <c r="O773" i="12"/>
  <c r="O781" i="12"/>
  <c r="O789" i="12"/>
  <c r="O797" i="12"/>
  <c r="O762" i="12"/>
  <c r="O770" i="12"/>
  <c r="O778" i="12"/>
  <c r="O786" i="12"/>
  <c r="O794" i="12"/>
  <c r="O759" i="12"/>
  <c r="O767" i="12"/>
  <c r="O775" i="12"/>
  <c r="O783" i="12"/>
  <c r="O791" i="12"/>
  <c r="O764" i="12"/>
  <c r="O772" i="12"/>
  <c r="O780" i="12"/>
  <c r="O788" i="12"/>
  <c r="O796" i="12"/>
  <c r="O761" i="12"/>
  <c r="O769" i="12"/>
  <c r="O777" i="12"/>
  <c r="O785" i="12"/>
  <c r="O793" i="12"/>
  <c r="O766" i="12"/>
  <c r="O774" i="12"/>
  <c r="O782" i="12"/>
  <c r="O790" i="12"/>
  <c r="O798" i="12"/>
  <c r="O763" i="12"/>
  <c r="O1246" i="12" s="1"/>
  <c r="O771" i="12"/>
  <c r="O779" i="12"/>
  <c r="O787" i="12"/>
  <c r="O795" i="12"/>
  <c r="O749" i="12"/>
  <c r="O752" i="12"/>
  <c r="O751" i="12"/>
  <c r="O750" i="12"/>
  <c r="O753" i="12"/>
  <c r="N1237" i="12"/>
  <c r="N1394" i="12" s="1"/>
  <c r="N1361" i="12"/>
  <c r="N1397" i="12" s="1"/>
  <c r="N1327" i="12"/>
  <c r="N1396" i="12" s="1"/>
  <c r="N1282" i="12"/>
  <c r="N1395" i="12" s="1"/>
  <c r="O726" i="12"/>
  <c r="O1209" i="12" s="1"/>
  <c r="O734" i="12"/>
  <c r="O742" i="12"/>
  <c r="O731" i="12"/>
  <c r="O739" i="12"/>
  <c r="O728" i="12"/>
  <c r="O736" i="12"/>
  <c r="O744" i="12"/>
  <c r="O725" i="12"/>
  <c r="O733" i="12"/>
  <c r="O741" i="12"/>
  <c r="O730" i="12"/>
  <c r="O738" i="12"/>
  <c r="O727" i="12"/>
  <c r="O735" i="12"/>
  <c r="O743" i="12"/>
  <c r="O737" i="12"/>
  <c r="O732" i="12"/>
  <c r="O740" i="12"/>
  <c r="O729" i="12"/>
  <c r="O1212" i="12" s="1"/>
  <c r="O943" i="12"/>
  <c r="O946" i="12"/>
  <c r="O950" i="12"/>
  <c r="O954" i="12"/>
  <c r="O958" i="12"/>
  <c r="O962" i="12"/>
  <c r="O959" i="12"/>
  <c r="O945" i="12"/>
  <c r="O949" i="12"/>
  <c r="O953" i="12"/>
  <c r="O957" i="12"/>
  <c r="O961" i="12"/>
  <c r="O947" i="12"/>
  <c r="O951" i="12"/>
  <c r="O955" i="12"/>
  <c r="O944" i="12"/>
  <c r="O948" i="12"/>
  <c r="O952" i="12"/>
  <c r="O956" i="12"/>
  <c r="O960" i="12"/>
  <c r="O701" i="12"/>
  <c r="O704" i="12"/>
  <c r="O708" i="12"/>
  <c r="O712" i="12"/>
  <c r="O716" i="12"/>
  <c r="O720" i="12"/>
  <c r="O703" i="12"/>
  <c r="O707" i="12"/>
  <c r="O711" i="12"/>
  <c r="O715" i="12"/>
  <c r="O719" i="12"/>
  <c r="O709" i="12"/>
  <c r="O717" i="12"/>
  <c r="O702" i="12"/>
  <c r="O1185" i="12" s="1"/>
  <c r="O706" i="12"/>
  <c r="O710" i="12"/>
  <c r="O714" i="12"/>
  <c r="O718" i="12"/>
  <c r="O705" i="12"/>
  <c r="O1188" i="12" s="1"/>
  <c r="O713" i="12"/>
  <c r="C136" i="25"/>
  <c r="C218" i="25"/>
  <c r="O180" i="11"/>
  <c r="O157" i="16"/>
  <c r="O35" i="8"/>
  <c r="D255" i="25"/>
  <c r="D256" i="25"/>
  <c r="D136" i="25"/>
  <c r="J122" i="10"/>
  <c r="J123" i="10" s="1"/>
  <c r="K122" i="10" s="1"/>
  <c r="I124" i="10"/>
  <c r="I125" i="10"/>
  <c r="D218" i="25"/>
  <c r="D217" i="25"/>
  <c r="D135" i="25"/>
  <c r="D201" i="25"/>
  <c r="D239" i="25" s="1"/>
  <c r="D258" i="25" s="1"/>
  <c r="D266" i="25" s="1"/>
  <c r="D209" i="25"/>
  <c r="D247" i="25" s="1"/>
  <c r="C220" i="25"/>
  <c r="C228" i="25" s="1"/>
  <c r="H1952" i="16"/>
  <c r="I1952" i="16" s="1" a="1"/>
  <c r="I1952" i="16" s="1"/>
  <c r="I1945" i="16" a="1"/>
  <c r="I1945" i="16" s="1"/>
  <c r="H2027" i="16"/>
  <c r="I2027" i="16" s="1" a="1"/>
  <c r="I2027" i="16" s="1"/>
  <c r="I2020" i="16" a="1"/>
  <c r="I2020" i="16" s="1"/>
  <c r="H1200" i="16"/>
  <c r="I1193" i="16" a="1"/>
  <c r="I1193" i="16" s="1"/>
  <c r="H1346" i="16"/>
  <c r="I1339" i="16" a="1"/>
  <c r="I1339" i="16" s="1"/>
  <c r="H1497" i="16"/>
  <c r="I1490" i="16" a="1"/>
  <c r="I1490" i="16" s="1"/>
  <c r="H1620" i="16"/>
  <c r="I1613" i="16" a="1"/>
  <c r="I1613" i="16" s="1"/>
  <c r="O49" i="20"/>
  <c r="O1770" i="12"/>
  <c r="O1740" i="12"/>
  <c r="O1758" i="12"/>
  <c r="O1676" i="12"/>
  <c r="E418" i="25"/>
  <c r="J901" i="20" a="1"/>
  <c r="J901" i="20" s="1"/>
  <c r="D905" i="20"/>
  <c r="M2079" i="16"/>
  <c r="N2079" i="16" s="1"/>
  <c r="L1406" i="12"/>
  <c r="O1725" i="12"/>
  <c r="O1694" i="12"/>
  <c r="O422" i="16"/>
  <c r="O1839" i="12"/>
  <c r="O1599" i="16"/>
  <c r="O68" i="20"/>
  <c r="O2033" i="16"/>
  <c r="O2059" i="16" s="1"/>
  <c r="O1462" i="16"/>
  <c r="O1775" i="12"/>
  <c r="O1673" i="12"/>
  <c r="O629" i="12"/>
  <c r="O179" i="20"/>
  <c r="O1469" i="16"/>
  <c r="O438" i="16"/>
  <c r="O104" i="11"/>
  <c r="O2071" i="16"/>
  <c r="O1638" i="12"/>
  <c r="O1703" i="12"/>
  <c r="O94" i="20"/>
  <c r="O1689" i="12"/>
  <c r="O1910" i="16"/>
  <c r="O1157" i="12"/>
  <c r="O1818" i="12"/>
  <c r="O2031" i="16"/>
  <c r="O268" i="16"/>
  <c r="O1544" i="16"/>
  <c r="O1838" i="12"/>
  <c r="O418" i="16"/>
  <c r="O42" i="12"/>
  <c r="O1771" i="12"/>
  <c r="O330" i="16"/>
  <c r="O99" i="20"/>
  <c r="O1502" i="16"/>
  <c r="O365" i="16" s="1"/>
  <c r="O1803" i="12"/>
  <c r="O328" i="16"/>
  <c r="O1733" i="12"/>
  <c r="O619" i="16"/>
  <c r="O1665" i="12"/>
  <c r="O96" i="18"/>
  <c r="O33" i="20"/>
  <c r="O212" i="16"/>
  <c r="O1592" i="16"/>
  <c r="O231" i="11"/>
  <c r="O2038" i="16"/>
  <c r="O2064" i="16" s="1"/>
  <c r="O2092" i="16" s="1"/>
  <c r="O444" i="16"/>
  <c r="O355" i="16"/>
  <c r="O66" i="20"/>
  <c r="N2047" i="16"/>
  <c r="N2050" i="16"/>
  <c r="N1562" i="12"/>
  <c r="O159" i="20"/>
  <c r="O38" i="16"/>
  <c r="O360" i="16"/>
  <c r="O1786" i="12"/>
  <c r="O1878" i="12"/>
  <c r="O1916" i="12" s="1"/>
  <c r="O1836" i="16"/>
  <c r="O461" i="16" s="1"/>
  <c r="O1332" i="16"/>
  <c r="O455" i="16"/>
  <c r="O1421" i="12"/>
  <c r="O1593" i="12" s="1"/>
  <c r="O573" i="16"/>
  <c r="O1903" i="16"/>
  <c r="O279" i="16"/>
  <c r="O170" i="20"/>
  <c r="O1837" i="12"/>
  <c r="O20" i="22"/>
  <c r="O425" i="16"/>
  <c r="O801" i="16"/>
  <c r="O1724" i="12"/>
  <c r="O142" i="20"/>
  <c r="O1400" i="12"/>
  <c r="O1823" i="12"/>
  <c r="O269" i="16"/>
  <c r="O282" i="16"/>
  <c r="O454" i="16"/>
  <c r="O113" i="11"/>
  <c r="O1884" i="12"/>
  <c r="O98" i="20"/>
  <c r="O1730" i="12"/>
  <c r="O283" i="16"/>
  <c r="O576" i="16"/>
  <c r="O30" i="20"/>
  <c r="O1644" i="12"/>
  <c r="O1713" i="12"/>
  <c r="O1831" i="12"/>
  <c r="O581" i="16"/>
  <c r="O70" i="20"/>
  <c r="O41" i="22"/>
  <c r="O73" i="12"/>
  <c r="O1781" i="12"/>
  <c r="O1751" i="12"/>
  <c r="O622" i="16"/>
  <c r="O126" i="20"/>
  <c r="O1670" i="12"/>
  <c r="O1806" i="12"/>
  <c r="O443" i="16"/>
  <c r="O278" i="16"/>
  <c r="O430" i="16"/>
  <c r="O242" i="10"/>
  <c r="O1834" i="12"/>
  <c r="O128" i="20"/>
  <c r="O103" i="22"/>
  <c r="O94" i="22"/>
  <c r="O101" i="16"/>
  <c r="O45" i="20"/>
  <c r="O130" i="16"/>
  <c r="O1500" i="16"/>
  <c r="O363" i="16" s="1"/>
  <c r="O1820" i="12"/>
  <c r="O1819" i="12"/>
  <c r="O1691" i="12"/>
  <c r="O1516" i="16"/>
  <c r="O1578" i="16"/>
  <c r="O353" i="16"/>
  <c r="O1530" i="16"/>
  <c r="O1837" i="16"/>
  <c r="O462" i="16" s="1"/>
  <c r="O1606" i="16"/>
  <c r="O1318" i="16"/>
  <c r="O1415" i="16"/>
  <c r="O1304" i="16"/>
  <c r="O1448" i="16"/>
  <c r="O334" i="10"/>
  <c r="O363" i="10"/>
  <c r="O616" i="16"/>
  <c r="O69" i="20"/>
  <c r="O162" i="11"/>
  <c r="O1754" i="12"/>
  <c r="O1811" i="12"/>
  <c r="O1706" i="12"/>
  <c r="O139" i="20"/>
  <c r="O1801" i="12"/>
  <c r="O145" i="20"/>
  <c r="O1639" i="12"/>
  <c r="O276" i="16"/>
  <c r="O83" i="20"/>
  <c r="O1715" i="12"/>
  <c r="O121" i="20"/>
  <c r="O23" i="12"/>
  <c r="O1729" i="12"/>
  <c r="O84" i="20"/>
  <c r="O1814" i="12"/>
  <c r="O618" i="16"/>
  <c r="O583" i="16"/>
  <c r="O63" i="20"/>
  <c r="O1728" i="12"/>
  <c r="O1798" i="12"/>
  <c r="O329" i="16"/>
  <c r="O621" i="16"/>
  <c r="O136" i="20"/>
  <c r="O75" i="10"/>
  <c r="O1398" i="12"/>
  <c r="O1880" i="12"/>
  <c r="O1919" i="12" s="1"/>
  <c r="O1835" i="12"/>
  <c r="O698" i="16"/>
  <c r="O12" i="18"/>
  <c r="O1752" i="12"/>
  <c r="O1826" i="12"/>
  <c r="O150" i="20"/>
  <c r="O1772" i="12"/>
  <c r="O448" i="16"/>
  <c r="O1163" i="12"/>
  <c r="O433" i="16"/>
  <c r="O172" i="20"/>
  <c r="O219" i="10"/>
  <c r="O100" i="16"/>
  <c r="O42" i="20"/>
  <c r="O127" i="16"/>
  <c r="O1297" i="16"/>
  <c r="O1716" i="12"/>
  <c r="O44" i="11"/>
  <c r="O222" i="11"/>
  <c r="O2041" i="16"/>
  <c r="O2067" i="16" s="1"/>
  <c r="O2095" i="16" s="1"/>
  <c r="O1834" i="16"/>
  <c r="O459" i="16" s="1"/>
  <c r="O1422" i="16"/>
  <c r="O1394" i="16"/>
  <c r="O1523" i="16"/>
  <c r="O1833" i="16"/>
  <c r="O458" i="16" s="1"/>
  <c r="O1938" i="16"/>
  <c r="O1585" i="16"/>
  <c r="O1812" i="12"/>
  <c r="O1761" i="12"/>
  <c r="O124" i="11"/>
  <c r="O1896" i="16"/>
  <c r="O1767" i="12"/>
  <c r="O1836" i="12"/>
  <c r="P28" i="8"/>
  <c r="O12" i="11"/>
  <c r="O1735" i="12"/>
  <c r="O188" i="20"/>
  <c r="O1797" i="12"/>
  <c r="O135" i="20"/>
  <c r="O1696" i="12"/>
  <c r="O81" i="20"/>
  <c r="O1698" i="12"/>
  <c r="O457" i="16"/>
  <c r="O58" i="20"/>
  <c r="O1832" i="12"/>
  <c r="O95" i="20"/>
  <c r="O95" i="11"/>
  <c r="O1790" i="12"/>
  <c r="O50" i="22"/>
  <c r="O441" i="16"/>
  <c r="O280" i="16"/>
  <c r="O620" i="16"/>
  <c r="O116" i="20"/>
  <c r="O429" i="16"/>
  <c r="O1734" i="12"/>
  <c r="O354" i="16"/>
  <c r="O617" i="16"/>
  <c r="O93" i="20"/>
  <c r="O1688" i="12"/>
  <c r="O1736" i="12"/>
  <c r="O270" i="16"/>
  <c r="O357" i="16"/>
  <c r="O623" i="16"/>
  <c r="O574" i="16"/>
  <c r="O1668" i="12"/>
  <c r="O1723" i="12"/>
  <c r="O177" i="20"/>
  <c r="O1784" i="12"/>
  <c r="O446" i="16"/>
  <c r="O1796" i="12"/>
  <c r="O434" i="16"/>
  <c r="O271" i="10"/>
  <c r="O149" i="20"/>
  <c r="O79" i="16"/>
  <c r="O46" i="20"/>
  <c r="O203" i="16"/>
  <c r="O1490" i="16"/>
  <c r="O1828" i="12"/>
  <c r="O12" i="12"/>
  <c r="O1813" i="12"/>
  <c r="O171" i="20"/>
  <c r="O1682" i="12"/>
  <c r="O82" i="20"/>
  <c r="O1744" i="12"/>
  <c r="O1802" i="12"/>
  <c r="O358" i="16"/>
  <c r="O152" i="20"/>
  <c r="O117" i="20"/>
  <c r="O1768" i="12"/>
  <c r="O361" i="16"/>
  <c r="O122" i="20"/>
  <c r="O1681" i="12"/>
  <c r="O2035" i="16"/>
  <c r="O1707" i="12"/>
  <c r="O450" i="16"/>
  <c r="O65" i="20"/>
  <c r="O127" i="10"/>
  <c r="O125" i="16"/>
  <c r="O209" i="16"/>
  <c r="O326" i="16"/>
  <c r="O161" i="20"/>
  <c r="O160" i="20"/>
  <c r="O2040" i="16"/>
  <c r="O2066" i="16" s="1"/>
  <c r="O2094" i="16" s="1"/>
  <c r="O1404" i="12"/>
  <c r="O424" i="16"/>
  <c r="O352" i="16"/>
  <c r="O1434" i="16"/>
  <c r="O1917" i="16"/>
  <c r="O1408" i="16"/>
  <c r="O114" i="12"/>
  <c r="O275" i="16"/>
  <c r="O408" i="16"/>
  <c r="O70" i="16"/>
  <c r="O575" i="16"/>
  <c r="O698" i="12"/>
  <c r="O452" i="16"/>
  <c r="O240" i="11"/>
  <c r="O272" i="16"/>
  <c r="O171" i="11"/>
  <c r="O1805" i="12"/>
  <c r="O147" i="20"/>
  <c r="O53" i="11"/>
  <c r="O1714" i="12"/>
  <c r="O1455" i="16"/>
  <c r="O1675" i="12"/>
  <c r="O439" i="16"/>
  <c r="O12" i="16"/>
  <c r="O192" i="16" s="1"/>
  <c r="O1743" i="12"/>
  <c r="O564" i="16"/>
  <c r="O64" i="20"/>
  <c r="O29" i="18"/>
  <c r="O1777" i="12"/>
  <c r="O1779" i="12"/>
  <c r="O359" i="16"/>
  <c r="O103" i="20"/>
  <c r="O119" i="20"/>
  <c r="O96" i="20"/>
  <c r="O1640" i="12"/>
  <c r="O1738" i="12"/>
  <c r="O419" i="16"/>
  <c r="O100" i="20"/>
  <c r="O32" i="8"/>
  <c r="O31" i="8" s="1"/>
  <c r="O18" i="18" s="1"/>
  <c r="O23" i="18" s="1"/>
  <c r="O1785" i="12"/>
  <c r="O362" i="16"/>
  <c r="O146" i="20"/>
  <c r="O1746" i="12"/>
  <c r="O74" i="18"/>
  <c r="O1793" i="12"/>
  <c r="O615" i="16"/>
  <c r="O63" i="18"/>
  <c r="O385" i="10"/>
  <c r="O489" i="10" s="1"/>
  <c r="O113" i="16"/>
  <c r="O201" i="16"/>
  <c r="O328" i="20"/>
  <c r="O1483" i="16"/>
  <c r="O1757" i="12"/>
  <c r="O1816" i="12"/>
  <c r="O198" i="16"/>
  <c r="O624" i="16"/>
  <c r="O158" i="20"/>
  <c r="O1311" i="16"/>
  <c r="O1564" i="16"/>
  <c r="O1799" i="12"/>
  <c r="O1537" i="16"/>
  <c r="O157" i="20"/>
  <c r="O1835" i="16"/>
  <c r="O460" i="16" s="1"/>
  <c r="O1931" i="16"/>
  <c r="O1924" i="16"/>
  <c r="O1732" i="12"/>
  <c r="O1889" i="16"/>
  <c r="O1571" i="16"/>
  <c r="O1840" i="12"/>
  <c r="O2037" i="16"/>
  <c r="O2063" i="16" s="1"/>
  <c r="O2091" i="16" s="1"/>
  <c r="O61" i="20"/>
  <c r="O124" i="20"/>
  <c r="O1690" i="12"/>
  <c r="O786" i="16"/>
  <c r="O940" i="12"/>
  <c r="O417" i="16"/>
  <c r="O31" i="20"/>
  <c r="O453" i="16"/>
  <c r="O35" i="11"/>
  <c r="O1700" i="12"/>
  <c r="O173" i="20"/>
  <c r="O1702" i="12"/>
  <c r="O197" i="16"/>
  <c r="O1290" i="16"/>
  <c r="O1678" i="12"/>
  <c r="O578" i="16"/>
  <c r="O1704" i="12"/>
  <c r="O1827" i="12"/>
  <c r="O580" i="16"/>
  <c r="O118" i="20"/>
  <c r="O112" i="22"/>
  <c r="O1737" i="12"/>
  <c r="O22" i="16"/>
  <c r="O428" i="16"/>
  <c r="O62" i="20"/>
  <c r="O205" i="20"/>
  <c r="O32" i="12"/>
  <c r="O1756" i="12"/>
  <c r="O1822" i="12"/>
  <c r="O625" i="16"/>
  <c r="O57" i="20"/>
  <c r="O201" i="11"/>
  <c r="O1825" i="12"/>
  <c r="O436" i="16"/>
  <c r="O156" i="10"/>
  <c r="O1830" i="12"/>
  <c r="O97" i="20"/>
  <c r="O1782" i="12"/>
  <c r="O59" i="20"/>
  <c r="O46" i="10"/>
  <c r="O187" i="20"/>
  <c r="O174" i="16"/>
  <c r="O120" i="16"/>
  <c r="O206" i="16"/>
  <c r="O1886" i="16"/>
  <c r="O129" i="20"/>
  <c r="O1739" i="12"/>
  <c r="O12" i="22"/>
  <c r="O71" i="20"/>
  <c r="O1501" i="16"/>
  <c r="O364" i="16" s="1"/>
  <c r="O1557" i="16"/>
  <c r="O1877" i="16"/>
  <c r="O1504" i="16"/>
  <c r="O367" i="16" s="1"/>
  <c r="O1503" i="16"/>
  <c r="O366" i="16" s="1"/>
  <c r="O1476" i="16"/>
  <c r="O1325" i="16"/>
  <c r="O1441" i="16"/>
  <c r="O420" i="16"/>
  <c r="O100" i="12"/>
  <c r="O1726" i="12"/>
  <c r="O1401" i="16"/>
  <c r="O1769" i="12"/>
  <c r="O1712" i="12"/>
  <c r="O1773" i="12"/>
  <c r="O134" i="20"/>
  <c r="O30" i="16"/>
  <c r="O579" i="16"/>
  <c r="O1683" i="12"/>
  <c r="O657" i="16"/>
  <c r="O768" i="16" s="1"/>
  <c r="O230" i="20" s="1"/>
  <c r="O1181" i="12"/>
  <c r="O62" i="16"/>
  <c r="O1722" i="12"/>
  <c r="O1680" i="12"/>
  <c r="O435" i="16"/>
  <c r="O327" i="16"/>
  <c r="O1804" i="12"/>
  <c r="O144" i="20"/>
  <c r="O1794" i="12"/>
  <c r="O216" i="16"/>
  <c r="O582" i="16"/>
  <c r="O85" i="20"/>
  <c r="O413" i="10"/>
  <c r="O1817" i="12"/>
  <c r="O1747" i="12"/>
  <c r="O577" i="16"/>
  <c r="O2032" i="16"/>
  <c r="O2058" i="16" s="1"/>
  <c r="O2086" i="16" s="1"/>
  <c r="O194" i="20"/>
  <c r="O74" i="11"/>
  <c r="O1695" i="12"/>
  <c r="O1693" i="12"/>
  <c r="O2039" i="16"/>
  <c r="O2065" i="16" s="1"/>
  <c r="O2093" i="16" s="1"/>
  <c r="O102" i="20"/>
  <c r="O1399" i="12"/>
  <c r="O1774" i="12"/>
  <c r="O442" i="16"/>
  <c r="O1674" i="12"/>
  <c r="O46" i="16"/>
  <c r="O133" i="20"/>
  <c r="O1750" i="12"/>
  <c r="O2085" i="16"/>
  <c r="O300" i="10"/>
  <c r="O116" i="18"/>
  <c r="O915" i="12"/>
  <c r="O1930" i="12" s="1"/>
  <c r="O356" i="20"/>
  <c r="O47" i="20"/>
  <c r="O111" i="16"/>
  <c r="O898" i="16"/>
  <c r="N2078" i="16"/>
  <c r="N2045" i="16"/>
  <c r="N2051" i="16"/>
  <c r="N2048" i="16"/>
  <c r="M1401" i="12"/>
  <c r="M1411" i="12" s="1"/>
  <c r="M1412" i="12" s="1"/>
  <c r="M257" i="20" s="1"/>
  <c r="N206" i="12"/>
  <c r="N767" i="16"/>
  <c r="N229" i="20" s="1"/>
  <c r="N585" i="12"/>
  <c r="N136" i="16"/>
  <c r="K168" i="16"/>
  <c r="K185" i="16" s="1"/>
  <c r="R168" i="16"/>
  <c r="L167" i="16"/>
  <c r="Q166" i="16"/>
  <c r="W165" i="16"/>
  <c r="R165" i="16"/>
  <c r="U167" i="16"/>
  <c r="U160" i="16"/>
  <c r="Q167" i="16"/>
  <c r="L159" i="16"/>
  <c r="M168" i="16"/>
  <c r="R159" i="16"/>
  <c r="S165" i="16"/>
  <c r="R160" i="16"/>
  <c r="Q159" i="16"/>
  <c r="X165" i="16"/>
  <c r="T165" i="16"/>
  <c r="P166" i="16"/>
  <c r="W160" i="16"/>
  <c r="L165" i="16"/>
  <c r="N160" i="16"/>
  <c r="U165" i="16"/>
  <c r="P160" i="16"/>
  <c r="X166" i="16"/>
  <c r="V165" i="16"/>
  <c r="V160" i="16"/>
  <c r="W159" i="16"/>
  <c r="X167" i="16"/>
  <c r="U159" i="16"/>
  <c r="O160" i="16"/>
  <c r="X160" i="16"/>
  <c r="M160" i="16"/>
  <c r="T160" i="16"/>
  <c r="O159" i="16"/>
  <c r="Q160" i="16"/>
  <c r="V159" i="16"/>
  <c r="R167" i="16"/>
  <c r="O165" i="16"/>
  <c r="T168" i="16"/>
  <c r="L161" i="16"/>
  <c r="Q168" i="16"/>
  <c r="P165" i="16"/>
  <c r="N167" i="16"/>
  <c r="S168" i="16"/>
  <c r="O168" i="16"/>
  <c r="V168" i="16"/>
  <c r="O166" i="16"/>
  <c r="L164" i="16"/>
  <c r="U166" i="16"/>
  <c r="P168" i="16"/>
  <c r="W167" i="16"/>
  <c r="X168" i="16"/>
  <c r="V166" i="16"/>
  <c r="M159" i="16"/>
  <c r="X159" i="16"/>
  <c r="P159" i="16"/>
  <c r="N166" i="16"/>
  <c r="M165" i="16"/>
  <c r="R166" i="16"/>
  <c r="U168" i="16"/>
  <c r="Q165" i="16"/>
  <c r="S159" i="16"/>
  <c r="T159" i="16"/>
  <c r="M167" i="16"/>
  <c r="T167" i="16"/>
  <c r="S167" i="16"/>
  <c r="S166" i="16"/>
  <c r="L168" i="16"/>
  <c r="N168" i="16"/>
  <c r="M166" i="16"/>
  <c r="T166" i="16"/>
  <c r="L166" i="16"/>
  <c r="W166" i="16"/>
  <c r="P167" i="16"/>
  <c r="N165" i="16"/>
  <c r="V167" i="16"/>
  <c r="O167" i="16"/>
  <c r="S160" i="16"/>
  <c r="N159" i="16"/>
  <c r="W168" i="16"/>
  <c r="L160" i="16"/>
  <c r="K166" i="16"/>
  <c r="K167" i="16"/>
  <c r="K164" i="16"/>
  <c r="K165" i="16"/>
  <c r="K160" i="16"/>
  <c r="K161" i="16"/>
  <c r="K159" i="16"/>
  <c r="O874" i="16"/>
  <c r="H427" i="10"/>
  <c r="H428" i="10"/>
  <c r="P380" i="10"/>
  <c r="P91" i="10"/>
  <c r="P105" i="10" s="1"/>
  <c r="P370" i="10"/>
  <c r="G382" i="10"/>
  <c r="G383" i="10"/>
  <c r="G418" i="10"/>
  <c r="H410" i="10"/>
  <c r="I358" i="10"/>
  <c r="I357" i="10" s="1"/>
  <c r="J408" i="10"/>
  <c r="J409" i="10" s="1"/>
  <c r="J358" i="10" s="1"/>
  <c r="J357" i="10" s="1"/>
  <c r="J353" i="10" s="1"/>
  <c r="J427" i="10" s="1"/>
  <c r="N110" i="18"/>
  <c r="N2053" i="16"/>
  <c r="O2053" i="16" s="1"/>
  <c r="M1477" i="12"/>
  <c r="M1634" i="12" s="1"/>
  <c r="M332" i="16"/>
  <c r="M2139" i="16"/>
  <c r="N306" i="12"/>
  <c r="F73" i="25"/>
  <c r="F119" i="25" s="1"/>
  <c r="F127" i="25" s="1"/>
  <c r="F138" i="25" s="1"/>
  <c r="F146" i="25" s="1"/>
  <c r="N769" i="16"/>
  <c r="N231" i="20" s="1"/>
  <c r="N747" i="16"/>
  <c r="N209" i="20" s="1"/>
  <c r="N1228" i="12"/>
  <c r="N1393" i="12" s="1"/>
  <c r="N770" i="16"/>
  <c r="N232" i="20" s="1"/>
  <c r="N745" i="16"/>
  <c r="N207" i="20" s="1"/>
  <c r="F13" i="25"/>
  <c r="N764" i="16"/>
  <c r="N226" i="20" s="1"/>
  <c r="N161" i="12"/>
  <c r="N763" i="16"/>
  <c r="N225" i="20" s="1"/>
  <c r="N221" i="12"/>
  <c r="N520" i="12"/>
  <c r="N751" i="16"/>
  <c r="N213" i="20" s="1"/>
  <c r="N594" i="12"/>
  <c r="N116" i="12"/>
  <c r="N774" i="16"/>
  <c r="N236" i="20" s="1"/>
  <c r="N434" i="12"/>
  <c r="N759" i="16"/>
  <c r="N221" i="20" s="1"/>
  <c r="M1567" i="12"/>
  <c r="M1636" i="12" s="1"/>
  <c r="M1522" i="12"/>
  <c r="M1635" i="12" s="1"/>
  <c r="M1444" i="12"/>
  <c r="M1632" i="12" s="1"/>
  <c r="M1468" i="12"/>
  <c r="M1633" i="12" s="1"/>
  <c r="M1601" i="12"/>
  <c r="M1637" i="12" s="1"/>
  <c r="N1516" i="12"/>
  <c r="N2073" i="16"/>
  <c r="N2046" i="16"/>
  <c r="N2049" i="16"/>
  <c r="M2072" i="16"/>
  <c r="N2072" i="16" s="1"/>
  <c r="N2052" i="16"/>
  <c r="N2054" i="16"/>
  <c r="N1500" i="12"/>
  <c r="N1424" i="12"/>
  <c r="N1508" i="12"/>
  <c r="N1491" i="12"/>
  <c r="N1439" i="12"/>
  <c r="N752" i="16"/>
  <c r="N214" i="20" s="1"/>
  <c r="N773" i="16"/>
  <c r="N235" i="20" s="1"/>
  <c r="N772" i="16"/>
  <c r="N234" i="20" s="1"/>
  <c r="N783" i="16"/>
  <c r="N245" i="20" s="1"/>
  <c r="N776" i="16"/>
  <c r="N238" i="20" s="1"/>
  <c r="N746" i="16"/>
  <c r="N208" i="20" s="1"/>
  <c r="N782" i="16"/>
  <c r="N244" i="20" s="1"/>
  <c r="N754" i="16"/>
  <c r="N216" i="20" s="1"/>
  <c r="N757" i="16"/>
  <c r="N219" i="20" s="1"/>
  <c r="N765" i="16"/>
  <c r="N227" i="20" s="1"/>
  <c r="N750" i="16"/>
  <c r="N212" i="20" s="1"/>
  <c r="N744" i="16"/>
  <c r="N206" i="20" s="1"/>
  <c r="N781" i="16"/>
  <c r="N243" i="20" s="1"/>
  <c r="N753" i="16"/>
  <c r="N215" i="20" s="1"/>
  <c r="N760" i="16"/>
  <c r="N222" i="20" s="1"/>
  <c r="N766" i="16"/>
  <c r="N228" i="20" s="1"/>
  <c r="N771" i="16"/>
  <c r="N233" i="20" s="1"/>
  <c r="N749" i="16"/>
  <c r="N211" i="20" s="1"/>
  <c r="N775" i="16"/>
  <c r="N237" i="20" s="1"/>
  <c r="N768" i="16"/>
  <c r="N230" i="20" s="1"/>
  <c r="N748" i="16"/>
  <c r="N210" i="20" s="1"/>
  <c r="N780" i="16"/>
  <c r="N242" i="20" s="1"/>
  <c r="N755" i="16"/>
  <c r="N217" i="20" s="1"/>
  <c r="N762" i="16"/>
  <c r="N224" i="20" s="1"/>
  <c r="N761" i="16"/>
  <c r="N223" i="20" s="1"/>
  <c r="N756" i="16"/>
  <c r="N218" i="20" s="1"/>
  <c r="N779" i="16"/>
  <c r="N241" i="20" s="1"/>
  <c r="N758" i="16"/>
  <c r="N220" i="20" s="1"/>
  <c r="N778" i="16"/>
  <c r="N240" i="20" s="1"/>
  <c r="M1315" i="16"/>
  <c r="M2123" i="16" s="1"/>
  <c r="L1316" i="16"/>
  <c r="M1420" i="16"/>
  <c r="M1421" i="16" s="1"/>
  <c r="M334" i="16" s="1"/>
  <c r="M791" i="16" s="1"/>
  <c r="L1317" i="16"/>
  <c r="O210" i="16"/>
  <c r="O213" i="16"/>
  <c r="O207" i="16"/>
  <c r="O132" i="16"/>
  <c r="O128" i="16"/>
  <c r="O107" i="16"/>
  <c r="O41" i="20"/>
  <c r="O43" i="20"/>
  <c r="O103" i="16"/>
  <c r="O189" i="20"/>
  <c r="O44" i="18"/>
  <c r="O196" i="20"/>
  <c r="O153" i="20"/>
  <c r="O121" i="22"/>
  <c r="O127" i="20"/>
  <c r="O449" i="16"/>
  <c r="O1815" i="12"/>
  <c r="O1692" i="12"/>
  <c r="O1788" i="12"/>
  <c r="O107" i="18"/>
  <c r="O123" i="20"/>
  <c r="O445" i="16"/>
  <c r="O1759" i="12"/>
  <c r="O1829" i="12"/>
  <c r="O1672" i="12"/>
  <c r="O83" i="18"/>
  <c r="O195" i="20"/>
  <c r="O277" i="16"/>
  <c r="O1787" i="12"/>
  <c r="O1745" i="12"/>
  <c r="O1776" i="12"/>
  <c r="O82" i="12"/>
  <c r="O132" i="20"/>
  <c r="O101" i="20"/>
  <c r="O432" i="16"/>
  <c r="O437" i="16"/>
  <c r="O1821" i="12"/>
  <c r="O1664" i="12"/>
  <c r="O214" i="16"/>
  <c r="O112" i="16"/>
  <c r="O211" i="16"/>
  <c r="O119" i="16"/>
  <c r="O109" i="16"/>
  <c r="O117" i="16"/>
  <c r="O40" i="20"/>
  <c r="O39" i="20"/>
  <c r="O95" i="16"/>
  <c r="O135" i="16"/>
  <c r="O603" i="12"/>
  <c r="O192" i="20"/>
  <c r="O176" i="20"/>
  <c r="O156" i="20"/>
  <c r="O140" i="20"/>
  <c r="O137" i="20"/>
  <c r="O2036" i="16"/>
  <c r="O2062" i="16" s="1"/>
  <c r="O2090" i="16" s="1"/>
  <c r="O356" i="16"/>
  <c r="O1731" i="12"/>
  <c r="O1833" i="12"/>
  <c r="O1679" i="12"/>
  <c r="O178" i="20"/>
  <c r="O88" i="22"/>
  <c r="O440" i="16"/>
  <c r="O1727" i="12"/>
  <c r="O1749" i="12"/>
  <c r="O1792" i="12"/>
  <c r="O148" i="20"/>
  <c r="O2034" i="16"/>
  <c r="O2060" i="16" s="1"/>
  <c r="O2088" i="16" s="1"/>
  <c r="O423" i="16"/>
  <c r="O1697" i="12"/>
  <c r="O54" i="16"/>
  <c r="O1661" i="12"/>
  <c r="O63" i="12"/>
  <c r="O26" i="22"/>
  <c r="O141" i="20"/>
  <c r="O273" i="16"/>
  <c r="O1783" i="12"/>
  <c r="O1741" i="12"/>
  <c r="O1748" i="12"/>
  <c r="O108" i="16"/>
  <c r="O200" i="16"/>
  <c r="O215" i="16"/>
  <c r="O131" i="16"/>
  <c r="O106" i="16"/>
  <c r="O114" i="16"/>
  <c r="O48" i="20"/>
  <c r="O34" i="20"/>
  <c r="O104" i="16"/>
  <c r="O98" i="16"/>
  <c r="O190" i="10"/>
  <c r="O155" i="20"/>
  <c r="O151" i="20"/>
  <c r="O143" i="20"/>
  <c r="O68" i="22"/>
  <c r="O197" i="20"/>
  <c r="O190" i="20"/>
  <c r="O325" i="16"/>
  <c r="O1795" i="12"/>
  <c r="O1753" i="12"/>
  <c r="O1824" i="12"/>
  <c r="O174" i="20"/>
  <c r="O80" i="20"/>
  <c r="O281" i="16"/>
  <c r="O1791" i="12"/>
  <c r="O274" i="16"/>
  <c r="O1667" i="12"/>
  <c r="O116" i="16"/>
  <c r="O204" i="16"/>
  <c r="O129" i="16"/>
  <c r="O105" i="16"/>
  <c r="O122" i="16"/>
  <c r="O121" i="16"/>
  <c r="O36" i="20"/>
  <c r="O37" i="20"/>
  <c r="O99" i="16"/>
  <c r="O96" i="16"/>
  <c r="O29" i="8"/>
  <c r="O127" i="8" s="1"/>
  <c r="O130" i="22"/>
  <c r="O60" i="20"/>
  <c r="O169" i="20"/>
  <c r="O154" i="20"/>
  <c r="O138" i="20"/>
  <c r="O32" i="22"/>
  <c r="O67" i="20"/>
  <c r="O431" i="16"/>
  <c r="O1705" i="12"/>
  <c r="O421" i="16"/>
  <c r="O1671" i="12"/>
  <c r="O193" i="20"/>
  <c r="O12" i="20"/>
  <c r="O25" i="20" s="1"/>
  <c r="O1188" i="20" s="1"/>
  <c r="O427" i="16"/>
  <c r="O1701" i="12"/>
  <c r="O1789" i="12"/>
  <c r="O1780" i="12"/>
  <c r="O131" i="20"/>
  <c r="O2057" i="16"/>
  <c r="O426" i="16"/>
  <c r="O1742" i="12"/>
  <c r="O1699" i="12"/>
  <c r="O1666" i="12"/>
  <c r="O124" i="16"/>
  <c r="O208" i="16"/>
  <c r="O126" i="16"/>
  <c r="O134" i="16"/>
  <c r="O115" i="16"/>
  <c r="O118" i="16"/>
  <c r="O38" i="20"/>
  <c r="O32" i="20"/>
  <c r="O102" i="16"/>
  <c r="O202" i="16"/>
  <c r="O205" i="16"/>
  <c r="O199" i="16"/>
  <c r="O133" i="16"/>
  <c r="O123" i="16"/>
  <c r="O110" i="16"/>
  <c r="O44" i="20"/>
  <c r="O35" i="20"/>
  <c r="O141" i="16"/>
  <c r="O97" i="16"/>
  <c r="O191" i="20"/>
  <c r="O12" i="10"/>
  <c r="O82" i="22"/>
  <c r="O59" i="22"/>
  <c r="O72" i="20"/>
  <c r="O130" i="20"/>
  <c r="O451" i="16"/>
  <c r="O271" i="16"/>
  <c r="O1879" i="12"/>
  <c r="O1918" i="12" s="1"/>
  <c r="O1800" i="12"/>
  <c r="O617" i="12"/>
  <c r="O125" i="20"/>
  <c r="O447" i="16"/>
  <c r="O456" i="16"/>
  <c r="O1778" i="12"/>
  <c r="O1669" i="12"/>
  <c r="O921" i="12"/>
  <c r="O120" i="20"/>
  <c r="O2044" i="16"/>
  <c r="O1755" i="12"/>
  <c r="O1677" i="12"/>
  <c r="O1760" i="12"/>
  <c r="O91" i="12"/>
  <c r="O98" i="10"/>
  <c r="O175" i="20"/>
  <c r="O1419" i="16"/>
  <c r="O892" i="16"/>
  <c r="O1308" i="16"/>
  <c r="O1445" i="16"/>
  <c r="O2144" i="16" s="1"/>
  <c r="O349" i="20"/>
  <c r="O1497" i="16"/>
  <c r="O1466" i="16"/>
  <c r="O2147" i="16" s="1"/>
  <c r="O461" i="20"/>
  <c r="O1391" i="16"/>
  <c r="O1613" i="16"/>
  <c r="O880" i="16"/>
  <c r="O1155" i="16"/>
  <c r="O1158" i="16" s="1"/>
  <c r="O248" i="16" s="1"/>
  <c r="O1301" i="16"/>
  <c r="O2114" i="16" s="1"/>
  <c r="O1452" i="16"/>
  <c r="O2145" i="16" s="1"/>
  <c r="O886" i="16"/>
  <c r="O471" i="20"/>
  <c r="O478" i="20"/>
  <c r="O363" i="20"/>
  <c r="N48" i="18"/>
  <c r="N53" i="18" s="1"/>
  <c r="N1717" i="12"/>
  <c r="N1874" i="12" s="1"/>
  <c r="N1912" i="12" s="1"/>
  <c r="N1544" i="12"/>
  <c r="J96" i="10"/>
  <c r="N1454" i="12"/>
  <c r="N1549" i="12"/>
  <c r="N1442" i="12"/>
  <c r="N1519" i="12"/>
  <c r="N1502" i="12"/>
  <c r="N1451" i="12"/>
  <c r="N1593" i="12"/>
  <c r="N1448" i="12"/>
  <c r="N1443" i="12"/>
  <c r="N1541" i="12"/>
  <c r="J137" i="10"/>
  <c r="N1529" i="12"/>
  <c r="N1555" i="12"/>
  <c r="N1450" i="12"/>
  <c r="N1458" i="12"/>
  <c r="N1487" i="12"/>
  <c r="N1504" i="12"/>
  <c r="N1514" i="12"/>
  <c r="N1496" i="12"/>
  <c r="N1517" i="12"/>
  <c r="N1521" i="12"/>
  <c r="N1540" i="12"/>
  <c r="N1435" i="12"/>
  <c r="J95" i="10"/>
  <c r="N1467" i="12"/>
  <c r="N1501" i="12"/>
  <c r="N1552" i="12"/>
  <c r="N1546" i="12"/>
  <c r="N1582" i="12"/>
  <c r="N1588" i="12"/>
  <c r="N1532" i="12"/>
  <c r="N1432" i="12"/>
  <c r="N1554" i="12"/>
  <c r="N1465" i="12"/>
  <c r="N1473" i="12"/>
  <c r="N1578" i="12"/>
  <c r="N1499" i="12"/>
  <c r="N1590" i="12"/>
  <c r="N1533" i="12"/>
  <c r="N1453" i="12"/>
  <c r="N1475" i="12"/>
  <c r="N1528" i="12"/>
  <c r="N1476" i="12"/>
  <c r="N1595" i="12"/>
  <c r="N1574" i="12"/>
  <c r="N1573" i="12"/>
  <c r="N1436" i="12"/>
  <c r="N1585" i="12"/>
  <c r="N1527" i="12"/>
  <c r="N1509" i="12"/>
  <c r="N1515" i="12"/>
  <c r="N1472" i="12"/>
  <c r="N1893" i="16"/>
  <c r="N2207" i="16" s="1"/>
  <c r="N754" i="12"/>
  <c r="N911" i="12" s="1"/>
  <c r="N1926" i="12" s="1"/>
  <c r="M1895" i="16"/>
  <c r="L1322" i="16"/>
  <c r="M1322" i="16" s="1"/>
  <c r="N1322" i="16" s="1"/>
  <c r="O1322" i="16" s="1"/>
  <c r="L1473" i="16"/>
  <c r="M1473" i="16" s="1"/>
  <c r="N1914" i="16"/>
  <c r="O1914" i="16" s="1"/>
  <c r="O2210" i="16" s="1"/>
  <c r="M876" i="16"/>
  <c r="M242" i="20"/>
  <c r="M222" i="20"/>
  <c r="M235" i="20"/>
  <c r="M209" i="20"/>
  <c r="M215" i="20"/>
  <c r="M210" i="20"/>
  <c r="M219" i="20"/>
  <c r="M241" i="20"/>
  <c r="M224" i="20"/>
  <c r="D1935" i="16"/>
  <c r="F1934" i="16" s="1"/>
  <c r="M1584" i="16"/>
  <c r="M2206" i="16"/>
  <c r="D1487" i="16"/>
  <c r="F1486" i="16" s="1"/>
  <c r="M1468" i="16"/>
  <c r="D1480" i="16"/>
  <c r="F1479" i="16" s="1"/>
  <c r="K1480" i="16" s="1"/>
  <c r="K1481" i="16" s="1"/>
  <c r="K1482" i="16" s="1"/>
  <c r="D1329" i="16"/>
  <c r="F1328" i="16" s="1"/>
  <c r="K1329" i="16" s="1"/>
  <c r="N996" i="12"/>
  <c r="N1153" i="12" s="1"/>
  <c r="E532" i="20"/>
  <c r="E533" i="20" s="1"/>
  <c r="D857" i="20"/>
  <c r="E857" i="20" s="1"/>
  <c r="C857" i="20"/>
  <c r="N1041" i="12"/>
  <c r="N1154" i="12" s="1"/>
  <c r="N1120" i="12"/>
  <c r="N1156" i="12" s="1"/>
  <c r="N1138" i="12"/>
  <c r="N1158" i="12" s="1"/>
  <c r="N963" i="12"/>
  <c r="N1151" i="12" s="1"/>
  <c r="N33" i="18"/>
  <c r="N38" i="18" s="1"/>
  <c r="N68" i="18"/>
  <c r="N1147" i="12"/>
  <c r="N1159" i="12" s="1"/>
  <c r="N1841" i="12"/>
  <c r="N1877" i="12" s="1"/>
  <c r="N1915" i="12" s="1"/>
  <c r="N86" i="18"/>
  <c r="D1603" i="16"/>
  <c r="F1602" i="16" s="1"/>
  <c r="N2114" i="16"/>
  <c r="D1921" i="16"/>
  <c r="N86" i="20"/>
  <c r="N1205" i="20" s="1"/>
  <c r="N1392" i="16"/>
  <c r="D1334" i="16"/>
  <c r="N331" i="16"/>
  <c r="N806" i="16" s="1"/>
  <c r="N1505" i="16"/>
  <c r="N1838" i="16"/>
  <c r="N180" i="20"/>
  <c r="N1208" i="20" s="1"/>
  <c r="N2121" i="16"/>
  <c r="N584" i="16"/>
  <c r="N809" i="16" s="1"/>
  <c r="N198" i="20"/>
  <c r="N1209" i="20" s="1"/>
  <c r="N73" i="20"/>
  <c r="N1203" i="20" s="1"/>
  <c r="N626" i="16"/>
  <c r="N810" i="16" s="1"/>
  <c r="N807" i="16"/>
  <c r="O1459" i="16"/>
  <c r="O2146" i="16" s="1"/>
  <c r="N1406" i="16"/>
  <c r="N1407" i="16" s="1"/>
  <c r="O1405" i="16"/>
  <c r="N2206" i="16"/>
  <c r="N2135" i="16"/>
  <c r="N1302" i="16"/>
  <c r="N745" i="12"/>
  <c r="N910" i="12" s="1"/>
  <c r="N1925" i="12" s="1"/>
  <c r="N878" i="12"/>
  <c r="N914" i="12" s="1"/>
  <c r="N1929" i="12" s="1"/>
  <c r="N896" i="12"/>
  <c r="N916" i="12" s="1"/>
  <c r="N1932" i="12" s="1"/>
  <c r="N905" i="12"/>
  <c r="N917" i="12" s="1"/>
  <c r="N1933" i="12" s="1"/>
  <c r="N799" i="12"/>
  <c r="N912" i="12" s="1"/>
  <c r="N1927" i="12" s="1"/>
  <c r="N844" i="12"/>
  <c r="N913" i="12" s="1"/>
  <c r="N1928" i="12" s="1"/>
  <c r="N987" i="12"/>
  <c r="N1152" i="12" s="1"/>
  <c r="N721" i="12"/>
  <c r="N909" i="12" s="1"/>
  <c r="N1924" i="12" s="1"/>
  <c r="N368" i="16"/>
  <c r="N284" i="16"/>
  <c r="N804" i="16" s="1"/>
  <c r="N1807" i="12"/>
  <c r="N1876" i="12" s="1"/>
  <c r="N1914" i="12" s="1"/>
  <c r="N1086" i="12"/>
  <c r="N1155" i="12" s="1"/>
  <c r="N162" i="20"/>
  <c r="N1207" i="20" s="1"/>
  <c r="N808" i="16"/>
  <c r="N1684" i="12"/>
  <c r="N1872" i="12" s="1"/>
  <c r="N1910" i="12" s="1"/>
  <c r="N1762" i="12"/>
  <c r="N1875" i="12" s="1"/>
  <c r="N1913" i="12" s="1"/>
  <c r="N1708" i="12"/>
  <c r="N1873" i="12" s="1"/>
  <c r="N1911" i="12" s="1"/>
  <c r="N1204" i="12"/>
  <c r="N1392" i="12" s="1"/>
  <c r="N463" i="16"/>
  <c r="N2042" i="16"/>
  <c r="N811" i="16" s="1"/>
  <c r="N77" i="18"/>
  <c r="N1512" i="12"/>
  <c r="N1563" i="12"/>
  <c r="N1600" i="12"/>
  <c r="N1428" i="12"/>
  <c r="N1474" i="12"/>
  <c r="N1587" i="12"/>
  <c r="N1497" i="12"/>
  <c r="N1449" i="12"/>
  <c r="N1589" i="12"/>
  <c r="N1455" i="12"/>
  <c r="N1558" i="12"/>
  <c r="N1461" i="12"/>
  <c r="N1518" i="12"/>
  <c r="N1457" i="12"/>
  <c r="N1559" i="12"/>
  <c r="N1535" i="12"/>
  <c r="N1494" i="12"/>
  <c r="N1425" i="12"/>
  <c r="N1489" i="12"/>
  <c r="N1583" i="12"/>
  <c r="N18" i="18"/>
  <c r="N23" i="18" s="1"/>
  <c r="N1561" i="12"/>
  <c r="N1577" i="12"/>
  <c r="N1534" i="12"/>
  <c r="N1490" i="12"/>
  <c r="N1493" i="12"/>
  <c r="N1441" i="12"/>
  <c r="N1542" i="12"/>
  <c r="N1431" i="12"/>
  <c r="N1510" i="12"/>
  <c r="N1437" i="12"/>
  <c r="N1543" i="12"/>
  <c r="N1427" i="12"/>
  <c r="N1511" i="12"/>
  <c r="N1463" i="12"/>
  <c r="N1466" i="12"/>
  <c r="N1531" i="12"/>
  <c r="N1547" i="12"/>
  <c r="N1456" i="12"/>
  <c r="N1460" i="12"/>
  <c r="N1560" i="12"/>
  <c r="N1483" i="12"/>
  <c r="N1575" i="12"/>
  <c r="N1581" i="12"/>
  <c r="N1506" i="12"/>
  <c r="N1576" i="12"/>
  <c r="N1459" i="12"/>
  <c r="N1557" i="12"/>
  <c r="N1495" i="12"/>
  <c r="N1550" i="12"/>
  <c r="N1565" i="12"/>
  <c r="N1536" i="12"/>
  <c r="N1592" i="12"/>
  <c r="N1429" i="12"/>
  <c r="N1539" i="12"/>
  <c r="N1507" i="12"/>
  <c r="N1462" i="12"/>
  <c r="N1571" i="12"/>
  <c r="N1537" i="12"/>
  <c r="N1584" i="12"/>
  <c r="N119" i="18"/>
  <c r="N1586" i="12"/>
  <c r="N1430" i="12"/>
  <c r="N1596" i="12"/>
  <c r="N1433" i="12"/>
  <c r="N1538" i="12"/>
  <c r="N1434" i="12"/>
  <c r="N1598" i="12"/>
  <c r="N1440" i="12"/>
  <c r="N1503" i="12"/>
  <c r="N1520" i="12"/>
  <c r="N1599" i="12"/>
  <c r="N1553" i="12"/>
  <c r="N1564" i="12"/>
  <c r="N1513" i="12"/>
  <c r="N1438" i="12"/>
  <c r="N1485" i="12"/>
  <c r="N1579" i="12"/>
  <c r="N1580" i="12"/>
  <c r="N1498" i="12"/>
  <c r="N1492" i="12"/>
  <c r="N1530" i="12"/>
  <c r="N1486" i="12"/>
  <c r="N1426" i="12"/>
  <c r="N1594" i="12"/>
  <c r="N1488" i="12"/>
  <c r="N1591" i="12"/>
  <c r="N1545" i="12"/>
  <c r="N1548" i="12"/>
  <c r="N1505" i="12"/>
  <c r="N1482" i="12"/>
  <c r="N1464" i="12"/>
  <c r="N1484" i="12"/>
  <c r="N1566" i="12"/>
  <c r="N1452" i="12"/>
  <c r="N1597" i="12"/>
  <c r="N1556" i="12"/>
  <c r="N1572" i="12"/>
  <c r="M1135" i="16"/>
  <c r="M1136" i="16" s="1"/>
  <c r="C402" i="20"/>
  <c r="C404" i="20" s="1"/>
  <c r="C405" i="20" s="1"/>
  <c r="O1280" i="16"/>
  <c r="O2118" i="16" s="1"/>
  <c r="L2082" i="16"/>
  <c r="L256" i="20" s="1"/>
  <c r="M336" i="20"/>
  <c r="M337" i="20" s="1"/>
  <c r="O485" i="20"/>
  <c r="N486" i="20"/>
  <c r="N487" i="20" s="1"/>
  <c r="E277" i="25"/>
  <c r="E62" i="25"/>
  <c r="E48" i="25"/>
  <c r="N1281" i="16"/>
  <c r="E155" i="25"/>
  <c r="E324" i="25"/>
  <c r="E465" i="25"/>
  <c r="E371" i="25"/>
  <c r="M2080" i="16"/>
  <c r="N2080" i="16" s="1"/>
  <c r="K222" i="10"/>
  <c r="N875" i="16"/>
  <c r="M2055" i="16"/>
  <c r="M796" i="16" s="1"/>
  <c r="N350" i="20"/>
  <c r="N351" i="20" s="1"/>
  <c r="O1907" i="16"/>
  <c r="O2209" i="16" s="1"/>
  <c r="K43" i="16"/>
  <c r="L41" i="16" s="1"/>
  <c r="L2235" i="16" s="1"/>
  <c r="L2247" i="16" s="1"/>
  <c r="K2259" i="16"/>
  <c r="K44" i="16" s="1"/>
  <c r="K85" i="16" s="1"/>
  <c r="N1908" i="16"/>
  <c r="N1909" i="16" s="1"/>
  <c r="K27" i="16"/>
  <c r="L25" i="16" s="1"/>
  <c r="L2233" i="16" s="1"/>
  <c r="L2245" i="16" s="1"/>
  <c r="K2257" i="16"/>
  <c r="K28" i="16" s="1"/>
  <c r="K82" i="16" s="1"/>
  <c r="K51" i="16"/>
  <c r="L49" i="16" s="1"/>
  <c r="L2236" i="16" s="1"/>
  <c r="L2248" i="16" s="1"/>
  <c r="K2260" i="16"/>
  <c r="K52" i="16" s="1"/>
  <c r="K86" i="16" s="1"/>
  <c r="K2244" i="16"/>
  <c r="K2240" i="16"/>
  <c r="K91" i="16" s="1"/>
  <c r="K101" i="12" s="1"/>
  <c r="K35" i="16"/>
  <c r="L33" i="16" s="1"/>
  <c r="L2234" i="16" s="1"/>
  <c r="L2246" i="16" s="1"/>
  <c r="K2258" i="16"/>
  <c r="K36" i="16" s="1"/>
  <c r="K83" i="16" s="1"/>
  <c r="K75" i="16"/>
  <c r="L73" i="16" s="1"/>
  <c r="L2239" i="16" s="1"/>
  <c r="L2251" i="16" s="1"/>
  <c r="N364" i="20"/>
  <c r="N365" i="20" s="1"/>
  <c r="K59" i="16"/>
  <c r="L57" i="16" s="1"/>
  <c r="L2237" i="16" s="1"/>
  <c r="L2249" i="16" s="1"/>
  <c r="K2261" i="16"/>
  <c r="K60" i="16" s="1"/>
  <c r="K87" i="16" s="1"/>
  <c r="K67" i="16"/>
  <c r="L65" i="16" s="1"/>
  <c r="L2238" i="16" s="1"/>
  <c r="L2250" i="16" s="1"/>
  <c r="K2262" i="16"/>
  <c r="K68" i="16" s="1"/>
  <c r="K88" i="16" s="1"/>
  <c r="N357" i="20"/>
  <c r="N358" i="20" s="1"/>
  <c r="L377" i="20"/>
  <c r="L379" i="20" s="1"/>
  <c r="M1149" i="16"/>
  <c r="M1150" i="16" s="1"/>
  <c r="L371" i="20"/>
  <c r="M1170" i="16"/>
  <c r="M1171" i="16" s="1"/>
  <c r="M1172" i="16"/>
  <c r="M250" i="16" s="1"/>
  <c r="N1169" i="16"/>
  <c r="M370" i="20"/>
  <c r="L1183" i="16"/>
  <c r="L1186" i="16" s="1"/>
  <c r="L252" i="16" s="1"/>
  <c r="M1165" i="16"/>
  <c r="M249" i="16" s="1"/>
  <c r="N1162" i="16"/>
  <c r="M1151" i="16"/>
  <c r="M247" i="16" s="1"/>
  <c r="N1148" i="16"/>
  <c r="M1163" i="16"/>
  <c r="M1164" i="16" s="1"/>
  <c r="L384" i="20"/>
  <c r="L386" i="20" s="1"/>
  <c r="F1175" i="16"/>
  <c r="L1176" i="16"/>
  <c r="L1179" i="16" s="1"/>
  <c r="L251" i="16" s="1"/>
  <c r="L1190" i="16"/>
  <c r="L1193" i="16" s="1"/>
  <c r="L253" i="16" s="1"/>
  <c r="N1156" i="16"/>
  <c r="E932" i="16"/>
  <c r="F932" i="16" s="1"/>
  <c r="D932" i="16"/>
  <c r="C934" i="16"/>
  <c r="B931" i="16"/>
  <c r="D937" i="16"/>
  <c r="J936" i="16"/>
  <c r="E933" i="16"/>
  <c r="E1334" i="16"/>
  <c r="F1334" i="16" s="1"/>
  <c r="M1339" i="16"/>
  <c r="B1333" i="16"/>
  <c r="L1339" i="16"/>
  <c r="K1339" i="16"/>
  <c r="O1339" i="16"/>
  <c r="E1335" i="16"/>
  <c r="D1335" i="16" s="1"/>
  <c r="D1340" i="16"/>
  <c r="O1346" i="16" s="1"/>
  <c r="N1141" i="16"/>
  <c r="N1144" i="16" s="1"/>
  <c r="N246" i="16" s="1"/>
  <c r="M1142" i="16"/>
  <c r="M1143" i="16" s="1"/>
  <c r="K1191" i="16"/>
  <c r="K1192" i="16" s="1"/>
  <c r="K1193" i="16"/>
  <c r="K253" i="16" s="1"/>
  <c r="K1184" i="16"/>
  <c r="K1185" i="16" s="1"/>
  <c r="K1186" i="16"/>
  <c r="K252" i="16" s="1"/>
  <c r="E1202" i="16"/>
  <c r="F1202" i="16" s="1"/>
  <c r="D1202" i="16"/>
  <c r="D1208" i="16"/>
  <c r="E1203" i="16"/>
  <c r="D1196" i="16"/>
  <c r="D1197" i="16" s="1"/>
  <c r="F1196" i="16" s="1"/>
  <c r="K1197" i="16"/>
  <c r="C396" i="20"/>
  <c r="K386" i="20"/>
  <c r="K379" i="20"/>
  <c r="M487" i="20"/>
  <c r="O1283" i="16"/>
  <c r="O307" i="16" s="1"/>
  <c r="O322" i="16" s="1"/>
  <c r="O76" i="20" s="1"/>
  <c r="M1282" i="16"/>
  <c r="N887" i="16"/>
  <c r="D1946" i="16"/>
  <c r="O1952" i="16" s="1"/>
  <c r="O1287" i="16"/>
  <c r="O2119" i="16" s="1"/>
  <c r="N2119" i="16"/>
  <c r="H382" i="10"/>
  <c r="H418" i="10"/>
  <c r="H383" i="10"/>
  <c r="N846" i="20"/>
  <c r="O845" i="20"/>
  <c r="O847" i="20" s="1"/>
  <c r="N1288" i="16"/>
  <c r="M1289" i="16"/>
  <c r="N329" i="20"/>
  <c r="N330" i="20" s="1"/>
  <c r="M330" i="20"/>
  <c r="O1398" i="16"/>
  <c r="O2136" i="16" s="1"/>
  <c r="B1939" i="16"/>
  <c r="M2068" i="16"/>
  <c r="M2069" i="16" s="1"/>
  <c r="N1399" i="16"/>
  <c r="N1400" i="16" s="1"/>
  <c r="N500" i="20"/>
  <c r="N501" i="20" s="1"/>
  <c r="O499" i="20"/>
  <c r="L1165" i="12"/>
  <c r="L1172" i="12" s="1"/>
  <c r="M805" i="16"/>
  <c r="M1160" i="12"/>
  <c r="M1170" i="12" s="1"/>
  <c r="M1171" i="12" s="1"/>
  <c r="M1881" i="12"/>
  <c r="M1891" i="12" s="1"/>
  <c r="M1910" i="12"/>
  <c r="M1917" i="12" s="1"/>
  <c r="M1920" i="12" s="1"/>
  <c r="L1886" i="12"/>
  <c r="M2074" i="16"/>
  <c r="N2074" i="16" s="1"/>
  <c r="M699" i="16"/>
  <c r="O1554" i="16"/>
  <c r="O2159" i="16" s="1"/>
  <c r="N1555" i="16"/>
  <c r="N1556" i="16" s="1"/>
  <c r="L1641" i="12"/>
  <c r="L1651" i="12" s="1"/>
  <c r="O1561" i="16"/>
  <c r="O2160" i="16" s="1"/>
  <c r="N1562" i="16"/>
  <c r="N1563" i="16" s="1"/>
  <c r="N1453" i="16"/>
  <c r="N2145" i="16"/>
  <c r="L918" i="12"/>
  <c r="L928" i="12" s="1"/>
  <c r="L929" i="12" s="1"/>
  <c r="K923" i="12"/>
  <c r="L1929" i="12"/>
  <c r="L1931" i="12" s="1"/>
  <c r="L1934" i="12" s="1"/>
  <c r="M918" i="12"/>
  <c r="M928" i="12" s="1"/>
  <c r="N493" i="20"/>
  <c r="N494" i="20" s="1"/>
  <c r="O492" i="20"/>
  <c r="N2144" i="16"/>
  <c r="N1446" i="16"/>
  <c r="N2113" i="16"/>
  <c r="N472" i="20"/>
  <c r="N473" i="20" s="1"/>
  <c r="O1294" i="16"/>
  <c r="N1432" i="16"/>
  <c r="N1433" i="16" s="1"/>
  <c r="O1431" i="16"/>
  <c r="O2142" i="16" s="1"/>
  <c r="N1295" i="16"/>
  <c r="N1296" i="16" s="1"/>
  <c r="N479" i="20"/>
  <c r="N1413" i="16"/>
  <c r="N1414" i="16" s="1"/>
  <c r="O1412" i="16"/>
  <c r="O1438" i="16"/>
  <c r="N1439" i="16"/>
  <c r="N1440" i="16" s="1"/>
  <c r="K1651" i="12"/>
  <c r="L900" i="16"/>
  <c r="M900" i="16" s="1"/>
  <c r="N507" i="20"/>
  <c r="O506" i="20"/>
  <c r="O508" i="20" s="1"/>
  <c r="L152" i="16"/>
  <c r="M894" i="16"/>
  <c r="M164" i="16" s="1"/>
  <c r="L905" i="16"/>
  <c r="M905" i="16" s="1"/>
  <c r="L910" i="16"/>
  <c r="M910" i="16" s="1"/>
  <c r="N910" i="16" s="1"/>
  <c r="N893" i="16"/>
  <c r="N1576" i="16"/>
  <c r="N1577" i="16" s="1"/>
  <c r="K52" i="10"/>
  <c r="K340" i="10" s="1"/>
  <c r="L146" i="16"/>
  <c r="L162" i="16" s="1"/>
  <c r="L179" i="16" s="1"/>
  <c r="N2115" i="16"/>
  <c r="N2122" i="16"/>
  <c r="O1575" i="16"/>
  <c r="N2162" i="16"/>
  <c r="N1583" i="16"/>
  <c r="O1582" i="16"/>
  <c r="O2163" i="16" s="1"/>
  <c r="M894" i="20"/>
  <c r="N894" i="20" s="1"/>
  <c r="K2212" i="16"/>
  <c r="N515" i="20"/>
  <c r="L527" i="20"/>
  <c r="M520" i="20"/>
  <c r="M514" i="20"/>
  <c r="N514" i="20" s="1"/>
  <c r="O513" i="20"/>
  <c r="O515" i="20" s="1"/>
  <c r="O335" i="20"/>
  <c r="L901" i="20"/>
  <c r="L902" i="20" s="1"/>
  <c r="K1929" i="16"/>
  <c r="K1930" i="16" s="1"/>
  <c r="L896" i="20"/>
  <c r="L522" i="20"/>
  <c r="K903" i="20"/>
  <c r="K522" i="20"/>
  <c r="L521" i="20"/>
  <c r="K534" i="20"/>
  <c r="N1309" i="16"/>
  <c r="K896" i="20"/>
  <c r="L895" i="20"/>
  <c r="C919" i="20"/>
  <c r="C914" i="20"/>
  <c r="C539" i="20"/>
  <c r="D907" i="20" s="1"/>
  <c r="C545" i="20"/>
  <c r="D539" i="20"/>
  <c r="C540" i="20"/>
  <c r="C541" i="20" s="1"/>
  <c r="D540" i="20"/>
  <c r="D913" i="20" s="1"/>
  <c r="E913" i="20" s="1"/>
  <c r="K528" i="20"/>
  <c r="K529" i="20" s="1"/>
  <c r="L1928" i="16"/>
  <c r="K1935" i="16"/>
  <c r="L1596" i="16"/>
  <c r="M1596" i="16" s="1"/>
  <c r="N904" i="16"/>
  <c r="O904" i="16" s="1"/>
  <c r="L1590" i="16"/>
  <c r="L1591" i="16"/>
  <c r="K1603" i="16"/>
  <c r="O1134" i="16"/>
  <c r="O1137" i="16" s="1"/>
  <c r="O245" i="16" s="1"/>
  <c r="M1589" i="16"/>
  <c r="N1589" i="16" s="1"/>
  <c r="L2164" i="16"/>
  <c r="E1941" i="16"/>
  <c r="D1941" i="16" s="1"/>
  <c r="D1940" i="16"/>
  <c r="M1945" i="16"/>
  <c r="O1945" i="16"/>
  <c r="L1945" i="16"/>
  <c r="K1945" i="16"/>
  <c r="K60" i="10"/>
  <c r="M888" i="16"/>
  <c r="M161" i="16" s="1"/>
  <c r="N881" i="16"/>
  <c r="E1940" i="16"/>
  <c r="F1940" i="16" s="1"/>
  <c r="N899" i="16"/>
  <c r="D922" i="16"/>
  <c r="F921" i="16" s="1"/>
  <c r="F915" i="16"/>
  <c r="D927" i="16"/>
  <c r="N1460" i="16"/>
  <c r="N1461" i="16" s="1"/>
  <c r="N2139" i="16"/>
  <c r="N332" i="16"/>
  <c r="N2147" i="16"/>
  <c r="M2075" i="16"/>
  <c r="N2075" i="16" s="1"/>
  <c r="N1467" i="16"/>
  <c r="K2165" i="16"/>
  <c r="K1597" i="16"/>
  <c r="K1598" i="16" s="1"/>
  <c r="M1613" i="16"/>
  <c r="E1608" i="16"/>
  <c r="F1608" i="16" s="1"/>
  <c r="D1614" i="16"/>
  <c r="B1607" i="16"/>
  <c r="N1613" i="16"/>
  <c r="E1609" i="16"/>
  <c r="D1609" i="16" s="1"/>
  <c r="K1613" i="16"/>
  <c r="L1613" i="16"/>
  <c r="D1608" i="16"/>
  <c r="D2021" i="16"/>
  <c r="B2014" i="16"/>
  <c r="D1492" i="16"/>
  <c r="B1491" i="16"/>
  <c r="E1492" i="16"/>
  <c r="F1492" i="16" s="1"/>
  <c r="E1493" i="16"/>
  <c r="D1493" i="16" s="1"/>
  <c r="K1497" i="16"/>
  <c r="L1497" i="16"/>
  <c r="M1497" i="16"/>
  <c r="N1497" i="16"/>
  <c r="K1487" i="16"/>
  <c r="M245" i="16"/>
  <c r="J421" i="10"/>
  <c r="J423" i="10"/>
  <c r="Q366" i="10"/>
  <c r="R79" i="10"/>
  <c r="N112" i="10"/>
  <c r="N36" i="10"/>
  <c r="P71" i="10"/>
  <c r="P38" i="22"/>
  <c r="P106" i="11" s="1"/>
  <c r="Q33" i="22"/>
  <c r="Q37" i="22" s="1"/>
  <c r="O114" i="10"/>
  <c r="O84" i="10"/>
  <c r="O118" i="10" s="1"/>
  <c r="P64" i="22"/>
  <c r="Q60" i="22"/>
  <c r="P85" i="10"/>
  <c r="Q51" i="22"/>
  <c r="Q55" i="22" s="1"/>
  <c r="P56" i="22"/>
  <c r="O65" i="22"/>
  <c r="O92" i="12" s="1"/>
  <c r="O89" i="10"/>
  <c r="S22" i="20"/>
  <c r="R92" i="10"/>
  <c r="N462" i="20"/>
  <c r="N463" i="20" s="1"/>
  <c r="M1931" i="12"/>
  <c r="M1934" i="12" s="1"/>
  <c r="N2076" i="16"/>
  <c r="N2090" i="16"/>
  <c r="N2095" i="16"/>
  <c r="N2081" i="16"/>
  <c r="N2068" i="16"/>
  <c r="N2077" i="16"/>
  <c r="R77" i="10"/>
  <c r="S15" i="22"/>
  <c r="S17" i="22" s="1"/>
  <c r="N199" i="18"/>
  <c r="O199" i="18" s="1"/>
  <c r="N201" i="18"/>
  <c r="N200" i="18"/>
  <c r="O200" i="18" s="1"/>
  <c r="K930" i="12" l="1"/>
  <c r="K931" i="12"/>
  <c r="P126" i="8"/>
  <c r="P27" i="8"/>
  <c r="P11" i="12" s="1"/>
  <c r="O11" i="16"/>
  <c r="O11" i="12"/>
  <c r="O11" i="10"/>
  <c r="O11" i="20"/>
  <c r="O11" i="18"/>
  <c r="O11" i="22"/>
  <c r="D395" i="20"/>
  <c r="O1568" i="16"/>
  <c r="O2161" i="16" s="1"/>
  <c r="N1569" i="16"/>
  <c r="N1570" i="16"/>
  <c r="K2149" i="16"/>
  <c r="K2125" i="16"/>
  <c r="K1330" i="16"/>
  <c r="K1331" i="16" s="1"/>
  <c r="K2208" i="16"/>
  <c r="K1901" i="16"/>
  <c r="L1930" i="16"/>
  <c r="K1336" i="16"/>
  <c r="K1337" i="16" s="1"/>
  <c r="K1338" i="16" s="1"/>
  <c r="L1900" i="16"/>
  <c r="M1900" i="16" s="1"/>
  <c r="M2208" i="16" s="1"/>
  <c r="O1162" i="16"/>
  <c r="O1165" i="16" s="1"/>
  <c r="O249" i="16" s="1"/>
  <c r="N1165" i="16"/>
  <c r="N249" i="16" s="1"/>
  <c r="O1148" i="16"/>
  <c r="O1151" i="16" s="1"/>
  <c r="O247" i="16" s="1"/>
  <c r="N1151" i="16"/>
  <c r="N247" i="16" s="1"/>
  <c r="O1233" i="12"/>
  <c r="O1237" i="12" s="1"/>
  <c r="O1394" i="12" s="1"/>
  <c r="P1146" i="12"/>
  <c r="P1143" i="12"/>
  <c r="P1145" i="12"/>
  <c r="P1142" i="12"/>
  <c r="P1144" i="12"/>
  <c r="P1137" i="12"/>
  <c r="P1134" i="12"/>
  <c r="P1136" i="12"/>
  <c r="P1133" i="12"/>
  <c r="P1135" i="12"/>
  <c r="P1094" i="12"/>
  <c r="P1102" i="12"/>
  <c r="P1110" i="12"/>
  <c r="P1118" i="12"/>
  <c r="P1091" i="12"/>
  <c r="P1099" i="12"/>
  <c r="P1107" i="12"/>
  <c r="P1115" i="12"/>
  <c r="P1108" i="12"/>
  <c r="P1116" i="12"/>
  <c r="P1096" i="12"/>
  <c r="P1104" i="12"/>
  <c r="P1112" i="12"/>
  <c r="P1093" i="12"/>
  <c r="P1101" i="12"/>
  <c r="P1109" i="12"/>
  <c r="P1117" i="12"/>
  <c r="P1100" i="12"/>
  <c r="P1090" i="12"/>
  <c r="P1098" i="12"/>
  <c r="P1106" i="12"/>
  <c r="P1114" i="12"/>
  <c r="P1095" i="12"/>
  <c r="P1103" i="12"/>
  <c r="P1111" i="12"/>
  <c r="P1119" i="12"/>
  <c r="P1092" i="12"/>
  <c r="P1097" i="12"/>
  <c r="P1105" i="12"/>
  <c r="P1113" i="12"/>
  <c r="P1050" i="12"/>
  <c r="P1058" i="12"/>
  <c r="P1066" i="12"/>
  <c r="P1074" i="12"/>
  <c r="P1082" i="12"/>
  <c r="P1046" i="12"/>
  <c r="P1070" i="12"/>
  <c r="P1047" i="12"/>
  <c r="P1055" i="12"/>
  <c r="P1063" i="12"/>
  <c r="P1071" i="12"/>
  <c r="P1079" i="12"/>
  <c r="P1052" i="12"/>
  <c r="P1060" i="12"/>
  <c r="P1068" i="12"/>
  <c r="P1076" i="12"/>
  <c r="P1084" i="12"/>
  <c r="P1054" i="12"/>
  <c r="P1062" i="12"/>
  <c r="P1049" i="12"/>
  <c r="P1057" i="12"/>
  <c r="P1065" i="12"/>
  <c r="P1073" i="12"/>
  <c r="P1081" i="12"/>
  <c r="P1051" i="12"/>
  <c r="P1059" i="12"/>
  <c r="P1067" i="12"/>
  <c r="P1075" i="12"/>
  <c r="P1083" i="12"/>
  <c r="P1061" i="12"/>
  <c r="P1048" i="12"/>
  <c r="P1056" i="12"/>
  <c r="P1064" i="12"/>
  <c r="P1072" i="12"/>
  <c r="P1080" i="12"/>
  <c r="P1053" i="12"/>
  <c r="P1077" i="12"/>
  <c r="P1069" i="12"/>
  <c r="P1085" i="12"/>
  <c r="P1078" i="12"/>
  <c r="P1005" i="12"/>
  <c r="P1013" i="12"/>
  <c r="P1021" i="12"/>
  <c r="P1029" i="12"/>
  <c r="P1037" i="12"/>
  <c r="P1019" i="12"/>
  <c r="P1002" i="12"/>
  <c r="P1010" i="12"/>
  <c r="P1018" i="12"/>
  <c r="P1026" i="12"/>
  <c r="P1034" i="12"/>
  <c r="P1007" i="12"/>
  <c r="P1015" i="12"/>
  <c r="P1023" i="12"/>
  <c r="P1031" i="12"/>
  <c r="P1039" i="12"/>
  <c r="P1004" i="12"/>
  <c r="P1012" i="12"/>
  <c r="P1020" i="12"/>
  <c r="P1028" i="12"/>
  <c r="P1036" i="12"/>
  <c r="P1001" i="12"/>
  <c r="P1009" i="12"/>
  <c r="P1017" i="12"/>
  <c r="P1025" i="12"/>
  <c r="P1033" i="12"/>
  <c r="P1006" i="12"/>
  <c r="P1014" i="12"/>
  <c r="P1022" i="12"/>
  <c r="P1030" i="12"/>
  <c r="P1038" i="12"/>
  <c r="P1003" i="12"/>
  <c r="P1011" i="12"/>
  <c r="P1008" i="12"/>
  <c r="P1016" i="12"/>
  <c r="P1024" i="12"/>
  <c r="P1032" i="12"/>
  <c r="P1040" i="12"/>
  <c r="P1027" i="12"/>
  <c r="P1035" i="12"/>
  <c r="P995" i="12"/>
  <c r="P992" i="12"/>
  <c r="P994" i="12"/>
  <c r="P991" i="12"/>
  <c r="P993" i="12"/>
  <c r="P971" i="12"/>
  <c r="P979" i="12"/>
  <c r="P968" i="12"/>
  <c r="P976" i="12"/>
  <c r="P984" i="12"/>
  <c r="P969" i="12"/>
  <c r="P977" i="12"/>
  <c r="P973" i="12"/>
  <c r="P981" i="12"/>
  <c r="P970" i="12"/>
  <c r="P978" i="12"/>
  <c r="P986" i="12"/>
  <c r="P967" i="12"/>
  <c r="P975" i="12"/>
  <c r="P983" i="12"/>
  <c r="P985" i="12"/>
  <c r="P972" i="12"/>
  <c r="P980" i="12"/>
  <c r="P974" i="12"/>
  <c r="P982" i="12"/>
  <c r="P904" i="12"/>
  <c r="P901" i="12"/>
  <c r="P903" i="12"/>
  <c r="P900" i="12"/>
  <c r="P902" i="12"/>
  <c r="P895" i="12"/>
  <c r="P892" i="12"/>
  <c r="P894" i="12"/>
  <c r="P893" i="12"/>
  <c r="P891" i="12"/>
  <c r="P852" i="12"/>
  <c r="P1335" i="12" s="1"/>
  <c r="P860" i="12"/>
  <c r="P868" i="12"/>
  <c r="P876" i="12"/>
  <c r="P869" i="12"/>
  <c r="P850" i="12"/>
  <c r="P858" i="12"/>
  <c r="P849" i="12"/>
  <c r="P1332" i="12" s="1"/>
  <c r="P857" i="12"/>
  <c r="P865" i="12"/>
  <c r="P873" i="12"/>
  <c r="P877" i="12"/>
  <c r="P854" i="12"/>
  <c r="P862" i="12"/>
  <c r="P870" i="12"/>
  <c r="P866" i="12"/>
  <c r="P851" i="12"/>
  <c r="P859" i="12"/>
  <c r="P867" i="12"/>
  <c r="P875" i="12"/>
  <c r="P853" i="12"/>
  <c r="P874" i="12"/>
  <c r="P848" i="12"/>
  <c r="P856" i="12"/>
  <c r="P864" i="12"/>
  <c r="P872" i="12"/>
  <c r="P861" i="12"/>
  <c r="P855" i="12"/>
  <c r="P863" i="12"/>
  <c r="P871" i="12"/>
  <c r="P808" i="12"/>
  <c r="P1291" i="12" s="1"/>
  <c r="P816" i="12"/>
  <c r="P824" i="12"/>
  <c r="P832" i="12"/>
  <c r="P840" i="12"/>
  <c r="P805" i="12"/>
  <c r="P1288" i="12" s="1"/>
  <c r="P813" i="12"/>
  <c r="P821" i="12"/>
  <c r="P829" i="12"/>
  <c r="P837" i="12"/>
  <c r="P810" i="12"/>
  <c r="P818" i="12"/>
  <c r="P826" i="12"/>
  <c r="P834" i="12"/>
  <c r="P842" i="12"/>
  <c r="P807" i="12"/>
  <c r="P815" i="12"/>
  <c r="P823" i="12"/>
  <c r="P831" i="12"/>
  <c r="P839" i="12"/>
  <c r="P806" i="12"/>
  <c r="P804" i="12"/>
  <c r="P812" i="12"/>
  <c r="P820" i="12"/>
  <c r="P828" i="12"/>
  <c r="P836" i="12"/>
  <c r="P822" i="12"/>
  <c r="P838" i="12"/>
  <c r="P809" i="12"/>
  <c r="P817" i="12"/>
  <c r="P825" i="12"/>
  <c r="P833" i="12"/>
  <c r="P841" i="12"/>
  <c r="P811" i="12"/>
  <c r="P819" i="12"/>
  <c r="P827" i="12"/>
  <c r="P835" i="12"/>
  <c r="P843" i="12"/>
  <c r="P814" i="12"/>
  <c r="P830" i="12"/>
  <c r="P763" i="12"/>
  <c r="P1246" i="12" s="1"/>
  <c r="P771" i="12"/>
  <c r="P779" i="12"/>
  <c r="P787" i="12"/>
  <c r="P795" i="12"/>
  <c r="P760" i="12"/>
  <c r="P1243" i="12" s="1"/>
  <c r="P768" i="12"/>
  <c r="P776" i="12"/>
  <c r="P784" i="12"/>
  <c r="P792" i="12"/>
  <c r="P765" i="12"/>
  <c r="P773" i="12"/>
  <c r="P781" i="12"/>
  <c r="P789" i="12"/>
  <c r="P797" i="12"/>
  <c r="P762" i="12"/>
  <c r="P770" i="12"/>
  <c r="P778" i="12"/>
  <c r="P786" i="12"/>
  <c r="P794" i="12"/>
  <c r="P759" i="12"/>
  <c r="P767" i="12"/>
  <c r="P775" i="12"/>
  <c r="P783" i="12"/>
  <c r="P791" i="12"/>
  <c r="P764" i="12"/>
  <c r="P772" i="12"/>
  <c r="P780" i="12"/>
  <c r="P788" i="12"/>
  <c r="P796" i="12"/>
  <c r="P761" i="12"/>
  <c r="P769" i="12"/>
  <c r="P777" i="12"/>
  <c r="P785" i="12"/>
  <c r="P793" i="12"/>
  <c r="P766" i="12"/>
  <c r="P774" i="12"/>
  <c r="P782" i="12"/>
  <c r="P790" i="12"/>
  <c r="P798" i="12"/>
  <c r="P749" i="12"/>
  <c r="P752" i="12"/>
  <c r="P753" i="12"/>
  <c r="P751" i="12"/>
  <c r="P750" i="12"/>
  <c r="O1361" i="12"/>
  <c r="O1397" i="12" s="1"/>
  <c r="O1327" i="12"/>
  <c r="O1396" i="12" s="1"/>
  <c r="O1228" i="12"/>
  <c r="O1393" i="12" s="1"/>
  <c r="O1282" i="12"/>
  <c r="O1395" i="12" s="1"/>
  <c r="P729" i="12"/>
  <c r="P1212" i="12" s="1"/>
  <c r="P737" i="12"/>
  <c r="P733" i="12"/>
  <c r="P726" i="12"/>
  <c r="P1209" i="12" s="1"/>
  <c r="P734" i="12"/>
  <c r="P742" i="12"/>
  <c r="P731" i="12"/>
  <c r="P739" i="12"/>
  <c r="P725" i="12"/>
  <c r="P741" i="12"/>
  <c r="P728" i="12"/>
  <c r="P736" i="12"/>
  <c r="P744" i="12"/>
  <c r="P730" i="12"/>
  <c r="P738" i="12"/>
  <c r="P732" i="12"/>
  <c r="P740" i="12"/>
  <c r="P727" i="12"/>
  <c r="P735" i="12"/>
  <c r="P743" i="12"/>
  <c r="M929" i="12"/>
  <c r="O930" i="12"/>
  <c r="P943" i="12"/>
  <c r="P946" i="12"/>
  <c r="P950" i="12"/>
  <c r="P954" i="12"/>
  <c r="P958" i="12"/>
  <c r="P962" i="12"/>
  <c r="P945" i="12"/>
  <c r="P949" i="12"/>
  <c r="P953" i="12"/>
  <c r="P957" i="12"/>
  <c r="P961" i="12"/>
  <c r="P944" i="12"/>
  <c r="P948" i="12"/>
  <c r="P952" i="12"/>
  <c r="P956" i="12"/>
  <c r="P960" i="12"/>
  <c r="P947" i="12"/>
  <c r="P951" i="12"/>
  <c r="P955" i="12"/>
  <c r="P959" i="12"/>
  <c r="P701" i="12"/>
  <c r="P704" i="12"/>
  <c r="P708" i="12"/>
  <c r="P712" i="12"/>
  <c r="P716" i="12"/>
  <c r="P720" i="12"/>
  <c r="P718" i="12"/>
  <c r="P703" i="12"/>
  <c r="P707" i="12"/>
  <c r="P711" i="12"/>
  <c r="P715" i="12"/>
  <c r="P719" i="12"/>
  <c r="P702" i="12"/>
  <c r="P1185" i="12" s="1"/>
  <c r="P706" i="12"/>
  <c r="P710" i="12"/>
  <c r="P714" i="12"/>
  <c r="P705" i="12"/>
  <c r="P1188" i="12" s="1"/>
  <c r="P709" i="12"/>
  <c r="P713" i="12"/>
  <c r="P717" i="12"/>
  <c r="P65" i="20"/>
  <c r="P1297" i="16"/>
  <c r="P1694" i="12"/>
  <c r="P216" i="16"/>
  <c r="O1584" i="12"/>
  <c r="O1600" i="12"/>
  <c r="O2051" i="16"/>
  <c r="O2080" i="16"/>
  <c r="K408" i="10"/>
  <c r="O2046" i="16"/>
  <c r="O2079" i="16"/>
  <c r="P35" i="8"/>
  <c r="E255" i="25"/>
  <c r="E256" i="25"/>
  <c r="J125" i="10"/>
  <c r="J124" i="10"/>
  <c r="O1572" i="12"/>
  <c r="O1541" i="12"/>
  <c r="O1539" i="12"/>
  <c r="O1515" i="12"/>
  <c r="O1576" i="12"/>
  <c r="O1424" i="12"/>
  <c r="O1546" i="12"/>
  <c r="O1542" i="12"/>
  <c r="O1551" i="12"/>
  <c r="O1548" i="12"/>
  <c r="O1538" i="12"/>
  <c r="O1427" i="12"/>
  <c r="O1453" i="12"/>
  <c r="O1543" i="12"/>
  <c r="O1451" i="12"/>
  <c r="O1552" i="12"/>
  <c r="O1530" i="12"/>
  <c r="O1443" i="12"/>
  <c r="O1540" i="12"/>
  <c r="O1433" i="12"/>
  <c r="O1536" i="12"/>
  <c r="O1596" i="12"/>
  <c r="O1460" i="12"/>
  <c r="O1511" i="12"/>
  <c r="O1459" i="12"/>
  <c r="O1487" i="12"/>
  <c r="O1463" i="12"/>
  <c r="O1491" i="12"/>
  <c r="O1502" i="12"/>
  <c r="O1562" i="12"/>
  <c r="O1476" i="12"/>
  <c r="O1499" i="12"/>
  <c r="O1532" i="12"/>
  <c r="O1574" i="12"/>
  <c r="O1544" i="12"/>
  <c r="O1578" i="12"/>
  <c r="O1528" i="12"/>
  <c r="O1483" i="12"/>
  <c r="O1549" i="12"/>
  <c r="O1557" i="12"/>
  <c r="O1508" i="12"/>
  <c r="O1474" i="12"/>
  <c r="O1442" i="12"/>
  <c r="O1597" i="12"/>
  <c r="O1545" i="12"/>
  <c r="O1575" i="12"/>
  <c r="O1598" i="12"/>
  <c r="O1583" i="12"/>
  <c r="O1465" i="12"/>
  <c r="O1452" i="12"/>
  <c r="O1498" i="12"/>
  <c r="O1456" i="12"/>
  <c r="O1516" i="12"/>
  <c r="O1521" i="12"/>
  <c r="O1563" i="12"/>
  <c r="O1449" i="12"/>
  <c r="O1462" i="12"/>
  <c r="O1493" i="12"/>
  <c r="O1494" i="12"/>
  <c r="O1497" i="12"/>
  <c r="O1527" i="12"/>
  <c r="O1580" i="12"/>
  <c r="O1547" i="12"/>
  <c r="O1505" i="12"/>
  <c r="O1435" i="12"/>
  <c r="O1588" i="12"/>
  <c r="O1555" i="12"/>
  <c r="O1592" i="12"/>
  <c r="O1559" i="12"/>
  <c r="O1485" i="12"/>
  <c r="O1520" i="12"/>
  <c r="O1425" i="12"/>
  <c r="O1519" i="12"/>
  <c r="O1500" i="12"/>
  <c r="O1512" i="12"/>
  <c r="O1595" i="12"/>
  <c r="O1550" i="12"/>
  <c r="O1488" i="12"/>
  <c r="O1517" i="12"/>
  <c r="O1535" i="12"/>
  <c r="O1448" i="12"/>
  <c r="O1438" i="12"/>
  <c r="O1556" i="12"/>
  <c r="O1573" i="12"/>
  <c r="O1426" i="12"/>
  <c r="O1577" i="12"/>
  <c r="O1430" i="12"/>
  <c r="O1467" i="12"/>
  <c r="O1495" i="12"/>
  <c r="O1585" i="12"/>
  <c r="O1466" i="12"/>
  <c r="O1529" i="12"/>
  <c r="O1503" i="12"/>
  <c r="O1533" i="12"/>
  <c r="O1507" i="12"/>
  <c r="O1440" i="12"/>
  <c r="O1514" i="12"/>
  <c r="O1489" i="12"/>
  <c r="O1531" i="12"/>
  <c r="O1571" i="12"/>
  <c r="O1450" i="12"/>
  <c r="O1436" i="12"/>
  <c r="O1429" i="12"/>
  <c r="O1464" i="12"/>
  <c r="O1437" i="12"/>
  <c r="O1473" i="12"/>
  <c r="O1441" i="12"/>
  <c r="O1553" i="12"/>
  <c r="O1579" i="12"/>
  <c r="O1534" i="12"/>
  <c r="O1455" i="12"/>
  <c r="O1561" i="12"/>
  <c r="O1587" i="12"/>
  <c r="O1565" i="12"/>
  <c r="O1591" i="12"/>
  <c r="O1582" i="12"/>
  <c r="O1472" i="12"/>
  <c r="O1428" i="12"/>
  <c r="O1475" i="12"/>
  <c r="O1486" i="12"/>
  <c r="O1510" i="12"/>
  <c r="O1518" i="12"/>
  <c r="O1431" i="12"/>
  <c r="O1439" i="12"/>
  <c r="O1513" i="12"/>
  <c r="O1484" i="12"/>
  <c r="O1586" i="12"/>
  <c r="O1454" i="12"/>
  <c r="O1432" i="12"/>
  <c r="O1554" i="12"/>
  <c r="O1558" i="12"/>
  <c r="O1501" i="12"/>
  <c r="O1566" i="12"/>
  <c r="O1509" i="12"/>
  <c r="O1482" i="12"/>
  <c r="O1560" i="12"/>
  <c r="O1599" i="12"/>
  <c r="O1458" i="12"/>
  <c r="O1564" i="12"/>
  <c r="O1457" i="12"/>
  <c r="O1537" i="12"/>
  <c r="O1492" i="12"/>
  <c r="O1590" i="12"/>
  <c r="O1496" i="12"/>
  <c r="O1594" i="12"/>
  <c r="O1434" i="12"/>
  <c r="O1581" i="12"/>
  <c r="O1504" i="12"/>
  <c r="O1461" i="12"/>
  <c r="O1490" i="12"/>
  <c r="O1589" i="12"/>
  <c r="O1506" i="12"/>
  <c r="E136" i="25"/>
  <c r="E218" i="25"/>
  <c r="E217" i="25"/>
  <c r="E135" i="25"/>
  <c r="F48" i="25"/>
  <c r="E201" i="25"/>
  <c r="E239" i="25" s="1"/>
  <c r="E258" i="25" s="1"/>
  <c r="E266" i="25" s="1"/>
  <c r="E209" i="25"/>
  <c r="E247" i="25" s="1"/>
  <c r="D220" i="25"/>
  <c r="D228" i="25" s="1"/>
  <c r="H1353" i="16"/>
  <c r="I1346" i="16" a="1"/>
  <c r="I1346" i="16" s="1"/>
  <c r="H1207" i="16"/>
  <c r="I1200" i="16" a="1"/>
  <c r="I1200" i="16" s="1"/>
  <c r="H1627" i="16"/>
  <c r="I1620" i="16" a="1"/>
  <c r="I1620" i="16" s="1"/>
  <c r="H1516" i="16"/>
  <c r="I1497" i="16" a="1"/>
  <c r="I1497" i="16" s="1"/>
  <c r="P113" i="11"/>
  <c r="P46" i="10"/>
  <c r="P172" i="20"/>
  <c r="P271" i="10"/>
  <c r="P478" i="20"/>
  <c r="P1455" i="16"/>
  <c r="P1322" i="16"/>
  <c r="P616" i="16"/>
  <c r="P12" i="20"/>
  <c r="P25" i="20" s="1"/>
  <c r="P1188" i="20" s="1"/>
  <c r="P408" i="16"/>
  <c r="P1749" i="12"/>
  <c r="P1792" i="12"/>
  <c r="P1788" i="12"/>
  <c r="P424" i="16"/>
  <c r="P1544" i="16"/>
  <c r="P1751" i="12"/>
  <c r="P23" i="12"/>
  <c r="P195" i="20"/>
  <c r="P1737" i="12"/>
  <c r="P1537" i="16"/>
  <c r="P657" i="16"/>
  <c r="P772" i="16" s="1"/>
  <c r="P234" i="20" s="1"/>
  <c r="P70" i="16"/>
  <c r="P240" i="11"/>
  <c r="P915" i="12"/>
  <c r="P1930" i="12" s="1"/>
  <c r="P1837" i="16"/>
  <c r="P462" i="16" s="1"/>
  <c r="P74" i="18"/>
  <c r="P1745" i="12"/>
  <c r="P139" i="20"/>
  <c r="O2078" i="16"/>
  <c r="P1834" i="16"/>
  <c r="P459" i="16" s="1"/>
  <c r="P103" i="20"/>
  <c r="P1667" i="12"/>
  <c r="P2038" i="16"/>
  <c r="P2064" i="16" s="1"/>
  <c r="P1748" i="12"/>
  <c r="O161" i="12"/>
  <c r="P1896" i="16"/>
  <c r="P222" i="11"/>
  <c r="P68" i="20"/>
  <c r="P1698" i="12"/>
  <c r="P1840" i="12"/>
  <c r="F418" i="25"/>
  <c r="O1204" i="12"/>
  <c r="O1392" i="12" s="1"/>
  <c r="J908" i="20" a="1"/>
  <c r="J908" i="20" s="1"/>
  <c r="D912" i="20"/>
  <c r="O357" i="20"/>
  <c r="O358" i="20" s="1"/>
  <c r="P157" i="20"/>
  <c r="P1483" i="16"/>
  <c r="P1564" i="16"/>
  <c r="P1144" i="16"/>
  <c r="P1523" i="16"/>
  <c r="P1835" i="16"/>
  <c r="P460" i="16" s="1"/>
  <c r="P1339" i="16"/>
  <c r="P1931" i="16"/>
  <c r="P1422" i="16"/>
  <c r="P1910" i="16"/>
  <c r="P1639" i="12"/>
  <c r="P1673" i="12"/>
  <c r="P1702" i="12"/>
  <c r="P2035" i="16"/>
  <c r="P2061" i="16" s="1"/>
  <c r="P2089" i="16" s="1"/>
  <c r="P1163" i="12"/>
  <c r="P456" i="16"/>
  <c r="P95" i="11"/>
  <c r="P442" i="16"/>
  <c r="P46" i="16"/>
  <c r="P146" i="20"/>
  <c r="P1812" i="12"/>
  <c r="P32" i="12"/>
  <c r="P2033" i="16"/>
  <c r="P2059" i="16" s="1"/>
  <c r="P2087" i="16" s="1"/>
  <c r="P1823" i="12"/>
  <c r="P62" i="20"/>
  <c r="P100" i="12"/>
  <c r="P1671" i="12"/>
  <c r="P1777" i="12"/>
  <c r="P270" i="16"/>
  <c r="P618" i="16"/>
  <c r="P99" i="20"/>
  <c r="P1501" i="16"/>
  <c r="P364" i="16" s="1"/>
  <c r="P1670" i="12"/>
  <c r="P1880" i="12"/>
  <c r="P1919" i="12" s="1"/>
  <c r="P431" i="16"/>
  <c r="P130" i="20"/>
  <c r="P35" i="11"/>
  <c r="P1665" i="12"/>
  <c r="P173" i="20"/>
  <c r="P434" i="16"/>
  <c r="P327" i="16"/>
  <c r="P137" i="20"/>
  <c r="P1516" i="16"/>
  <c r="P1838" i="12"/>
  <c r="P123" i="20"/>
  <c r="P1738" i="12"/>
  <c r="P1715" i="12"/>
  <c r="P1713" i="12"/>
  <c r="P219" i="10"/>
  <c r="P2037" i="16"/>
  <c r="P2063" i="16" s="1"/>
  <c r="P2091" i="16" s="1"/>
  <c r="P448" i="16"/>
  <c r="P1434" i="16"/>
  <c r="P1924" i="16"/>
  <c r="P82" i="20"/>
  <c r="P1672" i="12"/>
  <c r="P1736" i="12"/>
  <c r="P128" i="20"/>
  <c r="P1504" i="16"/>
  <c r="P367" i="16" s="1"/>
  <c r="P2039" i="16"/>
  <c r="P2065" i="16" s="1"/>
  <c r="P2093" i="16" s="1"/>
  <c r="P1644" i="12"/>
  <c r="P201" i="11"/>
  <c r="P326" i="16"/>
  <c r="P1490" i="16"/>
  <c r="P1578" i="16"/>
  <c r="P32" i="22"/>
  <c r="P1805" i="12"/>
  <c r="P1816" i="12"/>
  <c r="P1571" i="16"/>
  <c r="P1804" i="12"/>
  <c r="P1704" i="12"/>
  <c r="P268" i="16"/>
  <c r="P67" i="20"/>
  <c r="P171" i="20"/>
  <c r="P81" i="20"/>
  <c r="P1727" i="12"/>
  <c r="P1806" i="12"/>
  <c r="P2036" i="16"/>
  <c r="P2062" i="16" s="1"/>
  <c r="P2090" i="16" s="1"/>
  <c r="P187" i="20"/>
  <c r="P698" i="12"/>
  <c r="P1753" i="12"/>
  <c r="P160" i="20"/>
  <c r="P148" i="20"/>
  <c r="P2071" i="16"/>
  <c r="P1497" i="16"/>
  <c r="P1557" i="16"/>
  <c r="P144" i="20"/>
  <c r="P1401" i="16"/>
  <c r="P191" i="20"/>
  <c r="P1825" i="12"/>
  <c r="P169" i="20"/>
  <c r="P174" i="20"/>
  <c r="P1613" i="16"/>
  <c r="P1917" i="16"/>
  <c r="P1769" i="12"/>
  <c r="P152" i="20"/>
  <c r="P205" i="20"/>
  <c r="P437" i="16"/>
  <c r="P1817" i="12"/>
  <c r="P353" i="16"/>
  <c r="P1836" i="16"/>
  <c r="P461" i="16" s="1"/>
  <c r="P1821" i="12"/>
  <c r="P1889" i="16"/>
  <c r="P1767" i="12"/>
  <c r="P12" i="22"/>
  <c r="P98" i="10"/>
  <c r="P124" i="11"/>
  <c r="P1741" i="12"/>
  <c r="P1722" i="12"/>
  <c r="P1739" i="12"/>
  <c r="P427" i="16"/>
  <c r="P29" i="18"/>
  <c r="P32" i="8"/>
  <c r="P31" i="8" s="1"/>
  <c r="P1755" i="12"/>
  <c r="P1754" i="12"/>
  <c r="P576" i="16"/>
  <c r="P50" i="22"/>
  <c r="P1398" i="12"/>
  <c r="P1770" i="12"/>
  <c r="P44" i="11"/>
  <c r="P1822" i="12"/>
  <c r="P300" i="10"/>
  <c r="P101" i="16"/>
  <c r="P110" i="16"/>
  <c r="P1938" i="16"/>
  <c r="P1592" i="16"/>
  <c r="P1706" i="12"/>
  <c r="P1827" i="12"/>
  <c r="P93" i="20"/>
  <c r="P1772" i="12"/>
  <c r="P30" i="16"/>
  <c r="P940" i="12"/>
  <c r="P188" i="20"/>
  <c r="P445" i="16"/>
  <c r="P54" i="16"/>
  <c r="P1530" i="16"/>
  <c r="P1325" i="16"/>
  <c r="P84" i="20"/>
  <c r="P356" i="16"/>
  <c r="P1723" i="12"/>
  <c r="P1683" i="12"/>
  <c r="P418" i="16"/>
  <c r="P151" i="20"/>
  <c r="P1157" i="12"/>
  <c r="P1877" i="16"/>
  <c r="P1599" i="16"/>
  <c r="P1311" i="16"/>
  <c r="P1283" i="16"/>
  <c r="P582" i="16"/>
  <c r="P1681" i="12"/>
  <c r="P1773" i="12"/>
  <c r="P1732" i="12"/>
  <c r="P1798" i="12"/>
  <c r="P66" i="20"/>
  <c r="P363" i="10"/>
  <c r="P1830" i="12"/>
  <c r="P1884" i="12"/>
  <c r="P1802" i="12"/>
  <c r="P2040" i="16"/>
  <c r="P2053" i="16" s="1"/>
  <c r="P1394" i="16"/>
  <c r="P159" i="20"/>
  <c r="P1945" i="16"/>
  <c r="P1318" i="16"/>
  <c r="P1476" i="16"/>
  <c r="P1469" i="16"/>
  <c r="P44" i="18"/>
  <c r="P1776" i="12"/>
  <c r="Q28" i="8"/>
  <c r="P1714" i="12"/>
  <c r="P117" i="20"/>
  <c r="P1696" i="12"/>
  <c r="P1448" i="16"/>
  <c r="P1801" i="12"/>
  <c r="P1689" i="12"/>
  <c r="P22" i="16"/>
  <c r="P1399" i="12"/>
  <c r="P143" i="20"/>
  <c r="P1742" i="12"/>
  <c r="P1903" i="16"/>
  <c r="P354" i="16"/>
  <c r="P96" i="20"/>
  <c r="P1421" i="12"/>
  <c r="P1562" i="12" s="1"/>
  <c r="P1740" i="12"/>
  <c r="P1746" i="12"/>
  <c r="P420" i="16"/>
  <c r="P145" i="20"/>
  <c r="P12" i="10"/>
  <c r="P180" i="11"/>
  <c r="P1744" i="12"/>
  <c r="P1779" i="12"/>
  <c r="P2044" i="16"/>
  <c r="P156" i="10"/>
  <c r="P1780" i="12"/>
  <c r="P1783" i="12"/>
  <c r="P617" i="12"/>
  <c r="P1693" i="12"/>
  <c r="P432" i="16"/>
  <c r="P120" i="16"/>
  <c r="P94" i="20"/>
  <c r="P158" i="20"/>
  <c r="P1833" i="16"/>
  <c r="P458" i="16" s="1"/>
  <c r="P1332" i="16"/>
  <c r="P1585" i="16"/>
  <c r="P136" i="20"/>
  <c r="P1304" i="16"/>
  <c r="P1290" i="16"/>
  <c r="P74" i="11"/>
  <c r="P358" i="16"/>
  <c r="P171" i="11"/>
  <c r="P1771" i="12"/>
  <c r="P170" i="20"/>
  <c r="P1794" i="12"/>
  <c r="P91" i="12"/>
  <c r="P450" i="16"/>
  <c r="P1661" i="12"/>
  <c r="P413" i="10"/>
  <c r="P197" i="16"/>
  <c r="P104" i="11"/>
  <c r="P325" i="16"/>
  <c r="P574" i="16"/>
  <c r="P1666" i="12"/>
  <c r="P1820" i="12"/>
  <c r="P417" i="16"/>
  <c r="P564" i="16"/>
  <c r="P120" i="20"/>
  <c r="P127" i="10"/>
  <c r="P42" i="12"/>
  <c r="P1824" i="12"/>
  <c r="P278" i="16"/>
  <c r="P70" i="20"/>
  <c r="P1462" i="16"/>
  <c r="P1731" i="12"/>
  <c r="P428" i="16"/>
  <c r="P1752" i="12"/>
  <c r="P451" i="16"/>
  <c r="P619" i="16"/>
  <c r="P1606" i="16"/>
  <c r="P1415" i="16"/>
  <c r="P1441" i="16"/>
  <c r="P1800" i="12"/>
  <c r="P452" i="16"/>
  <c r="P1768" i="12"/>
  <c r="P362" i="16"/>
  <c r="P355" i="16"/>
  <c r="P1878" i="12"/>
  <c r="P1916" i="12" s="1"/>
  <c r="P1404" i="12"/>
  <c r="P100" i="20"/>
  <c r="P1819" i="12"/>
  <c r="P1688" i="12"/>
  <c r="P419" i="16"/>
  <c r="P1784" i="12"/>
  <c r="P578" i="16"/>
  <c r="P162" i="11"/>
  <c r="P1675" i="12"/>
  <c r="P1691" i="12"/>
  <c r="P1775" i="12"/>
  <c r="P583" i="16"/>
  <c r="P147" i="20"/>
  <c r="P1712" i="12"/>
  <c r="P629" i="12"/>
  <c r="P1781" i="12"/>
  <c r="P422" i="16"/>
  <c r="P190" i="20"/>
  <c r="P269" i="16"/>
  <c r="P1664" i="12"/>
  <c r="P443" i="16"/>
  <c r="P12" i="16"/>
  <c r="P192" i="16" s="1"/>
  <c r="P328" i="16"/>
  <c r="P190" i="10"/>
  <c r="P157" i="16"/>
  <c r="P121" i="16"/>
  <c r="P205" i="16"/>
  <c r="P111" i="16"/>
  <c r="P119" i="16"/>
  <c r="P132" i="16"/>
  <c r="P125" i="16"/>
  <c r="P34" i="20"/>
  <c r="P47" i="20"/>
  <c r="P1193" i="16"/>
  <c r="P174" i="16"/>
  <c r="P79" i="16"/>
  <c r="P104" i="16"/>
  <c r="P59" i="22"/>
  <c r="P142" i="20"/>
  <c r="P617" i="16"/>
  <c r="P438" i="16"/>
  <c r="P1726" i="12"/>
  <c r="P121" i="22"/>
  <c r="P97" i="20"/>
  <c r="P129" i="20"/>
  <c r="P1502" i="16"/>
  <c r="P365" i="16" s="1"/>
  <c r="P1834" i="12"/>
  <c r="P26" i="22"/>
  <c r="P150" i="20"/>
  <c r="P1500" i="16"/>
  <c r="P363" i="16" s="1"/>
  <c r="P1786" i="12"/>
  <c r="P1728" i="12"/>
  <c r="P1181" i="12"/>
  <c r="P334" i="10"/>
  <c r="P49" i="20"/>
  <c r="P444" i="16"/>
  <c r="P1730" i="12"/>
  <c r="P1724" i="12"/>
  <c r="P131" i="20"/>
  <c r="P2032" i="16"/>
  <c r="P2058" i="16" s="1"/>
  <c r="P2086" i="16" s="1"/>
  <c r="P361" i="16"/>
  <c r="P1757" i="12"/>
  <c r="P1759" i="12"/>
  <c r="P12" i="12"/>
  <c r="P194" i="20"/>
  <c r="P31" i="20"/>
  <c r="P129" i="16"/>
  <c r="P209" i="16"/>
  <c r="P116" i="16"/>
  <c r="P124" i="16"/>
  <c r="P114" i="16"/>
  <c r="P42" i="20"/>
  <c r="P36" i="20"/>
  <c r="P38" i="20"/>
  <c r="P328" i="20"/>
  <c r="P95" i="16"/>
  <c r="P97" i="16"/>
  <c r="P63" i="18"/>
  <c r="P134" i="20"/>
  <c r="P623" i="16"/>
  <c r="P283" i="16"/>
  <c r="P1790" i="12"/>
  <c r="P41" i="22"/>
  <c r="P125" i="20"/>
  <c r="P622" i="16"/>
  <c r="P272" i="16"/>
  <c r="P1750" i="12"/>
  <c r="P178" i="20"/>
  <c r="P2041" i="16"/>
  <c r="P2067" i="16" s="1"/>
  <c r="P2095" i="16" s="1"/>
  <c r="P330" i="16"/>
  <c r="P1677" i="12"/>
  <c r="P1690" i="12"/>
  <c r="P360" i="16"/>
  <c r="P82" i="22"/>
  <c r="P69" i="20"/>
  <c r="P359" i="16"/>
  <c r="P1778" i="12"/>
  <c r="P1408" i="16"/>
  <c r="P71" i="20"/>
  <c r="P581" i="16"/>
  <c r="P425" i="16"/>
  <c r="P1725" i="12"/>
  <c r="P1668" i="12"/>
  <c r="P53" i="11"/>
  <c r="P189" i="20"/>
  <c r="P580" i="16"/>
  <c r="P421" i="16"/>
  <c r="P1699" i="12"/>
  <c r="P199" i="16"/>
  <c r="P202" i="16"/>
  <c r="P213" i="16"/>
  <c r="P130" i="16"/>
  <c r="P106" i="16"/>
  <c r="P131" i="16"/>
  <c r="P40" i="20"/>
  <c r="P43" i="20"/>
  <c r="P1151" i="16"/>
  <c r="P356" i="20"/>
  <c r="P898" i="16"/>
  <c r="P102" i="16"/>
  <c r="P96" i="16"/>
  <c r="P156" i="20"/>
  <c r="P61" i="20"/>
  <c r="P454" i="16"/>
  <c r="P198" i="16"/>
  <c r="P1700" i="12"/>
  <c r="P140" i="20"/>
  <c r="P96" i="18"/>
  <c r="P577" i="16"/>
  <c r="P430" i="16"/>
  <c r="P1879" i="12"/>
  <c r="P1918" i="12" s="1"/>
  <c r="P127" i="20"/>
  <c r="P175" i="20"/>
  <c r="P279" i="16"/>
  <c r="P1813" i="12"/>
  <c r="P1835" i="12"/>
  <c r="P82" i="12"/>
  <c r="P116" i="18"/>
  <c r="P101" i="20"/>
  <c r="P698" i="16"/>
  <c r="P1761" i="12"/>
  <c r="P242" i="10"/>
  <c r="P30" i="20"/>
  <c r="P447" i="16"/>
  <c r="P1791" i="12"/>
  <c r="P1789" i="12"/>
  <c r="P1747" i="12"/>
  <c r="P83" i="20"/>
  <c r="P141" i="20"/>
  <c r="P573" i="16"/>
  <c r="P203" i="16"/>
  <c r="P206" i="16"/>
  <c r="P133" i="16"/>
  <c r="P115" i="16"/>
  <c r="P123" i="16"/>
  <c r="P117" i="16"/>
  <c r="P44" i="20"/>
  <c r="P46" i="20"/>
  <c r="P1158" i="16"/>
  <c r="P1207" i="16"/>
  <c r="P99" i="16"/>
  <c r="P98" i="16"/>
  <c r="P135" i="20"/>
  <c r="P64" i="20"/>
  <c r="P449" i="16"/>
  <c r="P282" i="16"/>
  <c r="P1837" i="12"/>
  <c r="P68" i="22"/>
  <c r="P121" i="20"/>
  <c r="P455" i="16"/>
  <c r="P275" i="16"/>
  <c r="P1782" i="12"/>
  <c r="P192" i="20"/>
  <c r="P625" i="16"/>
  <c r="P433" i="16"/>
  <c r="P1733" i="12"/>
  <c r="P1679" i="12"/>
  <c r="P63" i="12"/>
  <c r="P176" i="20"/>
  <c r="P124" i="20"/>
  <c r="P271" i="16"/>
  <c r="P1729" i="12"/>
  <c r="P94" i="22"/>
  <c r="P2085" i="16"/>
  <c r="P457" i="16"/>
  <c r="P1682" i="12"/>
  <c r="P1703" i="12"/>
  <c r="P207" i="16"/>
  <c r="P210" i="16"/>
  <c r="P212" i="16"/>
  <c r="P105" i="16"/>
  <c r="P108" i="16"/>
  <c r="P118" i="16"/>
  <c r="P48" i="20"/>
  <c r="P35" i="20"/>
  <c r="P1165" i="16"/>
  <c r="P135" i="16"/>
  <c r="P154" i="20"/>
  <c r="P2057" i="16"/>
  <c r="P440" i="16"/>
  <c r="P1795" i="12"/>
  <c r="P603" i="12"/>
  <c r="P138" i="20"/>
  <c r="P98" i="20"/>
  <c r="P446" i="16"/>
  <c r="P441" i="16"/>
  <c r="P1692" i="12"/>
  <c r="P193" i="20"/>
  <c r="P579" i="16"/>
  <c r="P1803" i="12"/>
  <c r="P1797" i="12"/>
  <c r="P1839" i="12"/>
  <c r="P73" i="12"/>
  <c r="P20" i="22"/>
  <c r="P624" i="16"/>
  <c r="P429" i="16"/>
  <c r="P1793" i="12"/>
  <c r="P103" i="22"/>
  <c r="P80" i="20"/>
  <c r="P436" i="16"/>
  <c r="P1818" i="12"/>
  <c r="P1832" i="12"/>
  <c r="P1680" i="12"/>
  <c r="P1503" i="16"/>
  <c r="P366" i="16" s="1"/>
  <c r="P63" i="20"/>
  <c r="P453" i="16"/>
  <c r="P1814" i="12"/>
  <c r="P1815" i="12"/>
  <c r="P921" i="12"/>
  <c r="P1811" i="12"/>
  <c r="P116" i="20"/>
  <c r="P132" i="20"/>
  <c r="P329" i="16"/>
  <c r="P211" i="16"/>
  <c r="P214" i="16"/>
  <c r="P208" i="16"/>
  <c r="P113" i="16"/>
  <c r="P128" i="16"/>
  <c r="P122" i="16"/>
  <c r="P45" i="20"/>
  <c r="P39" i="20"/>
  <c r="P1172" i="16"/>
  <c r="P100" i="16"/>
  <c r="P133" i="20"/>
  <c r="P95" i="20"/>
  <c r="P281" i="16"/>
  <c r="P1705" i="12"/>
  <c r="P385" i="10"/>
  <c r="P489" i="10" s="1"/>
  <c r="P177" i="20"/>
  <c r="P118" i="20"/>
  <c r="P200" i="16"/>
  <c r="P201" i="16"/>
  <c r="P126" i="16"/>
  <c r="P134" i="16"/>
  <c r="P127" i="16"/>
  <c r="P109" i="16"/>
  <c r="P41" i="20"/>
  <c r="P33" i="20"/>
  <c r="P1186" i="16"/>
  <c r="P1200" i="16"/>
  <c r="P141" i="16"/>
  <c r="P29" i="8"/>
  <c r="P127" i="8" s="1"/>
  <c r="P103" i="16"/>
  <c r="P75" i="10"/>
  <c r="P60" i="20"/>
  <c r="P615" i="16"/>
  <c r="P280" i="16"/>
  <c r="P1758" i="12"/>
  <c r="P88" i="22"/>
  <c r="P102" i="20"/>
  <c r="P2031" i="16"/>
  <c r="P273" i="16"/>
  <c r="P1697" i="12"/>
  <c r="P112" i="22"/>
  <c r="P85" i="20"/>
  <c r="P277" i="16"/>
  <c r="P1734" i="12"/>
  <c r="P1760" i="12"/>
  <c r="P1400" i="12"/>
  <c r="P161" i="20"/>
  <c r="P72" i="20"/>
  <c r="P1774" i="12"/>
  <c r="P149" i="20"/>
  <c r="P1799" i="12"/>
  <c r="P1735" i="12"/>
  <c r="P57" i="20"/>
  <c r="P59" i="20"/>
  <c r="P112" i="16"/>
  <c r="F277" i="25"/>
  <c r="P114" i="12"/>
  <c r="P1640" i="12"/>
  <c r="P1833" i="12"/>
  <c r="P276" i="16"/>
  <c r="P107" i="18"/>
  <c r="P12" i="18"/>
  <c r="P12" i="11"/>
  <c r="P1743" i="12"/>
  <c r="P1678" i="12"/>
  <c r="P196" i="20"/>
  <c r="P231" i="11"/>
  <c r="P38" i="16"/>
  <c r="P197" i="20"/>
  <c r="P575" i="16"/>
  <c r="P1638" i="12"/>
  <c r="P122" i="20"/>
  <c r="P126" i="20"/>
  <c r="P204" i="16"/>
  <c r="P1179" i="16"/>
  <c r="P215" i="16"/>
  <c r="P357" i="16"/>
  <c r="P119" i="20"/>
  <c r="P1796" i="12"/>
  <c r="P352" i="16"/>
  <c r="P1756" i="12"/>
  <c r="P621" i="16"/>
  <c r="P1716" i="12"/>
  <c r="P1829" i="12"/>
  <c r="P62" i="16"/>
  <c r="P32" i="20"/>
  <c r="P1828" i="12"/>
  <c r="P426" i="16"/>
  <c r="P83" i="18"/>
  <c r="P1669" i="12"/>
  <c r="P439" i="16"/>
  <c r="P1836" i="12"/>
  <c r="P155" i="20"/>
  <c r="P1826" i="12"/>
  <c r="P1787" i="12"/>
  <c r="P423" i="16"/>
  <c r="P37" i="20"/>
  <c r="P1676" i="12"/>
  <c r="P1695" i="12"/>
  <c r="P801" i="16"/>
  <c r="P786" i="16"/>
  <c r="P153" i="20"/>
  <c r="P58" i="20"/>
  <c r="P1674" i="12"/>
  <c r="P1785" i="12"/>
  <c r="P435" i="16"/>
  <c r="P130" i="22"/>
  <c r="P1831" i="12"/>
  <c r="P620" i="16"/>
  <c r="P1707" i="12"/>
  <c r="P179" i="20"/>
  <c r="P1701" i="12"/>
  <c r="P274" i="16"/>
  <c r="P2034" i="16"/>
  <c r="P2060" i="16" s="1"/>
  <c r="P2088" i="16" s="1"/>
  <c r="P107" i="16"/>
  <c r="P1412" i="16"/>
  <c r="P2138" i="16" s="1"/>
  <c r="P1405" i="16"/>
  <c r="P2137" i="16" s="1"/>
  <c r="P363" i="20"/>
  <c r="P880" i="16"/>
  <c r="P349" i="20"/>
  <c r="P492" i="20"/>
  <c r="P886" i="16"/>
  <c r="P1391" i="16"/>
  <c r="P2135" i="16" s="1"/>
  <c r="P892" i="16"/>
  <c r="P1575" i="16"/>
  <c r="P2162" i="16" s="1"/>
  <c r="P1620" i="16"/>
  <c r="P461" i="20"/>
  <c r="P1294" i="16"/>
  <c r="P2113" i="16" s="1"/>
  <c r="P1438" i="16"/>
  <c r="P471" i="20"/>
  <c r="P1308" i="16"/>
  <c r="P2115" i="16" s="1"/>
  <c r="P874" i="16"/>
  <c r="P1419" i="16"/>
  <c r="P2139" i="16" s="1"/>
  <c r="P1886" i="16"/>
  <c r="P2206" i="16" s="1"/>
  <c r="P1155" i="16"/>
  <c r="O86" i="20"/>
  <c r="O1205" i="20" s="1"/>
  <c r="O899" i="16"/>
  <c r="O2047" i="16"/>
  <c r="O1887" i="16"/>
  <c r="O2081" i="16"/>
  <c r="O2074" i="16"/>
  <c r="M1406" i="12"/>
  <c r="O2052" i="16"/>
  <c r="O1838" i="16"/>
  <c r="O331" i="16"/>
  <c r="O806" i="16" s="1"/>
  <c r="O2048" i="16"/>
  <c r="O749" i="16"/>
  <c r="O211" i="20" s="1"/>
  <c r="O744" i="16"/>
  <c r="O206" i="20" s="1"/>
  <c r="O772" i="16"/>
  <c r="O234" i="20" s="1"/>
  <c r="O778" i="16"/>
  <c r="O240" i="20" s="1"/>
  <c r="O2061" i="16"/>
  <c r="O2075" i="16" s="1"/>
  <c r="O782" i="16"/>
  <c r="O244" i="20" s="1"/>
  <c r="O767" i="16"/>
  <c r="O229" i="20" s="1"/>
  <c r="O781" i="16"/>
  <c r="O243" i="20" s="1"/>
  <c r="O758" i="16"/>
  <c r="O220" i="20" s="1"/>
  <c r="O2206" i="16"/>
  <c r="O748" i="16"/>
  <c r="O210" i="20" s="1"/>
  <c r="O759" i="16"/>
  <c r="O221" i="20" s="1"/>
  <c r="O757" i="16"/>
  <c r="O219" i="20" s="1"/>
  <c r="O783" i="16"/>
  <c r="O245" i="20" s="1"/>
  <c r="O745" i="16"/>
  <c r="O207" i="20" s="1"/>
  <c r="O771" i="16"/>
  <c r="O233" i="20" s="1"/>
  <c r="O769" i="16"/>
  <c r="O231" i="20" s="1"/>
  <c r="O747" i="16"/>
  <c r="O209" i="20" s="1"/>
  <c r="O754" i="16"/>
  <c r="O216" i="20" s="1"/>
  <c r="O776" i="16"/>
  <c r="O238" i="20" s="1"/>
  <c r="O762" i="16"/>
  <c r="O224" i="20" s="1"/>
  <c r="O779" i="16"/>
  <c r="O241" i="20" s="1"/>
  <c r="O753" i="16"/>
  <c r="O215" i="20" s="1"/>
  <c r="O755" i="16"/>
  <c r="O217" i="20" s="1"/>
  <c r="O756" i="16"/>
  <c r="O218" i="20" s="1"/>
  <c r="O761" i="16"/>
  <c r="O223" i="20" s="1"/>
  <c r="O775" i="16"/>
  <c r="O237" i="20" s="1"/>
  <c r="O774" i="16"/>
  <c r="O236" i="20" s="1"/>
  <c r="O751" i="16"/>
  <c r="O213" i="20" s="1"/>
  <c r="O766" i="16"/>
  <c r="O228" i="20" s="1"/>
  <c r="O777" i="16"/>
  <c r="O239" i="20" s="1"/>
  <c r="O750" i="16"/>
  <c r="O212" i="20" s="1"/>
  <c r="O764" i="16"/>
  <c r="O226" i="20" s="1"/>
  <c r="O780" i="16"/>
  <c r="O242" i="20" s="1"/>
  <c r="O752" i="16"/>
  <c r="O214" i="20" s="1"/>
  <c r="O770" i="16"/>
  <c r="O232" i="20" s="1"/>
  <c r="O765" i="16"/>
  <c r="O227" i="20" s="1"/>
  <c r="O746" i="16"/>
  <c r="O208" i="20" s="1"/>
  <c r="O760" i="16"/>
  <c r="O222" i="20" s="1"/>
  <c r="O763" i="16"/>
  <c r="O225" i="20" s="1"/>
  <c r="O773" i="16"/>
  <c r="O235" i="20" s="1"/>
  <c r="O2072" i="16"/>
  <c r="O2045" i="16"/>
  <c r="O1717" i="12"/>
  <c r="O1874" i="12" s="1"/>
  <c r="O1912" i="12" s="1"/>
  <c r="O110" i="18"/>
  <c r="O584" i="16"/>
  <c r="O809" i="16" s="1"/>
  <c r="O306" i="12"/>
  <c r="O626" i="16"/>
  <c r="O810" i="16" s="1"/>
  <c r="O2077" i="16"/>
  <c r="O585" i="12"/>
  <c r="O77" i="18"/>
  <c r="O594" i="12"/>
  <c r="O101" i="18"/>
  <c r="O68" i="18"/>
  <c r="O2049" i="16"/>
  <c r="G13" i="25"/>
  <c r="O86" i="18"/>
  <c r="O2050" i="16"/>
  <c r="O434" i="12"/>
  <c r="O48" i="18"/>
  <c r="O53" i="18" s="1"/>
  <c r="O116" i="12"/>
  <c r="O264" i="12"/>
  <c r="O221" i="12"/>
  <c r="O119" i="18"/>
  <c r="G73" i="25"/>
  <c r="G119" i="25" s="1"/>
  <c r="G127" i="25" s="1"/>
  <c r="G138" i="25" s="1"/>
  <c r="G146" i="25" s="1"/>
  <c r="O520" i="12"/>
  <c r="O33" i="18"/>
  <c r="O38" i="18" s="1"/>
  <c r="O206" i="12"/>
  <c r="O1505" i="16"/>
  <c r="O73" i="20"/>
  <c r="O1203" i="20" s="1"/>
  <c r="O807" i="16"/>
  <c r="C409" i="20"/>
  <c r="C411" i="20" s="1"/>
  <c r="C412" i="20" s="1"/>
  <c r="D402" i="20"/>
  <c r="C403" i="20"/>
  <c r="K405" i="20" s="1"/>
  <c r="K406" i="20" s="1"/>
  <c r="L169" i="16"/>
  <c r="L186" i="16" s="1"/>
  <c r="L60" i="10" s="1"/>
  <c r="O136" i="16"/>
  <c r="K184" i="16"/>
  <c r="K58" i="10" s="1"/>
  <c r="K183" i="16"/>
  <c r="K57" i="10" s="1"/>
  <c r="K182" i="16"/>
  <c r="K56" i="10" s="1"/>
  <c r="K181" i="16"/>
  <c r="K178" i="16"/>
  <c r="K51" i="10" s="1"/>
  <c r="K177" i="16"/>
  <c r="L158" i="16"/>
  <c r="O875" i="16"/>
  <c r="K84" i="16"/>
  <c r="Q380" i="10"/>
  <c r="Q91" i="10"/>
  <c r="Q105" i="10" s="1"/>
  <c r="Q370" i="10"/>
  <c r="J361" i="10"/>
  <c r="J418" i="10" s="1"/>
  <c r="J428" i="10"/>
  <c r="I410" i="10"/>
  <c r="I353" i="10"/>
  <c r="J410" i="10"/>
  <c r="F155" i="25"/>
  <c r="F371" i="25"/>
  <c r="F465" i="25"/>
  <c r="F324" i="25"/>
  <c r="N1401" i="12"/>
  <c r="N1411" i="12" s="1"/>
  <c r="N1412" i="12" s="1"/>
  <c r="N257" i="20" s="1"/>
  <c r="M1641" i="12"/>
  <c r="M1651" i="12" s="1"/>
  <c r="F62" i="25"/>
  <c r="O896" i="12"/>
  <c r="O916" i="12" s="1"/>
  <c r="O1932" i="12" s="1"/>
  <c r="O1708" i="12"/>
  <c r="O1873" i="12" s="1"/>
  <c r="O1911" i="12" s="1"/>
  <c r="N2055" i="16"/>
  <c r="N796" i="16" s="1"/>
  <c r="O2054" i="16"/>
  <c r="O1453" i="16"/>
  <c r="N699" i="16"/>
  <c r="O963" i="12"/>
  <c r="O1151" i="12" s="1"/>
  <c r="O1392" i="16"/>
  <c r="N1420" i="16"/>
  <c r="N1421" i="16" s="1"/>
  <c r="O887" i="16"/>
  <c r="O893" i="16"/>
  <c r="M333" i="16"/>
  <c r="O2135" i="16"/>
  <c r="M1316" i="16"/>
  <c r="O463" i="16"/>
  <c r="O1446" i="16"/>
  <c r="N1315" i="16"/>
  <c r="N2123" i="16" s="1"/>
  <c r="O2121" i="16"/>
  <c r="O368" i="16"/>
  <c r="O1138" i="12"/>
  <c r="O1158" i="12" s="1"/>
  <c r="O1807" i="12"/>
  <c r="O1876" i="12" s="1"/>
  <c r="O1914" i="12" s="1"/>
  <c r="O1762" i="12"/>
  <c r="O1875" i="12" s="1"/>
  <c r="O1913" i="12" s="1"/>
  <c r="O162" i="20"/>
  <c r="O1207" i="20" s="1"/>
  <c r="O905" i="12"/>
  <c r="O917" i="12" s="1"/>
  <c r="O1933" i="12" s="1"/>
  <c r="M1317" i="16"/>
  <c r="P1466" i="16"/>
  <c r="P2147" i="16" s="1"/>
  <c r="O1309" i="16"/>
  <c r="N1894" i="16"/>
  <c r="N1895" i="16" s="1"/>
  <c r="O2122" i="16"/>
  <c r="O2115" i="16"/>
  <c r="O479" i="20"/>
  <c r="O480" i="20" s="1"/>
  <c r="P1445" i="16"/>
  <c r="P2144" i="16" s="1"/>
  <c r="O1147" i="12"/>
  <c r="O1159" i="12" s="1"/>
  <c r="O1041" i="12"/>
  <c r="O1154" i="12" s="1"/>
  <c r="O996" i="12"/>
  <c r="O1153" i="12" s="1"/>
  <c r="O1302" i="16"/>
  <c r="O1467" i="16"/>
  <c r="P1301" i="16"/>
  <c r="O799" i="12"/>
  <c r="O912" i="12" s="1"/>
  <c r="O1927" i="12" s="1"/>
  <c r="O987" i="12"/>
  <c r="O1152" i="12" s="1"/>
  <c r="O1684" i="12"/>
  <c r="O1872" i="12" s="1"/>
  <c r="O1910" i="12" s="1"/>
  <c r="O284" i="16"/>
  <c r="O804" i="16" s="1"/>
  <c r="O180" i="20"/>
  <c r="O1208" i="20" s="1"/>
  <c r="O808" i="16"/>
  <c r="O745" i="12"/>
  <c r="O910" i="12" s="1"/>
  <c r="O1925" i="12" s="1"/>
  <c r="O754" i="12"/>
  <c r="O911" i="12" s="1"/>
  <c r="O1926" i="12" s="1"/>
  <c r="O844" i="12"/>
  <c r="O913" i="12" s="1"/>
  <c r="O1928" i="12" s="1"/>
  <c r="O1120" i="12"/>
  <c r="O1156" i="12" s="1"/>
  <c r="O878" i="12"/>
  <c r="O914" i="12" s="1"/>
  <c r="O1929" i="12" s="1"/>
  <c r="O1086" i="12"/>
  <c r="O1155" i="12" s="1"/>
  <c r="O1841" i="12"/>
  <c r="O1877" i="12" s="1"/>
  <c r="O1915" i="12" s="1"/>
  <c r="O198" i="20"/>
  <c r="O1209" i="20" s="1"/>
  <c r="O721" i="12"/>
  <c r="O909" i="12" s="1"/>
  <c r="O1924" i="12" s="1"/>
  <c r="P1452" i="16"/>
  <c r="P2145" i="16" s="1"/>
  <c r="O2042" i="16"/>
  <c r="O811" i="16" s="1"/>
  <c r="O1156" i="16"/>
  <c r="O1893" i="16"/>
  <c r="O2207" i="16" s="1"/>
  <c r="K216" i="10"/>
  <c r="K360" i="10" s="1"/>
  <c r="N1477" i="12"/>
  <c r="N1634" i="12" s="1"/>
  <c r="L2148" i="16"/>
  <c r="L1474" i="16"/>
  <c r="M1474" i="16" s="1"/>
  <c r="L1475" i="16"/>
  <c r="M1475" i="16" s="1"/>
  <c r="P1914" i="16"/>
  <c r="L1323" i="16"/>
  <c r="M1323" i="16" s="1"/>
  <c r="N1323" i="16" s="1"/>
  <c r="N2210" i="16"/>
  <c r="N1915" i="16"/>
  <c r="O1915" i="16" s="1"/>
  <c r="L2124" i="16"/>
  <c r="L1329" i="16"/>
  <c r="M1329" i="16" s="1"/>
  <c r="N1329" i="16" s="1"/>
  <c r="O1329" i="16" s="1"/>
  <c r="L1324" i="16"/>
  <c r="M1324" i="16" s="1"/>
  <c r="M2148" i="16"/>
  <c r="N1473" i="16"/>
  <c r="O1473" i="16" s="1"/>
  <c r="M2124" i="16"/>
  <c r="L1480" i="16"/>
  <c r="M1480" i="16" s="1"/>
  <c r="N1480" i="16" s="1"/>
  <c r="O1480" i="16" s="1"/>
  <c r="N246" i="20"/>
  <c r="N1916" i="16"/>
  <c r="N876" i="16"/>
  <c r="M246" i="20"/>
  <c r="N1584" i="16"/>
  <c r="N1282" i="16"/>
  <c r="M1888" i="16"/>
  <c r="N1888" i="16" s="1"/>
  <c r="O1888" i="16" s="1"/>
  <c r="N1393" i="16"/>
  <c r="O1393" i="16" s="1"/>
  <c r="N1447" i="16"/>
  <c r="O1447" i="16" s="1"/>
  <c r="D1494" i="16"/>
  <c r="F1493" i="16" s="1"/>
  <c r="N1454" i="16"/>
  <c r="O1454" i="16" s="1"/>
  <c r="L534" i="20"/>
  <c r="L536" i="20" s="1"/>
  <c r="N1468" i="16"/>
  <c r="O1468" i="16" s="1"/>
  <c r="N1157" i="16"/>
  <c r="O1157" i="16" s="1"/>
  <c r="N1303" i="16"/>
  <c r="N1310" i="16"/>
  <c r="D1336" i="16"/>
  <c r="F1335" i="16" s="1"/>
  <c r="M515" i="20"/>
  <c r="N1160" i="12"/>
  <c r="N1170" i="12" s="1"/>
  <c r="N1171" i="12" s="1"/>
  <c r="N1917" i="12"/>
  <c r="N1920" i="12" s="1"/>
  <c r="D914" i="20"/>
  <c r="C913" i="20"/>
  <c r="C915" i="20"/>
  <c r="E539" i="20"/>
  <c r="E540" i="20" s="1"/>
  <c r="K541" i="20" s="1"/>
  <c r="K542" i="20" s="1"/>
  <c r="D906" i="20"/>
  <c r="E906" i="20" s="1"/>
  <c r="C906" i="20"/>
  <c r="C908" i="20"/>
  <c r="P1459" i="16"/>
  <c r="N1567" i="12"/>
  <c r="N1636" i="12" s="1"/>
  <c r="N1444" i="12"/>
  <c r="N1632" i="12" s="1"/>
  <c r="N1601" i="12"/>
  <c r="N1637" i="12" s="1"/>
  <c r="N1468" i="12"/>
  <c r="N1633" i="12" s="1"/>
  <c r="N1522" i="12"/>
  <c r="N1635" i="12" s="1"/>
  <c r="L1603" i="16"/>
  <c r="L2166" i="16" s="1"/>
  <c r="F1920" i="16"/>
  <c r="D1610" i="16"/>
  <c r="F1609" i="16" s="1"/>
  <c r="N1346" i="16"/>
  <c r="D1942" i="16"/>
  <c r="F1941" i="16" s="1"/>
  <c r="E1341" i="16"/>
  <c r="D1341" i="16"/>
  <c r="M1346" i="16"/>
  <c r="B1340" i="16"/>
  <c r="P1346" i="16"/>
  <c r="L1346" i="16"/>
  <c r="K1346" i="16"/>
  <c r="E1342" i="16"/>
  <c r="D1347" i="16"/>
  <c r="K1353" i="16" s="1"/>
  <c r="N805" i="16"/>
  <c r="O1406" i="16"/>
  <c r="O2137" i="16"/>
  <c r="N336" i="20"/>
  <c r="N337" i="20" s="1"/>
  <c r="P1280" i="16"/>
  <c r="N1881" i="12"/>
  <c r="N1891" i="12" s="1"/>
  <c r="N1135" i="16"/>
  <c r="O1135" i="16" s="1"/>
  <c r="O1281" i="16"/>
  <c r="O486" i="20"/>
  <c r="O487" i="20" s="1"/>
  <c r="P485" i="20"/>
  <c r="P1907" i="16"/>
  <c r="P2209" i="16" s="1"/>
  <c r="O1908" i="16"/>
  <c r="O1909" i="16" s="1"/>
  <c r="O350" i="20"/>
  <c r="O351" i="20" s="1"/>
  <c r="L75" i="16"/>
  <c r="M73" i="16" s="1"/>
  <c r="M2239" i="16" s="1"/>
  <c r="M2251" i="16" s="1"/>
  <c r="L2263" i="16"/>
  <c r="L76" i="16" s="1"/>
  <c r="L89" i="16" s="1"/>
  <c r="L185" i="16" s="1"/>
  <c r="L51" i="16"/>
  <c r="M49" i="16" s="1"/>
  <c r="M2236" i="16" s="1"/>
  <c r="M2248" i="16" s="1"/>
  <c r="L2260" i="16"/>
  <c r="L52" i="16" s="1"/>
  <c r="L86" i="16" s="1"/>
  <c r="L182" i="16" s="1"/>
  <c r="O364" i="20"/>
  <c r="O365" i="20" s="1"/>
  <c r="L35" i="16"/>
  <c r="M33" i="16" s="1"/>
  <c r="M2234" i="16" s="1"/>
  <c r="M2246" i="16" s="1"/>
  <c r="L2258" i="16"/>
  <c r="L36" i="16" s="1"/>
  <c r="L83" i="16" s="1"/>
  <c r="L178" i="16" s="1"/>
  <c r="L27" i="16"/>
  <c r="M25" i="16" s="1"/>
  <c r="M2233" i="16" s="1"/>
  <c r="M2245" i="16" s="1"/>
  <c r="L2257" i="16"/>
  <c r="L28" i="16" s="1"/>
  <c r="L82" i="16" s="1"/>
  <c r="L177" i="16" s="1"/>
  <c r="L67" i="16"/>
  <c r="M65" i="16" s="1"/>
  <c r="M2238" i="16" s="1"/>
  <c r="M2250" i="16" s="1"/>
  <c r="L2262" i="16"/>
  <c r="L68" i="16" s="1"/>
  <c r="L88" i="16" s="1"/>
  <c r="L184" i="16" s="1"/>
  <c r="K19" i="16"/>
  <c r="L17" i="16" s="1"/>
  <c r="L2232" i="16" s="1"/>
  <c r="K2256" i="16"/>
  <c r="K2252" i="16"/>
  <c r="L59" i="16"/>
  <c r="M57" i="16" s="1"/>
  <c r="M2237" i="16" s="1"/>
  <c r="M2249" i="16" s="1"/>
  <c r="L2261" i="16"/>
  <c r="L60" i="16" s="1"/>
  <c r="L87" i="16" s="1"/>
  <c r="L183" i="16" s="1"/>
  <c r="L43" i="16"/>
  <c r="M41" i="16" s="1"/>
  <c r="M2235" i="16" s="1"/>
  <c r="M2247" i="16" s="1"/>
  <c r="L2259" i="16"/>
  <c r="L44" i="16" s="1"/>
  <c r="L378" i="20"/>
  <c r="M377" i="20"/>
  <c r="M379" i="20" s="1"/>
  <c r="L385" i="20"/>
  <c r="L1185" i="16"/>
  <c r="M371" i="20"/>
  <c r="L1184" i="16"/>
  <c r="N1172" i="16"/>
  <c r="N250" i="16" s="1"/>
  <c r="O1169" i="16"/>
  <c r="M1183" i="16"/>
  <c r="M1186" i="16" s="1"/>
  <c r="M252" i="16" s="1"/>
  <c r="N1170" i="16"/>
  <c r="N1171" i="16" s="1"/>
  <c r="L1197" i="16"/>
  <c r="L1200" i="16" s="1"/>
  <c r="L254" i="16" s="1"/>
  <c r="L1191" i="16"/>
  <c r="M1176" i="16"/>
  <c r="M1179" i="16" s="1"/>
  <c r="M251" i="16" s="1"/>
  <c r="L1192" i="16"/>
  <c r="M372" i="20"/>
  <c r="N370" i="20"/>
  <c r="M1190" i="16"/>
  <c r="L391" i="20"/>
  <c r="L392" i="20" s="1"/>
  <c r="N1163" i="16"/>
  <c r="M384" i="20"/>
  <c r="L1178" i="16"/>
  <c r="P1148" i="16"/>
  <c r="L1177" i="16"/>
  <c r="N1149" i="16"/>
  <c r="O1141" i="16"/>
  <c r="O1144" i="16" s="1"/>
  <c r="O246" i="16" s="1"/>
  <c r="D943" i="16"/>
  <c r="J942" i="16"/>
  <c r="E939" i="16"/>
  <c r="E938" i="16"/>
  <c r="F938" i="16" s="1"/>
  <c r="D938" i="16"/>
  <c r="C940" i="16"/>
  <c r="B937" i="16"/>
  <c r="D933" i="16"/>
  <c r="K1952" i="16"/>
  <c r="O250" i="16"/>
  <c r="N1142" i="16"/>
  <c r="N1179" i="16"/>
  <c r="N251" i="16" s="1"/>
  <c r="K1198" i="16"/>
  <c r="K1200" i="16"/>
  <c r="K254" i="16" s="1"/>
  <c r="K1204" i="16"/>
  <c r="K1199" i="16"/>
  <c r="D1203" i="16"/>
  <c r="D1204" i="16" s="1"/>
  <c r="E1209" i="16"/>
  <c r="F1209" i="16" s="1"/>
  <c r="D1215" i="16"/>
  <c r="D1209" i="16"/>
  <c r="P1214" i="16"/>
  <c r="E1210" i="16"/>
  <c r="K393" i="20"/>
  <c r="K398" i="20"/>
  <c r="K399" i="20" s="1"/>
  <c r="P1952" i="16"/>
  <c r="L1952" i="16"/>
  <c r="D1947" i="16"/>
  <c r="B1946" i="16"/>
  <c r="E1947" i="16"/>
  <c r="F1947" i="16" s="1"/>
  <c r="E1948" i="16"/>
  <c r="D1948" i="16" s="1"/>
  <c r="N1952" i="16"/>
  <c r="M1952" i="16"/>
  <c r="P1287" i="16"/>
  <c r="P2112" i="16" s="1"/>
  <c r="O2112" i="16"/>
  <c r="O1288" i="16"/>
  <c r="O846" i="20"/>
  <c r="P845" i="20"/>
  <c r="O329" i="20"/>
  <c r="O330" i="20" s="1"/>
  <c r="N1289" i="16"/>
  <c r="P1398" i="16"/>
  <c r="P2136" i="16" s="1"/>
  <c r="N480" i="20"/>
  <c r="O1399" i="16"/>
  <c r="O1400" i="16" s="1"/>
  <c r="O500" i="20"/>
  <c r="O501" i="20" s="1"/>
  <c r="P499" i="20"/>
  <c r="M1886" i="12"/>
  <c r="O1555" i="16"/>
  <c r="O1556" i="16" s="1"/>
  <c r="P1554" i="16"/>
  <c r="M1165" i="12"/>
  <c r="M1172" i="12" s="1"/>
  <c r="L1646" i="12"/>
  <c r="P1561" i="16"/>
  <c r="P2160" i="16" s="1"/>
  <c r="O1562" i="16"/>
  <c r="O1563" i="16" s="1"/>
  <c r="L923" i="12"/>
  <c r="N918" i="12"/>
  <c r="N928" i="12" s="1"/>
  <c r="K208" i="10"/>
  <c r="N1931" i="12"/>
  <c r="N1934" i="12" s="1"/>
  <c r="O493" i="20"/>
  <c r="O494" i="20" s="1"/>
  <c r="N2069" i="16"/>
  <c r="O1432" i="16"/>
  <c r="O1433" i="16" s="1"/>
  <c r="P1431" i="16"/>
  <c r="O2120" i="16"/>
  <c r="O2113" i="16"/>
  <c r="O472" i="20"/>
  <c r="O473" i="20" s="1"/>
  <c r="O1295" i="16"/>
  <c r="O1413" i="16"/>
  <c r="O2138" i="16"/>
  <c r="O1439" i="16"/>
  <c r="O2143" i="16"/>
  <c r="L906" i="16"/>
  <c r="M906" i="16" s="1"/>
  <c r="M152" i="16"/>
  <c r="M169" i="16" s="1"/>
  <c r="M186" i="16" s="1"/>
  <c r="P506" i="20"/>
  <c r="P508" i="20" s="1"/>
  <c r="O507" i="20"/>
  <c r="N894" i="16"/>
  <c r="N164" i="16" s="1"/>
  <c r="L911" i="16"/>
  <c r="O2076" i="16"/>
  <c r="O1576" i="16"/>
  <c r="L52" i="10"/>
  <c r="L340" i="10" s="1"/>
  <c r="M146" i="16"/>
  <c r="L528" i="20"/>
  <c r="M895" i="20"/>
  <c r="N895" i="20" s="1"/>
  <c r="L2212" i="16"/>
  <c r="K1605" i="16"/>
  <c r="M521" i="20"/>
  <c r="M522" i="20" s="1"/>
  <c r="K1604" i="16"/>
  <c r="O894" i="20"/>
  <c r="P894" i="20" s="1"/>
  <c r="K2213" i="16"/>
  <c r="O2162" i="16"/>
  <c r="K1936" i="16"/>
  <c r="K1937" i="16" s="1"/>
  <c r="K2166" i="16"/>
  <c r="M2164" i="16"/>
  <c r="O1583" i="16"/>
  <c r="M1590" i="16"/>
  <c r="N1590" i="16" s="1"/>
  <c r="P1582" i="16"/>
  <c r="P2163" i="16" s="1"/>
  <c r="L1929" i="16"/>
  <c r="O514" i="20"/>
  <c r="P513" i="20"/>
  <c r="P515" i="20" s="1"/>
  <c r="N520" i="20"/>
  <c r="L529" i="20"/>
  <c r="P335" i="20"/>
  <c r="L903" i="20"/>
  <c r="M901" i="20"/>
  <c r="M902" i="20" s="1"/>
  <c r="M527" i="20"/>
  <c r="C552" i="20"/>
  <c r="C546" i="20"/>
  <c r="D546" i="20"/>
  <c r="E546" i="20" s="1"/>
  <c r="C547" i="20"/>
  <c r="C548" i="20" s="1"/>
  <c r="K535" i="20"/>
  <c r="K536" i="20" s="1"/>
  <c r="N896" i="20"/>
  <c r="C926" i="20"/>
  <c r="C921" i="20"/>
  <c r="K1942" i="16"/>
  <c r="M1928" i="16"/>
  <c r="K916" i="16"/>
  <c r="L1935" i="16"/>
  <c r="K922" i="16"/>
  <c r="P1134" i="16"/>
  <c r="O1589" i="16"/>
  <c r="P1589" i="16" s="1"/>
  <c r="P904" i="16"/>
  <c r="L1487" i="16"/>
  <c r="O910" i="16"/>
  <c r="N1596" i="16"/>
  <c r="O1596" i="16" s="1"/>
  <c r="N888" i="16"/>
  <c r="N161" i="16" s="1"/>
  <c r="O881" i="16"/>
  <c r="N882" i="16"/>
  <c r="M2082" i="16"/>
  <c r="M256" i="20" s="1"/>
  <c r="N900" i="16"/>
  <c r="N905" i="16"/>
  <c r="D928" i="16"/>
  <c r="F927" i="16" s="1"/>
  <c r="O1460" i="16"/>
  <c r="O1461" i="16" s="1"/>
  <c r="O2139" i="16"/>
  <c r="O332" i="16"/>
  <c r="K1610" i="16"/>
  <c r="L2165" i="16"/>
  <c r="L1598" i="16"/>
  <c r="L1597" i="16"/>
  <c r="N2164" i="16"/>
  <c r="D1621" i="16"/>
  <c r="B1614" i="16"/>
  <c r="K1620" i="16"/>
  <c r="N1620" i="16"/>
  <c r="E1616" i="16"/>
  <c r="D1616" i="16" s="1"/>
  <c r="L1620" i="16"/>
  <c r="M1620" i="16"/>
  <c r="E1615" i="16"/>
  <c r="F1615" i="16" s="1"/>
  <c r="O1620" i="16"/>
  <c r="D1615" i="16"/>
  <c r="K1494" i="16"/>
  <c r="K2150" i="16"/>
  <c r="K1488" i="16"/>
  <c r="K1489" i="16" s="1"/>
  <c r="N2124" i="16"/>
  <c r="P1137" i="16"/>
  <c r="P245" i="16" s="1"/>
  <c r="P265" i="16" s="1"/>
  <c r="P53" i="20" s="1"/>
  <c r="R366" i="10"/>
  <c r="S79" i="10"/>
  <c r="P84" i="10"/>
  <c r="P118" i="10" s="1"/>
  <c r="P114" i="10"/>
  <c r="R60" i="22"/>
  <c r="Q64" i="22"/>
  <c r="P89" i="10"/>
  <c r="P65" i="22"/>
  <c r="P92" i="12" s="1"/>
  <c r="O113" i="10"/>
  <c r="O36" i="10"/>
  <c r="Q71" i="10"/>
  <c r="R33" i="22"/>
  <c r="R37" i="22" s="1"/>
  <c r="Q38" i="22"/>
  <c r="Q106" i="11" s="1"/>
  <c r="R51" i="22"/>
  <c r="R55" i="22" s="1"/>
  <c r="Q85" i="10"/>
  <c r="Q56" i="22"/>
  <c r="T22" i="20"/>
  <c r="S92" i="10"/>
  <c r="O462" i="20"/>
  <c r="O463" i="20" s="1"/>
  <c r="N2096" i="16"/>
  <c r="N2082" i="16"/>
  <c r="N256" i="20" s="1"/>
  <c r="O2087" i="16"/>
  <c r="O2073" i="16"/>
  <c r="S77" i="10"/>
  <c r="T15" i="22"/>
  <c r="T17" i="22" s="1"/>
  <c r="O201" i="18"/>
  <c r="P200" i="18"/>
  <c r="P199" i="18"/>
  <c r="P1568" i="16" l="1"/>
  <c r="P2161" i="16" s="1"/>
  <c r="P1169" i="16"/>
  <c r="Q1169" i="16" s="1"/>
  <c r="O1172" i="16"/>
  <c r="Q126" i="8"/>
  <c r="P11" i="22"/>
  <c r="Q27" i="8"/>
  <c r="Q11" i="16" s="1"/>
  <c r="P11" i="10"/>
  <c r="P11" i="11"/>
  <c r="P11" i="20"/>
  <c r="P11" i="18"/>
  <c r="P11" i="16"/>
  <c r="P2081" i="16"/>
  <c r="P2049" i="16"/>
  <c r="P2045" i="16"/>
  <c r="P2051" i="16"/>
  <c r="P2072" i="16"/>
  <c r="P2050" i="16"/>
  <c r="P2052" i="16"/>
  <c r="O1569" i="16"/>
  <c r="O1570" i="16" s="1"/>
  <c r="L930" i="12"/>
  <c r="L931" i="12"/>
  <c r="N929" i="12"/>
  <c r="K1902" i="16"/>
  <c r="L1902" i="16" s="1"/>
  <c r="L1901" i="16"/>
  <c r="M1901" i="16" s="1"/>
  <c r="K2126" i="16"/>
  <c r="L1937" i="16"/>
  <c r="K1921" i="16"/>
  <c r="L2208" i="16"/>
  <c r="N1900" i="16"/>
  <c r="N2208" i="16" s="1"/>
  <c r="P1162" i="16"/>
  <c r="Q1162" i="16" s="1"/>
  <c r="O1303" i="16"/>
  <c r="O1310" i="16"/>
  <c r="O1149" i="16"/>
  <c r="P1149" i="16" s="1"/>
  <c r="O1163" i="16"/>
  <c r="P116" i="12"/>
  <c r="N1136" i="16"/>
  <c r="O1136" i="16" s="1"/>
  <c r="D409" i="20"/>
  <c r="C416" i="20"/>
  <c r="C418" i="20" s="1"/>
  <c r="C419" i="20" s="1"/>
  <c r="P1233" i="12"/>
  <c r="P1237" i="12" s="1"/>
  <c r="P1394" i="12" s="1"/>
  <c r="Q1146" i="12"/>
  <c r="Q1143" i="12"/>
  <c r="Q1145" i="12"/>
  <c r="Q1142" i="12"/>
  <c r="Q1144" i="12"/>
  <c r="Q1137" i="12"/>
  <c r="Q1134" i="12"/>
  <c r="Q1136" i="12"/>
  <c r="Q1133" i="12"/>
  <c r="Q1135" i="12"/>
  <c r="Q1097" i="12"/>
  <c r="Q1105" i="12"/>
  <c r="Q1113" i="12"/>
  <c r="Q1111" i="12"/>
  <c r="Q1119" i="12"/>
  <c r="Q1094" i="12"/>
  <c r="Q1102" i="12"/>
  <c r="Q1110" i="12"/>
  <c r="Q1118" i="12"/>
  <c r="Q1091" i="12"/>
  <c r="Q1099" i="12"/>
  <c r="Q1107" i="12"/>
  <c r="Q1115" i="12"/>
  <c r="Q1096" i="12"/>
  <c r="Q1104" i="12"/>
  <c r="Q1112" i="12"/>
  <c r="Q1093" i="12"/>
  <c r="Q1101" i="12"/>
  <c r="Q1109" i="12"/>
  <c r="Q1117" i="12"/>
  <c r="Q1090" i="12"/>
  <c r="Q1098" i="12"/>
  <c r="Q1106" i="12"/>
  <c r="Q1114" i="12"/>
  <c r="Q1095" i="12"/>
  <c r="Q1103" i="12"/>
  <c r="Q1092" i="12"/>
  <c r="Q1100" i="12"/>
  <c r="Q1108" i="12"/>
  <c r="Q1116" i="12"/>
  <c r="Q1053" i="12"/>
  <c r="Q1061" i="12"/>
  <c r="Q1069" i="12"/>
  <c r="Q1077" i="12"/>
  <c r="Q1085" i="12"/>
  <c r="Q1057" i="12"/>
  <c r="Q1050" i="12"/>
  <c r="Q1058" i="12"/>
  <c r="Q1066" i="12"/>
  <c r="Q1074" i="12"/>
  <c r="Q1082" i="12"/>
  <c r="Q1049" i="12"/>
  <c r="Q1073" i="12"/>
  <c r="Q1047" i="12"/>
  <c r="Q1055" i="12"/>
  <c r="Q1063" i="12"/>
  <c r="Q1071" i="12"/>
  <c r="Q1079" i="12"/>
  <c r="Q1065" i="12"/>
  <c r="Q1052" i="12"/>
  <c r="Q1060" i="12"/>
  <c r="Q1068" i="12"/>
  <c r="Q1076" i="12"/>
  <c r="Q1084" i="12"/>
  <c r="Q1046" i="12"/>
  <c r="Q1054" i="12"/>
  <c r="Q1062" i="12"/>
  <c r="Q1070" i="12"/>
  <c r="Q1078" i="12"/>
  <c r="Q1048" i="12"/>
  <c r="Q1064" i="12"/>
  <c r="Q1051" i="12"/>
  <c r="Q1059" i="12"/>
  <c r="Q1067" i="12"/>
  <c r="Q1075" i="12"/>
  <c r="Q1083" i="12"/>
  <c r="Q1056" i="12"/>
  <c r="Q1080" i="12"/>
  <c r="Q1081" i="12"/>
  <c r="Q1072" i="12"/>
  <c r="Q1008" i="12"/>
  <c r="Q1016" i="12"/>
  <c r="Q1024" i="12"/>
  <c r="Q1032" i="12"/>
  <c r="Q1040" i="12"/>
  <c r="Q1006" i="12"/>
  <c r="Q1005" i="12"/>
  <c r="Q1013" i="12"/>
  <c r="Q1021" i="12"/>
  <c r="Q1029" i="12"/>
  <c r="Q1037" i="12"/>
  <c r="Q1002" i="12"/>
  <c r="Q1010" i="12"/>
  <c r="Q1018" i="12"/>
  <c r="Q1026" i="12"/>
  <c r="Q1034" i="12"/>
  <c r="Q1007" i="12"/>
  <c r="Q1015" i="12"/>
  <c r="Q1023" i="12"/>
  <c r="Q1031" i="12"/>
  <c r="Q1039" i="12"/>
  <c r="Q1004" i="12"/>
  <c r="Q1012" i="12"/>
  <c r="Q1020" i="12"/>
  <c r="Q1028" i="12"/>
  <c r="Q1036" i="12"/>
  <c r="Q1022" i="12"/>
  <c r="Q1001" i="12"/>
  <c r="Q1009" i="12"/>
  <c r="Q1017" i="12"/>
  <c r="Q1025" i="12"/>
  <c r="Q1033" i="12"/>
  <c r="Q1014" i="12"/>
  <c r="Q1003" i="12"/>
  <c r="Q1011" i="12"/>
  <c r="Q1019" i="12"/>
  <c r="Q1027" i="12"/>
  <c r="Q1035" i="12"/>
  <c r="Q1038" i="12"/>
  <c r="Q1030" i="12"/>
  <c r="Q993" i="12"/>
  <c r="Q995" i="12"/>
  <c r="Q992" i="12"/>
  <c r="Q994" i="12"/>
  <c r="Q991" i="12"/>
  <c r="Q974" i="12"/>
  <c r="Q982" i="12"/>
  <c r="Q971" i="12"/>
  <c r="Q979" i="12"/>
  <c r="Q968" i="12"/>
  <c r="Q976" i="12"/>
  <c r="Q984" i="12"/>
  <c r="Q973" i="12"/>
  <c r="Q981" i="12"/>
  <c r="Q970" i="12"/>
  <c r="Q978" i="12"/>
  <c r="Q986" i="12"/>
  <c r="Q967" i="12"/>
  <c r="Q975" i="12"/>
  <c r="Q983" i="12"/>
  <c r="Q972" i="12"/>
  <c r="Q980" i="12"/>
  <c r="Q969" i="12"/>
  <c r="Q977" i="12"/>
  <c r="Q985" i="12"/>
  <c r="Q904" i="12"/>
  <c r="Q901" i="12"/>
  <c r="Q902" i="12"/>
  <c r="Q903" i="12"/>
  <c r="Q900" i="12"/>
  <c r="Q895" i="12"/>
  <c r="Q892" i="12"/>
  <c r="Q894" i="12"/>
  <c r="Q891" i="12"/>
  <c r="Q893" i="12"/>
  <c r="Q855" i="12"/>
  <c r="Q863" i="12"/>
  <c r="Q871" i="12"/>
  <c r="Q853" i="12"/>
  <c r="Q861" i="12"/>
  <c r="Q869" i="12"/>
  <c r="Q852" i="12"/>
  <c r="Q1335" i="12" s="1"/>
  <c r="Q860" i="12"/>
  <c r="Q868" i="12"/>
  <c r="Q876" i="12"/>
  <c r="Q856" i="12"/>
  <c r="Q849" i="12"/>
  <c r="Q1332" i="12" s="1"/>
  <c r="Q857" i="12"/>
  <c r="Q865" i="12"/>
  <c r="Q873" i="12"/>
  <c r="Q872" i="12"/>
  <c r="Q854" i="12"/>
  <c r="Q862" i="12"/>
  <c r="Q870" i="12"/>
  <c r="Q848" i="12"/>
  <c r="Q864" i="12"/>
  <c r="Q877" i="12"/>
  <c r="Q851" i="12"/>
  <c r="Q859" i="12"/>
  <c r="Q867" i="12"/>
  <c r="Q875" i="12"/>
  <c r="Q850" i="12"/>
  <c r="Q858" i="12"/>
  <c r="Q866" i="12"/>
  <c r="Q874" i="12"/>
  <c r="Q811" i="12"/>
  <c r="Q819" i="12"/>
  <c r="Q827" i="12"/>
  <c r="Q835" i="12"/>
  <c r="Q843" i="12"/>
  <c r="Q809" i="12"/>
  <c r="Q841" i="12"/>
  <c r="Q808" i="12"/>
  <c r="Q1291" i="12" s="1"/>
  <c r="Q816" i="12"/>
  <c r="Q824" i="12"/>
  <c r="Q832" i="12"/>
  <c r="Q840" i="12"/>
  <c r="Q805" i="12"/>
  <c r="Q1288" i="12" s="1"/>
  <c r="Q813" i="12"/>
  <c r="Q821" i="12"/>
  <c r="Q829" i="12"/>
  <c r="Q837" i="12"/>
  <c r="Q810" i="12"/>
  <c r="Q818" i="12"/>
  <c r="Q826" i="12"/>
  <c r="Q834" i="12"/>
  <c r="Q842" i="12"/>
  <c r="Q833" i="12"/>
  <c r="Q807" i="12"/>
  <c r="Q815" i="12"/>
  <c r="Q823" i="12"/>
  <c r="Q831" i="12"/>
  <c r="Q839" i="12"/>
  <c r="Q825" i="12"/>
  <c r="Q804" i="12"/>
  <c r="Q812" i="12"/>
  <c r="Q820" i="12"/>
  <c r="Q828" i="12"/>
  <c r="Q836" i="12"/>
  <c r="Q806" i="12"/>
  <c r="Q814" i="12"/>
  <c r="Q822" i="12"/>
  <c r="Q830" i="12"/>
  <c r="Q838" i="12"/>
  <c r="Q817" i="12"/>
  <c r="Q766" i="12"/>
  <c r="Q774" i="12"/>
  <c r="Q782" i="12"/>
  <c r="Q790" i="12"/>
  <c r="Q798" i="12"/>
  <c r="Q763" i="12"/>
  <c r="Q1246" i="12" s="1"/>
  <c r="Q771" i="12"/>
  <c r="Q779" i="12"/>
  <c r="Q787" i="12"/>
  <c r="Q795" i="12"/>
  <c r="Q760" i="12"/>
  <c r="Q1243" i="12" s="1"/>
  <c r="Q768" i="12"/>
  <c r="Q776" i="12"/>
  <c r="Q784" i="12"/>
  <c r="Q792" i="12"/>
  <c r="Q765" i="12"/>
  <c r="Q773" i="12"/>
  <c r="Q781" i="12"/>
  <c r="Q789" i="12"/>
  <c r="Q797" i="12"/>
  <c r="Q762" i="12"/>
  <c r="Q770" i="12"/>
  <c r="Q778" i="12"/>
  <c r="Q786" i="12"/>
  <c r="Q794" i="12"/>
  <c r="Q759" i="12"/>
  <c r="Q767" i="12"/>
  <c r="Q775" i="12"/>
  <c r="Q783" i="12"/>
  <c r="Q791" i="12"/>
  <c r="Q764" i="12"/>
  <c r="Q772" i="12"/>
  <c r="Q780" i="12"/>
  <c r="Q788" i="12"/>
  <c r="Q796" i="12"/>
  <c r="Q761" i="12"/>
  <c r="Q769" i="12"/>
  <c r="Q777" i="12"/>
  <c r="Q785" i="12"/>
  <c r="Q793" i="12"/>
  <c r="O1401" i="12"/>
  <c r="O1411" i="12" s="1"/>
  <c r="O1412" i="12" s="1"/>
  <c r="O257" i="20" s="1"/>
  <c r="Q749" i="12"/>
  <c r="Q753" i="12"/>
  <c r="Q752" i="12"/>
  <c r="Q751" i="12"/>
  <c r="Q750" i="12"/>
  <c r="P1327" i="12"/>
  <c r="P1396" i="12" s="1"/>
  <c r="P1361" i="12"/>
  <c r="P1397" i="12" s="1"/>
  <c r="P1228" i="12"/>
  <c r="P1393" i="12" s="1"/>
  <c r="P1282" i="12"/>
  <c r="P1395" i="12" s="1"/>
  <c r="Q732" i="12"/>
  <c r="Q740" i="12"/>
  <c r="Q728" i="12"/>
  <c r="Q729" i="12"/>
  <c r="Q1212" i="12" s="1"/>
  <c r="Q737" i="12"/>
  <c r="Q744" i="12"/>
  <c r="Q726" i="12"/>
  <c r="Q1209" i="12" s="1"/>
  <c r="Q734" i="12"/>
  <c r="Q742" i="12"/>
  <c r="Q731" i="12"/>
  <c r="Q739" i="12"/>
  <c r="Q736" i="12"/>
  <c r="Q725" i="12"/>
  <c r="Q733" i="12"/>
  <c r="Q741" i="12"/>
  <c r="Q743" i="12"/>
  <c r="Q730" i="12"/>
  <c r="Q738" i="12"/>
  <c r="Q727" i="12"/>
  <c r="Q735" i="12"/>
  <c r="P930" i="12"/>
  <c r="Q943" i="12"/>
  <c r="Q947" i="12"/>
  <c r="Q951" i="12"/>
  <c r="Q955" i="12"/>
  <c r="Q959" i="12"/>
  <c r="Q948" i="12"/>
  <c r="Q946" i="12"/>
  <c r="Q950" i="12"/>
  <c r="Q954" i="12"/>
  <c r="Q958" i="12"/>
  <c r="Q962" i="12"/>
  <c r="Q956" i="12"/>
  <c r="Q960" i="12"/>
  <c r="Q945" i="12"/>
  <c r="Q949" i="12"/>
  <c r="Q953" i="12"/>
  <c r="Q957" i="12"/>
  <c r="Q961" i="12"/>
  <c r="Q944" i="12"/>
  <c r="Q952" i="12"/>
  <c r="Q701" i="12"/>
  <c r="Q705" i="12"/>
  <c r="Q1188" i="12" s="1"/>
  <c r="Q709" i="12"/>
  <c r="Q713" i="12"/>
  <c r="Q717" i="12"/>
  <c r="Q704" i="12"/>
  <c r="Q708" i="12"/>
  <c r="Q712" i="12"/>
  <c r="Q716" i="12"/>
  <c r="Q720" i="12"/>
  <c r="Q702" i="12"/>
  <c r="Q1185" i="12" s="1"/>
  <c r="Q714" i="12"/>
  <c r="Q718" i="12"/>
  <c r="Q703" i="12"/>
  <c r="Q707" i="12"/>
  <c r="Q711" i="12"/>
  <c r="Q715" i="12"/>
  <c r="Q719" i="12"/>
  <c r="Q706" i="12"/>
  <c r="Q710" i="12"/>
  <c r="C410" i="20"/>
  <c r="K412" i="20" s="1"/>
  <c r="K413" i="20" s="1"/>
  <c r="P2079" i="16"/>
  <c r="P2046" i="16"/>
  <c r="P1431" i="12"/>
  <c r="P1518" i="12"/>
  <c r="P1583" i="12"/>
  <c r="P1552" i="12"/>
  <c r="P1508" i="12"/>
  <c r="P1536" i="12"/>
  <c r="P1550" i="12"/>
  <c r="P1458" i="12"/>
  <c r="P1590" i="12"/>
  <c r="P1592" i="12"/>
  <c r="P1484" i="12"/>
  <c r="P1428" i="12"/>
  <c r="P1460" i="12"/>
  <c r="P1482" i="12"/>
  <c r="P1565" i="12"/>
  <c r="P1509" i="12"/>
  <c r="P1472" i="12"/>
  <c r="P1573" i="12"/>
  <c r="P1500" i="12"/>
  <c r="P1566" i="12"/>
  <c r="P1454" i="12"/>
  <c r="P1474" i="12"/>
  <c r="P1535" i="12"/>
  <c r="P1510" i="12"/>
  <c r="P1448" i="12"/>
  <c r="P1489" i="12"/>
  <c r="P1443" i="12"/>
  <c r="P1520" i="12"/>
  <c r="P1538" i="12"/>
  <c r="P1512" i="12"/>
  <c r="P1576" i="12"/>
  <c r="P1587" i="12"/>
  <c r="P1442" i="12"/>
  <c r="P1521" i="12"/>
  <c r="P1549" i="12"/>
  <c r="P1585" i="12"/>
  <c r="P1533" i="12"/>
  <c r="P1564" i="12"/>
  <c r="P1503" i="12"/>
  <c r="P1461" i="12"/>
  <c r="P1600" i="12"/>
  <c r="P1425" i="12"/>
  <c r="P1578" i="12"/>
  <c r="P1463" i="12"/>
  <c r="P1437" i="12"/>
  <c r="P1449" i="12"/>
  <c r="P1506" i="12"/>
  <c r="P1561" i="12"/>
  <c r="P1598" i="12"/>
  <c r="P1483" i="12"/>
  <c r="P1455" i="12"/>
  <c r="P1537" i="12"/>
  <c r="P1492" i="12"/>
  <c r="P1581" i="12"/>
  <c r="P1543" i="12"/>
  <c r="P1513" i="12"/>
  <c r="P1595" i="12"/>
  <c r="P1544" i="12"/>
  <c r="P1475" i="12"/>
  <c r="P1487" i="12"/>
  <c r="P1473" i="12"/>
  <c r="P1452" i="12"/>
  <c r="P1490" i="12"/>
  <c r="P1433" i="12"/>
  <c r="P1563" i="12"/>
  <c r="P1556" i="12"/>
  <c r="P1591" i="12"/>
  <c r="P1438" i="12"/>
  <c r="P1593" i="12"/>
  <c r="P1450" i="12"/>
  <c r="P1597" i="12"/>
  <c r="P1534" i="12"/>
  <c r="P1555" i="12"/>
  <c r="P1459" i="12"/>
  <c r="P1429" i="12"/>
  <c r="P1527" i="12"/>
  <c r="P1554" i="12"/>
  <c r="P1504" i="12"/>
  <c r="P1457" i="12"/>
  <c r="P1596" i="12"/>
  <c r="P1542" i="12"/>
  <c r="P1498" i="12"/>
  <c r="P1580" i="12"/>
  <c r="P1594" i="12"/>
  <c r="P1495" i="12"/>
  <c r="P1532" i="12"/>
  <c r="P1464" i="12"/>
  <c r="P1486" i="12"/>
  <c r="P1519" i="12"/>
  <c r="P1571" i="12"/>
  <c r="P1545" i="12"/>
  <c r="P1462" i="12"/>
  <c r="P1432" i="12"/>
  <c r="P1586" i="12"/>
  <c r="P1505" i="12"/>
  <c r="P1560" i="12"/>
  <c r="Q210" i="16"/>
  <c r="P1547" i="12"/>
  <c r="P1424" i="12"/>
  <c r="P1511" i="12"/>
  <c r="P1517" i="12"/>
  <c r="P1599" i="12"/>
  <c r="P1541" i="12"/>
  <c r="P1575" i="12"/>
  <c r="P1572" i="12"/>
  <c r="P1559" i="12"/>
  <c r="P1548" i="12"/>
  <c r="P1531" i="12"/>
  <c r="P1466" i="12"/>
  <c r="P1502" i="12"/>
  <c r="P1453" i="12"/>
  <c r="P1558" i="12"/>
  <c r="P1426" i="12"/>
  <c r="P1589" i="12"/>
  <c r="P1546" i="12"/>
  <c r="P1436" i="12"/>
  <c r="P1497" i="12"/>
  <c r="P1499" i="12"/>
  <c r="P1467" i="12"/>
  <c r="P1427" i="12"/>
  <c r="P1476" i="12"/>
  <c r="P1435" i="12"/>
  <c r="P1588" i="12"/>
  <c r="P1516" i="12"/>
  <c r="P1551" i="12"/>
  <c r="P1540" i="12"/>
  <c r="P1465" i="12"/>
  <c r="P1579" i="12"/>
  <c r="P1494" i="12"/>
  <c r="P1491" i="12"/>
  <c r="P1577" i="12"/>
  <c r="P1441" i="12"/>
  <c r="P1553" i="12"/>
  <c r="P1451" i="12"/>
  <c r="P1557" i="12"/>
  <c r="P1430" i="12"/>
  <c r="P1529" i="12"/>
  <c r="Q49" i="20"/>
  <c r="P760" i="16"/>
  <c r="P222" i="20" s="1"/>
  <c r="P759" i="16"/>
  <c r="P221" i="20" s="1"/>
  <c r="P771" i="16"/>
  <c r="P233" i="20" s="1"/>
  <c r="Q451" i="16"/>
  <c r="Q1502" i="16"/>
  <c r="Q365" i="16" s="1"/>
  <c r="Q1832" i="12"/>
  <c r="Q1782" i="12"/>
  <c r="Q88" i="22"/>
  <c r="Q1691" i="12"/>
  <c r="P768" i="16"/>
  <c r="P230" i="20" s="1"/>
  <c r="P778" i="16"/>
  <c r="P240" i="20" s="1"/>
  <c r="Q327" i="16"/>
  <c r="Q425" i="16"/>
  <c r="P755" i="16"/>
  <c r="P217" i="20" s="1"/>
  <c r="Q1815" i="12"/>
  <c r="Q174" i="20"/>
  <c r="P750" i="16"/>
  <c r="P212" i="20" s="1"/>
  <c r="Q357" i="16"/>
  <c r="Q1823" i="12"/>
  <c r="Q194" i="20"/>
  <c r="P763" i="16"/>
  <c r="P225" i="20" s="1"/>
  <c r="Q91" i="12"/>
  <c r="P757" i="16"/>
  <c r="P219" i="20" s="1"/>
  <c r="Q616" i="16"/>
  <c r="Q438" i="16"/>
  <c r="Q1716" i="12"/>
  <c r="P781" i="16"/>
  <c r="P243" i="20" s="1"/>
  <c r="Q617" i="12"/>
  <c r="Q1783" i="12"/>
  <c r="Q132" i="20"/>
  <c r="P773" i="16"/>
  <c r="P235" i="20" s="1"/>
  <c r="Q96" i="20"/>
  <c r="Q271" i="16"/>
  <c r="Q70" i="20"/>
  <c r="Q268" i="16"/>
  <c r="Q1812" i="12"/>
  <c r="P752" i="16"/>
  <c r="P214" i="20" s="1"/>
  <c r="P745" i="16"/>
  <c r="P207" i="20" s="1"/>
  <c r="P744" i="16"/>
  <c r="P206" i="20" s="1"/>
  <c r="P751" i="16"/>
  <c r="P213" i="20" s="1"/>
  <c r="Q1500" i="16"/>
  <c r="Q363" i="16" s="1"/>
  <c r="Q1640" i="12"/>
  <c r="Q453" i="16"/>
  <c r="Q1735" i="12"/>
  <c r="Q2033" i="16"/>
  <c r="Q2059" i="16" s="1"/>
  <c r="Q2087" i="16" s="1"/>
  <c r="Q419" i="16"/>
  <c r="Q96" i="18"/>
  <c r="Q30" i="16"/>
  <c r="P754" i="16"/>
  <c r="P782" i="16"/>
  <c r="P244" i="20" s="1"/>
  <c r="P776" i="16"/>
  <c r="P238" i="20" s="1"/>
  <c r="P770" i="16"/>
  <c r="P232" i="20" s="1"/>
  <c r="P748" i="16"/>
  <c r="P210" i="20" s="1"/>
  <c r="Q94" i="20"/>
  <c r="Q1834" i="12"/>
  <c r="Q188" i="20"/>
  <c r="Q32" i="8"/>
  <c r="Q31" i="8" s="1"/>
  <c r="Q33" i="18" s="1"/>
  <c r="Q38" i="18" s="1"/>
  <c r="Q70" i="16"/>
  <c r="Q133" i="20"/>
  <c r="Q74" i="18"/>
  <c r="Q1639" i="12"/>
  <c r="Q116" i="20"/>
  <c r="P780" i="16"/>
  <c r="P242" i="20" s="1"/>
  <c r="P746" i="16"/>
  <c r="P208" i="20" s="1"/>
  <c r="P779" i="16"/>
  <c r="P241" i="20" s="1"/>
  <c r="P761" i="16"/>
  <c r="P223" i="20" s="1"/>
  <c r="P775" i="16"/>
  <c r="P237" i="20" s="1"/>
  <c r="Q159" i="20"/>
  <c r="Q161" i="20"/>
  <c r="Q1748" i="12"/>
  <c r="Q141" i="20"/>
  <c r="Q2038" i="16"/>
  <c r="Q2051" i="16" s="1"/>
  <c r="P758" i="16"/>
  <c r="P220" i="20" s="1"/>
  <c r="P764" i="16"/>
  <c r="P226" i="20" s="1"/>
  <c r="Q1837" i="16"/>
  <c r="Q462" i="16" s="1"/>
  <c r="Q1884" i="12"/>
  <c r="Q1700" i="12"/>
  <c r="Q53" i="11"/>
  <c r="Q1736" i="12"/>
  <c r="P762" i="16"/>
  <c r="P224" i="20" s="1"/>
  <c r="P766" i="16"/>
  <c r="P228" i="20" s="1"/>
  <c r="P774" i="16"/>
  <c r="P236" i="20" s="1"/>
  <c r="Q582" i="16"/>
  <c r="Q113" i="11"/>
  <c r="Q146" i="20"/>
  <c r="Q1675" i="12"/>
  <c r="P756" i="16"/>
  <c r="P218" i="20" s="1"/>
  <c r="P749" i="16"/>
  <c r="P211" i="20" s="1"/>
  <c r="P765" i="16"/>
  <c r="P227" i="20" s="1"/>
  <c r="Q35" i="11"/>
  <c r="Q84" i="20"/>
  <c r="Q1835" i="12"/>
  <c r="Q360" i="16"/>
  <c r="P769" i="16"/>
  <c r="P231" i="20" s="1"/>
  <c r="P777" i="16"/>
  <c r="P239" i="20" s="1"/>
  <c r="Q629" i="12"/>
  <c r="Q12" i="12"/>
  <c r="Q1837" i="12"/>
  <c r="Q138" i="20"/>
  <c r="Q1790" i="12"/>
  <c r="Q1799" i="12"/>
  <c r="Q1702" i="12"/>
  <c r="Q429" i="16"/>
  <c r="Q1749" i="12"/>
  <c r="P783" i="16"/>
  <c r="P245" i="20" s="1"/>
  <c r="P767" i="16"/>
  <c r="P229" i="20" s="1"/>
  <c r="P747" i="16"/>
  <c r="P209" i="20" s="1"/>
  <c r="P753" i="16"/>
  <c r="P215" i="20" s="1"/>
  <c r="Q349" i="20"/>
  <c r="P2066" i="16"/>
  <c r="P2068" i="16" s="1"/>
  <c r="P2048" i="16"/>
  <c r="P2075" i="16"/>
  <c r="P2074" i="16"/>
  <c r="P2047" i="16"/>
  <c r="O1468" i="12"/>
  <c r="O1633" i="12" s="1"/>
  <c r="O1477" i="12"/>
  <c r="O1634" i="12" s="1"/>
  <c r="F255" i="25"/>
  <c r="F256" i="25"/>
  <c r="O1567" i="12"/>
  <c r="O1636" i="12" s="1"/>
  <c r="O1444" i="12"/>
  <c r="O1632" i="12" s="1"/>
  <c r="O1601" i="12"/>
  <c r="O1637" i="12" s="1"/>
  <c r="P594" i="12"/>
  <c r="O1522" i="12"/>
  <c r="O1635" i="12" s="1"/>
  <c r="F136" i="25"/>
  <c r="F218" i="25"/>
  <c r="F135" i="25"/>
  <c r="F217" i="25"/>
  <c r="G48" i="25"/>
  <c r="F209" i="25"/>
  <c r="F247" i="25" s="1"/>
  <c r="F201" i="25"/>
  <c r="F239" i="25" s="1"/>
  <c r="F258" i="25" s="1"/>
  <c r="F266" i="25" s="1"/>
  <c r="E220" i="25"/>
  <c r="E228" i="25" s="1"/>
  <c r="H1523" i="16"/>
  <c r="I1516" i="16" a="1"/>
  <c r="I1516" i="16" s="1"/>
  <c r="H1634" i="16"/>
  <c r="I1627" i="16" a="1"/>
  <c r="I1627" i="16" s="1"/>
  <c r="H1214" i="16"/>
  <c r="I1207" i="16" a="1"/>
  <c r="I1207" i="16" s="1"/>
  <c r="H1360" i="16"/>
  <c r="I1353" i="16" a="1"/>
  <c r="I1353" i="16" s="1"/>
  <c r="P161" i="12"/>
  <c r="P585" i="12"/>
  <c r="H73" i="25"/>
  <c r="H418" i="25" s="1"/>
  <c r="P306" i="12"/>
  <c r="P221" i="12"/>
  <c r="P206" i="12"/>
  <c r="P434" i="12"/>
  <c r="H13" i="25"/>
  <c r="P520" i="12"/>
  <c r="Q85" i="20"/>
  <c r="Q193" i="20"/>
  <c r="Q1828" i="12"/>
  <c r="Q151" i="20"/>
  <c r="Q442" i="16"/>
  <c r="Q283" i="16"/>
  <c r="Q120" i="20"/>
  <c r="Q1791" i="12"/>
  <c r="Q361" i="16"/>
  <c r="Q107" i="18"/>
  <c r="Q1703" i="12"/>
  <c r="Q64" i="20"/>
  <c r="Q1681" i="12"/>
  <c r="Q1746" i="12"/>
  <c r="P2077" i="16"/>
  <c r="Q921" i="12"/>
  <c r="Q269" i="16"/>
  <c r="Q104" i="11"/>
  <c r="Q23" i="12"/>
  <c r="Q1839" i="12"/>
  <c r="Q12" i="18"/>
  <c r="Q1724" i="12"/>
  <c r="Q1825" i="12"/>
  <c r="Q362" i="16"/>
  <c r="Q99" i="16"/>
  <c r="Q58" i="20"/>
  <c r="Q74" i="11"/>
  <c r="Q328" i="16"/>
  <c r="Q1441" i="16"/>
  <c r="Q1661" i="12"/>
  <c r="Q359" i="16"/>
  <c r="Q1751" i="12"/>
  <c r="Q1788" i="12"/>
  <c r="Q157" i="20"/>
  <c r="Q231" i="11"/>
  <c r="Q32" i="22"/>
  <c r="Q170" i="20"/>
  <c r="Q73" i="12"/>
  <c r="Q80" i="20"/>
  <c r="Q1705" i="12"/>
  <c r="Q38" i="16"/>
  <c r="Q1754" i="12"/>
  <c r="Q2037" i="16"/>
  <c r="Q2063" i="16" s="1"/>
  <c r="Q2091" i="16" s="1"/>
  <c r="Q1704" i="12"/>
  <c r="Q171" i="20"/>
  <c r="Q97" i="20"/>
  <c r="Q354" i="16"/>
  <c r="Q2085" i="16"/>
  <c r="Q1394" i="16"/>
  <c r="Q50" i="22"/>
  <c r="Q1523" i="16"/>
  <c r="Q1503" i="16"/>
  <c r="Q366" i="16" s="1"/>
  <c r="Q63" i="12"/>
  <c r="Q175" i="20"/>
  <c r="Q1669" i="12"/>
  <c r="Q1290" i="16"/>
  <c r="Q1638" i="12"/>
  <c r="Q201" i="11"/>
  <c r="Q98" i="20"/>
  <c r="Q1668" i="12"/>
  <c r="Q1773" i="12"/>
  <c r="Q1838" i="12"/>
  <c r="Q457" i="16"/>
  <c r="Q124" i="20"/>
  <c r="Q1469" i="16"/>
  <c r="Q436" i="16"/>
  <c r="Q1794" i="12"/>
  <c r="Q657" i="16"/>
  <c r="Q775" i="16" s="1"/>
  <c r="Q237" i="20" s="1"/>
  <c r="Q1877" i="16"/>
  <c r="Q1880" i="12"/>
  <c r="Q1919" i="12" s="1"/>
  <c r="Q446" i="16"/>
  <c r="Q187" i="20"/>
  <c r="Q1699" i="12"/>
  <c r="Q450" i="16"/>
  <c r="Q1578" i="16"/>
  <c r="Q422" i="16"/>
  <c r="Q75" i="10"/>
  <c r="Q172" i="20"/>
  <c r="Q176" i="20"/>
  <c r="Q158" i="20"/>
  <c r="Q1689" i="12"/>
  <c r="Q1776" i="12"/>
  <c r="Q456" i="16"/>
  <c r="Q42" i="12"/>
  <c r="Q1676" i="12"/>
  <c r="Q325" i="16"/>
  <c r="Q103" i="22"/>
  <c r="Q1777" i="12"/>
  <c r="Q154" i="20"/>
  <c r="Q1750" i="12"/>
  <c r="Q240" i="11"/>
  <c r="Q1421" i="12"/>
  <c r="Q1534" i="12" s="1"/>
  <c r="Q1757" i="12"/>
  <c r="Q195" i="20"/>
  <c r="Q1722" i="12"/>
  <c r="Q1680" i="12"/>
  <c r="Q577" i="16"/>
  <c r="Q1667" i="12"/>
  <c r="Q625" i="16"/>
  <c r="Q272" i="16"/>
  <c r="Q1682" i="12"/>
  <c r="Q12" i="10"/>
  <c r="Q1501" i="16"/>
  <c r="Q364" i="16" s="1"/>
  <c r="Q1664" i="12"/>
  <c r="Q1755" i="12"/>
  <c r="Q44" i="11"/>
  <c r="Q1690" i="12"/>
  <c r="Q198" i="16"/>
  <c r="Q326" i="16"/>
  <c r="Q162" i="11"/>
  <c r="Q81" i="20"/>
  <c r="Q1767" i="12"/>
  <c r="Q1831" i="12"/>
  <c r="Q1688" i="12"/>
  <c r="Q1725" i="12"/>
  <c r="R28" i="8"/>
  <c r="Q447" i="16"/>
  <c r="Q171" i="11"/>
  <c r="Q1144" i="16"/>
  <c r="Q1701" i="12"/>
  <c r="Q1811" i="12"/>
  <c r="Q1824" i="12"/>
  <c r="Q124" i="11"/>
  <c r="Q143" i="20"/>
  <c r="Q1759" i="12"/>
  <c r="Q1805" i="12"/>
  <c r="Q282" i="16"/>
  <c r="Q1836" i="16"/>
  <c r="Q461" i="16" s="1"/>
  <c r="Q118" i="20"/>
  <c r="Q1497" i="16"/>
  <c r="Q1672" i="12"/>
  <c r="Q1726" i="12"/>
  <c r="Q2057" i="16"/>
  <c r="Q1613" i="16"/>
  <c r="Q1737" i="12"/>
  <c r="Q576" i="16"/>
  <c r="Q83" i="18"/>
  <c r="Q1785" i="12"/>
  <c r="Q786" i="16"/>
  <c r="Q1181" i="12"/>
  <c r="Q330" i="16"/>
  <c r="Q190" i="10"/>
  <c r="Q156" i="10"/>
  <c r="Q26" i="22"/>
  <c r="Q1148" i="16"/>
  <c r="Q1207" i="16"/>
  <c r="Q353" i="16"/>
  <c r="Q1769" i="12"/>
  <c r="Q355" i="16"/>
  <c r="Q574" i="16"/>
  <c r="Q95" i="11"/>
  <c r="Q1677" i="12"/>
  <c r="Q1835" i="16"/>
  <c r="Q460" i="16" s="1"/>
  <c r="Q1455" i="16"/>
  <c r="Q129" i="20"/>
  <c r="Q1817" i="12"/>
  <c r="Q59" i="22"/>
  <c r="Q62" i="20"/>
  <c r="Q1666" i="12"/>
  <c r="Q280" i="16"/>
  <c r="Q363" i="10"/>
  <c r="Q1483" i="16"/>
  <c r="Q219" i="10"/>
  <c r="Q39" i="20"/>
  <c r="Q145" i="20"/>
  <c r="Q1743" i="12"/>
  <c r="Q278" i="16"/>
  <c r="Q63" i="20"/>
  <c r="Q1952" i="16"/>
  <c r="Q1744" i="12"/>
  <c r="Q1786" i="12"/>
  <c r="Q114" i="12"/>
  <c r="Q1694" i="12"/>
  <c r="Q1729" i="12"/>
  <c r="Q216" i="16"/>
  <c r="Q1833" i="16"/>
  <c r="Q458" i="16" s="1"/>
  <c r="Q178" i="20"/>
  <c r="Q1283" i="16"/>
  <c r="Q432" i="16"/>
  <c r="Q1758" i="12"/>
  <c r="Q1339" i="16"/>
  <c r="Q2036" i="16"/>
  <c r="Q2049" i="16" s="1"/>
  <c r="Q54" i="16"/>
  <c r="Q1434" i="16"/>
  <c r="Q12" i="11"/>
  <c r="Q41" i="22"/>
  <c r="Q82" i="20"/>
  <c r="Q1801" i="12"/>
  <c r="Q418" i="16"/>
  <c r="Q65" i="20"/>
  <c r="Q32" i="12"/>
  <c r="Q242" i="10"/>
  <c r="Q1723" i="12"/>
  <c r="Q1712" i="12"/>
  <c r="Q1696" i="12"/>
  <c r="Q117" i="20"/>
  <c r="Q434" i="16"/>
  <c r="Q1400" i="12"/>
  <c r="Q1739" i="12"/>
  <c r="Q1780" i="12"/>
  <c r="Q1761" i="12"/>
  <c r="Q275" i="16"/>
  <c r="Q698" i="16"/>
  <c r="Q190" i="20"/>
  <c r="Q1903" i="16"/>
  <c r="Q1752" i="12"/>
  <c r="Q62" i="16"/>
  <c r="Q127" i="20"/>
  <c r="Q22" i="16"/>
  <c r="Q1713" i="12"/>
  <c r="Q140" i="20"/>
  <c r="Q127" i="10"/>
  <c r="Q1741" i="12"/>
  <c r="Q173" i="20"/>
  <c r="Q1779" i="12"/>
  <c r="Q431" i="16"/>
  <c r="Q1592" i="16"/>
  <c r="Q698" i="12"/>
  <c r="Q1490" i="16"/>
  <c r="Q208" i="16"/>
  <c r="P1717" i="12"/>
  <c r="P1874" i="12" s="1"/>
  <c r="P1912" i="12" s="1"/>
  <c r="G465" i="25"/>
  <c r="P1204" i="12"/>
  <c r="P1392" i="12" s="1"/>
  <c r="P264" i="12"/>
  <c r="P1434" i="12"/>
  <c r="P1514" i="12"/>
  <c r="P1439" i="12"/>
  <c r="P1485" i="12"/>
  <c r="P1440" i="12"/>
  <c r="P1488" i="12"/>
  <c r="P1574" i="12"/>
  <c r="P1456" i="12"/>
  <c r="P1493" i="12"/>
  <c r="P1530" i="12"/>
  <c r="P1496" i="12"/>
  <c r="P1582" i="12"/>
  <c r="P1507" i="12"/>
  <c r="P1501" i="12"/>
  <c r="P1515" i="12"/>
  <c r="P1584" i="12"/>
  <c r="P1539" i="12"/>
  <c r="P1528" i="12"/>
  <c r="J915" i="20" a="1"/>
  <c r="J915" i="20" s="1"/>
  <c r="D919" i="20"/>
  <c r="P1887" i="16"/>
  <c r="Q1151" i="16"/>
  <c r="Q199" i="16"/>
  <c r="Q157" i="16"/>
  <c r="Q211" i="16"/>
  <c r="Q205" i="16"/>
  <c r="Q108" i="16"/>
  <c r="Q131" i="16"/>
  <c r="Q120" i="16"/>
  <c r="Q121" i="16"/>
  <c r="Q33" i="20"/>
  <c r="Q41" i="20"/>
  <c r="Q1172" i="16"/>
  <c r="Q174" i="16"/>
  <c r="Q102" i="16"/>
  <c r="Q1325" i="16"/>
  <c r="Q1332" i="16"/>
  <c r="Q29" i="18"/>
  <c r="Q123" i="20"/>
  <c r="Q99" i="20"/>
  <c r="Q430" i="16"/>
  <c r="Q1692" i="12"/>
  <c r="Q1740" i="12"/>
  <c r="Q1674" i="12"/>
  <c r="Q160" i="20"/>
  <c r="Q121" i="22"/>
  <c r="Q139" i="20"/>
  <c r="Q31" i="20"/>
  <c r="Q437" i="16"/>
  <c r="Q408" i="16"/>
  <c r="Q1803" i="12"/>
  <c r="Q1304" i="16"/>
  <c r="Q20" i="22"/>
  <c r="Q215" i="16"/>
  <c r="Q209" i="16"/>
  <c r="Q106" i="16"/>
  <c r="Q117" i="16"/>
  <c r="Q105" i="16"/>
  <c r="Q128" i="16"/>
  <c r="Q47" i="20"/>
  <c r="Q44" i="20"/>
  <c r="Q1179" i="16"/>
  <c r="Q880" i="16"/>
  <c r="Q29" i="8"/>
  <c r="Q127" i="8" s="1"/>
  <c r="Q104" i="16"/>
  <c r="Q1938" i="16"/>
  <c r="Q1606" i="16"/>
  <c r="Q1318" i="16"/>
  <c r="Q135" i="20"/>
  <c r="Q95" i="20"/>
  <c r="Q2034" i="16"/>
  <c r="Q2047" i="16" s="1"/>
  <c r="Q579" i="16"/>
  <c r="Q1833" i="12"/>
  <c r="Q1804" i="12"/>
  <c r="Q1404" i="12"/>
  <c r="Q1504" i="16"/>
  <c r="Q367" i="16" s="1"/>
  <c r="Q116" i="18"/>
  <c r="Q61" i="20"/>
  <c r="Q2044" i="16"/>
  <c r="Q270" i="16"/>
  <c r="Q1793" i="12"/>
  <c r="Q1714" i="12"/>
  <c r="Q1544" i="16"/>
  <c r="Q189" i="20"/>
  <c r="Q59" i="20"/>
  <c r="Q454" i="16"/>
  <c r="Q433" i="16"/>
  <c r="Q1745" i="12"/>
  <c r="Q1715" i="12"/>
  <c r="Q1157" i="12"/>
  <c r="Q1346" i="16"/>
  <c r="Q144" i="20"/>
  <c r="Q101" i="20"/>
  <c r="Q129" i="16"/>
  <c r="Q213" i="16"/>
  <c r="Q110" i="16"/>
  <c r="Q125" i="16"/>
  <c r="Q132" i="16"/>
  <c r="Q124" i="16"/>
  <c r="Q36" i="20"/>
  <c r="Q42" i="20"/>
  <c r="Q1193" i="16"/>
  <c r="Q478" i="20"/>
  <c r="Q79" i="16"/>
  <c r="Q100" i="16"/>
  <c r="Q1924" i="16"/>
  <c r="Q1896" i="16"/>
  <c r="Q1599" i="16"/>
  <c r="Q130" i="20"/>
  <c r="Q68" i="20"/>
  <c r="Q2040" i="16"/>
  <c r="Q2053" i="16" s="1"/>
  <c r="Q197" i="16"/>
  <c r="Q1753" i="12"/>
  <c r="Q1772" i="12"/>
  <c r="Q1665" i="12"/>
  <c r="Q83" i="20"/>
  <c r="Q44" i="18"/>
  <c r="Q103" i="20"/>
  <c r="Q445" i="16"/>
  <c r="Q1826" i="12"/>
  <c r="Q1707" i="12"/>
  <c r="Q440" i="16"/>
  <c r="Q1620" i="16"/>
  <c r="Q192" i="20"/>
  <c r="Q119" i="20"/>
  <c r="Q620" i="16"/>
  <c r="Q417" i="16"/>
  <c r="Q277" i="16"/>
  <c r="Q1787" i="12"/>
  <c r="Q940" i="12"/>
  <c r="Q413" i="10"/>
  <c r="Q122" i="20"/>
  <c r="Q2071" i="16"/>
  <c r="Q276" i="16"/>
  <c r="Q1802" i="12"/>
  <c r="Q1840" i="12"/>
  <c r="Q1678" i="12"/>
  <c r="Q202" i="16"/>
  <c r="Q200" i="16"/>
  <c r="Q107" i="16"/>
  <c r="Q133" i="16"/>
  <c r="Q126" i="16"/>
  <c r="Q134" i="16"/>
  <c r="Q34" i="20"/>
  <c r="Q32" i="20"/>
  <c r="Q1186" i="16"/>
  <c r="Q915" i="12"/>
  <c r="Q1930" i="12" s="1"/>
  <c r="Q1322" i="16"/>
  <c r="Q95" i="16"/>
  <c r="Q96" i="16"/>
  <c r="Q1945" i="16"/>
  <c r="Q1910" i="16"/>
  <c r="Q1516" i="16"/>
  <c r="Q177" i="20"/>
  <c r="Q150" i="20"/>
  <c r="Q449" i="16"/>
  <c r="Q274" i="16"/>
  <c r="Q424" i="16"/>
  <c r="Q1683" i="12"/>
  <c r="Q1398" i="12"/>
  <c r="Q1415" i="16"/>
  <c r="Q197" i="20"/>
  <c r="Q67" i="20"/>
  <c r="Q448" i="16"/>
  <c r="Q1742" i="12"/>
  <c r="Q281" i="16"/>
  <c r="Q1731" i="12"/>
  <c r="Q603" i="12"/>
  <c r="Q152" i="20"/>
  <c r="Q126" i="20"/>
  <c r="Q441" i="16"/>
  <c r="Q1822" i="12"/>
  <c r="Q1789" i="12"/>
  <c r="Q1693" i="12"/>
  <c r="Q1889" i="16"/>
  <c r="Q98" i="10"/>
  <c r="Q128" i="20"/>
  <c r="Q2032" i="16"/>
  <c r="Q2058" i="16" s="1"/>
  <c r="Q1834" i="16"/>
  <c r="Q459" i="16" s="1"/>
  <c r="Q1770" i="12"/>
  <c r="Q1760" i="12"/>
  <c r="Q206" i="16"/>
  <c r="Q204" i="16"/>
  <c r="Q113" i="16"/>
  <c r="Q118" i="16"/>
  <c r="Q123" i="16"/>
  <c r="Q46" i="20"/>
  <c r="Q43" i="20"/>
  <c r="Q38" i="20"/>
  <c r="Q1200" i="16"/>
  <c r="Q1886" i="16"/>
  <c r="Q103" i="16"/>
  <c r="Q101" i="16"/>
  <c r="Q1422" i="16"/>
  <c r="Q1931" i="16"/>
  <c r="Q385" i="10"/>
  <c r="Q489" i="10" s="1"/>
  <c r="Q155" i="20"/>
  <c r="Q12" i="20"/>
  <c r="Q25" i="20" s="1"/>
  <c r="Q1188" i="20" s="1"/>
  <c r="Q452" i="16"/>
  <c r="Q1830" i="12"/>
  <c r="Q1797" i="12"/>
  <c r="Q1727" i="12"/>
  <c r="Q1673" i="12"/>
  <c r="Q1311" i="16"/>
  <c r="Q205" i="20"/>
  <c r="Q131" i="20"/>
  <c r="Q435" i="16"/>
  <c r="Q1778" i="12"/>
  <c r="Q1816" i="12"/>
  <c r="Q1795" i="12"/>
  <c r="Q203" i="16"/>
  <c r="Q214" i="16"/>
  <c r="Q212" i="16"/>
  <c r="Q114" i="16"/>
  <c r="Q122" i="16"/>
  <c r="Q127" i="16"/>
  <c r="Q45" i="20"/>
  <c r="Q48" i="20"/>
  <c r="Q1158" i="16"/>
  <c r="Q1214" i="16"/>
  <c r="Q97" i="16"/>
  <c r="Q1401" i="16"/>
  <c r="Q1408" i="16"/>
  <c r="Q82" i="22"/>
  <c r="Q30" i="20"/>
  <c r="Q623" i="16"/>
  <c r="Q352" i="16"/>
  <c r="Q1879" i="12"/>
  <c r="Q1918" i="12" s="1"/>
  <c r="Q428" i="16"/>
  <c r="Q1747" i="12"/>
  <c r="Q82" i="12"/>
  <c r="Q1530" i="16"/>
  <c r="Q147" i="20"/>
  <c r="Q121" i="20"/>
  <c r="Q426" i="16"/>
  <c r="Q1829" i="12"/>
  <c r="Q207" i="16"/>
  <c r="Q201" i="16"/>
  <c r="Q112" i="16"/>
  <c r="Q111" i="16"/>
  <c r="Q119" i="16"/>
  <c r="Q116" i="16"/>
  <c r="Q35" i="20"/>
  <c r="Q37" i="20"/>
  <c r="Q1165" i="16"/>
  <c r="Q141" i="16"/>
  <c r="P68" i="18"/>
  <c r="P33" i="18"/>
  <c r="P38" i="18" s="1"/>
  <c r="P119" i="18"/>
  <c r="P48" i="18"/>
  <c r="P53" i="18" s="1"/>
  <c r="P110" i="18"/>
  <c r="P77" i="18"/>
  <c r="P86" i="18"/>
  <c r="Q617" i="16"/>
  <c r="Q618" i="16"/>
  <c r="Q93" i="20"/>
  <c r="Q94" i="22"/>
  <c r="Q180" i="11"/>
  <c r="Q1819" i="12"/>
  <c r="Q1733" i="12"/>
  <c r="Q421" i="16"/>
  <c r="Q575" i="16"/>
  <c r="Q196" i="20"/>
  <c r="Q63" i="18"/>
  <c r="Q1827" i="12"/>
  <c r="Q1756" i="12"/>
  <c r="Q1798" i="12"/>
  <c r="Q423" i="16"/>
  <c r="Q2035" i="16"/>
  <c r="Q2061" i="16" s="1"/>
  <c r="Q102" i="20"/>
  <c r="Q300" i="10"/>
  <c r="Q1771" i="12"/>
  <c r="Q1821" i="12"/>
  <c r="Q427" i="16"/>
  <c r="Q156" i="20"/>
  <c r="Q1537" i="16"/>
  <c r="Q1697" i="12"/>
  <c r="Q420" i="16"/>
  <c r="Q444" i="16"/>
  <c r="Q134" i="20"/>
  <c r="Q1917" i="16"/>
  <c r="Q358" i="16"/>
  <c r="Q1399" i="12"/>
  <c r="Q439" i="16"/>
  <c r="Q1571" i="16"/>
  <c r="Q135" i="16"/>
  <c r="Q40" i="20"/>
  <c r="Q57" i="20"/>
  <c r="Q112" i="22"/>
  <c r="Q100" i="12"/>
  <c r="Q1698" i="12"/>
  <c r="Q1813" i="12"/>
  <c r="Q329" i="16"/>
  <c r="Q621" i="16"/>
  <c r="Q100" i="20"/>
  <c r="Q12" i="22"/>
  <c r="Q1671" i="12"/>
  <c r="Q1836" i="12"/>
  <c r="Q1730" i="12"/>
  <c r="Q443" i="16"/>
  <c r="Q60" i="20"/>
  <c r="Q136" i="20"/>
  <c r="Q1297" i="16"/>
  <c r="Q1706" i="12"/>
  <c r="Q273" i="16"/>
  <c r="Q624" i="16"/>
  <c r="Q130" i="22"/>
  <c r="Q1557" i="16"/>
  <c r="Q1878" i="12"/>
  <c r="Q1916" i="12" s="1"/>
  <c r="Q1774" i="12"/>
  <c r="Q801" i="16"/>
  <c r="Q142" i="20"/>
  <c r="Q1670" i="12"/>
  <c r="Q619" i="16"/>
  <c r="Q46" i="16"/>
  <c r="Q578" i="16"/>
  <c r="Q1585" i="16"/>
  <c r="Q98" i="16"/>
  <c r="Q130" i="16"/>
  <c r="Q71" i="20"/>
  <c r="Q271" i="10"/>
  <c r="Q222" i="11"/>
  <c r="Q1784" i="12"/>
  <c r="Q12" i="16"/>
  <c r="Q192" i="16" s="1"/>
  <c r="Q279" i="16"/>
  <c r="Q573" i="16"/>
  <c r="Q66" i="20"/>
  <c r="Q46" i="10"/>
  <c r="Q1775" i="12"/>
  <c r="Q1695" i="12"/>
  <c r="Q1814" i="12"/>
  <c r="Q564" i="16"/>
  <c r="Q2041" i="16"/>
  <c r="Q2067" i="16" s="1"/>
  <c r="Q2095" i="16" s="1"/>
  <c r="Q149" i="20"/>
  <c r="Q1462" i="16"/>
  <c r="Q1792" i="12"/>
  <c r="Q1734" i="12"/>
  <c r="Q580" i="16"/>
  <c r="Q125" i="20"/>
  <c r="Q1476" i="16"/>
  <c r="Q1796" i="12"/>
  <c r="Q1806" i="12"/>
  <c r="Q2039" i="16"/>
  <c r="Q191" i="20"/>
  <c r="Q1768" i="12"/>
  <c r="Q137" i="20"/>
  <c r="Q1644" i="12"/>
  <c r="Q2031" i="16"/>
  <c r="Q1448" i="16"/>
  <c r="P18" i="18"/>
  <c r="P23" i="18" s="1"/>
  <c r="Q115" i="16"/>
  <c r="Q455" i="16"/>
  <c r="Q622" i="16"/>
  <c r="Q72" i="20"/>
  <c r="Q334" i="10"/>
  <c r="Q1679" i="12"/>
  <c r="Q1781" i="12"/>
  <c r="Q356" i="16"/>
  <c r="Q581" i="16"/>
  <c r="Q148" i="20"/>
  <c r="Q169" i="20"/>
  <c r="Q1163" i="12"/>
  <c r="Q1728" i="12"/>
  <c r="Q1818" i="12"/>
  <c r="Q615" i="16"/>
  <c r="Q179" i="20"/>
  <c r="Q1564" i="16"/>
  <c r="Q1732" i="12"/>
  <c r="Q1738" i="12"/>
  <c r="Q583" i="16"/>
  <c r="Q68" i="22"/>
  <c r="Q1800" i="12"/>
  <c r="Q153" i="20"/>
  <c r="Q1820" i="12"/>
  <c r="Q69" i="20"/>
  <c r="P101" i="18"/>
  <c r="Q1134" i="16"/>
  <c r="Q109" i="16"/>
  <c r="P86" i="20"/>
  <c r="P1205" i="20" s="1"/>
  <c r="Q1459" i="16"/>
  <c r="Q2146" i="16" s="1"/>
  <c r="Q1914" i="16"/>
  <c r="Q461" i="20"/>
  <c r="Q492" i="20"/>
  <c r="Q845" i="20"/>
  <c r="Q328" i="20"/>
  <c r="Q1280" i="16"/>
  <c r="Q904" i="16"/>
  <c r="Q1431" i="16"/>
  <c r="Q2142" i="16" s="1"/>
  <c r="Q1554" i="16"/>
  <c r="Q2159" i="16" s="1"/>
  <c r="P198" i="20"/>
  <c r="P1209" i="20" s="1"/>
  <c r="Q1419" i="16"/>
  <c r="Q2139" i="16" s="1"/>
  <c r="P331" i="16"/>
  <c r="P806" i="16" s="1"/>
  <c r="P996" i="12"/>
  <c r="P1153" i="12" s="1"/>
  <c r="P896" i="12"/>
  <c r="P916" i="12" s="1"/>
  <c r="P1932" i="12" s="1"/>
  <c r="P1138" i="12"/>
  <c r="P1158" i="12" s="1"/>
  <c r="P754" i="12"/>
  <c r="P911" i="12" s="1"/>
  <c r="P1926" i="12" s="1"/>
  <c r="Q1575" i="16"/>
  <c r="Q2162" i="16" s="1"/>
  <c r="Q874" i="16"/>
  <c r="Q363" i="20"/>
  <c r="Q892" i="16"/>
  <c r="Q471" i="20"/>
  <c r="Q1438" i="16"/>
  <c r="Q2143" i="16" s="1"/>
  <c r="P1147" i="12"/>
  <c r="P1159" i="12" s="1"/>
  <c r="Q1155" i="16"/>
  <c r="Q886" i="16"/>
  <c r="P1041" i="12"/>
  <c r="P1154" i="12" s="1"/>
  <c r="P721" i="12"/>
  <c r="P909" i="12" s="1"/>
  <c r="P1924" i="12" s="1"/>
  <c r="P878" i="12"/>
  <c r="P914" i="12" s="1"/>
  <c r="P1929" i="12" s="1"/>
  <c r="P73" i="20"/>
  <c r="P1203" i="20" s="1"/>
  <c r="P284" i="16"/>
  <c r="P804" i="16" s="1"/>
  <c r="Q356" i="20"/>
  <c r="P626" i="16"/>
  <c r="P810" i="16" s="1"/>
  <c r="P987" i="12"/>
  <c r="P1152" i="12" s="1"/>
  <c r="P844" i="12"/>
  <c r="P913" i="12" s="1"/>
  <c r="P1928" i="12" s="1"/>
  <c r="P1762" i="12"/>
  <c r="P1875" i="12" s="1"/>
  <c r="P1913" i="12" s="1"/>
  <c r="P1086" i="12"/>
  <c r="P1155" i="12" s="1"/>
  <c r="P1684" i="12"/>
  <c r="P1872" i="12" s="1"/>
  <c r="P1910" i="12" s="1"/>
  <c r="P1708" i="12"/>
  <c r="P1873" i="12" s="1"/>
  <c r="P1911" i="12" s="1"/>
  <c r="P808" i="16"/>
  <c r="P1807" i="12"/>
  <c r="P1876" i="12" s="1"/>
  <c r="P1914" i="12" s="1"/>
  <c r="P584" i="16"/>
  <c r="P809" i="16" s="1"/>
  <c r="P807" i="16"/>
  <c r="P180" i="20"/>
  <c r="P1208" i="20" s="1"/>
  <c r="P2042" i="16"/>
  <c r="P811" i="16" s="1"/>
  <c r="P1439" i="16"/>
  <c r="P1838" i="16"/>
  <c r="Q1294" i="16"/>
  <c r="Q2120" i="16" s="1"/>
  <c r="Q1405" i="16"/>
  <c r="Q2137" i="16" s="1"/>
  <c r="P2122" i="16"/>
  <c r="Q1308" i="16"/>
  <c r="P1295" i="16"/>
  <c r="P2120" i="16"/>
  <c r="P2143" i="16"/>
  <c r="Q1391" i="16"/>
  <c r="Q2135" i="16" s="1"/>
  <c r="P899" i="16"/>
  <c r="P1156" i="16"/>
  <c r="P1157" i="16" s="1"/>
  <c r="P1406" i="16"/>
  <c r="P1309" i="16"/>
  <c r="P893" i="16"/>
  <c r="P1392" i="16"/>
  <c r="P1413" i="16"/>
  <c r="P493" i="20"/>
  <c r="P494" i="20" s="1"/>
  <c r="Q1412" i="16"/>
  <c r="Q898" i="16"/>
  <c r="P368" i="16"/>
  <c r="P1505" i="16"/>
  <c r="P463" i="16"/>
  <c r="P357" i="20"/>
  <c r="P358" i="20" s="1"/>
  <c r="P1120" i="12"/>
  <c r="P1156" i="12" s="1"/>
  <c r="P1841" i="12"/>
  <c r="P1877" i="12" s="1"/>
  <c r="P1915" i="12" s="1"/>
  <c r="P963" i="12"/>
  <c r="P1151" i="12" s="1"/>
  <c r="P745" i="12"/>
  <c r="P910" i="12" s="1"/>
  <c r="P1925" i="12" s="1"/>
  <c r="P162" i="20"/>
  <c r="P1207" i="20" s="1"/>
  <c r="P905" i="12"/>
  <c r="P917" i="12" s="1"/>
  <c r="P1933" i="12" s="1"/>
  <c r="P799" i="12"/>
  <c r="P912" i="12" s="1"/>
  <c r="P1927" i="12" s="1"/>
  <c r="P136" i="16"/>
  <c r="P887" i="16"/>
  <c r="P1576" i="16"/>
  <c r="P875" i="16"/>
  <c r="O2068" i="16"/>
  <c r="O2069" i="16" s="1"/>
  <c r="O2089" i="16"/>
  <c r="O2096" i="16" s="1"/>
  <c r="G277" i="25"/>
  <c r="G62" i="25"/>
  <c r="O699" i="16"/>
  <c r="G418" i="25"/>
  <c r="G324" i="25"/>
  <c r="G155" i="25"/>
  <c r="G371" i="25"/>
  <c r="O2055" i="16"/>
  <c r="O796" i="16" s="1"/>
  <c r="P2054" i="16"/>
  <c r="L163" i="16"/>
  <c r="N146" i="16"/>
  <c r="N162" i="16" s="1"/>
  <c r="M162" i="16"/>
  <c r="M163" i="16"/>
  <c r="K55" i="10"/>
  <c r="O876" i="16"/>
  <c r="P876" i="16" s="1"/>
  <c r="L85" i="16"/>
  <c r="N1406" i="12"/>
  <c r="J383" i="10"/>
  <c r="J382" i="10"/>
  <c r="R380" i="10"/>
  <c r="S91" i="10"/>
  <c r="R91" i="10"/>
  <c r="R105" i="10" s="1"/>
  <c r="R370" i="10"/>
  <c r="I361" i="10"/>
  <c r="I428" i="10"/>
  <c r="I427" i="10"/>
  <c r="M1646" i="12"/>
  <c r="N333" i="16"/>
  <c r="O1420" i="16"/>
  <c r="O1421" i="16" s="1"/>
  <c r="O1315" i="16"/>
  <c r="O2123" i="16" s="1"/>
  <c r="O805" i="16"/>
  <c r="O1917" i="12"/>
  <c r="O1920" i="12" s="1"/>
  <c r="M60" i="10"/>
  <c r="N152" i="16"/>
  <c r="O894" i="16"/>
  <c r="O164" i="16" s="1"/>
  <c r="Q1466" i="16"/>
  <c r="Q2147" i="16" s="1"/>
  <c r="N1316" i="16"/>
  <c r="N1317" i="16" s="1"/>
  <c r="P1467" i="16"/>
  <c r="O1881" i="12"/>
  <c r="O1891" i="12" s="1"/>
  <c r="P1446" i="16"/>
  <c r="P479" i="20"/>
  <c r="P480" i="20" s="1"/>
  <c r="P1893" i="16"/>
  <c r="P2207" i="16" s="1"/>
  <c r="Q1445" i="16"/>
  <c r="Q2144" i="16" s="1"/>
  <c r="P1302" i="16"/>
  <c r="P2121" i="16"/>
  <c r="Q1301" i="16"/>
  <c r="P2114" i="16"/>
  <c r="P1453" i="16"/>
  <c r="Q1452" i="16"/>
  <c r="O1160" i="12"/>
  <c r="O1170" i="12" s="1"/>
  <c r="O1171" i="12" s="1"/>
  <c r="O1894" i="16"/>
  <c r="O1895" i="16" s="1"/>
  <c r="O246" i="20"/>
  <c r="L1330" i="16"/>
  <c r="M1330" i="16" s="1"/>
  <c r="N1330" i="16" s="1"/>
  <c r="L1331" i="16"/>
  <c r="M1331" i="16" s="1"/>
  <c r="L2125" i="16"/>
  <c r="P1473" i="16"/>
  <c r="Q1473" i="16" s="1"/>
  <c r="N1474" i="16"/>
  <c r="O1474" i="16" s="1"/>
  <c r="N2148" i="16"/>
  <c r="L1336" i="16"/>
  <c r="L1337" i="16" s="1"/>
  <c r="L1481" i="16"/>
  <c r="M1481" i="16" s="1"/>
  <c r="N1481" i="16" s="1"/>
  <c r="L2149" i="16"/>
  <c r="L1482" i="16"/>
  <c r="M534" i="20"/>
  <c r="N534" i="20" s="1"/>
  <c r="O534" i="20" s="1"/>
  <c r="O536" i="20" s="1"/>
  <c r="M2125" i="16"/>
  <c r="O1916" i="16"/>
  <c r="N1475" i="16"/>
  <c r="P1447" i="16"/>
  <c r="O1584" i="16"/>
  <c r="P1888" i="16"/>
  <c r="P1393" i="16"/>
  <c r="O1282" i="16"/>
  <c r="P1454" i="16"/>
  <c r="N334" i="16"/>
  <c r="N791" i="16" s="1"/>
  <c r="O1414" i="16"/>
  <c r="P1414" i="16" s="1"/>
  <c r="P1468" i="16"/>
  <c r="M1591" i="16"/>
  <c r="N1591" i="16" s="1"/>
  <c r="O1577" i="16"/>
  <c r="P1577" i="16" s="1"/>
  <c r="M896" i="20"/>
  <c r="L535" i="20"/>
  <c r="O1407" i="16"/>
  <c r="P1407" i="16" s="1"/>
  <c r="L1604" i="16"/>
  <c r="N1324" i="16"/>
  <c r="O1440" i="16"/>
  <c r="N1164" i="16"/>
  <c r="P2146" i="16"/>
  <c r="N1150" i="16"/>
  <c r="O1296" i="16"/>
  <c r="N1886" i="12"/>
  <c r="E914" i="20"/>
  <c r="K915" i="20" s="1"/>
  <c r="N1641" i="12"/>
  <c r="N1651" i="12" s="1"/>
  <c r="E907" i="20"/>
  <c r="K908" i="20" s="1"/>
  <c r="L1605" i="16"/>
  <c r="M1603" i="16"/>
  <c r="N1603" i="16" s="1"/>
  <c r="D1617" i="16"/>
  <c r="F1616" i="16" s="1"/>
  <c r="K1617" i="16" s="1"/>
  <c r="D1342" i="16"/>
  <c r="D1343" i="16" s="1"/>
  <c r="F1341" i="16"/>
  <c r="D1844" i="16"/>
  <c r="E1844" i="16"/>
  <c r="F1844" i="16" s="1"/>
  <c r="D1949" i="16"/>
  <c r="E1349" i="16"/>
  <c r="D1349" i="16" s="1"/>
  <c r="D1354" i="16"/>
  <c r="Q1360" i="16" s="1"/>
  <c r="P1353" i="16"/>
  <c r="O1353" i="16"/>
  <c r="E1348" i="16"/>
  <c r="F1348" i="16" s="1"/>
  <c r="Q1353" i="16"/>
  <c r="N1353" i="16"/>
  <c r="D1348" i="16"/>
  <c r="M1353" i="16"/>
  <c r="B1347" i="16"/>
  <c r="L1353" i="16"/>
  <c r="O336" i="20"/>
  <c r="P336" i="20" s="1"/>
  <c r="P337" i="20" s="1"/>
  <c r="P2118" i="16"/>
  <c r="P1281" i="16"/>
  <c r="P486" i="20"/>
  <c r="P487" i="20" s="1"/>
  <c r="Q485" i="20"/>
  <c r="P1908" i="16"/>
  <c r="P1909" i="16" s="1"/>
  <c r="Q1907" i="16"/>
  <c r="Q2209" i="16" s="1"/>
  <c r="P350" i="20"/>
  <c r="P351" i="20" s="1"/>
  <c r="L51" i="10"/>
  <c r="L56" i="10"/>
  <c r="M59" i="16"/>
  <c r="N57" i="16" s="1"/>
  <c r="N2237" i="16" s="1"/>
  <c r="N2249" i="16" s="1"/>
  <c r="M2261" i="16"/>
  <c r="M60" i="16" s="1"/>
  <c r="M87" i="16" s="1"/>
  <c r="M183" i="16" s="1"/>
  <c r="P364" i="20"/>
  <c r="M51" i="16"/>
  <c r="N49" i="16" s="1"/>
  <c r="N2236" i="16" s="1"/>
  <c r="N2248" i="16" s="1"/>
  <c r="M2260" i="16"/>
  <c r="M52" i="16" s="1"/>
  <c r="K20" i="16"/>
  <c r="K81" i="16" s="1"/>
  <c r="K2264" i="16"/>
  <c r="M27" i="16"/>
  <c r="N25" i="16" s="1"/>
  <c r="N2233" i="16" s="1"/>
  <c r="N2245" i="16" s="1"/>
  <c r="M2257" i="16"/>
  <c r="M28" i="16" s="1"/>
  <c r="M82" i="16" s="1"/>
  <c r="M177" i="16" s="1"/>
  <c r="L2244" i="16"/>
  <c r="L2240" i="16"/>
  <c r="L91" i="16" s="1"/>
  <c r="L101" i="12" s="1"/>
  <c r="M75" i="16"/>
  <c r="N73" i="16" s="1"/>
  <c r="N2239" i="16" s="1"/>
  <c r="N2251" i="16" s="1"/>
  <c r="M2263" i="16"/>
  <c r="M76" i="16" s="1"/>
  <c r="M89" i="16" s="1"/>
  <c r="M185" i="16" s="1"/>
  <c r="M35" i="16"/>
  <c r="N33" i="16" s="1"/>
  <c r="N2234" i="16" s="1"/>
  <c r="N2246" i="16" s="1"/>
  <c r="M2258" i="16"/>
  <c r="M36" i="16" s="1"/>
  <c r="M43" i="16"/>
  <c r="N41" i="16" s="1"/>
  <c r="N2235" i="16" s="1"/>
  <c r="N2247" i="16" s="1"/>
  <c r="M2259" i="16"/>
  <c r="M44" i="16" s="1"/>
  <c r="M85" i="16" s="1"/>
  <c r="M181" i="16" s="1"/>
  <c r="M67" i="16"/>
  <c r="N65" i="16" s="1"/>
  <c r="N2238" i="16" s="1"/>
  <c r="N2250" i="16" s="1"/>
  <c r="M2262" i="16"/>
  <c r="M68" i="16" s="1"/>
  <c r="M88" i="16" s="1"/>
  <c r="M184" i="16" s="1"/>
  <c r="M378" i="20"/>
  <c r="N377" i="20"/>
  <c r="O377" i="20" s="1"/>
  <c r="O1170" i="16"/>
  <c r="P1170" i="16" s="1"/>
  <c r="P1141" i="16"/>
  <c r="Q1141" i="16" s="1"/>
  <c r="M391" i="20"/>
  <c r="M393" i="20" s="1"/>
  <c r="M1191" i="16"/>
  <c r="M1192" i="16" s="1"/>
  <c r="L393" i="20"/>
  <c r="L1199" i="16"/>
  <c r="N1183" i="16"/>
  <c r="M1197" i="16"/>
  <c r="M1200" i="16" s="1"/>
  <c r="M254" i="16" s="1"/>
  <c r="L1204" i="16"/>
  <c r="L1198" i="16"/>
  <c r="M1184" i="16"/>
  <c r="M1185" i="16" s="1"/>
  <c r="M1177" i="16"/>
  <c r="M1178" i="16" s="1"/>
  <c r="O370" i="20"/>
  <c r="P370" i="20" s="1"/>
  <c r="Q370" i="20" s="1"/>
  <c r="N371" i="20"/>
  <c r="L398" i="20"/>
  <c r="L400" i="20" s="1"/>
  <c r="N372" i="20"/>
  <c r="N1176" i="16"/>
  <c r="O1176" i="16" s="1"/>
  <c r="L1207" i="16"/>
  <c r="L255" i="16" s="1"/>
  <c r="M1193" i="16"/>
  <c r="M253" i="16" s="1"/>
  <c r="N1190" i="16"/>
  <c r="L405" i="20"/>
  <c r="L406" i="20" s="1"/>
  <c r="M386" i="20"/>
  <c r="N384" i="20"/>
  <c r="O384" i="20" s="1"/>
  <c r="P384" i="20" s="1"/>
  <c r="Q384" i="20" s="1"/>
  <c r="M385" i="20"/>
  <c r="L912" i="16"/>
  <c r="L58" i="10" s="1"/>
  <c r="O1142" i="16"/>
  <c r="D934" i="16"/>
  <c r="F933" i="16" s="1"/>
  <c r="D939" i="16"/>
  <c r="P365" i="20"/>
  <c r="D944" i="16"/>
  <c r="C946" i="16"/>
  <c r="B943" i="16"/>
  <c r="D949" i="16"/>
  <c r="J948" i="16"/>
  <c r="E945" i="16"/>
  <c r="E944" i="16"/>
  <c r="F944" i="16" s="1"/>
  <c r="N1143" i="16"/>
  <c r="O252" i="16"/>
  <c r="O1193" i="16"/>
  <c r="K1205" i="16"/>
  <c r="K1207" i="16"/>
  <c r="K255" i="16" s="1"/>
  <c r="O1179" i="16"/>
  <c r="K1206" i="16"/>
  <c r="F1203" i="16"/>
  <c r="D1210" i="16"/>
  <c r="D1211" i="16" s="1"/>
  <c r="F1210" i="16" s="1"/>
  <c r="K1211" i="16"/>
  <c r="D1216" i="16"/>
  <c r="D1222" i="16"/>
  <c r="Q1221" i="16"/>
  <c r="P1221" i="16"/>
  <c r="E1217" i="16"/>
  <c r="E1216" i="16"/>
  <c r="F1216" i="16" s="1"/>
  <c r="K407" i="20"/>
  <c r="C423" i="20"/>
  <c r="C425" i="20" s="1"/>
  <c r="C426" i="20" s="1"/>
  <c r="C417" i="20"/>
  <c r="D416" i="20"/>
  <c r="K400" i="20"/>
  <c r="P846" i="20"/>
  <c r="Q1287" i="16"/>
  <c r="P847" i="20"/>
  <c r="P1288" i="16"/>
  <c r="P2119" i="16"/>
  <c r="P329" i="20"/>
  <c r="P330" i="20" s="1"/>
  <c r="O1289" i="16"/>
  <c r="Q1398" i="16"/>
  <c r="Q2136" i="16" s="1"/>
  <c r="P1399" i="16"/>
  <c r="P1400" i="16" s="1"/>
  <c r="P500" i="20"/>
  <c r="P501" i="20" s="1"/>
  <c r="Q499" i="20"/>
  <c r="N1165" i="12"/>
  <c r="N1172" i="12" s="1"/>
  <c r="P1555" i="16"/>
  <c r="P2159" i="16"/>
  <c r="Q1568" i="16"/>
  <c r="Q2161" i="16" s="1"/>
  <c r="L216" i="10"/>
  <c r="L360" i="10" s="1"/>
  <c r="P1562" i="16"/>
  <c r="P1563" i="16" s="1"/>
  <c r="Q1561" i="16"/>
  <c r="Q2160" i="16" s="1"/>
  <c r="M923" i="12"/>
  <c r="O918" i="12"/>
  <c r="O928" i="12" s="1"/>
  <c r="O929" i="12" s="1"/>
  <c r="P1432" i="16"/>
  <c r="P2142" i="16"/>
  <c r="P472" i="20"/>
  <c r="P473" i="20" s="1"/>
  <c r="L57" i="10"/>
  <c r="P507" i="20"/>
  <c r="Q506" i="20"/>
  <c r="Q508" i="20" s="1"/>
  <c r="M911" i="16"/>
  <c r="K923" i="16"/>
  <c r="K924" i="16" s="1"/>
  <c r="L922" i="16"/>
  <c r="M922" i="16" s="1"/>
  <c r="N922" i="16" s="1"/>
  <c r="K917" i="16"/>
  <c r="L916" i="16"/>
  <c r="P514" i="20"/>
  <c r="P1583" i="16"/>
  <c r="L1488" i="16"/>
  <c r="L1489" i="16"/>
  <c r="Q1582" i="16"/>
  <c r="L541" i="20"/>
  <c r="L543" i="20" s="1"/>
  <c r="K1943" i="16"/>
  <c r="K1944" i="16" s="1"/>
  <c r="L2213" i="16"/>
  <c r="M1929" i="16"/>
  <c r="M1930" i="16" s="1"/>
  <c r="L1936" i="16"/>
  <c r="Q894" i="20"/>
  <c r="K2214" i="16"/>
  <c r="O520" i="20"/>
  <c r="N522" i="20"/>
  <c r="M528" i="20"/>
  <c r="M529" i="20" s="1"/>
  <c r="M903" i="20"/>
  <c r="N901" i="20"/>
  <c r="O901" i="20" s="1"/>
  <c r="O903" i="20" s="1"/>
  <c r="N521" i="20"/>
  <c r="Q513" i="20"/>
  <c r="Q515" i="20" s="1"/>
  <c r="N527" i="20"/>
  <c r="Q335" i="20"/>
  <c r="D553" i="20"/>
  <c r="E553" i="20" s="1"/>
  <c r="C553" i="20"/>
  <c r="C559" i="20"/>
  <c r="C554" i="20"/>
  <c r="C555" i="20" s="1"/>
  <c r="C933" i="20"/>
  <c r="C928" i="20"/>
  <c r="D928" i="20"/>
  <c r="O895" i="20"/>
  <c r="O896" i="20"/>
  <c r="L1942" i="16"/>
  <c r="K543" i="20"/>
  <c r="Q1589" i="16"/>
  <c r="L1610" i="16"/>
  <c r="L2167" i="16" s="1"/>
  <c r="P910" i="16"/>
  <c r="Q910" i="16" s="1"/>
  <c r="P1329" i="16"/>
  <c r="Q1329" i="16" s="1"/>
  <c r="K928" i="16"/>
  <c r="P1480" i="16"/>
  <c r="Q1480" i="16" s="1"/>
  <c r="M1935" i="16"/>
  <c r="M1487" i="16"/>
  <c r="N1487" i="16" s="1"/>
  <c r="L1494" i="16"/>
  <c r="M1494" i="16" s="1"/>
  <c r="P1596" i="16"/>
  <c r="Q1596" i="16" s="1"/>
  <c r="L2150" i="16"/>
  <c r="M2212" i="16"/>
  <c r="N1928" i="16"/>
  <c r="O1928" i="16" s="1"/>
  <c r="O2212" i="16" s="1"/>
  <c r="O888" i="16"/>
  <c r="O161" i="16" s="1"/>
  <c r="P881" i="16"/>
  <c r="O882" i="16"/>
  <c r="O900" i="16"/>
  <c r="K918" i="16"/>
  <c r="O905" i="16"/>
  <c r="N906" i="16"/>
  <c r="P1460" i="16"/>
  <c r="P1461" i="16" s="1"/>
  <c r="P332" i="16"/>
  <c r="P2210" i="16"/>
  <c r="P1915" i="16"/>
  <c r="M2149" i="16"/>
  <c r="M1597" i="16"/>
  <c r="N1597" i="16" s="1"/>
  <c r="K1627" i="16"/>
  <c r="P1627" i="16"/>
  <c r="L1627" i="16"/>
  <c r="E1623" i="16"/>
  <c r="D1623" i="16" s="1"/>
  <c r="M1627" i="16"/>
  <c r="E1622" i="16"/>
  <c r="F1622" i="16" s="1"/>
  <c r="N1627" i="16"/>
  <c r="B1621" i="16"/>
  <c r="O1627" i="16"/>
  <c r="D1622" i="16"/>
  <c r="D1628" i="16"/>
  <c r="O2164" i="16"/>
  <c r="K2167" i="16"/>
  <c r="K1611" i="16"/>
  <c r="K1612" i="16" s="1"/>
  <c r="M2165" i="16"/>
  <c r="N2165" i="16"/>
  <c r="Q1627" i="16"/>
  <c r="O1590" i="16"/>
  <c r="O2149" i="16"/>
  <c r="N2149" i="16"/>
  <c r="O2148" i="16"/>
  <c r="N2125" i="16"/>
  <c r="O2124" i="16"/>
  <c r="K2151" i="16"/>
  <c r="K1495" i="16"/>
  <c r="K1496" i="16" s="1"/>
  <c r="O1323" i="16"/>
  <c r="P2076" i="16"/>
  <c r="Q1137" i="16"/>
  <c r="Q245" i="16" s="1"/>
  <c r="Q265" i="16" s="1"/>
  <c r="Q53" i="20" s="1"/>
  <c r="P2078" i="16"/>
  <c r="P2092" i="16"/>
  <c r="P1135" i="16"/>
  <c r="P2080" i="16"/>
  <c r="S366" i="10"/>
  <c r="T79" i="10"/>
  <c r="P36" i="10"/>
  <c r="R71" i="10"/>
  <c r="R38" i="22"/>
  <c r="R106" i="11" s="1"/>
  <c r="S33" i="22"/>
  <c r="S37" i="22" s="1"/>
  <c r="P113" i="10"/>
  <c r="Q65" i="22"/>
  <c r="Q92" i="12" s="1"/>
  <c r="Q89" i="10"/>
  <c r="S60" i="22"/>
  <c r="R64" i="22"/>
  <c r="Q84" i="10"/>
  <c r="Q118" i="10" s="1"/>
  <c r="Q114" i="10"/>
  <c r="S51" i="22"/>
  <c r="S55" i="22" s="1"/>
  <c r="R85" i="10"/>
  <c r="R56" i="22"/>
  <c r="O112" i="10"/>
  <c r="U22" i="20"/>
  <c r="T92" i="10"/>
  <c r="O1931" i="12"/>
  <c r="O1934" i="12" s="1"/>
  <c r="P462" i="20"/>
  <c r="P463" i="20" s="1"/>
  <c r="P2073" i="16"/>
  <c r="O2082" i="16"/>
  <c r="O256" i="20" s="1"/>
  <c r="T77" i="10"/>
  <c r="U15" i="22"/>
  <c r="U17" i="22" s="1"/>
  <c r="Q199" i="18"/>
  <c r="Q200" i="18"/>
  <c r="P201" i="18"/>
  <c r="O1150" i="16" l="1"/>
  <c r="Q35" i="8"/>
  <c r="P2094" i="16"/>
  <c r="Q2052" i="16"/>
  <c r="Q2072" i="16"/>
  <c r="R126" i="8"/>
  <c r="Q11" i="12"/>
  <c r="Q11" i="18"/>
  <c r="Q11" i="11"/>
  <c r="R27" i="8"/>
  <c r="R11" i="22" s="1"/>
  <c r="Q11" i="20"/>
  <c r="Q11" i="22"/>
  <c r="Q11" i="10"/>
  <c r="Q2086" i="16"/>
  <c r="Q2045" i="16"/>
  <c r="P1569" i="16"/>
  <c r="P1570" i="16" s="1"/>
  <c r="Q2060" i="16"/>
  <c r="Q2088" i="16" s="1"/>
  <c r="P1310" i="16"/>
  <c r="M1902" i="16"/>
  <c r="N1901" i="16"/>
  <c r="K934" i="16"/>
  <c r="K935" i="16" s="1"/>
  <c r="K936" i="16" s="1"/>
  <c r="O1900" i="16"/>
  <c r="L1944" i="16"/>
  <c r="K1923" i="16"/>
  <c r="K1922" i="16"/>
  <c r="K2211" i="16"/>
  <c r="L1921" i="16"/>
  <c r="M1921" i="16" s="1"/>
  <c r="P1303" i="16"/>
  <c r="P1440" i="16"/>
  <c r="O1164" i="16"/>
  <c r="P1163" i="16"/>
  <c r="Q1163" i="16" s="1"/>
  <c r="P1296" i="16"/>
  <c r="Q221" i="12"/>
  <c r="O337" i="20"/>
  <c r="Q1233" i="12"/>
  <c r="Q1237" i="12" s="1"/>
  <c r="Q1394" i="12" s="1"/>
  <c r="R1144" i="12"/>
  <c r="R1146" i="12"/>
  <c r="R1143" i="12"/>
  <c r="R1145" i="12"/>
  <c r="R1142" i="12"/>
  <c r="R1135" i="12"/>
  <c r="R1137" i="12"/>
  <c r="R1134" i="12"/>
  <c r="R1133" i="12"/>
  <c r="R1136" i="12"/>
  <c r="R1092" i="12"/>
  <c r="R1100" i="12"/>
  <c r="R1108" i="12"/>
  <c r="R1116" i="12"/>
  <c r="R1098" i="12"/>
  <c r="R1097" i="12"/>
  <c r="R1105" i="12"/>
  <c r="R1113" i="12"/>
  <c r="R1094" i="12"/>
  <c r="R1102" i="12"/>
  <c r="R1110" i="12"/>
  <c r="R1118" i="12"/>
  <c r="R1091" i="12"/>
  <c r="R1099" i="12"/>
  <c r="R1107" i="12"/>
  <c r="R1115" i="12"/>
  <c r="R1096" i="12"/>
  <c r="R1104" i="12"/>
  <c r="R1112" i="12"/>
  <c r="R1090" i="12"/>
  <c r="R1093" i="12"/>
  <c r="R1101" i="12"/>
  <c r="R1109" i="12"/>
  <c r="R1117" i="12"/>
  <c r="R1106" i="12"/>
  <c r="R1114" i="12"/>
  <c r="R1095" i="12"/>
  <c r="R1103" i="12"/>
  <c r="R1111" i="12"/>
  <c r="R1119" i="12"/>
  <c r="R1048" i="12"/>
  <c r="R1056" i="12"/>
  <c r="R1064" i="12"/>
  <c r="R1072" i="12"/>
  <c r="R1080" i="12"/>
  <c r="R1068" i="12"/>
  <c r="R1053" i="12"/>
  <c r="R1061" i="12"/>
  <c r="R1069" i="12"/>
  <c r="R1077" i="12"/>
  <c r="R1085" i="12"/>
  <c r="R1052" i="12"/>
  <c r="R1050" i="12"/>
  <c r="R1058" i="12"/>
  <c r="R1066" i="12"/>
  <c r="R1074" i="12"/>
  <c r="R1082" i="12"/>
  <c r="R1060" i="12"/>
  <c r="R1047" i="12"/>
  <c r="R1055" i="12"/>
  <c r="R1063" i="12"/>
  <c r="R1071" i="12"/>
  <c r="R1079" i="12"/>
  <c r="R1049" i="12"/>
  <c r="R1057" i="12"/>
  <c r="R1065" i="12"/>
  <c r="R1073" i="12"/>
  <c r="R1081" i="12"/>
  <c r="R1059" i="12"/>
  <c r="R1046" i="12"/>
  <c r="R1054" i="12"/>
  <c r="R1062" i="12"/>
  <c r="R1070" i="12"/>
  <c r="R1078" i="12"/>
  <c r="R1051" i="12"/>
  <c r="R1067" i="12"/>
  <c r="R1084" i="12"/>
  <c r="R1075" i="12"/>
  <c r="R1083" i="12"/>
  <c r="R1076" i="12"/>
  <c r="R1003" i="12"/>
  <c r="R1011" i="12"/>
  <c r="R1019" i="12"/>
  <c r="R1027" i="12"/>
  <c r="R1035" i="12"/>
  <c r="R1008" i="12"/>
  <c r="R1016" i="12"/>
  <c r="R1024" i="12"/>
  <c r="R1032" i="12"/>
  <c r="R1040" i="12"/>
  <c r="R1005" i="12"/>
  <c r="R1013" i="12"/>
  <c r="R1021" i="12"/>
  <c r="R1029" i="12"/>
  <c r="R1037" i="12"/>
  <c r="R1002" i="12"/>
  <c r="R1010" i="12"/>
  <c r="R1018" i="12"/>
  <c r="R1026" i="12"/>
  <c r="R1034" i="12"/>
  <c r="R1007" i="12"/>
  <c r="R1015" i="12"/>
  <c r="R1023" i="12"/>
  <c r="R1031" i="12"/>
  <c r="R1039" i="12"/>
  <c r="R1017" i="12"/>
  <c r="R1004" i="12"/>
  <c r="R1012" i="12"/>
  <c r="R1020" i="12"/>
  <c r="R1028" i="12"/>
  <c r="R1036" i="12"/>
  <c r="R1001" i="12"/>
  <c r="R1009" i="12"/>
  <c r="R1006" i="12"/>
  <c r="R1014" i="12"/>
  <c r="R1022" i="12"/>
  <c r="R1030" i="12"/>
  <c r="R1038" i="12"/>
  <c r="R1033" i="12"/>
  <c r="R1025" i="12"/>
  <c r="R993" i="12"/>
  <c r="R995" i="12"/>
  <c r="R992" i="12"/>
  <c r="R994" i="12"/>
  <c r="R991" i="12"/>
  <c r="R969" i="12"/>
  <c r="R977" i="12"/>
  <c r="R985" i="12"/>
  <c r="R974" i="12"/>
  <c r="R982" i="12"/>
  <c r="R983" i="12"/>
  <c r="R971" i="12"/>
  <c r="R979" i="12"/>
  <c r="R968" i="12"/>
  <c r="R976" i="12"/>
  <c r="R984" i="12"/>
  <c r="R973" i="12"/>
  <c r="R981" i="12"/>
  <c r="R975" i="12"/>
  <c r="R970" i="12"/>
  <c r="R978" i="12"/>
  <c r="R986" i="12"/>
  <c r="R967" i="12"/>
  <c r="R972" i="12"/>
  <c r="R980" i="12"/>
  <c r="R902" i="12"/>
  <c r="R904" i="12"/>
  <c r="R901" i="12"/>
  <c r="R903" i="12"/>
  <c r="R900" i="12"/>
  <c r="R893" i="12"/>
  <c r="R894" i="12"/>
  <c r="R895" i="12"/>
  <c r="R892" i="12"/>
  <c r="R891" i="12"/>
  <c r="R850" i="12"/>
  <c r="R858" i="12"/>
  <c r="R866" i="12"/>
  <c r="R874" i="12"/>
  <c r="R855" i="12"/>
  <c r="R863" i="12"/>
  <c r="R871" i="12"/>
  <c r="R864" i="12"/>
  <c r="R852" i="12"/>
  <c r="R1335" i="12" s="1"/>
  <c r="R860" i="12"/>
  <c r="R868" i="12"/>
  <c r="R876" i="12"/>
  <c r="R867" i="12"/>
  <c r="R875" i="12"/>
  <c r="R872" i="12"/>
  <c r="R849" i="12"/>
  <c r="R1332" i="12" s="1"/>
  <c r="R857" i="12"/>
  <c r="R865" i="12"/>
  <c r="R873" i="12"/>
  <c r="R859" i="12"/>
  <c r="R848" i="12"/>
  <c r="R854" i="12"/>
  <c r="R862" i="12"/>
  <c r="R870" i="12"/>
  <c r="R856" i="12"/>
  <c r="R853" i="12"/>
  <c r="R861" i="12"/>
  <c r="R869" i="12"/>
  <c r="R877" i="12"/>
  <c r="R851" i="12"/>
  <c r="O1406" i="12"/>
  <c r="P1401" i="12"/>
  <c r="P1411" i="12" s="1"/>
  <c r="P1412" i="12" s="1"/>
  <c r="P257" i="20" s="1"/>
  <c r="Q1361" i="12"/>
  <c r="Q1397" i="12" s="1"/>
  <c r="R806" i="12"/>
  <c r="R814" i="12"/>
  <c r="R822" i="12"/>
  <c r="R830" i="12"/>
  <c r="R838" i="12"/>
  <c r="R812" i="12"/>
  <c r="R811" i="12"/>
  <c r="R819" i="12"/>
  <c r="R827" i="12"/>
  <c r="R835" i="12"/>
  <c r="R843" i="12"/>
  <c r="R808" i="12"/>
  <c r="R1291" i="12" s="1"/>
  <c r="R816" i="12"/>
  <c r="R824" i="12"/>
  <c r="R832" i="12"/>
  <c r="R840" i="12"/>
  <c r="R804" i="12"/>
  <c r="R836" i="12"/>
  <c r="R805" i="12"/>
  <c r="R1288" i="12" s="1"/>
  <c r="R813" i="12"/>
  <c r="R821" i="12"/>
  <c r="R829" i="12"/>
  <c r="R837" i="12"/>
  <c r="R810" i="12"/>
  <c r="R818" i="12"/>
  <c r="R826" i="12"/>
  <c r="R834" i="12"/>
  <c r="R842" i="12"/>
  <c r="R828" i="12"/>
  <c r="R807" i="12"/>
  <c r="R815" i="12"/>
  <c r="R823" i="12"/>
  <c r="R831" i="12"/>
  <c r="R839" i="12"/>
  <c r="R809" i="12"/>
  <c r="R817" i="12"/>
  <c r="R825" i="12"/>
  <c r="R833" i="12"/>
  <c r="R841" i="12"/>
  <c r="R820" i="12"/>
  <c r="R761" i="12"/>
  <c r="R769" i="12"/>
  <c r="R777" i="12"/>
  <c r="R785" i="12"/>
  <c r="R793" i="12"/>
  <c r="R766" i="12"/>
  <c r="R774" i="12"/>
  <c r="R782" i="12"/>
  <c r="R790" i="12"/>
  <c r="R798" i="12"/>
  <c r="R763" i="12"/>
  <c r="R1246" i="12" s="1"/>
  <c r="R771" i="12"/>
  <c r="R779" i="12"/>
  <c r="R787" i="12"/>
  <c r="R795" i="12"/>
  <c r="R760" i="12"/>
  <c r="R1243" i="12" s="1"/>
  <c r="R768" i="12"/>
  <c r="R776" i="12"/>
  <c r="R784" i="12"/>
  <c r="R792" i="12"/>
  <c r="R765" i="12"/>
  <c r="R773" i="12"/>
  <c r="R781" i="12"/>
  <c r="R789" i="12"/>
  <c r="R797" i="12"/>
  <c r="R762" i="12"/>
  <c r="R770" i="12"/>
  <c r="R778" i="12"/>
  <c r="R786" i="12"/>
  <c r="R794" i="12"/>
  <c r="R759" i="12"/>
  <c r="R767" i="12"/>
  <c r="R775" i="12"/>
  <c r="R783" i="12"/>
  <c r="R791" i="12"/>
  <c r="R764" i="12"/>
  <c r="R772" i="12"/>
  <c r="R780" i="12"/>
  <c r="R788" i="12"/>
  <c r="R796" i="12"/>
  <c r="R749" i="12"/>
  <c r="R753" i="12"/>
  <c r="R752" i="12"/>
  <c r="R751" i="12"/>
  <c r="R750" i="12"/>
  <c r="Q1327" i="12"/>
  <c r="Q1396" i="12" s="1"/>
  <c r="Q1282" i="12"/>
  <c r="Q1395" i="12" s="1"/>
  <c r="Q1228" i="12"/>
  <c r="Q1393" i="12" s="1"/>
  <c r="R727" i="12"/>
  <c r="R735" i="12"/>
  <c r="R743" i="12"/>
  <c r="R732" i="12"/>
  <c r="R740" i="12"/>
  <c r="R729" i="12"/>
  <c r="R1212" i="12" s="1"/>
  <c r="R737" i="12"/>
  <c r="R739" i="12"/>
  <c r="R726" i="12"/>
  <c r="R1209" i="12" s="1"/>
  <c r="R734" i="12"/>
  <c r="R742" i="12"/>
  <c r="R731" i="12"/>
  <c r="R728" i="12"/>
  <c r="R736" i="12"/>
  <c r="R744" i="12"/>
  <c r="R738" i="12"/>
  <c r="R725" i="12"/>
  <c r="R733" i="12"/>
  <c r="R741" i="12"/>
  <c r="R730" i="12"/>
  <c r="M931" i="12"/>
  <c r="M930" i="12"/>
  <c r="M216" i="10" s="1"/>
  <c r="M360" i="10" s="1"/>
  <c r="Q930" i="12"/>
  <c r="Q216" i="10" s="1"/>
  <c r="Q360" i="10" s="1"/>
  <c r="R943" i="12"/>
  <c r="R947" i="12"/>
  <c r="R951" i="12"/>
  <c r="R955" i="12"/>
  <c r="R959" i="12"/>
  <c r="R946" i="12"/>
  <c r="R950" i="12"/>
  <c r="R954" i="12"/>
  <c r="R958" i="12"/>
  <c r="R962" i="12"/>
  <c r="R945" i="12"/>
  <c r="R949" i="12"/>
  <c r="R953" i="12"/>
  <c r="R957" i="12"/>
  <c r="R961" i="12"/>
  <c r="R944" i="12"/>
  <c r="R948" i="12"/>
  <c r="R952" i="12"/>
  <c r="R956" i="12"/>
  <c r="R960" i="12"/>
  <c r="R701" i="12"/>
  <c r="R705" i="12"/>
  <c r="R1188" i="12" s="1"/>
  <c r="R709" i="12"/>
  <c r="R713" i="12"/>
  <c r="R717" i="12"/>
  <c r="R704" i="12"/>
  <c r="R708" i="12"/>
  <c r="R712" i="12"/>
  <c r="R716" i="12"/>
  <c r="R720" i="12"/>
  <c r="R703" i="12"/>
  <c r="R707" i="12"/>
  <c r="R711" i="12"/>
  <c r="R715" i="12"/>
  <c r="R719" i="12"/>
  <c r="R702" i="12"/>
  <c r="R1185" i="12" s="1"/>
  <c r="R706" i="12"/>
  <c r="R710" i="12"/>
  <c r="R714" i="12"/>
  <c r="R718" i="12"/>
  <c r="Q2064" i="16"/>
  <c r="Q2092" i="16" s="1"/>
  <c r="Q2050" i="16"/>
  <c r="Q2054" i="16"/>
  <c r="P1477" i="12"/>
  <c r="P1634" i="12" s="1"/>
  <c r="Q2046" i="16"/>
  <c r="Q2081" i="16"/>
  <c r="R47" i="20"/>
  <c r="P1468" i="12"/>
  <c r="P1633" i="12" s="1"/>
  <c r="R904" i="16"/>
  <c r="R448" i="16"/>
  <c r="R1157" i="12"/>
  <c r="R153" i="20"/>
  <c r="R1728" i="12"/>
  <c r="R1678" i="12"/>
  <c r="R894" i="20"/>
  <c r="R328" i="16"/>
  <c r="R1740" i="12"/>
  <c r="R1806" i="12"/>
  <c r="R2031" i="16"/>
  <c r="R1830" i="12"/>
  <c r="R99" i="16"/>
  <c r="R1750" i="12"/>
  <c r="R1592" i="16"/>
  <c r="R1716" i="12"/>
  <c r="R435" i="16"/>
  <c r="Q1450" i="12"/>
  <c r="R202" i="16"/>
  <c r="R1318" i="16"/>
  <c r="R1557" i="16"/>
  <c r="R1835" i="16"/>
  <c r="R460" i="16" s="1"/>
  <c r="R698" i="12"/>
  <c r="R26" i="22"/>
  <c r="R141" i="20"/>
  <c r="Q1519" i="12"/>
  <c r="R64" i="20"/>
  <c r="R198" i="16"/>
  <c r="R1669" i="12"/>
  <c r="R1695" i="12"/>
  <c r="R1831" i="12"/>
  <c r="R629" i="12"/>
  <c r="R408" i="16"/>
  <c r="Q1565" i="12"/>
  <c r="R1780" i="12"/>
  <c r="R1731" i="12"/>
  <c r="R276" i="16"/>
  <c r="R84" i="20"/>
  <c r="R158" i="20"/>
  <c r="R940" i="12"/>
  <c r="R44" i="11"/>
  <c r="R112" i="22"/>
  <c r="R1422" i="16"/>
  <c r="P699" i="16"/>
  <c r="Q18" i="18"/>
  <c r="Q23" i="18" s="1"/>
  <c r="Q77" i="18"/>
  <c r="Q110" i="18"/>
  <c r="Q48" i="18"/>
  <c r="Q53" i="18" s="1"/>
  <c r="Q365" i="20"/>
  <c r="Q101" i="18"/>
  <c r="Q119" i="18"/>
  <c r="Q68" i="18"/>
  <c r="P216" i="20"/>
  <c r="P246" i="20" s="1"/>
  <c r="Q86" i="18"/>
  <c r="R1290" i="16"/>
  <c r="R30" i="16"/>
  <c r="R231" i="11"/>
  <c r="R1723" i="12"/>
  <c r="R1404" i="12"/>
  <c r="R1794" i="12"/>
  <c r="R71" i="20"/>
  <c r="R1682" i="12"/>
  <c r="R1811" i="12"/>
  <c r="R622" i="16"/>
  <c r="R1732" i="12"/>
  <c r="R73" i="12"/>
  <c r="R431" i="16"/>
  <c r="R1798" i="12"/>
  <c r="R1727" i="12"/>
  <c r="R425" i="16"/>
  <c r="R1408" i="16"/>
  <c r="R573" i="16"/>
  <c r="R130" i="22"/>
  <c r="R417" i="16"/>
  <c r="R12" i="20"/>
  <c r="R25" i="20" s="1"/>
  <c r="R1188" i="20" s="1"/>
  <c r="R147" i="20"/>
  <c r="Q1502" i="12"/>
  <c r="Q1572" i="12"/>
  <c r="Q1490" i="12"/>
  <c r="R1582" i="16"/>
  <c r="R2163" i="16" s="1"/>
  <c r="R131" i="16"/>
  <c r="R353" i="16"/>
  <c r="R117" i="20"/>
  <c r="R62" i="20"/>
  <c r="R160" i="20"/>
  <c r="R1744" i="12"/>
  <c r="R100" i="12"/>
  <c r="R240" i="11"/>
  <c r="R1704" i="12"/>
  <c r="R1835" i="12"/>
  <c r="R95" i="11"/>
  <c r="R126" i="20"/>
  <c r="R1751" i="12"/>
  <c r="R124" i="11"/>
  <c r="R103" i="20"/>
  <c r="R1394" i="16"/>
  <c r="R114" i="12"/>
  <c r="R96" i="20"/>
  <c r="R1757" i="12"/>
  <c r="R23" i="12"/>
  <c r="R334" i="10"/>
  <c r="R1788" i="12"/>
  <c r="R1667" i="12"/>
  <c r="R180" i="11"/>
  <c r="R615" i="16"/>
  <c r="R1797" i="12"/>
  <c r="R1787" i="12"/>
  <c r="R12" i="22"/>
  <c r="R12" i="11"/>
  <c r="R1735" i="12"/>
  <c r="R277" i="16"/>
  <c r="R53" i="11"/>
  <c r="R1772" i="12"/>
  <c r="R2032" i="16"/>
  <c r="R2058" i="16" s="1"/>
  <c r="R2086" i="16" s="1"/>
  <c r="R32" i="12"/>
  <c r="R1832" i="12"/>
  <c r="R196" i="20"/>
  <c r="R63" i="12"/>
  <c r="R1683" i="12"/>
  <c r="R137" i="20"/>
  <c r="R222" i="11"/>
  <c r="R1833" i="16"/>
  <c r="R458" i="16" s="1"/>
  <c r="R46" i="16"/>
  <c r="R354" i="16"/>
  <c r="R57" i="20"/>
  <c r="R1945" i="16"/>
  <c r="R65" i="20"/>
  <c r="R121" i="22"/>
  <c r="R362" i="16"/>
  <c r="R192" i="20"/>
  <c r="R603" i="12"/>
  <c r="Q1435" i="12"/>
  <c r="Q1449" i="12"/>
  <c r="Q1505" i="12"/>
  <c r="R126" i="16"/>
  <c r="R157" i="20"/>
  <c r="R1783" i="12"/>
  <c r="R201" i="11"/>
  <c r="R564" i="16"/>
  <c r="R1818" i="12"/>
  <c r="R91" i="12"/>
  <c r="R1677" i="12"/>
  <c r="R1796" i="12"/>
  <c r="R1421" i="12"/>
  <c r="R1593" i="12" s="1"/>
  <c r="R170" i="20"/>
  <c r="R268" i="16"/>
  <c r="R1644" i="12"/>
  <c r="R1712" i="12"/>
  <c r="R1398" i="12"/>
  <c r="R1715" i="12"/>
  <c r="R786" i="16"/>
  <c r="R1803" i="12"/>
  <c r="R1824" i="12"/>
  <c r="R190" i="20"/>
  <c r="R1666" i="12"/>
  <c r="R1725" i="12"/>
  <c r="R1516" i="16"/>
  <c r="R1399" i="12"/>
  <c r="R1736" i="12"/>
  <c r="R151" i="20"/>
  <c r="R1664" i="12"/>
  <c r="R80" i="20"/>
  <c r="R1820" i="12"/>
  <c r="R2044" i="16"/>
  <c r="R169" i="20"/>
  <c r="R360" i="16"/>
  <c r="R63" i="18"/>
  <c r="R1325" i="16"/>
  <c r="R60" i="20"/>
  <c r="R1668" i="12"/>
  <c r="R279" i="16"/>
  <c r="Q1454" i="12"/>
  <c r="R79" i="16"/>
  <c r="R208" i="16"/>
  <c r="Q1512" i="12"/>
  <c r="Q1497" i="12"/>
  <c r="Q1557" i="12"/>
  <c r="Q1442" i="12"/>
  <c r="Q1486" i="12"/>
  <c r="Q1466" i="12"/>
  <c r="Q1531" i="12"/>
  <c r="Q1463" i="12"/>
  <c r="Q1509" i="12"/>
  <c r="Q1562" i="12"/>
  <c r="Q1599" i="12"/>
  <c r="Q1453" i="12"/>
  <c r="Q1424" i="12"/>
  <c r="Q1554" i="12"/>
  <c r="Q1546" i="12"/>
  <c r="Q1473" i="12"/>
  <c r="Q1464" i="12"/>
  <c r="Q1596" i="12"/>
  <c r="Q1536" i="12"/>
  <c r="Q1582" i="12"/>
  <c r="Q1564" i="12"/>
  <c r="Q1443" i="12"/>
  <c r="Q1476" i="12"/>
  <c r="Q1431" i="12"/>
  <c r="Q1538" i="12"/>
  <c r="Q1575" i="12"/>
  <c r="Q1482" i="12"/>
  <c r="Q1576" i="12"/>
  <c r="Q1433" i="12"/>
  <c r="Q1530" i="12"/>
  <c r="Q1515" i="12"/>
  <c r="Q1472" i="12"/>
  <c r="Q1558" i="12"/>
  <c r="Q1541" i="12"/>
  <c r="Q1537" i="12"/>
  <c r="Q1529" i="12"/>
  <c r="Q1600" i="12"/>
  <c r="Q1540" i="12"/>
  <c r="Q1555" i="12"/>
  <c r="Q1498" i="12"/>
  <c r="Q1532" i="12"/>
  <c r="Q1432" i="12"/>
  <c r="Q1584" i="12"/>
  <c r="Q1451" i="12"/>
  <c r="Q1589" i="12"/>
  <c r="Q1491" i="12"/>
  <c r="Q1598" i="12"/>
  <c r="Q1496" i="12"/>
  <c r="Q1465" i="12"/>
  <c r="Q1581" i="12"/>
  <c r="Q1483" i="12"/>
  <c r="Q1494" i="12"/>
  <c r="Q1561" i="12"/>
  <c r="Q1508" i="12"/>
  <c r="Q1488" i="12"/>
  <c r="Q1484" i="12"/>
  <c r="Q1560" i="12"/>
  <c r="Q1499" i="12"/>
  <c r="Q1455" i="12"/>
  <c r="Q1550" i="12"/>
  <c r="Q1587" i="12"/>
  <c r="Q1437" i="12"/>
  <c r="Q1504" i="12"/>
  <c r="Q1430" i="12"/>
  <c r="Q1553" i="12"/>
  <c r="Q1434" i="12"/>
  <c r="Q1514" i="12"/>
  <c r="Q1548" i="12"/>
  <c r="Q1517" i="12"/>
  <c r="Q1545" i="12"/>
  <c r="Q1559" i="12"/>
  <c r="Q1573" i="12"/>
  <c r="Q1516" i="12"/>
  <c r="Q1591" i="12"/>
  <c r="Q1583" i="12"/>
  <c r="Q1511" i="12"/>
  <c r="Q1507" i="12"/>
  <c r="Q1428" i="12"/>
  <c r="Q1440" i="12"/>
  <c r="Q1460" i="12"/>
  <c r="Q1503" i="12"/>
  <c r="Q1574" i="12"/>
  <c r="Q1556" i="12"/>
  <c r="Q1427" i="12"/>
  <c r="Q1467" i="12"/>
  <c r="Q1563" i="12"/>
  <c r="Q1566" i="12"/>
  <c r="Q1462" i="12"/>
  <c r="Q1429" i="12"/>
  <c r="Q1459" i="12"/>
  <c r="Q1493" i="12"/>
  <c r="Q1520" i="12"/>
  <c r="Q1595" i="12"/>
  <c r="Q1535" i="12"/>
  <c r="Q1456" i="12"/>
  <c r="Q1439" i="12"/>
  <c r="Q1436" i="12"/>
  <c r="Q1485" i="12"/>
  <c r="Q1533" i="12"/>
  <c r="Q1452" i="12"/>
  <c r="Q1542" i="12"/>
  <c r="Q1579" i="12"/>
  <c r="Q1527" i="12"/>
  <c r="Q1500" i="12"/>
  <c r="Q1543" i="12"/>
  <c r="Q1585" i="12"/>
  <c r="Q1487" i="12"/>
  <c r="Q1594" i="12"/>
  <c r="Q1492" i="12"/>
  <c r="Q1458" i="12"/>
  <c r="Q1521" i="12"/>
  <c r="Q1513" i="12"/>
  <c r="Q1551" i="12"/>
  <c r="Q1448" i="12"/>
  <c r="Q1571" i="12"/>
  <c r="Q1506" i="12"/>
  <c r="Q1577" i="12"/>
  <c r="Q1592" i="12"/>
  <c r="Q1461" i="12"/>
  <c r="Q1593" i="12"/>
  <c r="Q1495" i="12"/>
  <c r="Q1518" i="12"/>
  <c r="Q1552" i="12"/>
  <c r="Q1547" i="12"/>
  <c r="Q1549" i="12"/>
  <c r="Q1426" i="12"/>
  <c r="Q1510" i="12"/>
  <c r="Q1544" i="12"/>
  <c r="Q1501" i="12"/>
  <c r="Q1539" i="12"/>
  <c r="Q1457" i="12"/>
  <c r="Q1590" i="12"/>
  <c r="Q1586" i="12"/>
  <c r="Q1578" i="12"/>
  <c r="Q1597" i="12"/>
  <c r="Q1588" i="12"/>
  <c r="R159" i="20"/>
  <c r="R1672" i="12"/>
  <c r="R171" i="11"/>
  <c r="R122" i="20"/>
  <c r="R1706" i="12"/>
  <c r="R42" i="12"/>
  <c r="R67" i="20"/>
  <c r="R1781" i="12"/>
  <c r="R1697" i="12"/>
  <c r="R104" i="11"/>
  <c r="R68" i="20"/>
  <c r="R1823" i="12"/>
  <c r="R327" i="16"/>
  <c r="R1640" i="12"/>
  <c r="R70" i="16"/>
  <c r="R156" i="20"/>
  <c r="R1665" i="12"/>
  <c r="R1880" i="12"/>
  <c r="R1919" i="12" s="1"/>
  <c r="R1849" i="16"/>
  <c r="R1638" i="12"/>
  <c r="R1774" i="12"/>
  <c r="R1688" i="12"/>
  <c r="R1163" i="12"/>
  <c r="R1773" i="12"/>
  <c r="R98" i="10"/>
  <c r="R1815" i="12"/>
  <c r="R154" i="20"/>
  <c r="R1769" i="12"/>
  <c r="R173" i="20"/>
  <c r="R88" i="22"/>
  <c r="R361" i="16"/>
  <c r="R127" i="20"/>
  <c r="R1917" i="16"/>
  <c r="R152" i="20"/>
  <c r="R1836" i="12"/>
  <c r="R63" i="20"/>
  <c r="Q1438" i="12"/>
  <c r="Q1441" i="12"/>
  <c r="R1207" i="16"/>
  <c r="R255" i="16" s="1"/>
  <c r="R1749" i="12"/>
  <c r="R1680" i="12"/>
  <c r="R1700" i="12"/>
  <c r="R12" i="18"/>
  <c r="R616" i="16"/>
  <c r="R1703" i="12"/>
  <c r="R155" i="20"/>
  <c r="R1639" i="12"/>
  <c r="R1813" i="12"/>
  <c r="R1722" i="12"/>
  <c r="R1775" i="12"/>
  <c r="R432" i="16"/>
  <c r="R161" i="20"/>
  <c r="R1705" i="12"/>
  <c r="R1729" i="12"/>
  <c r="R1689" i="12"/>
  <c r="R1792" i="12"/>
  <c r="R1673" i="12"/>
  <c r="R1737" i="12"/>
  <c r="R575" i="16"/>
  <c r="R219" i="10"/>
  <c r="R358" i="16"/>
  <c r="R93" i="20"/>
  <c r="R1828" i="12"/>
  <c r="R1401" i="16"/>
  <c r="R38" i="16"/>
  <c r="R194" i="20"/>
  <c r="Q1489" i="12"/>
  <c r="Q1580" i="12"/>
  <c r="R40" i="20"/>
  <c r="Q770" i="16"/>
  <c r="Q232" i="20" s="1"/>
  <c r="Q779" i="16"/>
  <c r="Q241" i="20" s="1"/>
  <c r="R1690" i="12"/>
  <c r="R1400" i="12"/>
  <c r="R1738" i="12"/>
  <c r="R94" i="20"/>
  <c r="R278" i="16"/>
  <c r="R455" i="16"/>
  <c r="R1679" i="12"/>
  <c r="R574" i="16"/>
  <c r="R329" i="16"/>
  <c r="R1181" i="12"/>
  <c r="R617" i="12"/>
  <c r="R621" i="16"/>
  <c r="R1804" i="12"/>
  <c r="R1730" i="12"/>
  <c r="R1353" i="16"/>
  <c r="R1733" i="12"/>
  <c r="R1501" i="16"/>
  <c r="R364" i="16" s="1"/>
  <c r="R1779" i="12"/>
  <c r="R1805" i="12"/>
  <c r="R12" i="10"/>
  <c r="R1838" i="12"/>
  <c r="R281" i="16"/>
  <c r="R1767" i="12"/>
  <c r="R1747" i="12"/>
  <c r="R423" i="16"/>
  <c r="R269" i="16"/>
  <c r="R1661" i="12"/>
  <c r="R1790" i="12"/>
  <c r="R355" i="16"/>
  <c r="R1789" i="12"/>
  <c r="R1671" i="12"/>
  <c r="R1802" i="12"/>
  <c r="R171" i="20"/>
  <c r="R1297" i="16"/>
  <c r="R444" i="16"/>
  <c r="R144" i="20"/>
  <c r="R1745" i="12"/>
  <c r="R270" i="16"/>
  <c r="R451" i="16"/>
  <c r="R20" i="22"/>
  <c r="Q1528" i="12"/>
  <c r="Q1474" i="12"/>
  <c r="R203" i="16"/>
  <c r="R205" i="16"/>
  <c r="R117" i="16"/>
  <c r="R122" i="16"/>
  <c r="R44" i="20"/>
  <c r="R34" i="20"/>
  <c r="R1172" i="16"/>
  <c r="R135" i="16"/>
  <c r="R102" i="16"/>
  <c r="R1476" i="16"/>
  <c r="R125" i="20"/>
  <c r="R131" i="20"/>
  <c r="R1836" i="16"/>
  <c r="R461" i="16" s="1"/>
  <c r="R436" i="16"/>
  <c r="R1938" i="16"/>
  <c r="R116" i="18"/>
  <c r="R178" i="20"/>
  <c r="R124" i="20"/>
  <c r="R434" i="16"/>
  <c r="R1833" i="12"/>
  <c r="R1784" i="12"/>
  <c r="R1674" i="12"/>
  <c r="R385" i="10"/>
  <c r="R489" i="10" s="1"/>
  <c r="R128" i="20"/>
  <c r="R2035" i="16"/>
  <c r="R2061" i="16" s="1"/>
  <c r="R2089" i="16" s="1"/>
  <c r="R447" i="16"/>
  <c r="R1782" i="12"/>
  <c r="R94" i="22"/>
  <c r="R100" i="20"/>
  <c r="R583" i="16"/>
  <c r="R426" i="16"/>
  <c r="R1777" i="12"/>
  <c r="R1606" i="16"/>
  <c r="R174" i="20"/>
  <c r="R121" i="20"/>
  <c r="R442" i="16"/>
  <c r="R429" i="16"/>
  <c r="R1490" i="16"/>
  <c r="R82" i="22"/>
  <c r="R118" i="20"/>
  <c r="R449" i="16"/>
  <c r="R356" i="16"/>
  <c r="R1676" i="12"/>
  <c r="R1693" i="12"/>
  <c r="R49" i="20"/>
  <c r="R12" i="16"/>
  <c r="R192" i="16" s="1"/>
  <c r="R1834" i="12"/>
  <c r="R32" i="8"/>
  <c r="R31" i="8" s="1"/>
  <c r="R68" i="18" s="1"/>
  <c r="R138" i="20"/>
  <c r="R438" i="16"/>
  <c r="R207" i="16"/>
  <c r="R213" i="16"/>
  <c r="R129" i="16"/>
  <c r="R109" i="16"/>
  <c r="R36" i="20"/>
  <c r="R33" i="20"/>
  <c r="R1179" i="16"/>
  <c r="R103" i="16"/>
  <c r="R1544" i="16"/>
  <c r="R175" i="20"/>
  <c r="R2038" i="16"/>
  <c r="R2051" i="16" s="1"/>
  <c r="R441" i="16"/>
  <c r="R1952" i="16"/>
  <c r="R1620" i="16"/>
  <c r="R29" i="18"/>
  <c r="R143" i="20"/>
  <c r="R617" i="16"/>
  <c r="R271" i="16"/>
  <c r="R1753" i="12"/>
  <c r="R1698" i="12"/>
  <c r="R1814" i="12"/>
  <c r="R46" i="10"/>
  <c r="R120" i="20"/>
  <c r="R129" i="20"/>
  <c r="R1502" i="16"/>
  <c r="R365" i="16" s="1"/>
  <c r="R1692" i="12"/>
  <c r="R107" i="18"/>
  <c r="R130" i="20"/>
  <c r="R2039" i="16"/>
  <c r="R2052" i="16" s="1"/>
  <c r="R433" i="16"/>
  <c r="R1691" i="12"/>
  <c r="R1469" i="16"/>
  <c r="R215" i="16"/>
  <c r="R121" i="16"/>
  <c r="R111" i="16"/>
  <c r="R108" i="16"/>
  <c r="R41" i="20"/>
  <c r="R43" i="20"/>
  <c r="R1193" i="16"/>
  <c r="R253" i="16" s="1"/>
  <c r="R98" i="16"/>
  <c r="R271" i="10"/>
  <c r="R176" i="20"/>
  <c r="R148" i="20"/>
  <c r="R618" i="16"/>
  <c r="R1497" i="16"/>
  <c r="R1441" i="16"/>
  <c r="R197" i="20"/>
  <c r="R59" i="20"/>
  <c r="R454" i="16"/>
  <c r="R197" i="16"/>
  <c r="R54" i="16"/>
  <c r="R1827" i="12"/>
  <c r="R1771" i="12"/>
  <c r="R68" i="22"/>
  <c r="R145" i="20"/>
  <c r="R619" i="16"/>
  <c r="R430" i="16"/>
  <c r="R1829" i="12"/>
  <c r="R59" i="22"/>
  <c r="R132" i="20"/>
  <c r="R577" i="16"/>
  <c r="R110" i="16"/>
  <c r="R106" i="16"/>
  <c r="R128" i="16"/>
  <c r="R113" i="16"/>
  <c r="R39" i="20"/>
  <c r="R35" i="20"/>
  <c r="R1186" i="16"/>
  <c r="R252" i="16" s="1"/>
  <c r="R1214" i="16"/>
  <c r="R256" i="16" s="1"/>
  <c r="R349" i="20"/>
  <c r="R915" i="12"/>
  <c r="R1930" i="12" s="1"/>
  <c r="R97" i="16"/>
  <c r="R363" i="10"/>
  <c r="R30" i="20"/>
  <c r="R2040" i="16"/>
  <c r="R2053" i="16" s="1"/>
  <c r="R427" i="16"/>
  <c r="R1483" i="16"/>
  <c r="R1304" i="16"/>
  <c r="R205" i="20"/>
  <c r="R31" i="20"/>
  <c r="R582" i="16"/>
  <c r="R274" i="16"/>
  <c r="R1785" i="12"/>
  <c r="R1743" i="12"/>
  <c r="R1910" i="16"/>
  <c r="R44" i="18"/>
  <c r="R135" i="20"/>
  <c r="R2085" i="16"/>
  <c r="R1504" i="16"/>
  <c r="R367" i="16" s="1"/>
  <c r="R1896" i="16"/>
  <c r="R188" i="20"/>
  <c r="R140" i="20"/>
  <c r="R446" i="16"/>
  <c r="R420" i="16"/>
  <c r="R1748" i="12"/>
  <c r="R1523" i="16"/>
  <c r="R193" i="20"/>
  <c r="R2057" i="16"/>
  <c r="R439" i="16"/>
  <c r="R1903" i="16"/>
  <c r="R1530" i="16"/>
  <c r="R136" i="20"/>
  <c r="R102" i="20"/>
  <c r="R280" i="16"/>
  <c r="R1770" i="12"/>
  <c r="R1800" i="12"/>
  <c r="R1826" i="12"/>
  <c r="R698" i="16"/>
  <c r="R359" i="16"/>
  <c r="R1734" i="12"/>
  <c r="R82" i="20"/>
  <c r="R133" i="20"/>
  <c r="R1837" i="12"/>
  <c r="R1742" i="12"/>
  <c r="R82" i="12"/>
  <c r="R1332" i="16"/>
  <c r="R283" i="16"/>
  <c r="R1776" i="12"/>
  <c r="R74" i="11"/>
  <c r="R41" i="22"/>
  <c r="R1713" i="12"/>
  <c r="R1739" i="12"/>
  <c r="R12" i="12"/>
  <c r="R2037" i="16"/>
  <c r="R2063" i="16" s="1"/>
  <c r="R1816" i="12"/>
  <c r="R200" i="16"/>
  <c r="R118" i="16"/>
  <c r="R120" i="16"/>
  <c r="R115" i="16"/>
  <c r="R114" i="16"/>
  <c r="R38" i="20"/>
  <c r="R37" i="20"/>
  <c r="R1200" i="16"/>
  <c r="R254" i="16" s="1"/>
  <c r="R29" i="8"/>
  <c r="R127" i="8" s="1"/>
  <c r="R104" i="16"/>
  <c r="R1931" i="16"/>
  <c r="R32" i="22"/>
  <c r="R61" i="20"/>
  <c r="R801" i="16"/>
  <c r="R272" i="16"/>
  <c r="R1578" i="16"/>
  <c r="R1462" i="16"/>
  <c r="R177" i="20"/>
  <c r="R119" i="20"/>
  <c r="R456" i="16"/>
  <c r="R428" i="16"/>
  <c r="R1699" i="12"/>
  <c r="R1758" i="12"/>
  <c r="R1564" i="16"/>
  <c r="R189" i="20"/>
  <c r="R83" i="18"/>
  <c r="R581" i="16"/>
  <c r="R437" i="16"/>
  <c r="R1448" i="16"/>
  <c r="R179" i="20"/>
  <c r="R99" i="20"/>
  <c r="R457" i="16"/>
  <c r="R1778" i="12"/>
  <c r="R1884" i="12"/>
  <c r="R300" i="10"/>
  <c r="R66" i="20"/>
  <c r="R2033" i="16"/>
  <c r="R2059" i="16" s="1"/>
  <c r="R2087" i="16" s="1"/>
  <c r="R352" i="16"/>
  <c r="R1924" i="16"/>
  <c r="R413" i="10"/>
  <c r="R150" i="20"/>
  <c r="R191" i="20"/>
  <c r="R330" i="16"/>
  <c r="R1817" i="12"/>
  <c r="R1768" i="12"/>
  <c r="R22" i="16"/>
  <c r="R657" i="16"/>
  <c r="R779" i="16" s="1"/>
  <c r="R1752" i="12"/>
  <c r="R1754" i="12"/>
  <c r="R1834" i="16"/>
  <c r="R459" i="16" s="1"/>
  <c r="R69" i="20"/>
  <c r="R212" i="16"/>
  <c r="R206" i="16"/>
  <c r="R125" i="16"/>
  <c r="R105" i="16"/>
  <c r="R112" i="16"/>
  <c r="R45" i="20"/>
  <c r="R1151" i="16"/>
  <c r="R1221" i="16"/>
  <c r="R174" i="16"/>
  <c r="R95" i="16"/>
  <c r="R96" i="16"/>
  <c r="R1613" i="16"/>
  <c r="R74" i="18"/>
  <c r="R95" i="20"/>
  <c r="R625" i="16"/>
  <c r="R216" i="16"/>
  <c r="R1537" i="16"/>
  <c r="R190" i="10"/>
  <c r="R142" i="20"/>
  <c r="R2036" i="16"/>
  <c r="R2062" i="16" s="1"/>
  <c r="R2090" i="16" s="1"/>
  <c r="R419" i="16"/>
  <c r="R1786" i="12"/>
  <c r="R1756" i="12"/>
  <c r="R1746" i="12"/>
  <c r="R1877" i="16"/>
  <c r="R172" i="20"/>
  <c r="R116" i="20"/>
  <c r="R578" i="16"/>
  <c r="R424" i="16"/>
  <c r="R1585" i="16"/>
  <c r="R96" i="18"/>
  <c r="R72" i="20"/>
  <c r="R443" i="16"/>
  <c r="R1825" i="12"/>
  <c r="R1571" i="16"/>
  <c r="R103" i="22"/>
  <c r="R123" i="20"/>
  <c r="R579" i="16"/>
  <c r="R422" i="16"/>
  <c r="R1455" i="16"/>
  <c r="R75" i="10"/>
  <c r="R85" i="20"/>
  <c r="R624" i="16"/>
  <c r="R357" i="16"/>
  <c r="R1801" i="12"/>
  <c r="R1759" i="12"/>
  <c r="R156" i="10"/>
  <c r="R421" i="16"/>
  <c r="R1694" i="12"/>
  <c r="R113" i="11"/>
  <c r="R1144" i="16"/>
  <c r="R620" i="16"/>
  <c r="R1840" i="12"/>
  <c r="R1670" i="12"/>
  <c r="S28" i="8"/>
  <c r="R195" i="20"/>
  <c r="R1821" i="12"/>
  <c r="R1726" i="12"/>
  <c r="R1503" i="16"/>
  <c r="R366" i="16" s="1"/>
  <c r="R2041" i="16"/>
  <c r="R2054" i="16" s="1"/>
  <c r="R1707" i="12"/>
  <c r="R1795" i="12"/>
  <c r="R1627" i="16"/>
  <c r="R199" i="16"/>
  <c r="R210" i="16"/>
  <c r="R124" i="16"/>
  <c r="R119" i="16"/>
  <c r="R116" i="16"/>
  <c r="R46" i="20"/>
  <c r="R1165" i="16"/>
  <c r="R141" i="16"/>
  <c r="R101" i="16"/>
  <c r="R100" i="16"/>
  <c r="R1599" i="16"/>
  <c r="R146" i="20"/>
  <c r="R70" i="20"/>
  <c r="R580" i="16"/>
  <c r="R282" i="16"/>
  <c r="R1889" i="16"/>
  <c r="R127" i="10"/>
  <c r="R134" i="20"/>
  <c r="R623" i="16"/>
  <c r="R1500" i="16"/>
  <c r="R363" i="16" s="1"/>
  <c r="R1696" i="12"/>
  <c r="R1724" i="12"/>
  <c r="R62" i="16"/>
  <c r="R1339" i="16"/>
  <c r="R139" i="20"/>
  <c r="R187" i="20"/>
  <c r="R452" i="16"/>
  <c r="R1879" i="12"/>
  <c r="R1918" i="12" s="1"/>
  <c r="R1283" i="16"/>
  <c r="R97" i="20"/>
  <c r="R2034" i="16"/>
  <c r="R2060" i="16" s="1"/>
  <c r="R2088" i="16" s="1"/>
  <c r="R1434" i="16"/>
  <c r="R1701" i="12"/>
  <c r="R242" i="10"/>
  <c r="R162" i="11"/>
  <c r="R1755" i="12"/>
  <c r="R1760" i="12"/>
  <c r="R1799" i="12"/>
  <c r="R326" i="16"/>
  <c r="R50" i="22"/>
  <c r="R1812" i="12"/>
  <c r="R1702" i="12"/>
  <c r="R418" i="16"/>
  <c r="R445" i="16"/>
  <c r="R1675" i="12"/>
  <c r="R921" i="12"/>
  <c r="R98" i="20"/>
  <c r="R1793" i="12"/>
  <c r="R1819" i="12"/>
  <c r="R1837" i="16"/>
  <c r="R462" i="16" s="1"/>
  <c r="R273" i="16"/>
  <c r="R35" i="11"/>
  <c r="R1822" i="12"/>
  <c r="R1761" i="12"/>
  <c r="R1311" i="16"/>
  <c r="R1714" i="12"/>
  <c r="R275" i="16"/>
  <c r="R81" i="20"/>
  <c r="R1839" i="12"/>
  <c r="R576" i="16"/>
  <c r="R83" i="20"/>
  <c r="R1878" i="12"/>
  <c r="R1916" i="12" s="1"/>
  <c r="R440" i="16"/>
  <c r="R58" i="20"/>
  <c r="R1741" i="12"/>
  <c r="R1791" i="12"/>
  <c r="R325" i="16"/>
  <c r="R101" i="20"/>
  <c r="R1346" i="16"/>
  <c r="R453" i="16"/>
  <c r="R149" i="20"/>
  <c r="R1681" i="12"/>
  <c r="R450" i="16"/>
  <c r="R2071" i="16"/>
  <c r="R1415" i="16"/>
  <c r="Q1425" i="12"/>
  <c r="Q1475" i="12"/>
  <c r="R1287" i="16"/>
  <c r="R127" i="16"/>
  <c r="R1634" i="16"/>
  <c r="R1473" i="16"/>
  <c r="R1914" i="16"/>
  <c r="R2210" i="16" s="1"/>
  <c r="R1589" i="16"/>
  <c r="R384" i="20"/>
  <c r="R485" i="20"/>
  <c r="R1301" i="16"/>
  <c r="R1308" i="16"/>
  <c r="R2115" i="16" s="1"/>
  <c r="R874" i="16"/>
  <c r="R335" i="20"/>
  <c r="R898" i="16"/>
  <c r="R886" i="16"/>
  <c r="Q2066" i="16"/>
  <c r="Q2094" i="16" s="1"/>
  <c r="Q2077" i="16"/>
  <c r="H324" i="25"/>
  <c r="R1412" i="16"/>
  <c r="R2138" i="16" s="1"/>
  <c r="R1155" i="16"/>
  <c r="R1280" i="16"/>
  <c r="R2118" i="16" s="1"/>
  <c r="R1169" i="16"/>
  <c r="R1886" i="16"/>
  <c r="H465" i="25"/>
  <c r="R356" i="20"/>
  <c r="R328" i="20"/>
  <c r="R1322" i="16"/>
  <c r="H277" i="25"/>
  <c r="R845" i="20"/>
  <c r="R847" i="20" s="1"/>
  <c r="R1134" i="16"/>
  <c r="R1158" i="16"/>
  <c r="R48" i="20"/>
  <c r="R32" i="20"/>
  <c r="R130" i="16"/>
  <c r="R132" i="16"/>
  <c r="R107" i="16"/>
  <c r="R209" i="16"/>
  <c r="R201" i="16"/>
  <c r="R204" i="16"/>
  <c r="R471" i="20"/>
  <c r="R1162" i="16"/>
  <c r="R880" i="16"/>
  <c r="R892" i="16"/>
  <c r="R478" i="20"/>
  <c r="R42" i="20"/>
  <c r="R123" i="16"/>
  <c r="R133" i="16"/>
  <c r="R134" i="16"/>
  <c r="R214" i="16"/>
  <c r="R211" i="16"/>
  <c r="R461" i="20"/>
  <c r="O1641" i="12"/>
  <c r="O1651" i="12" s="1"/>
  <c r="R157" i="16"/>
  <c r="R35" i="8"/>
  <c r="Q116" i="12"/>
  <c r="G256" i="25"/>
  <c r="G255" i="25"/>
  <c r="Q86" i="20"/>
  <c r="Q1205" i="20" s="1"/>
  <c r="Q264" i="12"/>
  <c r="I13" i="25"/>
  <c r="I48" i="25" s="1"/>
  <c r="Q585" i="12"/>
  <c r="Q161" i="12"/>
  <c r="Q306" i="12"/>
  <c r="Q520" i="12"/>
  <c r="I73" i="25"/>
  <c r="I119" i="25" s="1"/>
  <c r="I127" i="25" s="1"/>
  <c r="I138" i="25" s="1"/>
  <c r="I146" i="25" s="1"/>
  <c r="Q594" i="12"/>
  <c r="Q206" i="12"/>
  <c r="Q434" i="12"/>
  <c r="R1148" i="16"/>
  <c r="P1567" i="12"/>
  <c r="P1636" i="12" s="1"/>
  <c r="G136" i="25"/>
  <c r="G218" i="25"/>
  <c r="G135" i="25"/>
  <c r="G217" i="25"/>
  <c r="H48" i="25"/>
  <c r="G201" i="25"/>
  <c r="G239" i="25" s="1"/>
  <c r="G258" i="25" s="1"/>
  <c r="G266" i="25" s="1"/>
  <c r="G209" i="25"/>
  <c r="G247" i="25" s="1"/>
  <c r="H371" i="25"/>
  <c r="H119" i="25"/>
  <c r="H127" i="25" s="1"/>
  <c r="H138" i="25" s="1"/>
  <c r="H146" i="25" s="1"/>
  <c r="F220" i="25"/>
  <c r="F228" i="25" s="1"/>
  <c r="Q807" i="16"/>
  <c r="H155" i="25"/>
  <c r="Q368" i="16"/>
  <c r="H1367" i="16"/>
  <c r="I1360" i="16" a="1"/>
  <c r="I1360" i="16" s="1"/>
  <c r="H1221" i="16"/>
  <c r="I1214" i="16" a="1"/>
  <c r="I1214" i="16" s="1"/>
  <c r="H1641" i="16"/>
  <c r="I1634" i="16" a="1"/>
  <c r="I1634" i="16" s="1"/>
  <c r="H1530" i="16"/>
  <c r="I1523" i="16" a="1"/>
  <c r="I1523" i="16" s="1"/>
  <c r="P1601" i="12"/>
  <c r="P1637" i="12" s="1"/>
  <c r="Q781" i="16"/>
  <c r="Q243" i="20" s="1"/>
  <c r="Q372" i="20"/>
  <c r="Q769" i="16"/>
  <c r="Q231" i="20" s="1"/>
  <c r="Q757" i="16"/>
  <c r="Q219" i="20" s="1"/>
  <c r="Q764" i="16"/>
  <c r="Q226" i="20" s="1"/>
  <c r="Q750" i="16"/>
  <c r="Q212" i="20" s="1"/>
  <c r="H62" i="25"/>
  <c r="Q753" i="16"/>
  <c r="Q215" i="20" s="1"/>
  <c r="Q745" i="16"/>
  <c r="Q207" i="20" s="1"/>
  <c r="Q756" i="16"/>
  <c r="Q218" i="20" s="1"/>
  <c r="Q780" i="16"/>
  <c r="Q242" i="20" s="1"/>
  <c r="Q767" i="16"/>
  <c r="Q229" i="20" s="1"/>
  <c r="Q763" i="16"/>
  <c r="Q225" i="20" s="1"/>
  <c r="Q748" i="16"/>
  <c r="Q210" i="20" s="1"/>
  <c r="Q761" i="16"/>
  <c r="Q223" i="20" s="1"/>
  <c r="Q331" i="16"/>
  <c r="Q806" i="16" s="1"/>
  <c r="Q1684" i="12"/>
  <c r="Q1872" i="12" s="1"/>
  <c r="Q1910" i="12" s="1"/>
  <c r="Q1717" i="12"/>
  <c r="Q1874" i="12" s="1"/>
  <c r="Q1912" i="12" s="1"/>
  <c r="P1522" i="12"/>
  <c r="P1635" i="12" s="1"/>
  <c r="P1444" i="12"/>
  <c r="P1632" i="12" s="1"/>
  <c r="Q896" i="12"/>
  <c r="Q916" i="12" s="1"/>
  <c r="Q1932" i="12" s="1"/>
  <c r="Q1149" i="16"/>
  <c r="Q783" i="16"/>
  <c r="Q245" i="20" s="1"/>
  <c r="Q758" i="16"/>
  <c r="Q220" i="20" s="1"/>
  <c r="Q746" i="16"/>
  <c r="Q208" i="20" s="1"/>
  <c r="Q754" i="16"/>
  <c r="Q216" i="20" s="1"/>
  <c r="Q751" i="16"/>
  <c r="Q213" i="20" s="1"/>
  <c r="Q2065" i="16"/>
  <c r="Q2079" i="16" s="1"/>
  <c r="Q1505" i="16"/>
  <c r="Q768" i="16"/>
  <c r="Q230" i="20" s="1"/>
  <c r="Q765" i="16"/>
  <c r="Q227" i="20" s="1"/>
  <c r="Q752" i="16"/>
  <c r="Q214" i="20" s="1"/>
  <c r="Q773" i="16"/>
  <c r="Q235" i="20" s="1"/>
  <c r="Q762" i="16"/>
  <c r="Q224" i="20" s="1"/>
  <c r="Q2062" i="16"/>
  <c r="Q2090" i="16" s="1"/>
  <c r="Q1762" i="12"/>
  <c r="Q1875" i="12" s="1"/>
  <c r="Q1913" i="12" s="1"/>
  <c r="Q1807" i="12"/>
  <c r="Q1876" i="12" s="1"/>
  <c r="Q1914" i="12" s="1"/>
  <c r="Q584" i="16"/>
  <c r="Q809" i="16" s="1"/>
  <c r="Q180" i="20"/>
  <c r="Q1208" i="20" s="1"/>
  <c r="Q996" i="12"/>
  <c r="Q1153" i="12" s="1"/>
  <c r="Q1708" i="12"/>
  <c r="Q1873" i="12" s="1"/>
  <c r="Q1911" i="12" s="1"/>
  <c r="Q1204" i="12"/>
  <c r="Q1392" i="12" s="1"/>
  <c r="Q744" i="16"/>
  <c r="Q206" i="20" s="1"/>
  <c r="Q772" i="16"/>
  <c r="Q234" i="20" s="1"/>
  <c r="Q771" i="16"/>
  <c r="Q233" i="20" s="1"/>
  <c r="Q759" i="16"/>
  <c r="Q221" i="20" s="1"/>
  <c r="Q776" i="16"/>
  <c r="Q238" i="20" s="1"/>
  <c r="Q2048" i="16"/>
  <c r="Q760" i="16"/>
  <c r="Q222" i="20" s="1"/>
  <c r="Q782" i="16"/>
  <c r="Q244" i="20" s="1"/>
  <c r="Q777" i="16"/>
  <c r="Q239" i="20" s="1"/>
  <c r="Q766" i="16"/>
  <c r="Q228" i="20" s="1"/>
  <c r="Q755" i="16"/>
  <c r="Q217" i="20" s="1"/>
  <c r="Q778" i="16"/>
  <c r="Q240" i="20" s="1"/>
  <c r="Q747" i="16"/>
  <c r="Q209" i="20" s="1"/>
  <c r="Q774" i="16"/>
  <c r="Q236" i="20" s="1"/>
  <c r="Q749" i="16"/>
  <c r="Q211" i="20" s="1"/>
  <c r="Q2042" i="16"/>
  <c r="Q811" i="16" s="1"/>
  <c r="Q136" i="16"/>
  <c r="Q1841" i="12"/>
  <c r="Q1877" i="12" s="1"/>
  <c r="Q1915" i="12" s="1"/>
  <c r="Q1147" i="12"/>
  <c r="Q1159" i="12" s="1"/>
  <c r="Q905" i="12"/>
  <c r="Q917" i="12" s="1"/>
  <c r="Q1933" i="12" s="1"/>
  <c r="Q799" i="12"/>
  <c r="Q912" i="12" s="1"/>
  <c r="R1459" i="16"/>
  <c r="Q1138" i="12"/>
  <c r="Q1158" i="12" s="1"/>
  <c r="Q745" i="12"/>
  <c r="Q910" i="12" s="1"/>
  <c r="Q1925" i="12" s="1"/>
  <c r="Q754" i="12"/>
  <c r="Q911" i="12" s="1"/>
  <c r="Q1926" i="12" s="1"/>
  <c r="Q626" i="16"/>
  <c r="Q810" i="16" s="1"/>
  <c r="D926" i="20"/>
  <c r="J922" i="20" a="1"/>
  <c r="J922" i="20" s="1"/>
  <c r="R1431" i="16"/>
  <c r="R2142" i="16" s="1"/>
  <c r="Q2210" i="16"/>
  <c r="Q1915" i="16"/>
  <c r="Q1432" i="16"/>
  <c r="R492" i="20"/>
  <c r="R1554" i="16"/>
  <c r="Q1555" i="16"/>
  <c r="Q721" i="12"/>
  <c r="Q909" i="12" s="1"/>
  <c r="Q1924" i="12" s="1"/>
  <c r="Q198" i="20"/>
  <c r="Q1209" i="20" s="1"/>
  <c r="Q73" i="20"/>
  <c r="Q1203" i="20" s="1"/>
  <c r="Q284" i="16"/>
  <c r="Q804" i="16" s="1"/>
  <c r="Q463" i="16"/>
  <c r="Q162" i="20"/>
  <c r="Q1207" i="20" s="1"/>
  <c r="Q1838" i="16"/>
  <c r="Q808" i="16"/>
  <c r="Q963" i="12"/>
  <c r="Q1151" i="12" s="1"/>
  <c r="Q844" i="12"/>
  <c r="Q913" i="12" s="1"/>
  <c r="Q1928" i="12" s="1"/>
  <c r="Q846" i="20"/>
  <c r="Q847" i="20"/>
  <c r="Q2206" i="16"/>
  <c r="Q1887" i="16"/>
  <c r="Q2118" i="16"/>
  <c r="R1419" i="16"/>
  <c r="R2139" i="16" s="1"/>
  <c r="Q1170" i="16"/>
  <c r="Q1281" i="16"/>
  <c r="Q493" i="20"/>
  <c r="Q494" i="20" s="1"/>
  <c r="Q878" i="12"/>
  <c r="Q914" i="12" s="1"/>
  <c r="Q1929" i="12" s="1"/>
  <c r="P1917" i="12"/>
  <c r="P1920" i="12" s="1"/>
  <c r="P1881" i="12"/>
  <c r="P1891" i="12" s="1"/>
  <c r="R1575" i="16"/>
  <c r="R2162" i="16" s="1"/>
  <c r="R1438" i="16"/>
  <c r="Q1576" i="16"/>
  <c r="R1405" i="16"/>
  <c r="R2137" i="16" s="1"/>
  <c r="Q1439" i="16"/>
  <c r="Q1156" i="16"/>
  <c r="Q1157" i="16" s="1"/>
  <c r="R1294" i="16"/>
  <c r="R2120" i="16" s="1"/>
  <c r="Q2113" i="16"/>
  <c r="Q1120" i="12"/>
  <c r="Q1156" i="12" s="1"/>
  <c r="Q987" i="12"/>
  <c r="Q1152" i="12" s="1"/>
  <c r="Q887" i="16"/>
  <c r="Q1041" i="12"/>
  <c r="Q1154" i="12" s="1"/>
  <c r="Q2138" i="16"/>
  <c r="R363" i="20"/>
  <c r="Q875" i="16"/>
  <c r="Q364" i="20"/>
  <c r="Q357" i="20"/>
  <c r="Q358" i="20" s="1"/>
  <c r="P805" i="16"/>
  <c r="Q1086" i="12"/>
  <c r="Q1155" i="12" s="1"/>
  <c r="Q893" i="16"/>
  <c r="P1160" i="12"/>
  <c r="P1170" i="12" s="1"/>
  <c r="P1171" i="12" s="1"/>
  <c r="Q1295" i="16"/>
  <c r="Q2115" i="16"/>
  <c r="Q2122" i="16"/>
  <c r="R1391" i="16"/>
  <c r="R2135" i="16" s="1"/>
  <c r="Q1406" i="16"/>
  <c r="Q1309" i="16"/>
  <c r="Q899" i="16"/>
  <c r="Q1413" i="16"/>
  <c r="Q1392" i="16"/>
  <c r="P2055" i="16"/>
  <c r="P796" i="16" s="1"/>
  <c r="M179" i="16"/>
  <c r="M52" i="10" s="1"/>
  <c r="M340" i="10" s="1"/>
  <c r="M158" i="16"/>
  <c r="N169" i="16"/>
  <c r="N179" i="16"/>
  <c r="N52" i="10" s="1"/>
  <c r="N340" i="10" s="1"/>
  <c r="N158" i="16"/>
  <c r="L84" i="16"/>
  <c r="L181" i="16"/>
  <c r="L180" i="16" s="1"/>
  <c r="K80" i="16"/>
  <c r="K176" i="16"/>
  <c r="M86" i="16"/>
  <c r="M83" i="16"/>
  <c r="S105" i="10"/>
  <c r="S380" i="10"/>
  <c r="P894" i="16"/>
  <c r="P164" i="16" s="1"/>
  <c r="P1420" i="16"/>
  <c r="P1421" i="16" s="1"/>
  <c r="P334" i="16" s="1"/>
  <c r="P791" i="16" s="1"/>
  <c r="O333" i="16"/>
  <c r="S370" i="10"/>
  <c r="I383" i="10"/>
  <c r="I418" i="10"/>
  <c r="I382" i="10"/>
  <c r="P1315" i="16"/>
  <c r="Q1315" i="16" s="1"/>
  <c r="Q2123" i="16" s="1"/>
  <c r="R1466" i="16"/>
  <c r="Q1467" i="16"/>
  <c r="O1886" i="12"/>
  <c r="O1316" i="16"/>
  <c r="O1317" i="16" s="1"/>
  <c r="L1360" i="16"/>
  <c r="Q2114" i="16"/>
  <c r="Q1446" i="16"/>
  <c r="P1894" i="16"/>
  <c r="P1895" i="16" s="1"/>
  <c r="Q1893" i="16"/>
  <c r="R1893" i="16" s="1"/>
  <c r="R2207" i="16" s="1"/>
  <c r="Q479" i="20"/>
  <c r="Q480" i="20" s="1"/>
  <c r="R1445" i="16"/>
  <c r="Q1302" i="16"/>
  <c r="Q2121" i="16"/>
  <c r="Q1453" i="16"/>
  <c r="Q2145" i="16"/>
  <c r="R1452" i="16"/>
  <c r="R2145" i="16" s="1"/>
  <c r="K909" i="20"/>
  <c r="K910" i="20" s="1"/>
  <c r="L908" i="20"/>
  <c r="L910" i="20" s="1"/>
  <c r="L915" i="20"/>
  <c r="L917" i="20" s="1"/>
  <c r="K916" i="20"/>
  <c r="K917" i="20" s="1"/>
  <c r="L2126" i="16"/>
  <c r="L1338" i="16"/>
  <c r="M1336" i="16"/>
  <c r="N1336" i="16" s="1"/>
  <c r="N2126" i="16" s="1"/>
  <c r="P1584" i="16"/>
  <c r="M535" i="20"/>
  <c r="M536" i="20" s="1"/>
  <c r="O1475" i="16"/>
  <c r="N1646" i="12"/>
  <c r="Q1447" i="16"/>
  <c r="Q1888" i="16"/>
  <c r="Q1393" i="16"/>
  <c r="Q1454" i="16"/>
  <c r="M1204" i="16"/>
  <c r="M1207" i="16" s="1"/>
  <c r="M255" i="16" s="1"/>
  <c r="Q1407" i="16"/>
  <c r="O1591" i="16"/>
  <c r="Q1414" i="16"/>
  <c r="Q1468" i="16"/>
  <c r="O334" i="16"/>
  <c r="O791" i="16" s="1"/>
  <c r="F1948" i="16"/>
  <c r="Q1577" i="16"/>
  <c r="P1916" i="16"/>
  <c r="Q1916" i="16" s="1"/>
  <c r="P1556" i="16"/>
  <c r="O1324" i="16"/>
  <c r="M1598" i="16"/>
  <c r="N1598" i="16" s="1"/>
  <c r="N1331" i="16"/>
  <c r="M1482" i="16"/>
  <c r="N1482" i="16" s="1"/>
  <c r="O1171" i="16"/>
  <c r="P1171" i="16" s="1"/>
  <c r="Q1171" i="16" s="1"/>
  <c r="P1282" i="16"/>
  <c r="O1143" i="16"/>
  <c r="P1150" i="16"/>
  <c r="D1350" i="16"/>
  <c r="F1349" i="16" s="1"/>
  <c r="K1350" i="16" s="1"/>
  <c r="O1603" i="16"/>
  <c r="P1603" i="16" s="1"/>
  <c r="Q1603" i="16" s="1"/>
  <c r="M2166" i="16"/>
  <c r="M1604" i="16"/>
  <c r="N1604" i="16" s="1"/>
  <c r="F1342" i="16"/>
  <c r="K1343" i="16" s="1"/>
  <c r="L1343" i="16" s="1"/>
  <c r="K1360" i="16"/>
  <c r="E1356" i="16"/>
  <c r="D1356" i="16" s="1"/>
  <c r="D1624" i="16"/>
  <c r="F1623" i="16" s="1"/>
  <c r="K1624" i="16" s="1"/>
  <c r="K1625" i="16" s="1"/>
  <c r="R1360" i="16"/>
  <c r="P1360" i="16"/>
  <c r="B1354" i="16"/>
  <c r="O1360" i="16"/>
  <c r="D1355" i="16"/>
  <c r="N1360" i="16"/>
  <c r="E1355" i="16"/>
  <c r="F1355" i="16" s="1"/>
  <c r="M1360" i="16"/>
  <c r="D1361" i="16"/>
  <c r="R1367" i="16" s="1"/>
  <c r="K1849" i="16"/>
  <c r="L1849" i="16"/>
  <c r="M1849" i="16"/>
  <c r="N1849" i="16"/>
  <c r="O1849" i="16"/>
  <c r="P1849" i="16"/>
  <c r="Q1849" i="16"/>
  <c r="P1433" i="16"/>
  <c r="Q486" i="20"/>
  <c r="Q487" i="20" s="1"/>
  <c r="R1907" i="16"/>
  <c r="R2209" i="16" s="1"/>
  <c r="Q1908" i="16"/>
  <c r="Q1909" i="16" s="1"/>
  <c r="Q350" i="20"/>
  <c r="Q351" i="20" s="1"/>
  <c r="O1165" i="12"/>
  <c r="O1172" i="12" s="1"/>
  <c r="Q2080" i="16"/>
  <c r="M55" i="10"/>
  <c r="N43" i="16"/>
  <c r="O41" i="16" s="1"/>
  <c r="O2235" i="16" s="1"/>
  <c r="O2247" i="16" s="1"/>
  <c r="N2259" i="16"/>
  <c r="N44" i="16" s="1"/>
  <c r="N85" i="16" s="1"/>
  <c r="N181" i="16" s="1"/>
  <c r="N35" i="16"/>
  <c r="O33" i="16" s="1"/>
  <c r="O2234" i="16" s="1"/>
  <c r="O2246" i="16" s="1"/>
  <c r="N2258" i="16"/>
  <c r="N36" i="16" s="1"/>
  <c r="N27" i="16"/>
  <c r="O25" i="16" s="1"/>
  <c r="O2233" i="16" s="1"/>
  <c r="O2245" i="16" s="1"/>
  <c r="N2257" i="16"/>
  <c r="N28" i="16" s="1"/>
  <c r="N82" i="16" s="1"/>
  <c r="N177" i="16" s="1"/>
  <c r="N75" i="16"/>
  <c r="O73" i="16" s="1"/>
  <c r="O2239" i="16" s="1"/>
  <c r="O2251" i="16" s="1"/>
  <c r="N2263" i="16"/>
  <c r="N76" i="16" s="1"/>
  <c r="N89" i="16" s="1"/>
  <c r="N185" i="16" s="1"/>
  <c r="N59" i="16"/>
  <c r="O57" i="16" s="1"/>
  <c r="O2237" i="16" s="1"/>
  <c r="O2249" i="16" s="1"/>
  <c r="N2261" i="16"/>
  <c r="N60" i="16" s="1"/>
  <c r="N87" i="16" s="1"/>
  <c r="N183" i="16" s="1"/>
  <c r="N51" i="16"/>
  <c r="O49" i="16" s="1"/>
  <c r="O2236" i="16" s="1"/>
  <c r="O2248" i="16" s="1"/>
  <c r="N2260" i="16"/>
  <c r="N52" i="16" s="1"/>
  <c r="N67" i="16"/>
  <c r="O65" i="16" s="1"/>
  <c r="O2238" i="16" s="1"/>
  <c r="O2250" i="16" s="1"/>
  <c r="N2262" i="16"/>
  <c r="N68" i="16" s="1"/>
  <c r="N88" i="16" s="1"/>
  <c r="N184" i="16" s="1"/>
  <c r="L19" i="16"/>
  <c r="M17" i="16" s="1"/>
  <c r="M2232" i="16" s="1"/>
  <c r="L2256" i="16"/>
  <c r="L2252" i="16"/>
  <c r="P377" i="20"/>
  <c r="Q377" i="20" s="1"/>
  <c r="N378" i="20"/>
  <c r="R1141" i="16"/>
  <c r="L1206" i="16"/>
  <c r="L1205" i="16"/>
  <c r="P1142" i="16"/>
  <c r="Q1142" i="16" s="1"/>
  <c r="L407" i="20"/>
  <c r="M1198" i="16"/>
  <c r="M1199" i="16" s="1"/>
  <c r="M392" i="20"/>
  <c r="L399" i="20"/>
  <c r="N391" i="20"/>
  <c r="O391" i="20" s="1"/>
  <c r="N1184" i="16"/>
  <c r="N1185" i="16" s="1"/>
  <c r="N1186" i="16"/>
  <c r="O1183" i="16"/>
  <c r="O1186" i="16" s="1"/>
  <c r="P372" i="20"/>
  <c r="N1197" i="16"/>
  <c r="N1200" i="16" s="1"/>
  <c r="N254" i="16" s="1"/>
  <c r="O371" i="20"/>
  <c r="R370" i="20"/>
  <c r="P1176" i="16"/>
  <c r="Q1176" i="16" s="1"/>
  <c r="M398" i="20"/>
  <c r="M400" i="20" s="1"/>
  <c r="N1177" i="16"/>
  <c r="O1177" i="16" s="1"/>
  <c r="N1193" i="16"/>
  <c r="N253" i="16" s="1"/>
  <c r="O1190" i="16"/>
  <c r="P1190" i="16" s="1"/>
  <c r="Q1190" i="16" s="1"/>
  <c r="R1190" i="16" s="1"/>
  <c r="N385" i="20"/>
  <c r="N386" i="20" s="1"/>
  <c r="N1191" i="16"/>
  <c r="N1192" i="16" s="1"/>
  <c r="L412" i="20"/>
  <c r="L414" i="20" s="1"/>
  <c r="L1211" i="16"/>
  <c r="L1214" i="16" s="1"/>
  <c r="L256" i="16" s="1"/>
  <c r="M405" i="20"/>
  <c r="M406" i="20" s="1"/>
  <c r="M912" i="16"/>
  <c r="K163" i="16"/>
  <c r="M916" i="16"/>
  <c r="D940" i="16"/>
  <c r="F939" i="16" s="1"/>
  <c r="K940" i="16" s="1"/>
  <c r="K941" i="16" s="1"/>
  <c r="K942" i="16" s="1"/>
  <c r="E950" i="16"/>
  <c r="F950" i="16" s="1"/>
  <c r="D950" i="16"/>
  <c r="C952" i="16"/>
  <c r="B949" i="16"/>
  <c r="D955" i="16"/>
  <c r="J954" i="16"/>
  <c r="E951" i="16"/>
  <c r="D945" i="16"/>
  <c r="I203" i="16"/>
  <c r="G36" i="20" s="1"/>
  <c r="O251" i="16"/>
  <c r="I205" i="16"/>
  <c r="G38" i="20" s="1"/>
  <c r="O253" i="16"/>
  <c r="K1212" i="16"/>
  <c r="K1213" i="16" s="1"/>
  <c r="K1214" i="16"/>
  <c r="K256" i="16" s="1"/>
  <c r="D1217" i="16"/>
  <c r="D1218" i="16" s="1"/>
  <c r="F1217" i="16" s="1"/>
  <c r="D1229" i="16"/>
  <c r="Q1228" i="16"/>
  <c r="D1223" i="16"/>
  <c r="P1228" i="16"/>
  <c r="E1224" i="16"/>
  <c r="R1228" i="16"/>
  <c r="E1223" i="16"/>
  <c r="F1223" i="16" s="1"/>
  <c r="K1218" i="16"/>
  <c r="K419" i="20"/>
  <c r="K420" i="20" s="1"/>
  <c r="D423" i="20"/>
  <c r="C430" i="20"/>
  <c r="C432" i="20" s="1"/>
  <c r="C433" i="20" s="1"/>
  <c r="C424" i="20"/>
  <c r="K414" i="20"/>
  <c r="Q2112" i="16"/>
  <c r="Q2119" i="16"/>
  <c r="Q1288" i="16"/>
  <c r="Q1399" i="16"/>
  <c r="Q1400" i="16" s="1"/>
  <c r="R1398" i="16"/>
  <c r="Q329" i="20"/>
  <c r="Q330" i="20" s="1"/>
  <c r="P1289" i="16"/>
  <c r="Q500" i="20"/>
  <c r="Q501" i="20" s="1"/>
  <c r="R499" i="20"/>
  <c r="R1568" i="16"/>
  <c r="Q2074" i="16"/>
  <c r="Q1562" i="16"/>
  <c r="Q1563" i="16" s="1"/>
  <c r="R1561" i="16"/>
  <c r="R2160" i="16" s="1"/>
  <c r="P2069" i="16"/>
  <c r="N923" i="12"/>
  <c r="P918" i="12"/>
  <c r="P928" i="12" s="1"/>
  <c r="P929" i="12" s="1"/>
  <c r="P1931" i="12"/>
  <c r="P1934" i="12" s="1"/>
  <c r="Q472" i="20"/>
  <c r="O152" i="16"/>
  <c r="M57" i="10"/>
  <c r="R506" i="20"/>
  <c r="Q507" i="20"/>
  <c r="N911" i="16"/>
  <c r="M541" i="20"/>
  <c r="Q2163" i="16"/>
  <c r="L923" i="16"/>
  <c r="L924" i="16" s="1"/>
  <c r="Q336" i="20"/>
  <c r="Q337" i="20" s="1"/>
  <c r="O922" i="16"/>
  <c r="P922" i="16" s="1"/>
  <c r="L917" i="16"/>
  <c r="L542" i="20"/>
  <c r="K929" i="16"/>
  <c r="L928" i="16"/>
  <c r="Q514" i="20"/>
  <c r="Q1583" i="16"/>
  <c r="Q2076" i="16"/>
  <c r="O146" i="16"/>
  <c r="O162" i="16" s="1"/>
  <c r="O521" i="20"/>
  <c r="M2150" i="16"/>
  <c r="Q2164" i="16"/>
  <c r="L1943" i="16"/>
  <c r="M1488" i="16"/>
  <c r="N1488" i="16" s="1"/>
  <c r="L1612" i="16"/>
  <c r="P520" i="20"/>
  <c r="P522" i="20" s="1"/>
  <c r="N1929" i="16"/>
  <c r="O1929" i="16" s="1"/>
  <c r="L1611" i="16"/>
  <c r="O527" i="20"/>
  <c r="O529" i="20" s="1"/>
  <c r="N903" i="20"/>
  <c r="N902" i="20"/>
  <c r="O902" i="20" s="1"/>
  <c r="P901" i="20"/>
  <c r="Q901" i="20" s="1"/>
  <c r="M2213" i="16"/>
  <c r="O522" i="20"/>
  <c r="N528" i="20"/>
  <c r="R513" i="20"/>
  <c r="N529" i="20"/>
  <c r="P534" i="20"/>
  <c r="R1329" i="16"/>
  <c r="N536" i="20"/>
  <c r="M1942" i="16"/>
  <c r="N1942" i="16" s="1"/>
  <c r="N2214" i="16" s="1"/>
  <c r="L2214" i="16"/>
  <c r="M1936" i="16"/>
  <c r="M1937" i="16" s="1"/>
  <c r="C566" i="20"/>
  <c r="D561" i="20"/>
  <c r="C560" i="20"/>
  <c r="C561" i="20"/>
  <c r="C562" i="20" s="1"/>
  <c r="D560" i="20"/>
  <c r="E560" i="20" s="1"/>
  <c r="P895" i="20"/>
  <c r="Q895" i="20" s="1"/>
  <c r="P896" i="20"/>
  <c r="C940" i="20"/>
  <c r="C935" i="20"/>
  <c r="O1487" i="16"/>
  <c r="P1487" i="16" s="1"/>
  <c r="N2212" i="16"/>
  <c r="L1617" i="16"/>
  <c r="L2168" i="16" s="1"/>
  <c r="M1610" i="16"/>
  <c r="R1596" i="16"/>
  <c r="R1480" i="16"/>
  <c r="R910" i="16"/>
  <c r="N1935" i="16"/>
  <c r="P1928" i="16"/>
  <c r="P2212" i="16" s="1"/>
  <c r="N1494" i="16"/>
  <c r="P888" i="16"/>
  <c r="P161" i="16" s="1"/>
  <c r="P882" i="16"/>
  <c r="Q881" i="16"/>
  <c r="Q876" i="16"/>
  <c r="K930" i="16"/>
  <c r="P905" i="16"/>
  <c r="Q905" i="16" s="1"/>
  <c r="P900" i="16"/>
  <c r="O906" i="16"/>
  <c r="Q1460" i="16"/>
  <c r="Q1461" i="16" s="1"/>
  <c r="Q332" i="16"/>
  <c r="P1590" i="16"/>
  <c r="Q1590" i="16" s="1"/>
  <c r="N2166" i="16"/>
  <c r="P1474" i="16"/>
  <c r="O2165" i="16"/>
  <c r="O1597" i="16"/>
  <c r="P2164" i="16"/>
  <c r="K2168" i="16"/>
  <c r="K1618" i="16"/>
  <c r="K1619" i="16" s="1"/>
  <c r="E1630" i="16"/>
  <c r="D1630" i="16" s="1"/>
  <c r="M1634" i="16"/>
  <c r="E1629" i="16"/>
  <c r="F1629" i="16" s="1"/>
  <c r="N1634" i="16"/>
  <c r="Q1634" i="16"/>
  <c r="D1629" i="16"/>
  <c r="O1634" i="16"/>
  <c r="P1634" i="16"/>
  <c r="D1635" i="16"/>
  <c r="B1628" i="16"/>
  <c r="K1634" i="16"/>
  <c r="L1634" i="16"/>
  <c r="O1481" i="16"/>
  <c r="P2149" i="16"/>
  <c r="D1368" i="16"/>
  <c r="L1367" i="16"/>
  <c r="O1367" i="16"/>
  <c r="L2151" i="16"/>
  <c r="L1496" i="16"/>
  <c r="P2124" i="16"/>
  <c r="O2125" i="16"/>
  <c r="N2150" i="16"/>
  <c r="P1323" i="16"/>
  <c r="L1495" i="16"/>
  <c r="O1330" i="16"/>
  <c r="P2148" i="16"/>
  <c r="R1137" i="16"/>
  <c r="Q1135" i="16"/>
  <c r="P2096" i="16"/>
  <c r="P1136" i="16"/>
  <c r="Q2075" i="16"/>
  <c r="R2075" i="16" s="1"/>
  <c r="Q2089" i="16"/>
  <c r="T366" i="10"/>
  <c r="U79" i="10"/>
  <c r="P112" i="10"/>
  <c r="R65" i="22"/>
  <c r="R92" i="12" s="1"/>
  <c r="R89" i="10"/>
  <c r="R113" i="10" s="1"/>
  <c r="S38" i="22"/>
  <c r="S106" i="11" s="1"/>
  <c r="T33" i="22"/>
  <c r="T37" i="22" s="1"/>
  <c r="S71" i="10"/>
  <c r="T60" i="22"/>
  <c r="S64" i="22"/>
  <c r="R114" i="10"/>
  <c r="R84" i="10"/>
  <c r="R118" i="10" s="1"/>
  <c r="Q113" i="10"/>
  <c r="S56" i="22"/>
  <c r="S85" i="10"/>
  <c r="T51" i="22"/>
  <c r="T55" i="22" s="1"/>
  <c r="Q36" i="10"/>
  <c r="V22" i="20"/>
  <c r="U92" i="10"/>
  <c r="Q462" i="20"/>
  <c r="Q463" i="20" s="1"/>
  <c r="R2047" i="16"/>
  <c r="Q2073" i="16"/>
  <c r="P2082" i="16"/>
  <c r="P256" i="20" s="1"/>
  <c r="V15" i="22"/>
  <c r="V17" i="22" s="1"/>
  <c r="U77" i="10"/>
  <c r="R200" i="18"/>
  <c r="R199" i="18"/>
  <c r="Q201" i="18"/>
  <c r="Q1569" i="16" l="1"/>
  <c r="Q1570" i="16" s="1"/>
  <c r="N252" i="16"/>
  <c r="R2074" i="16"/>
  <c r="S126" i="8"/>
  <c r="R11" i="11"/>
  <c r="S27" i="8"/>
  <c r="S11" i="11" s="1"/>
  <c r="R11" i="18"/>
  <c r="R11" i="12"/>
  <c r="R11" i="20"/>
  <c r="R11" i="10"/>
  <c r="R11" i="16"/>
  <c r="R2050" i="16"/>
  <c r="R2045" i="16"/>
  <c r="R2072" i="16"/>
  <c r="R265" i="16"/>
  <c r="R53" i="20" s="1"/>
  <c r="Q2078" i="16"/>
  <c r="Q2082" i="16" s="1"/>
  <c r="Q256" i="20" s="1"/>
  <c r="Q1440" i="16"/>
  <c r="Q1310" i="16"/>
  <c r="Q1556" i="16"/>
  <c r="K1351" i="16"/>
  <c r="K1352" i="16" s="1"/>
  <c r="K2128" i="16"/>
  <c r="M2211" i="16"/>
  <c r="K1949" i="16"/>
  <c r="K1345" i="16"/>
  <c r="L1345" i="16" s="1"/>
  <c r="K2127" i="16"/>
  <c r="K1344" i="16"/>
  <c r="L1344" i="16" s="1"/>
  <c r="Q1303" i="16"/>
  <c r="O2208" i="16"/>
  <c r="P1900" i="16"/>
  <c r="L2211" i="16"/>
  <c r="L1923" i="16"/>
  <c r="N1921" i="16"/>
  <c r="N2211" i="16" s="1"/>
  <c r="L934" i="16"/>
  <c r="L1922" i="16"/>
  <c r="M1922" i="16" s="1"/>
  <c r="N1902" i="16"/>
  <c r="O1901" i="16"/>
  <c r="P1164" i="16"/>
  <c r="Q1164" i="16" s="1"/>
  <c r="Q1296" i="16"/>
  <c r="Q1433" i="16"/>
  <c r="R161" i="12"/>
  <c r="Q1150" i="16"/>
  <c r="E1362" i="16"/>
  <c r="F1362" i="16" s="1"/>
  <c r="R1233" i="12"/>
  <c r="R1237" i="12" s="1"/>
  <c r="R1394" i="12" s="1"/>
  <c r="S1144" i="12"/>
  <c r="S1146" i="12"/>
  <c r="S1143" i="12"/>
  <c r="S1142" i="12"/>
  <c r="S1145" i="12"/>
  <c r="S1136" i="12"/>
  <c r="S1135" i="12"/>
  <c r="S1137" i="12"/>
  <c r="S1134" i="12"/>
  <c r="S1133" i="12"/>
  <c r="S1095" i="12"/>
  <c r="S1103" i="12"/>
  <c r="S1111" i="12"/>
  <c r="S1119" i="12"/>
  <c r="S1093" i="12"/>
  <c r="S1092" i="12"/>
  <c r="S1100" i="12"/>
  <c r="S1108" i="12"/>
  <c r="S1116" i="12"/>
  <c r="S1101" i="12"/>
  <c r="S1097" i="12"/>
  <c r="S1105" i="12"/>
  <c r="S1113" i="12"/>
  <c r="S1094" i="12"/>
  <c r="S1102" i="12"/>
  <c r="S1110" i="12"/>
  <c r="S1118" i="12"/>
  <c r="S1117" i="12"/>
  <c r="S1091" i="12"/>
  <c r="S1099" i="12"/>
  <c r="S1107" i="12"/>
  <c r="S1115" i="12"/>
  <c r="S1096" i="12"/>
  <c r="S1104" i="12"/>
  <c r="S1112" i="12"/>
  <c r="S1090" i="12"/>
  <c r="S1098" i="12"/>
  <c r="S1106" i="12"/>
  <c r="S1114" i="12"/>
  <c r="S1109" i="12"/>
  <c r="S1051" i="12"/>
  <c r="S1059" i="12"/>
  <c r="S1067" i="12"/>
  <c r="S1075" i="12"/>
  <c r="S1083" i="12"/>
  <c r="S1055" i="12"/>
  <c r="S1048" i="12"/>
  <c r="S1056" i="12"/>
  <c r="S1064" i="12"/>
  <c r="S1072" i="12"/>
  <c r="S1080" i="12"/>
  <c r="S1063" i="12"/>
  <c r="S1053" i="12"/>
  <c r="S1061" i="12"/>
  <c r="S1069" i="12"/>
  <c r="S1077" i="12"/>
  <c r="S1085" i="12"/>
  <c r="S1047" i="12"/>
  <c r="S1071" i="12"/>
  <c r="S1050" i="12"/>
  <c r="S1058" i="12"/>
  <c r="S1066" i="12"/>
  <c r="S1074" i="12"/>
  <c r="S1082" i="12"/>
  <c r="S1052" i="12"/>
  <c r="S1060" i="12"/>
  <c r="S1068" i="12"/>
  <c r="S1076" i="12"/>
  <c r="S1084" i="12"/>
  <c r="S1062" i="12"/>
  <c r="S1049" i="12"/>
  <c r="S1057" i="12"/>
  <c r="S1065" i="12"/>
  <c r="S1073" i="12"/>
  <c r="S1081" i="12"/>
  <c r="S1046" i="12"/>
  <c r="S1054" i="12"/>
  <c r="S1070" i="12"/>
  <c r="S1079" i="12"/>
  <c r="S1078" i="12"/>
  <c r="S1006" i="12"/>
  <c r="S1014" i="12"/>
  <c r="S1022" i="12"/>
  <c r="S1030" i="12"/>
  <c r="S1038" i="12"/>
  <c r="S1003" i="12"/>
  <c r="S1011" i="12"/>
  <c r="S1019" i="12"/>
  <c r="S1027" i="12"/>
  <c r="S1035" i="12"/>
  <c r="S1008" i="12"/>
  <c r="S1016" i="12"/>
  <c r="S1024" i="12"/>
  <c r="S1032" i="12"/>
  <c r="S1040" i="12"/>
  <c r="S1004" i="12"/>
  <c r="S1005" i="12"/>
  <c r="S1013" i="12"/>
  <c r="S1021" i="12"/>
  <c r="S1029" i="12"/>
  <c r="S1037" i="12"/>
  <c r="S1002" i="12"/>
  <c r="S1010" i="12"/>
  <c r="S1018" i="12"/>
  <c r="S1026" i="12"/>
  <c r="S1034" i="12"/>
  <c r="S1007" i="12"/>
  <c r="S1015" i="12"/>
  <c r="S1023" i="12"/>
  <c r="S1031" i="12"/>
  <c r="S1039" i="12"/>
  <c r="S1012" i="12"/>
  <c r="S1001" i="12"/>
  <c r="S1009" i="12"/>
  <c r="S1017" i="12"/>
  <c r="S1025" i="12"/>
  <c r="S1033" i="12"/>
  <c r="S1036" i="12"/>
  <c r="S1020" i="12"/>
  <c r="S1028" i="12"/>
  <c r="S993" i="12"/>
  <c r="S995" i="12"/>
  <c r="S992" i="12"/>
  <c r="S994" i="12"/>
  <c r="S991" i="12"/>
  <c r="S972" i="12"/>
  <c r="S980" i="12"/>
  <c r="S986" i="12"/>
  <c r="S969" i="12"/>
  <c r="S977" i="12"/>
  <c r="S985" i="12"/>
  <c r="S974" i="12"/>
  <c r="S982" i="12"/>
  <c r="S971" i="12"/>
  <c r="S979" i="12"/>
  <c r="S970" i="12"/>
  <c r="S968" i="12"/>
  <c r="S976" i="12"/>
  <c r="S984" i="12"/>
  <c r="S978" i="12"/>
  <c r="S973" i="12"/>
  <c r="S981" i="12"/>
  <c r="S967" i="12"/>
  <c r="S975" i="12"/>
  <c r="S983" i="12"/>
  <c r="S902" i="12"/>
  <c r="S904" i="12"/>
  <c r="S901" i="12"/>
  <c r="S900" i="12"/>
  <c r="S903" i="12"/>
  <c r="P1406" i="12"/>
  <c r="S893" i="12"/>
  <c r="S895" i="12"/>
  <c r="S892" i="12"/>
  <c r="S894" i="12"/>
  <c r="S891" i="12"/>
  <c r="S853" i="12"/>
  <c r="S861" i="12"/>
  <c r="S869" i="12"/>
  <c r="S877" i="12"/>
  <c r="S870" i="12"/>
  <c r="S850" i="12"/>
  <c r="S858" i="12"/>
  <c r="S866" i="12"/>
  <c r="S874" i="12"/>
  <c r="S862" i="12"/>
  <c r="S875" i="12"/>
  <c r="S855" i="12"/>
  <c r="S863" i="12"/>
  <c r="S871" i="12"/>
  <c r="S852" i="12"/>
  <c r="S1335" i="12" s="1"/>
  <c r="S860" i="12"/>
  <c r="S868" i="12"/>
  <c r="S876" i="12"/>
  <c r="S854" i="12"/>
  <c r="S849" i="12"/>
  <c r="S1332" i="12" s="1"/>
  <c r="S857" i="12"/>
  <c r="S865" i="12"/>
  <c r="S873" i="12"/>
  <c r="S859" i="12"/>
  <c r="S848" i="12"/>
  <c r="S856" i="12"/>
  <c r="S864" i="12"/>
  <c r="S872" i="12"/>
  <c r="S851" i="12"/>
  <c r="S867" i="12"/>
  <c r="S809" i="12"/>
  <c r="S817" i="12"/>
  <c r="S825" i="12"/>
  <c r="S833" i="12"/>
  <c r="S841" i="12"/>
  <c r="S806" i="12"/>
  <c r="S814" i="12"/>
  <c r="S822" i="12"/>
  <c r="S830" i="12"/>
  <c r="S838" i="12"/>
  <c r="S807" i="12"/>
  <c r="S811" i="12"/>
  <c r="S819" i="12"/>
  <c r="S827" i="12"/>
  <c r="S835" i="12"/>
  <c r="S843" i="12"/>
  <c r="S815" i="12"/>
  <c r="S839" i="12"/>
  <c r="S808" i="12"/>
  <c r="S1291" i="12" s="1"/>
  <c r="S816" i="12"/>
  <c r="S824" i="12"/>
  <c r="S832" i="12"/>
  <c r="S840" i="12"/>
  <c r="S805" i="12"/>
  <c r="S1288" i="12" s="1"/>
  <c r="S813" i="12"/>
  <c r="S821" i="12"/>
  <c r="S829" i="12"/>
  <c r="S837" i="12"/>
  <c r="S831" i="12"/>
  <c r="S810" i="12"/>
  <c r="S818" i="12"/>
  <c r="S826" i="12"/>
  <c r="S834" i="12"/>
  <c r="S842" i="12"/>
  <c r="S804" i="12"/>
  <c r="S812" i="12"/>
  <c r="S820" i="12"/>
  <c r="S828" i="12"/>
  <c r="S836" i="12"/>
  <c r="S823" i="12"/>
  <c r="R1327" i="12"/>
  <c r="R1396" i="12" s="1"/>
  <c r="S764" i="12"/>
  <c r="S772" i="12"/>
  <c r="S780" i="12"/>
  <c r="S788" i="12"/>
  <c r="S796" i="12"/>
  <c r="S761" i="12"/>
  <c r="S769" i="12"/>
  <c r="S777" i="12"/>
  <c r="S785" i="12"/>
  <c r="S793" i="12"/>
  <c r="S766" i="12"/>
  <c r="S774" i="12"/>
  <c r="S782" i="12"/>
  <c r="S790" i="12"/>
  <c r="S798" i="12"/>
  <c r="S763" i="12"/>
  <c r="S1246" i="12" s="1"/>
  <c r="S771" i="12"/>
  <c r="S779" i="12"/>
  <c r="S787" i="12"/>
  <c r="S795" i="12"/>
  <c r="S760" i="12"/>
  <c r="S1243" i="12" s="1"/>
  <c r="S768" i="12"/>
  <c r="S776" i="12"/>
  <c r="S784" i="12"/>
  <c r="S792" i="12"/>
  <c r="S765" i="12"/>
  <c r="S773" i="12"/>
  <c r="S781" i="12"/>
  <c r="S789" i="12"/>
  <c r="S797" i="12"/>
  <c r="S762" i="12"/>
  <c r="S770" i="12"/>
  <c r="S778" i="12"/>
  <c r="S786" i="12"/>
  <c r="S794" i="12"/>
  <c r="S759" i="12"/>
  <c r="S767" i="12"/>
  <c r="S775" i="12"/>
  <c r="S783" i="12"/>
  <c r="S791" i="12"/>
  <c r="Q1401" i="12"/>
  <c r="Q1411" i="12" s="1"/>
  <c r="Q1412" i="12" s="1"/>
  <c r="Q257" i="20" s="1"/>
  <c r="S749" i="12"/>
  <c r="S750" i="12"/>
  <c r="S753" i="12"/>
  <c r="S752" i="12"/>
  <c r="S751" i="12"/>
  <c r="R1361" i="12"/>
  <c r="R1397" i="12" s="1"/>
  <c r="R1282" i="12"/>
  <c r="R1395" i="12" s="1"/>
  <c r="R1228" i="12"/>
  <c r="R1393" i="12" s="1"/>
  <c r="S730" i="12"/>
  <c r="S738" i="12"/>
  <c r="S726" i="12"/>
  <c r="S1209" i="12" s="1"/>
  <c r="S742" i="12"/>
  <c r="S727" i="12"/>
  <c r="S735" i="12"/>
  <c r="S743" i="12"/>
  <c r="S732" i="12"/>
  <c r="S740" i="12"/>
  <c r="S729" i="12"/>
  <c r="S1212" i="12" s="1"/>
  <c r="S737" i="12"/>
  <c r="S734" i="12"/>
  <c r="S731" i="12"/>
  <c r="S739" i="12"/>
  <c r="S733" i="12"/>
  <c r="S741" i="12"/>
  <c r="S728" i="12"/>
  <c r="S736" i="12"/>
  <c r="S744" i="12"/>
  <c r="S725" i="12"/>
  <c r="N931" i="12"/>
  <c r="N930" i="12"/>
  <c r="N216" i="10" s="1"/>
  <c r="N360" i="10" s="1"/>
  <c r="R930" i="12"/>
  <c r="R216" i="10" s="1"/>
  <c r="R360" i="10" s="1"/>
  <c r="S943" i="12"/>
  <c r="S944" i="12"/>
  <c r="S948" i="12"/>
  <c r="S952" i="12"/>
  <c r="S956" i="12"/>
  <c r="S960" i="12"/>
  <c r="S945" i="12"/>
  <c r="S949" i="12"/>
  <c r="S953" i="12"/>
  <c r="S947" i="12"/>
  <c r="S951" i="12"/>
  <c r="S955" i="12"/>
  <c r="S959" i="12"/>
  <c r="S946" i="12"/>
  <c r="S950" i="12"/>
  <c r="S954" i="12"/>
  <c r="S958" i="12"/>
  <c r="S962" i="12"/>
  <c r="S957" i="12"/>
  <c r="S961" i="12"/>
  <c r="S701" i="12"/>
  <c r="S702" i="12"/>
  <c r="S1185" i="12" s="1"/>
  <c r="S706" i="12"/>
  <c r="S710" i="12"/>
  <c r="S714" i="12"/>
  <c r="S718" i="12"/>
  <c r="S703" i="12"/>
  <c r="S707" i="12"/>
  <c r="S715" i="12"/>
  <c r="S705" i="12"/>
  <c r="S1188" i="12" s="1"/>
  <c r="S709" i="12"/>
  <c r="S713" i="12"/>
  <c r="S717" i="12"/>
  <c r="S704" i="12"/>
  <c r="S708" i="12"/>
  <c r="S712" i="12"/>
  <c r="S716" i="12"/>
  <c r="S720" i="12"/>
  <c r="S711" i="12"/>
  <c r="S719" i="12"/>
  <c r="R372" i="20"/>
  <c r="Q2055" i="16"/>
  <c r="Q796" i="16" s="1"/>
  <c r="R2046" i="16"/>
  <c r="R2073" i="16"/>
  <c r="R2077" i="16"/>
  <c r="R2066" i="16"/>
  <c r="R2048" i="16"/>
  <c r="R2064" i="16"/>
  <c r="R2092" i="16" s="1"/>
  <c r="R365" i="20"/>
  <c r="R875" i="16"/>
  <c r="R2065" i="16"/>
  <c r="R2079" i="16" s="1"/>
  <c r="R2067" i="16"/>
  <c r="R2095" i="16" s="1"/>
  <c r="R2049" i="16"/>
  <c r="R2091" i="16"/>
  <c r="R748" i="16"/>
  <c r="R210" i="20" s="1"/>
  <c r="R2076" i="16"/>
  <c r="R762" i="16"/>
  <c r="R224" i="20" s="1"/>
  <c r="R758" i="16"/>
  <c r="R220" i="20" s="1"/>
  <c r="R780" i="16"/>
  <c r="R242" i="20" s="1"/>
  <c r="R778" i="16"/>
  <c r="R240" i="20" s="1"/>
  <c r="R747" i="16"/>
  <c r="R209" i="20" s="1"/>
  <c r="R761" i="16"/>
  <c r="R223" i="20" s="1"/>
  <c r="R751" i="16"/>
  <c r="R213" i="20" s="1"/>
  <c r="R774" i="16"/>
  <c r="R236" i="20" s="1"/>
  <c r="R764" i="16"/>
  <c r="R226" i="20" s="1"/>
  <c r="S1134" i="16"/>
  <c r="S1169" i="16"/>
  <c r="R782" i="16"/>
  <c r="R244" i="20" s="1"/>
  <c r="R765" i="16"/>
  <c r="R227" i="20" s="1"/>
  <c r="R763" i="16"/>
  <c r="R225" i="20" s="1"/>
  <c r="R746" i="16"/>
  <c r="R208" i="20" s="1"/>
  <c r="R781" i="16"/>
  <c r="R243" i="20" s="1"/>
  <c r="R752" i="16"/>
  <c r="R214" i="20" s="1"/>
  <c r="R770" i="16"/>
  <c r="R232" i="20" s="1"/>
  <c r="R766" i="16"/>
  <c r="R228" i="20" s="1"/>
  <c r="R775" i="16"/>
  <c r="R237" i="20" s="1"/>
  <c r="R772" i="16"/>
  <c r="R234" i="20" s="1"/>
  <c r="R756" i="16"/>
  <c r="R218" i="20" s="1"/>
  <c r="R760" i="16"/>
  <c r="R222" i="20" s="1"/>
  <c r="R768" i="16"/>
  <c r="R230" i="20" s="1"/>
  <c r="R750" i="16"/>
  <c r="R212" i="20" s="1"/>
  <c r="R754" i="16"/>
  <c r="R216" i="20" s="1"/>
  <c r="R745" i="16"/>
  <c r="R207" i="20" s="1"/>
  <c r="R773" i="16"/>
  <c r="R235" i="20" s="1"/>
  <c r="R777" i="16"/>
  <c r="R239" i="20" s="1"/>
  <c r="R767" i="16"/>
  <c r="R229" i="20" s="1"/>
  <c r="R759" i="16"/>
  <c r="R221" i="20" s="1"/>
  <c r="R771" i="16"/>
  <c r="R233" i="20" s="1"/>
  <c r="R783" i="16"/>
  <c r="R245" i="20" s="1"/>
  <c r="R753" i="16"/>
  <c r="R215" i="20" s="1"/>
  <c r="R776" i="16"/>
  <c r="R238" i="20" s="1"/>
  <c r="R749" i="16"/>
  <c r="R211" i="20" s="1"/>
  <c r="R744" i="16"/>
  <c r="R206" i="20" s="1"/>
  <c r="R757" i="16"/>
  <c r="R219" i="20" s="1"/>
  <c r="R769" i="16"/>
  <c r="R231" i="20" s="1"/>
  <c r="R755" i="16"/>
  <c r="R217" i="20" s="1"/>
  <c r="R1915" i="16"/>
  <c r="R1204" i="12"/>
  <c r="R1392" i="12" s="1"/>
  <c r="S361" i="16"/>
  <c r="S32" i="12"/>
  <c r="S1544" i="16"/>
  <c r="S408" i="16"/>
  <c r="S67" i="20"/>
  <c r="S53" i="11"/>
  <c r="S698" i="16"/>
  <c r="S116" i="18"/>
  <c r="S32" i="22"/>
  <c r="S438" i="16"/>
  <c r="R1498" i="12"/>
  <c r="S622" i="16"/>
  <c r="S100" i="20"/>
  <c r="S189" i="20"/>
  <c r="S1945" i="16"/>
  <c r="S440" i="16"/>
  <c r="S222" i="11"/>
  <c r="S141" i="20"/>
  <c r="S117" i="20"/>
  <c r="S921" i="12"/>
  <c r="S2033" i="16"/>
  <c r="S2059" i="16" s="1"/>
  <c r="S2087" i="16" s="1"/>
  <c r="S72" i="20"/>
  <c r="S1701" i="12"/>
  <c r="S1735" i="12"/>
  <c r="R1511" i="12"/>
  <c r="R1472" i="12"/>
  <c r="S1849" i="16"/>
  <c r="S621" i="16"/>
  <c r="S1811" i="12"/>
  <c r="S1557" i="16"/>
  <c r="S137" i="20"/>
  <c r="S1819" i="12"/>
  <c r="R1490" i="12"/>
  <c r="S910" i="16"/>
  <c r="S33" i="20"/>
  <c r="S62" i="16"/>
  <c r="S172" i="20"/>
  <c r="S363" i="10"/>
  <c r="S1746" i="12"/>
  <c r="S95" i="11"/>
  <c r="S20" i="22"/>
  <c r="S107" i="18"/>
  <c r="S231" i="11"/>
  <c r="S1834" i="12"/>
  <c r="S2057" i="16"/>
  <c r="S1791" i="12"/>
  <c r="R1437" i="12"/>
  <c r="S29" i="8"/>
  <c r="S127" i="8" s="1"/>
  <c r="S1537" i="16"/>
  <c r="S1793" i="12"/>
  <c r="S1838" i="12"/>
  <c r="S1770" i="12"/>
  <c r="S1814" i="12"/>
  <c r="S1503" i="16"/>
  <c r="S366" i="16" s="1"/>
  <c r="S1879" i="12"/>
  <c r="S1918" i="12" s="1"/>
  <c r="S1697" i="12"/>
  <c r="S272" i="16"/>
  <c r="S155" i="20"/>
  <c r="S50" i="22"/>
  <c r="S427" i="16"/>
  <c r="S1761" i="12"/>
  <c r="R1449" i="12"/>
  <c r="R1501" i="12"/>
  <c r="S37" i="20"/>
  <c r="S1749" i="12"/>
  <c r="S197" i="16"/>
  <c r="S273" i="16"/>
  <c r="S121" i="16"/>
  <c r="S1639" i="12"/>
  <c r="S1734" i="12"/>
  <c r="S1696" i="12"/>
  <c r="S1753" i="12"/>
  <c r="R1581" i="12"/>
  <c r="S157" i="20"/>
  <c r="S146" i="20"/>
  <c r="S2038" i="16"/>
  <c r="S2051" i="16" s="1"/>
  <c r="S623" i="16"/>
  <c r="S1792" i="12"/>
  <c r="S1748" i="12"/>
  <c r="S1806" i="12"/>
  <c r="S1725" i="12"/>
  <c r="S578" i="16"/>
  <c r="S450" i="16"/>
  <c r="S1835" i="12"/>
  <c r="S1585" i="16"/>
  <c r="S625" i="16"/>
  <c r="S97" i="20"/>
  <c r="R1599" i="12"/>
  <c r="R1566" i="12"/>
  <c r="S113" i="16"/>
  <c r="S1775" i="12"/>
  <c r="S1878" i="12"/>
  <c r="S1916" i="12" s="1"/>
  <c r="R1564" i="12"/>
  <c r="S1931" i="16"/>
  <c r="S1744" i="12"/>
  <c r="S1795" i="12"/>
  <c r="S577" i="16"/>
  <c r="S1592" i="16"/>
  <c r="S71" i="20"/>
  <c r="R1492" i="12"/>
  <c r="R1583" i="16"/>
  <c r="S353" i="16"/>
  <c r="S1754" i="12"/>
  <c r="S100" i="12"/>
  <c r="S74" i="18"/>
  <c r="S334" i="10"/>
  <c r="S1781" i="12"/>
  <c r="S191" i="20"/>
  <c r="S270" i="16"/>
  <c r="S1695" i="12"/>
  <c r="S1837" i="12"/>
  <c r="S1832" i="12"/>
  <c r="S1683" i="12"/>
  <c r="S60" i="20"/>
  <c r="R1527" i="12"/>
  <c r="S619" i="16"/>
  <c r="S35" i="11"/>
  <c r="S603" i="12"/>
  <c r="S65" i="20"/>
  <c r="S657" i="16"/>
  <c r="S764" i="16" s="1"/>
  <c r="S226" i="20" s="1"/>
  <c r="S575" i="16"/>
  <c r="S429" i="16"/>
  <c r="S156" i="20"/>
  <c r="S1332" i="16"/>
  <c r="S421" i="16"/>
  <c r="S423" i="16"/>
  <c r="S42" i="12"/>
  <c r="S149" i="20"/>
  <c r="S144" i="20"/>
  <c r="R1453" i="12"/>
  <c r="S1459" i="16"/>
  <c r="S2146" i="16" s="1"/>
  <c r="S1148" i="16"/>
  <c r="S157" i="16"/>
  <c r="S1886" i="16"/>
  <c r="S2206" i="16" s="1"/>
  <c r="S1301" i="16"/>
  <c r="S2121" i="16" s="1"/>
  <c r="S1473" i="16"/>
  <c r="R86" i="18"/>
  <c r="R77" i="18"/>
  <c r="R887" i="16"/>
  <c r="R33" i="18"/>
  <c r="R38" i="18" s="1"/>
  <c r="R119" i="18"/>
  <c r="R48" i="18"/>
  <c r="R53" i="18" s="1"/>
  <c r="R18" i="18"/>
  <c r="R23" i="18" s="1"/>
  <c r="R110" i="18"/>
  <c r="R101" i="18"/>
  <c r="R1596" i="12"/>
  <c r="R1439" i="12"/>
  <c r="R1534" i="12"/>
  <c r="R1583" i="12"/>
  <c r="R1529" i="12"/>
  <c r="R1584" i="12"/>
  <c r="R1500" i="12"/>
  <c r="R1441" i="12"/>
  <c r="R1573" i="12"/>
  <c r="R1487" i="12"/>
  <c r="R1586" i="12"/>
  <c r="R1435" i="12"/>
  <c r="R1451" i="12"/>
  <c r="R1456" i="12"/>
  <c r="R1563" i="12"/>
  <c r="R1587" i="12"/>
  <c r="R1556" i="12"/>
  <c r="R1592" i="12"/>
  <c r="R1531" i="12"/>
  <c r="R1516" i="12"/>
  <c r="R1537" i="12"/>
  <c r="R1585" i="12"/>
  <c r="R1499" i="12"/>
  <c r="R1502" i="12"/>
  <c r="R1504" i="12"/>
  <c r="R1552" i="12"/>
  <c r="R1463" i="12"/>
  <c r="R1493" i="12"/>
  <c r="R1539" i="12"/>
  <c r="R1550" i="12"/>
  <c r="R1426" i="12"/>
  <c r="R1578" i="12"/>
  <c r="R1425" i="12"/>
  <c r="R1452" i="12"/>
  <c r="R1555" i="12"/>
  <c r="R1579" i="12"/>
  <c r="R1544" i="12"/>
  <c r="R1598" i="12"/>
  <c r="R1484" i="12"/>
  <c r="R1494" i="12"/>
  <c r="R1505" i="12"/>
  <c r="R1551" i="12"/>
  <c r="R1482" i="12"/>
  <c r="R1558" i="12"/>
  <c r="R1466" i="12"/>
  <c r="R1514" i="12"/>
  <c r="R1545" i="12"/>
  <c r="R1476" i="12"/>
  <c r="R1509" i="12"/>
  <c r="R1546" i="12"/>
  <c r="R1518" i="12"/>
  <c r="R1440" i="12"/>
  <c r="R1510" i="12"/>
  <c r="R1431" i="12"/>
  <c r="R1547" i="12"/>
  <c r="R1515" i="12"/>
  <c r="R1450" i="12"/>
  <c r="R1536" i="12"/>
  <c r="R1443" i="12"/>
  <c r="R1557" i="12"/>
  <c r="R1461" i="12"/>
  <c r="R1562" i="12"/>
  <c r="R1473" i="12"/>
  <c r="R1575" i="12"/>
  <c r="R1457" i="12"/>
  <c r="R1576" i="12"/>
  <c r="R1436" i="12"/>
  <c r="R1520" i="12"/>
  <c r="R1489" i="12"/>
  <c r="R1538" i="12"/>
  <c r="R1442" i="12"/>
  <c r="R1432" i="12"/>
  <c r="R1438" i="12"/>
  <c r="R1506" i="12"/>
  <c r="R1535" i="12"/>
  <c r="R1429" i="12"/>
  <c r="R1542" i="12"/>
  <c r="R1591" i="12"/>
  <c r="R1424" i="12"/>
  <c r="R1588" i="12"/>
  <c r="R1594" i="12"/>
  <c r="R1530" i="12"/>
  <c r="R1577" i="12"/>
  <c r="R1491" i="12"/>
  <c r="R1434" i="12"/>
  <c r="R1496" i="12"/>
  <c r="R1433" i="12"/>
  <c r="R1532" i="12"/>
  <c r="R1512" i="12"/>
  <c r="R1485" i="12"/>
  <c r="R1460" i="12"/>
  <c r="R1448" i="12"/>
  <c r="R1582" i="12"/>
  <c r="R1574" i="12"/>
  <c r="R1428" i="12"/>
  <c r="R1517" i="12"/>
  <c r="S94" i="20"/>
  <c r="S82" i="20"/>
  <c r="S1441" i="16"/>
  <c r="S82" i="22"/>
  <c r="S2035" i="16"/>
  <c r="S2061" i="16" s="1"/>
  <c r="S74" i="11"/>
  <c r="S82" i="12"/>
  <c r="S1771" i="12"/>
  <c r="S359" i="16"/>
  <c r="S140" i="20"/>
  <c r="S1627" i="16"/>
  <c r="S63" i="12"/>
  <c r="S1731" i="12"/>
  <c r="S283" i="16"/>
  <c r="S174" i="20"/>
  <c r="S1688" i="12"/>
  <c r="S1674" i="12"/>
  <c r="S1691" i="12"/>
  <c r="S2039" i="16"/>
  <c r="S2065" i="16" s="1"/>
  <c r="S2093" i="16" s="1"/>
  <c r="S98" i="10"/>
  <c r="S1667" i="12"/>
  <c r="S1880" i="12"/>
  <c r="S1919" i="12" s="1"/>
  <c r="S116" i="20"/>
  <c r="S156" i="10"/>
  <c r="S1400" i="12"/>
  <c r="S1755" i="12"/>
  <c r="S445" i="16"/>
  <c r="S1304" i="16"/>
  <c r="S1678" i="12"/>
  <c r="S437" i="16"/>
  <c r="S139" i="20"/>
  <c r="S180" i="11"/>
  <c r="S1706" i="12"/>
  <c r="S2041" i="16"/>
  <c r="S2067" i="16" s="1"/>
  <c r="S2095" i="16" s="1"/>
  <c r="S1835" i="16"/>
  <c r="S460" i="16" s="1"/>
  <c r="S1644" i="12"/>
  <c r="S1682" i="12"/>
  <c r="S1699" i="12"/>
  <c r="S454" i="16"/>
  <c r="S102" i="20"/>
  <c r="S41" i="22"/>
  <c r="S1772" i="12"/>
  <c r="S271" i="16"/>
  <c r="S148" i="20"/>
  <c r="S413" i="10"/>
  <c r="S1401" i="16"/>
  <c r="S240" i="11"/>
  <c r="S46" i="16"/>
  <c r="S446" i="16"/>
  <c r="S169" i="20"/>
  <c r="S121" i="22"/>
  <c r="S1502" i="16"/>
  <c r="S365" i="16" s="1"/>
  <c r="S576" i="16"/>
  <c r="S119" i="20"/>
  <c r="S46" i="10"/>
  <c r="R1454" i="12"/>
  <c r="R1541" i="12"/>
  <c r="R1590" i="12"/>
  <c r="R1458" i="12"/>
  <c r="R1533" i="12"/>
  <c r="R1427" i="12"/>
  <c r="R1486" i="12"/>
  <c r="S36" i="20"/>
  <c r="S112" i="16"/>
  <c r="S1571" i="16"/>
  <c r="S418" i="16"/>
  <c r="S1669" i="12"/>
  <c r="S12" i="12"/>
  <c r="S1730" i="12"/>
  <c r="S1421" i="12"/>
  <c r="S1544" i="12" s="1"/>
  <c r="S1723" i="12"/>
  <c r="S360" i="16"/>
  <c r="S130" i="20"/>
  <c r="S1613" i="16"/>
  <c r="S1713" i="12"/>
  <c r="S1784" i="12"/>
  <c r="S1833" i="16"/>
  <c r="S458" i="16" s="1"/>
  <c r="S196" i="20"/>
  <c r="S1837" i="16"/>
  <c r="S1638" i="12"/>
  <c r="S1813" i="12"/>
  <c r="S126" i="20"/>
  <c r="S1620" i="16"/>
  <c r="S1790" i="12"/>
  <c r="S1817" i="12"/>
  <c r="S30" i="20"/>
  <c r="S1297" i="16"/>
  <c r="S1399" i="12"/>
  <c r="S1690" i="12"/>
  <c r="S2071" i="16"/>
  <c r="S83" i="20"/>
  <c r="S1693" i="12"/>
  <c r="S358" i="16"/>
  <c r="S68" i="22"/>
  <c r="S44" i="11"/>
  <c r="S1824" i="12"/>
  <c r="S62" i="20"/>
  <c r="S328" i="16"/>
  <c r="S1692" i="12"/>
  <c r="S22" i="16"/>
  <c r="S1785" i="12"/>
  <c r="S447" i="16"/>
  <c r="S70" i="20"/>
  <c r="S385" i="10"/>
  <c r="S489" i="10" s="1"/>
  <c r="S1724" i="12"/>
  <c r="S434" i="16"/>
  <c r="S80" i="20"/>
  <c r="S1523" i="16"/>
  <c r="S1889" i="16"/>
  <c r="S1664" i="12"/>
  <c r="S1694" i="12"/>
  <c r="S424" i="16"/>
  <c r="S187" i="20"/>
  <c r="S1415" i="16"/>
  <c r="S1788" i="12"/>
  <c r="S354" i="16"/>
  <c r="S197" i="20"/>
  <c r="S242" i="10"/>
  <c r="R1521" i="12"/>
  <c r="R1597" i="12"/>
  <c r="R1495" i="12"/>
  <c r="R1519" i="12"/>
  <c r="R1543" i="12"/>
  <c r="R1430" i="12"/>
  <c r="R1474" i="12"/>
  <c r="S103" i="16"/>
  <c r="S107" i="16"/>
  <c r="S210" i="16"/>
  <c r="S211" i="16"/>
  <c r="S214" i="16"/>
  <c r="S119" i="16"/>
  <c r="S127" i="16"/>
  <c r="S114" i="16"/>
  <c r="S38" i="20"/>
  <c r="S42" i="20"/>
  <c r="S34" i="20"/>
  <c r="S1200" i="16"/>
  <c r="S254" i="16" s="1"/>
  <c r="S1228" i="16"/>
  <c r="S485" i="20"/>
  <c r="S1582" i="16"/>
  <c r="S2163" i="16" s="1"/>
  <c r="S99" i="16"/>
  <c r="S96" i="16"/>
  <c r="S1903" i="16"/>
  <c r="S44" i="18"/>
  <c r="S59" i="20"/>
  <c r="S2040" i="16"/>
  <c r="S2066" i="16" s="1"/>
  <c r="S2094" i="16" s="1"/>
  <c r="S274" i="16"/>
  <c r="S1820" i="12"/>
  <c r="S1799" i="12"/>
  <c r="S1634" i="16"/>
  <c r="S145" i="20"/>
  <c r="S112" i="22"/>
  <c r="S433" i="16"/>
  <c r="S1716" i="12"/>
  <c r="S1759" i="12"/>
  <c r="S1704" i="12"/>
  <c r="S616" i="16"/>
  <c r="S1938" i="16"/>
  <c r="S1325" i="16"/>
  <c r="S127" i="10"/>
  <c r="S103" i="20"/>
  <c r="S618" i="16"/>
  <c r="S425" i="16"/>
  <c r="S1703" i="12"/>
  <c r="S1751" i="12"/>
  <c r="S190" i="10"/>
  <c r="S29" i="18"/>
  <c r="S2044" i="16"/>
  <c r="S430" i="16"/>
  <c r="S54" i="16"/>
  <c r="S1679" i="12"/>
  <c r="S1700" i="12"/>
  <c r="S1818" i="12"/>
  <c r="S161" i="20"/>
  <c r="S147" i="20"/>
  <c r="S455" i="16"/>
  <c r="S1823" i="12"/>
  <c r="S629" i="12"/>
  <c r="S1599" i="16"/>
  <c r="S31" i="20"/>
  <c r="S428" i="16"/>
  <c r="S1803" i="12"/>
  <c r="S12" i="11"/>
  <c r="S26" i="22"/>
  <c r="S801" i="16"/>
  <c r="S1884" i="12"/>
  <c r="S200" i="16"/>
  <c r="S215" i="16"/>
  <c r="S201" i="16"/>
  <c r="S116" i="16"/>
  <c r="S124" i="16"/>
  <c r="S122" i="16"/>
  <c r="S48" i="20"/>
  <c r="S43" i="20"/>
  <c r="S1151" i="16"/>
  <c r="S1207" i="16"/>
  <c r="S255" i="16" s="1"/>
  <c r="S349" i="20"/>
  <c r="S874" i="16"/>
  <c r="S100" i="16"/>
  <c r="S98" i="16"/>
  <c r="S1497" i="16"/>
  <c r="S192" i="20"/>
  <c r="S12" i="20"/>
  <c r="S25" i="20" s="1"/>
  <c r="S1188" i="20" s="1"/>
  <c r="S583" i="16"/>
  <c r="S432" i="16"/>
  <c r="S1740" i="12"/>
  <c r="S1714" i="12"/>
  <c r="S271" i="10"/>
  <c r="S69" i="20"/>
  <c r="S176" i="20"/>
  <c r="S417" i="16"/>
  <c r="S30" i="16"/>
  <c r="S1727" i="12"/>
  <c r="S1786" i="12"/>
  <c r="S160" i="20"/>
  <c r="S1448" i="16"/>
  <c r="S1606" i="16"/>
  <c r="S88" i="22"/>
  <c r="S118" i="20"/>
  <c r="S617" i="16"/>
  <c r="S356" i="16"/>
  <c r="S1836" i="12"/>
  <c r="S1917" i="16"/>
  <c r="S12" i="10"/>
  <c r="S204" i="16"/>
  <c r="S110" i="16"/>
  <c r="S205" i="16"/>
  <c r="S133" i="16"/>
  <c r="S109" i="16"/>
  <c r="S132" i="16"/>
  <c r="S40" i="20"/>
  <c r="S44" i="20"/>
  <c r="S1165" i="16"/>
  <c r="S1214" i="16"/>
  <c r="S256" i="16" s="1"/>
  <c r="S1221" i="16"/>
  <c r="S894" i="20"/>
  <c r="S1280" i="16"/>
  <c r="S2118" i="16" s="1"/>
  <c r="S97" i="16"/>
  <c r="S1483" i="16"/>
  <c r="S208" i="16"/>
  <c r="S118" i="16"/>
  <c r="S209" i="16"/>
  <c r="S111" i="16"/>
  <c r="S106" i="16"/>
  <c r="S117" i="16"/>
  <c r="S45" i="20"/>
  <c r="S46" i="20"/>
  <c r="S1158" i="16"/>
  <c r="S384" i="20"/>
  <c r="S1914" i="16"/>
  <c r="S2210" i="16" s="1"/>
  <c r="S102" i="16"/>
  <c r="S212" i="16"/>
  <c r="S126" i="16"/>
  <c r="S213" i="16"/>
  <c r="S123" i="16"/>
  <c r="S131" i="16"/>
  <c r="S105" i="16"/>
  <c r="S47" i="20"/>
  <c r="S35" i="20"/>
  <c r="S1172" i="16"/>
  <c r="S174" i="16"/>
  <c r="S101" i="16"/>
  <c r="S1455" i="16"/>
  <c r="S173" i="20"/>
  <c r="S49" i="20"/>
  <c r="S579" i="16"/>
  <c r="S1729" i="12"/>
  <c r="S1702" i="12"/>
  <c r="S1318" i="16"/>
  <c r="S130" i="22"/>
  <c r="S121" i="20"/>
  <c r="S564" i="16"/>
  <c r="S1833" i="12"/>
  <c r="S70" i="16"/>
  <c r="S1822" i="12"/>
  <c r="S114" i="12"/>
  <c r="S355" i="16"/>
  <c r="S1283" i="16"/>
  <c r="S1469" i="16"/>
  <c r="S175" i="20"/>
  <c r="S122" i="20"/>
  <c r="S580" i="16"/>
  <c r="S1825" i="12"/>
  <c r="S1804" i="12"/>
  <c r="S1353" i="16"/>
  <c r="S177" i="20"/>
  <c r="S129" i="20"/>
  <c r="S453" i="16"/>
  <c r="S325" i="16"/>
  <c r="S1752" i="12"/>
  <c r="S1779" i="12"/>
  <c r="S1672" i="12"/>
  <c r="S124" i="11"/>
  <c r="S1311" i="16"/>
  <c r="S171" i="20"/>
  <c r="S1733" i="12"/>
  <c r="S1778" i="12"/>
  <c r="S32" i="8"/>
  <c r="S31" i="8" s="1"/>
  <c r="S110" i="18" s="1"/>
  <c r="S205" i="20"/>
  <c r="S449" i="16"/>
  <c r="S1816" i="12"/>
  <c r="S1782" i="12"/>
  <c r="S1137" i="16"/>
  <c r="S135" i="20"/>
  <c r="S1829" i="12"/>
  <c r="S199" i="16"/>
  <c r="S202" i="16"/>
  <c r="S115" i="16"/>
  <c r="S120" i="16"/>
  <c r="S128" i="16"/>
  <c r="S134" i="16"/>
  <c r="S32" i="20"/>
  <c r="S39" i="20"/>
  <c r="S1179" i="16"/>
  <c r="S915" i="12"/>
  <c r="S1930" i="12" s="1"/>
  <c r="S141" i="16"/>
  <c r="S1827" i="12"/>
  <c r="S1839" i="12"/>
  <c r="S1677" i="12"/>
  <c r="S1774" i="12"/>
  <c r="S154" i="20"/>
  <c r="S1398" i="12"/>
  <c r="S201" i="11"/>
  <c r="S194" i="20"/>
  <c r="S1741" i="12"/>
  <c r="S456" i="16"/>
  <c r="S1756" i="12"/>
  <c r="S2085" i="16"/>
  <c r="S1422" i="16"/>
  <c r="S1712" i="12"/>
  <c r="S940" i="12"/>
  <c r="S1780" i="12"/>
  <c r="S279" i="16"/>
  <c r="S132" i="20"/>
  <c r="S1339" i="16"/>
  <c r="S268" i="16"/>
  <c r="S362" i="16"/>
  <c r="S143" i="20"/>
  <c r="S1578" i="16"/>
  <c r="R1571" i="12"/>
  <c r="R1595" i="12"/>
  <c r="R1475" i="12"/>
  <c r="R1462" i="12"/>
  <c r="R1580" i="12"/>
  <c r="R1455" i="12"/>
  <c r="R1559" i="12"/>
  <c r="S104" i="16"/>
  <c r="S1412" i="16"/>
  <c r="S2138" i="16" s="1"/>
  <c r="S130" i="16"/>
  <c r="S206" i="16"/>
  <c r="S1434" i="16"/>
  <c r="S326" i="16"/>
  <c r="S1404" i="12"/>
  <c r="S275" i="16"/>
  <c r="S1736" i="12"/>
  <c r="S23" i="12"/>
  <c r="S1504" i="16"/>
  <c r="S367" i="16" s="1"/>
  <c r="S281" i="16"/>
  <c r="S66" i="20"/>
  <c r="S300" i="10"/>
  <c r="S1501" i="16"/>
  <c r="S364" i="16" s="1"/>
  <c r="S1516" i="16"/>
  <c r="S1394" i="16"/>
  <c r="S101" i="20"/>
  <c r="S448" i="16"/>
  <c r="S1738" i="12"/>
  <c r="S96" i="18"/>
  <c r="S73" i="12"/>
  <c r="S1783" i="12"/>
  <c r="S278" i="16"/>
  <c r="S95" i="20"/>
  <c r="S91" i="12"/>
  <c r="S1743" i="12"/>
  <c r="S282" i="16"/>
  <c r="S127" i="20"/>
  <c r="S96" i="20"/>
  <c r="S1830" i="12"/>
  <c r="S1707" i="12"/>
  <c r="S85" i="20"/>
  <c r="S162" i="11"/>
  <c r="S1698" i="12"/>
  <c r="S573" i="16"/>
  <c r="S1290" i="16"/>
  <c r="S1640" i="12"/>
  <c r="S12" i="16"/>
  <c r="S192" i="16" s="1"/>
  <c r="S120" i="20"/>
  <c r="S171" i="11"/>
  <c r="S419" i="16"/>
  <c r="S1831" i="12"/>
  <c r="S1821" i="12"/>
  <c r="S581" i="16"/>
  <c r="S64" i="20"/>
  <c r="S1346" i="16"/>
  <c r="S1789" i="12"/>
  <c r="S457" i="16"/>
  <c r="S151" i="20"/>
  <c r="S1476" i="16"/>
  <c r="S1767" i="12"/>
  <c r="S38" i="16"/>
  <c r="S1732" i="12"/>
  <c r="S330" i="16"/>
  <c r="S125" i="20"/>
  <c r="S1877" i="16"/>
  <c r="S1680" i="12"/>
  <c r="S444" i="16"/>
  <c r="S133" i="20"/>
  <c r="R1467" i="12"/>
  <c r="R1488" i="12"/>
  <c r="R1459" i="12"/>
  <c r="R1548" i="12"/>
  <c r="R1549" i="12"/>
  <c r="R1528" i="12"/>
  <c r="R1507" i="12"/>
  <c r="S135" i="16"/>
  <c r="S886" i="16"/>
  <c r="S1186" i="16"/>
  <c r="S252" i="16" s="1"/>
  <c r="S108" i="16"/>
  <c r="S207" i="16"/>
  <c r="S1705" i="12"/>
  <c r="S1828" i="12"/>
  <c r="S1924" i="16"/>
  <c r="S452" i="16"/>
  <c r="S124" i="20"/>
  <c r="S1144" i="16"/>
  <c r="S1815" i="12"/>
  <c r="S1777" i="12"/>
  <c r="S1747" i="12"/>
  <c r="S98" i="20"/>
  <c r="S190" i="20"/>
  <c r="S357" i="16"/>
  <c r="S1668" i="12"/>
  <c r="S136" i="20"/>
  <c r="S431" i="16"/>
  <c r="S159" i="20"/>
  <c r="S1367" i="16"/>
  <c r="S435" i="16"/>
  <c r="S1689" i="12"/>
  <c r="S1673" i="12"/>
  <c r="S1728" i="12"/>
  <c r="S1836" i="16"/>
  <c r="S461" i="16" s="1"/>
  <c r="S59" i="22"/>
  <c r="S1722" i="12"/>
  <c r="S1670" i="12"/>
  <c r="S2036" i="16"/>
  <c r="S2062" i="16" s="1"/>
  <c r="S2090" i="16" s="1"/>
  <c r="S75" i="10"/>
  <c r="S698" i="12"/>
  <c r="S1739" i="12"/>
  <c r="S422" i="16"/>
  <c r="S178" i="20"/>
  <c r="S113" i="11"/>
  <c r="S1675" i="12"/>
  <c r="S426" i="16"/>
  <c r="S61" i="20"/>
  <c r="S81" i="20"/>
  <c r="S1750" i="12"/>
  <c r="S280" i="16"/>
  <c r="S150" i="20"/>
  <c r="S1758" i="12"/>
  <c r="S216" i="16"/>
  <c r="S2031" i="16"/>
  <c r="S1952" i="16"/>
  <c r="S1798" i="12"/>
  <c r="S436" i="16"/>
  <c r="S12" i="22"/>
  <c r="S617" i="12"/>
  <c r="S1665" i="12"/>
  <c r="S1768" i="12"/>
  <c r="S276" i="16"/>
  <c r="S582" i="16"/>
  <c r="S138" i="20"/>
  <c r="S1490" i="16"/>
  <c r="S198" i="16"/>
  <c r="S2034" i="16"/>
  <c r="S2060" i="16" s="1"/>
  <c r="S2088" i="16" s="1"/>
  <c r="S83" i="18"/>
  <c r="S1910" i="16"/>
  <c r="S58" i="20"/>
  <c r="S1826" i="12"/>
  <c r="S1812" i="12"/>
  <c r="S624" i="16"/>
  <c r="S142" i="20"/>
  <c r="S1564" i="16"/>
  <c r="S1773" i="12"/>
  <c r="S620" i="16"/>
  <c r="S93" i="20"/>
  <c r="R1540" i="12"/>
  <c r="R1600" i="12"/>
  <c r="R1561" i="12"/>
  <c r="R1465" i="12"/>
  <c r="R1464" i="12"/>
  <c r="R1497" i="12"/>
  <c r="R1560" i="12"/>
  <c r="R1565" i="12"/>
  <c r="S1374" i="16"/>
  <c r="S95" i="16"/>
  <c r="S1329" i="16"/>
  <c r="S2125" i="16" s="1"/>
  <c r="S904" i="16"/>
  <c r="S506" i="20"/>
  <c r="S508" i="20" s="1"/>
  <c r="S1193" i="16"/>
  <c r="S253" i="16" s="1"/>
  <c r="S129" i="16"/>
  <c r="S203" i="16"/>
  <c r="S1715" i="12"/>
  <c r="S1181" i="12"/>
  <c r="S153" i="20"/>
  <c r="S152" i="20"/>
  <c r="S277" i="16"/>
  <c r="S1787" i="12"/>
  <c r="S1760" i="12"/>
  <c r="S443" i="16"/>
  <c r="S1163" i="12"/>
  <c r="S1742" i="12"/>
  <c r="S451" i="16"/>
  <c r="S123" i="20"/>
  <c r="S1794" i="12"/>
  <c r="S1776" i="12"/>
  <c r="S1360" i="16"/>
  <c r="S786" i="16"/>
  <c r="S442" i="16"/>
  <c r="S99" i="20"/>
  <c r="S1801" i="12"/>
  <c r="S158" i="20"/>
  <c r="S1737" i="12"/>
  <c r="T28" i="8"/>
  <c r="S219" i="10"/>
  <c r="S1500" i="16"/>
  <c r="S363" i="16" s="1"/>
  <c r="S170" i="20"/>
  <c r="S1666" i="12"/>
  <c r="S1840" i="12"/>
  <c r="S63" i="20"/>
  <c r="S94" i="22"/>
  <c r="S574" i="16"/>
  <c r="S352" i="16"/>
  <c r="S1757" i="12"/>
  <c r="S57" i="20"/>
  <c r="S1462" i="16"/>
  <c r="S1157" i="12"/>
  <c r="S439" i="16"/>
  <c r="S84" i="20"/>
  <c r="S12" i="18"/>
  <c r="S1802" i="12"/>
  <c r="S1796" i="12"/>
  <c r="S1834" i="16"/>
  <c r="S459" i="16" s="1"/>
  <c r="S134" i="20"/>
  <c r="S269" i="16"/>
  <c r="S1671" i="12"/>
  <c r="S420" i="16"/>
  <c r="S179" i="20"/>
  <c r="S1726" i="12"/>
  <c r="S1769" i="12"/>
  <c r="S131" i="20"/>
  <c r="S327" i="16"/>
  <c r="S1681" i="12"/>
  <c r="S329" i="16"/>
  <c r="S103" i="22"/>
  <c r="S104" i="11"/>
  <c r="S1676" i="12"/>
  <c r="S1800" i="12"/>
  <c r="S441" i="16"/>
  <c r="S615" i="16"/>
  <c r="S63" i="18"/>
  <c r="S1408" i="16"/>
  <c r="S1745" i="12"/>
  <c r="S68" i="20"/>
  <c r="S195" i="20"/>
  <c r="S1530" i="16"/>
  <c r="S188" i="20"/>
  <c r="S1661" i="12"/>
  <c r="S1797" i="12"/>
  <c r="S2037" i="16"/>
  <c r="S2063" i="16" s="1"/>
  <c r="S2091" i="16" s="1"/>
  <c r="S128" i="20"/>
  <c r="S1896" i="16"/>
  <c r="S1805" i="12"/>
  <c r="S2032" i="16"/>
  <c r="S2045" i="16" s="1"/>
  <c r="S193" i="20"/>
  <c r="R1572" i="12"/>
  <c r="R1589" i="12"/>
  <c r="R1483" i="12"/>
  <c r="R1503" i="12"/>
  <c r="R1554" i="12"/>
  <c r="R1553" i="12"/>
  <c r="R1508" i="12"/>
  <c r="R1513" i="12"/>
  <c r="S1641" i="16"/>
  <c r="S79" i="16"/>
  <c r="S1322" i="16"/>
  <c r="S41" i="20"/>
  <c r="S125" i="16"/>
  <c r="S1568" i="16"/>
  <c r="S2161" i="16" s="1"/>
  <c r="S1445" i="16"/>
  <c r="S2144" i="16" s="1"/>
  <c r="S1438" i="16"/>
  <c r="S2143" i="16" s="1"/>
  <c r="S478" i="20"/>
  <c r="S1155" i="16"/>
  <c r="S1596" i="16"/>
  <c r="S513" i="20"/>
  <c r="S515" i="20" s="1"/>
  <c r="S1466" i="16"/>
  <c r="S2147" i="16" s="1"/>
  <c r="S1554" i="16"/>
  <c r="S2159" i="16" s="1"/>
  <c r="S461" i="20"/>
  <c r="S892" i="16"/>
  <c r="S1141" i="16"/>
  <c r="S492" i="20"/>
  <c r="S880" i="16"/>
  <c r="S328" i="20"/>
  <c r="S1162" i="16"/>
  <c r="S1398" i="16"/>
  <c r="S2136" i="16" s="1"/>
  <c r="R486" i="20"/>
  <c r="R487" i="20" s="1"/>
  <c r="S471" i="20"/>
  <c r="R1309" i="16"/>
  <c r="J73" i="25"/>
  <c r="J119" i="25" s="1"/>
  <c r="J127" i="25" s="1"/>
  <c r="J138" i="25" s="1"/>
  <c r="J146" i="25" s="1"/>
  <c r="S1308" i="16"/>
  <c r="S2115" i="16" s="1"/>
  <c r="R2122" i="16"/>
  <c r="R206" i="12"/>
  <c r="R1302" i="16"/>
  <c r="R2121" i="16"/>
  <c r="R86" i="20"/>
  <c r="R1205" i="20" s="1"/>
  <c r="R331" i="16"/>
  <c r="R806" i="16" s="1"/>
  <c r="R1138" i="12"/>
  <c r="R1158" i="12" s="1"/>
  <c r="R306" i="12"/>
  <c r="R585" i="12"/>
  <c r="R594" i="12"/>
  <c r="R1281" i="16"/>
  <c r="R2114" i="16"/>
  <c r="R264" i="12"/>
  <c r="R116" i="12"/>
  <c r="J13" i="25"/>
  <c r="J62" i="25" s="1"/>
  <c r="R221" i="12"/>
  <c r="R434" i="12"/>
  <c r="S898" i="16"/>
  <c r="S1287" i="16"/>
  <c r="R284" i="16"/>
  <c r="R804" i="16" s="1"/>
  <c r="Q1522" i="12"/>
  <c r="Q1635" i="12" s="1"/>
  <c r="Q1477" i="12"/>
  <c r="Q1634" i="12" s="1"/>
  <c r="I62" i="25"/>
  <c r="R520" i="12"/>
  <c r="R754" i="12"/>
  <c r="R911" i="12" s="1"/>
  <c r="R1926" i="12" s="1"/>
  <c r="R2112" i="16"/>
  <c r="R2119" i="16"/>
  <c r="R899" i="16"/>
  <c r="Q1444" i="12"/>
  <c r="Q1632" i="12" s="1"/>
  <c r="R1288" i="16"/>
  <c r="R987" i="12"/>
  <c r="R1152" i="12" s="1"/>
  <c r="S335" i="20"/>
  <c r="S1589" i="16"/>
  <c r="R584" i="16"/>
  <c r="R809" i="16" s="1"/>
  <c r="R626" i="16"/>
  <c r="R810" i="16" s="1"/>
  <c r="R180" i="20"/>
  <c r="R1208" i="20" s="1"/>
  <c r="R198" i="20"/>
  <c r="R1209" i="20" s="1"/>
  <c r="R463" i="16"/>
  <c r="R1684" i="12"/>
  <c r="R1872" i="12" s="1"/>
  <c r="R1910" i="12" s="1"/>
  <c r="R1807" i="12"/>
  <c r="R1876" i="12" s="1"/>
  <c r="R1914" i="12" s="1"/>
  <c r="R1708" i="12"/>
  <c r="R1873" i="12" s="1"/>
  <c r="R1911" i="12" s="1"/>
  <c r="Q1601" i="12"/>
  <c r="Q1637" i="12" s="1"/>
  <c r="Q1567" i="12"/>
  <c r="Q1636" i="12" s="1"/>
  <c r="Q1468" i="12"/>
  <c r="Q1633" i="12" s="1"/>
  <c r="R1762" i="12"/>
  <c r="R1875" i="12" s="1"/>
  <c r="R1913" i="12" s="1"/>
  <c r="R1717" i="12"/>
  <c r="R1874" i="12" s="1"/>
  <c r="R1912" i="12" s="1"/>
  <c r="R1841" i="12"/>
  <c r="R1877" i="12" s="1"/>
  <c r="R1915" i="12" s="1"/>
  <c r="R368" i="16"/>
  <c r="R162" i="20"/>
  <c r="R1207" i="20" s="1"/>
  <c r="R73" i="20"/>
  <c r="R1203" i="20" s="1"/>
  <c r="R896" i="12"/>
  <c r="R916" i="12" s="1"/>
  <c r="R1932" i="12" s="1"/>
  <c r="O1646" i="12"/>
  <c r="R808" i="16"/>
  <c r="R1838" i="16"/>
  <c r="R2164" i="16"/>
  <c r="R2042" i="16"/>
  <c r="R811" i="16" s="1"/>
  <c r="R807" i="16"/>
  <c r="R1505" i="16"/>
  <c r="R136" i="16"/>
  <c r="Q2068" i="16"/>
  <c r="Q2069" i="16" s="1"/>
  <c r="Q2093" i="16"/>
  <c r="Q2096" i="16" s="1"/>
  <c r="I418" i="25"/>
  <c r="R996" i="12"/>
  <c r="R1153" i="12" s="1"/>
  <c r="S356" i="20"/>
  <c r="R721" i="12"/>
  <c r="R909" i="12" s="1"/>
  <c r="R1924" i="12" s="1"/>
  <c r="R905" i="12"/>
  <c r="R917" i="12" s="1"/>
  <c r="R1933" i="12" s="1"/>
  <c r="R1156" i="16"/>
  <c r="R1157" i="16" s="1"/>
  <c r="R844" i="12"/>
  <c r="R913" i="12" s="1"/>
  <c r="R1928" i="12" s="1"/>
  <c r="R1086" i="12"/>
  <c r="R1155" i="12" s="1"/>
  <c r="R745" i="12"/>
  <c r="R910" i="12" s="1"/>
  <c r="R1925" i="12" s="1"/>
  <c r="R878" i="12"/>
  <c r="R914" i="12" s="1"/>
  <c r="R1929" i="12" s="1"/>
  <c r="R1120" i="12"/>
  <c r="R1156" i="12" s="1"/>
  <c r="R1041" i="12"/>
  <c r="R1154" i="12" s="1"/>
  <c r="R799" i="12"/>
  <c r="R912" i="12" s="1"/>
  <c r="R1927" i="12" s="1"/>
  <c r="R1147" i="12"/>
  <c r="R1159" i="12" s="1"/>
  <c r="R963" i="12"/>
  <c r="R1151" i="12" s="1"/>
  <c r="R1413" i="16"/>
  <c r="R2206" i="16"/>
  <c r="R1887" i="16"/>
  <c r="R1163" i="16"/>
  <c r="R1170" i="16"/>
  <c r="R1171" i="16" s="1"/>
  <c r="R893" i="16"/>
  <c r="R357" i="20"/>
  <c r="R358" i="20" s="1"/>
  <c r="R846" i="20"/>
  <c r="S845" i="20"/>
  <c r="S847" i="20" s="1"/>
  <c r="P1641" i="12"/>
  <c r="P1651" i="12" s="1"/>
  <c r="Q1881" i="12"/>
  <c r="Q1891" i="12" s="1"/>
  <c r="H256" i="25"/>
  <c r="H255" i="25"/>
  <c r="I155" i="25"/>
  <c r="I209" i="25" s="1"/>
  <c r="I247" i="25" s="1"/>
  <c r="Q1917" i="12"/>
  <c r="Q1920" i="12" s="1"/>
  <c r="R1149" i="16"/>
  <c r="I465" i="25"/>
  <c r="I277" i="25"/>
  <c r="I324" i="25"/>
  <c r="I371" i="25"/>
  <c r="H136" i="25"/>
  <c r="H218" i="25"/>
  <c r="H135" i="25"/>
  <c r="H217" i="25"/>
  <c r="H209" i="25"/>
  <c r="H247" i="25" s="1"/>
  <c r="H201" i="25"/>
  <c r="H239" i="25" s="1"/>
  <c r="H258" i="25" s="1"/>
  <c r="H266" i="25" s="1"/>
  <c r="G220" i="25"/>
  <c r="G228" i="25" s="1"/>
  <c r="R2146" i="16"/>
  <c r="H1537" i="16"/>
  <c r="I1530" i="16" a="1"/>
  <c r="I1530" i="16" s="1"/>
  <c r="H1648" i="16"/>
  <c r="I1641" i="16" a="1"/>
  <c r="I1641" i="16" s="1"/>
  <c r="H1228" i="16"/>
  <c r="I1221" i="16" a="1"/>
  <c r="I1221" i="16" s="1"/>
  <c r="H1374" i="16"/>
  <c r="I1367" i="16" a="1"/>
  <c r="I1367" i="16" s="1"/>
  <c r="Q805" i="16"/>
  <c r="Q699" i="16"/>
  <c r="Q246" i="20"/>
  <c r="S1419" i="16"/>
  <c r="S2139" i="16" s="1"/>
  <c r="S1431" i="16"/>
  <c r="S2142" i="16" s="1"/>
  <c r="P1886" i="12"/>
  <c r="Q1282" i="16"/>
  <c r="D933" i="20"/>
  <c r="J929" i="20" a="1"/>
  <c r="J929" i="20" s="1"/>
  <c r="R1432" i="16"/>
  <c r="R2159" i="16"/>
  <c r="R1555" i="16"/>
  <c r="R493" i="20"/>
  <c r="R494" i="20" s="1"/>
  <c r="S1575" i="16"/>
  <c r="S2162" i="16" s="1"/>
  <c r="R1576" i="16"/>
  <c r="S1405" i="16"/>
  <c r="R1406" i="16"/>
  <c r="R2143" i="16"/>
  <c r="R1295" i="16"/>
  <c r="R1439" i="16"/>
  <c r="R2113" i="16"/>
  <c r="S1294" i="16"/>
  <c r="S1391" i="16"/>
  <c r="S363" i="20"/>
  <c r="R364" i="20"/>
  <c r="Q1160" i="12"/>
  <c r="Q1170" i="12" s="1"/>
  <c r="Q1171" i="12" s="1"/>
  <c r="R1392" i="16"/>
  <c r="S2048" i="16"/>
  <c r="L55" i="10"/>
  <c r="O169" i="16"/>
  <c r="N186" i="16"/>
  <c r="N60" i="10" s="1"/>
  <c r="N163" i="16"/>
  <c r="O179" i="16"/>
  <c r="O52" i="10" s="1"/>
  <c r="O340" i="10" s="1"/>
  <c r="O158" i="16"/>
  <c r="M178" i="16"/>
  <c r="M51" i="10" s="1"/>
  <c r="M182" i="16"/>
  <c r="M180" i="16" s="1"/>
  <c r="N86" i="16"/>
  <c r="M84" i="16"/>
  <c r="N83" i="16"/>
  <c r="P2123" i="16"/>
  <c r="R1315" i="16"/>
  <c r="R2123" i="16" s="1"/>
  <c r="Q894" i="16"/>
  <c r="Q164" i="16" s="1"/>
  <c r="R1467" i="16"/>
  <c r="P333" i="16"/>
  <c r="Q1420" i="16"/>
  <c r="Q1421" i="16" s="1"/>
  <c r="Q334" i="16" s="1"/>
  <c r="Q791" i="16" s="1"/>
  <c r="R2147" i="16"/>
  <c r="T380" i="10"/>
  <c r="T91" i="10"/>
  <c r="T105" i="10" s="1"/>
  <c r="T370" i="10"/>
  <c r="M915" i="20"/>
  <c r="N915" i="20" s="1"/>
  <c r="O915" i="20" s="1"/>
  <c r="P915" i="20" s="1"/>
  <c r="R1888" i="16"/>
  <c r="P1316" i="16"/>
  <c r="Q1316" i="16" s="1"/>
  <c r="S1893" i="16"/>
  <c r="S2207" i="16" s="1"/>
  <c r="Q2207" i="16"/>
  <c r="Q1894" i="16"/>
  <c r="R1894" i="16" s="1"/>
  <c r="R1453" i="16"/>
  <c r="R2144" i="16"/>
  <c r="K1367" i="16"/>
  <c r="R1446" i="16"/>
  <c r="Q1367" i="16"/>
  <c r="D1362" i="16"/>
  <c r="P1367" i="16"/>
  <c r="E1363" i="16"/>
  <c r="D1363" i="16" s="1"/>
  <c r="S1452" i="16"/>
  <c r="S2145" i="16" s="1"/>
  <c r="N1367" i="16"/>
  <c r="B1361" i="16"/>
  <c r="M1367" i="16"/>
  <c r="R479" i="20"/>
  <c r="R480" i="20" s="1"/>
  <c r="M908" i="20"/>
  <c r="N908" i="20" s="1"/>
  <c r="N910" i="20" s="1"/>
  <c r="N535" i="20"/>
  <c r="O535" i="20" s="1"/>
  <c r="P535" i="20" s="1"/>
  <c r="L916" i="20"/>
  <c r="R1447" i="16"/>
  <c r="L909" i="20"/>
  <c r="M2126" i="16"/>
  <c r="O1336" i="16"/>
  <c r="O2126" i="16" s="1"/>
  <c r="M1337" i="16"/>
  <c r="N1337" i="16" s="1"/>
  <c r="P1475" i="16"/>
  <c r="M1205" i="16"/>
  <c r="M1206" i="16" s="1"/>
  <c r="L1350" i="16"/>
  <c r="N1204" i="16"/>
  <c r="N1207" i="16" s="1"/>
  <c r="N255" i="16" s="1"/>
  <c r="R1393" i="16"/>
  <c r="R1468" i="16"/>
  <c r="R1407" i="16"/>
  <c r="R1454" i="16"/>
  <c r="M1343" i="16"/>
  <c r="N1343" i="16" s="1"/>
  <c r="O1343" i="16" s="1"/>
  <c r="O2127" i="16" s="1"/>
  <c r="R1414" i="16"/>
  <c r="P1324" i="16"/>
  <c r="R241" i="20"/>
  <c r="O1331" i="16"/>
  <c r="R1577" i="16"/>
  <c r="R1916" i="16"/>
  <c r="P1591" i="16"/>
  <c r="Q1591" i="16" s="1"/>
  <c r="M1605" i="16"/>
  <c r="N1605" i="16" s="1"/>
  <c r="O1482" i="16"/>
  <c r="O1598" i="16"/>
  <c r="Q1584" i="16"/>
  <c r="R1584" i="16" s="1"/>
  <c r="N1930" i="16"/>
  <c r="O1930" i="16" s="1"/>
  <c r="P1143" i="16"/>
  <c r="Q1143" i="16" s="1"/>
  <c r="M1489" i="16"/>
  <c r="N1489" i="16" s="1"/>
  <c r="R1603" i="16"/>
  <c r="S1603" i="16" s="1"/>
  <c r="N1178" i="16"/>
  <c r="O1178" i="16" s="1"/>
  <c r="P1317" i="16"/>
  <c r="Q1317" i="16" s="1"/>
  <c r="D1364" i="16"/>
  <c r="Q1289" i="16"/>
  <c r="M1338" i="16"/>
  <c r="N1338" i="16" s="1"/>
  <c r="D1357" i="16"/>
  <c r="F1356" i="16" s="1"/>
  <c r="K1357" i="16" s="1"/>
  <c r="P1165" i="12"/>
  <c r="P1172" i="12" s="1"/>
  <c r="L2127" i="16"/>
  <c r="R350" i="20"/>
  <c r="R351" i="20" s="1"/>
  <c r="D1631" i="16"/>
  <c r="F1630" i="16" s="1"/>
  <c r="K1631" i="16" s="1"/>
  <c r="R1908" i="16"/>
  <c r="R1909" i="16" s="1"/>
  <c r="S1907" i="16"/>
  <c r="S2209" i="16" s="1"/>
  <c r="O75" i="16"/>
  <c r="P73" i="16" s="1"/>
  <c r="P2239" i="16" s="1"/>
  <c r="P2251" i="16" s="1"/>
  <c r="O2263" i="16"/>
  <c r="O76" i="16" s="1"/>
  <c r="O89" i="16" s="1"/>
  <c r="O185" i="16" s="1"/>
  <c r="L20" i="16"/>
  <c r="L81" i="16" s="1"/>
  <c r="L2264" i="16"/>
  <c r="N55" i="10"/>
  <c r="M2244" i="16"/>
  <c r="M2240" i="16"/>
  <c r="M91" i="16" s="1"/>
  <c r="M101" i="12" s="1"/>
  <c r="O51" i="16"/>
  <c r="P49" i="16" s="1"/>
  <c r="P2236" i="16" s="1"/>
  <c r="P2248" i="16" s="1"/>
  <c r="O2260" i="16"/>
  <c r="O52" i="16" s="1"/>
  <c r="O43" i="16"/>
  <c r="P41" i="16" s="1"/>
  <c r="P2235" i="16" s="1"/>
  <c r="P2247" i="16" s="1"/>
  <c r="O2259" i="16"/>
  <c r="O44" i="16" s="1"/>
  <c r="O85" i="16" s="1"/>
  <c r="O181" i="16" s="1"/>
  <c r="O27" i="16"/>
  <c r="P25" i="16" s="1"/>
  <c r="P2233" i="16" s="1"/>
  <c r="P2245" i="16" s="1"/>
  <c r="P27" i="16" s="1"/>
  <c r="Q25" i="16" s="1"/>
  <c r="Q2233" i="16" s="1"/>
  <c r="Q2245" i="16" s="1"/>
  <c r="Q27" i="16" s="1"/>
  <c r="O2257" i="16"/>
  <c r="O28" i="16" s="1"/>
  <c r="O82" i="16" s="1"/>
  <c r="O177" i="16" s="1"/>
  <c r="O67" i="16"/>
  <c r="P65" i="16" s="1"/>
  <c r="P2238" i="16" s="1"/>
  <c r="P2250" i="16" s="1"/>
  <c r="O2262" i="16"/>
  <c r="O68" i="16" s="1"/>
  <c r="O88" i="16" s="1"/>
  <c r="O184" i="16" s="1"/>
  <c r="O59" i="16"/>
  <c r="P57" i="16" s="1"/>
  <c r="P2237" i="16" s="1"/>
  <c r="P2249" i="16" s="1"/>
  <c r="O2261" i="16"/>
  <c r="O60" i="16" s="1"/>
  <c r="O87" i="16" s="1"/>
  <c r="O183" i="16" s="1"/>
  <c r="O35" i="16"/>
  <c r="P33" i="16" s="1"/>
  <c r="P2234" i="16" s="1"/>
  <c r="P2246" i="16" s="1"/>
  <c r="O2258" i="16"/>
  <c r="O36" i="16" s="1"/>
  <c r="R377" i="20"/>
  <c r="S377" i="20" s="1"/>
  <c r="N379" i="20"/>
  <c r="O378" i="20"/>
  <c r="R1142" i="16"/>
  <c r="O385" i="20"/>
  <c r="O386" i="20" s="1"/>
  <c r="R1176" i="16"/>
  <c r="S1176" i="16" s="1"/>
  <c r="N398" i="20"/>
  <c r="O398" i="20" s="1"/>
  <c r="P391" i="20"/>
  <c r="Q391" i="20" s="1"/>
  <c r="L1213" i="16"/>
  <c r="P1183" i="16"/>
  <c r="Q1183" i="16" s="1"/>
  <c r="N392" i="20"/>
  <c r="N1198" i="16"/>
  <c r="N1199" i="16" s="1"/>
  <c r="O1197" i="16"/>
  <c r="L1212" i="16"/>
  <c r="O1184" i="16"/>
  <c r="O1185" i="16" s="1"/>
  <c r="M399" i="20"/>
  <c r="P1177" i="16"/>
  <c r="Q1177" i="16" s="1"/>
  <c r="L413" i="20"/>
  <c r="S1190" i="16"/>
  <c r="S370" i="20"/>
  <c r="O372" i="20"/>
  <c r="P371" i="20"/>
  <c r="Q371" i="20" s="1"/>
  <c r="R371" i="20" s="1"/>
  <c r="O1191" i="16"/>
  <c r="P1191" i="16" s="1"/>
  <c r="Q1191" i="16" s="1"/>
  <c r="R1191" i="16" s="1"/>
  <c r="M412" i="20"/>
  <c r="M414" i="20" s="1"/>
  <c r="L1218" i="16"/>
  <c r="L1221" i="16" s="1"/>
  <c r="L257" i="16" s="1"/>
  <c r="L940" i="16"/>
  <c r="L941" i="16" s="1"/>
  <c r="L942" i="16" s="1"/>
  <c r="L419" i="20"/>
  <c r="L420" i="20" s="1"/>
  <c r="M407" i="20"/>
  <c r="N405" i="20"/>
  <c r="O405" i="20" s="1"/>
  <c r="M1211" i="16"/>
  <c r="N916" i="16"/>
  <c r="N912" i="16"/>
  <c r="M58" i="10"/>
  <c r="M917" i="16"/>
  <c r="D946" i="16"/>
  <c r="F945" i="16" s="1"/>
  <c r="K946" i="16" s="1"/>
  <c r="K947" i="16" s="1"/>
  <c r="K948" i="16" s="1"/>
  <c r="D951" i="16"/>
  <c r="D952" i="16" s="1"/>
  <c r="C958" i="16"/>
  <c r="B955" i="16"/>
  <c r="D961" i="16"/>
  <c r="J960" i="16"/>
  <c r="E957" i="16"/>
  <c r="E956" i="16"/>
  <c r="F956" i="16" s="1"/>
  <c r="D956" i="16"/>
  <c r="Q386" i="20"/>
  <c r="P386" i="20"/>
  <c r="P379" i="20"/>
  <c r="I207" i="16"/>
  <c r="G40" i="20" s="1"/>
  <c r="O255" i="16"/>
  <c r="K1219" i="16"/>
  <c r="K1221" i="16"/>
  <c r="K257" i="16" s="1"/>
  <c r="K1220" i="16"/>
  <c r="K1225" i="16"/>
  <c r="D1236" i="16"/>
  <c r="D1243" i="16" s="1"/>
  <c r="Q1235" i="16"/>
  <c r="P1235" i="16"/>
  <c r="E1230" i="16"/>
  <c r="F1230" i="16" s="1"/>
  <c r="E1231" i="16"/>
  <c r="S1235" i="16"/>
  <c r="R1235" i="16"/>
  <c r="D1230" i="16"/>
  <c r="D1224" i="16"/>
  <c r="D1225" i="16" s="1"/>
  <c r="F1224" i="16" s="1"/>
  <c r="K421" i="20"/>
  <c r="C431" i="20"/>
  <c r="D430" i="20"/>
  <c r="C437" i="20"/>
  <c r="C439" i="20" s="1"/>
  <c r="C440" i="20" s="1"/>
  <c r="K426" i="20"/>
  <c r="K427" i="20" s="1"/>
  <c r="R472" i="20"/>
  <c r="R473" i="20" s="1"/>
  <c r="Q473" i="20"/>
  <c r="R1399" i="16"/>
  <c r="R2136" i="16"/>
  <c r="R329" i="20"/>
  <c r="R330" i="20" s="1"/>
  <c r="R500" i="20"/>
  <c r="R501" i="20" s="1"/>
  <c r="R2161" i="16"/>
  <c r="S499" i="20"/>
  <c r="R1569" i="16"/>
  <c r="S1561" i="16"/>
  <c r="S2160" i="16" s="1"/>
  <c r="R1562" i="16"/>
  <c r="R1563" i="16" s="1"/>
  <c r="O923" i="12"/>
  <c r="Q918" i="12"/>
  <c r="Q928" i="12" s="1"/>
  <c r="Q929" i="12" s="1"/>
  <c r="Q1927" i="12"/>
  <c r="Q1931" i="12" s="1"/>
  <c r="Q1934" i="12" s="1"/>
  <c r="P152" i="16"/>
  <c r="S2052" i="16"/>
  <c r="S2054" i="16"/>
  <c r="R508" i="20"/>
  <c r="O911" i="16"/>
  <c r="R507" i="20"/>
  <c r="N57" i="10"/>
  <c r="L918" i="16"/>
  <c r="N541" i="20"/>
  <c r="N543" i="20" s="1"/>
  <c r="M542" i="20"/>
  <c r="M543" i="20" s="1"/>
  <c r="M923" i="16"/>
  <c r="M924" i="16" s="1"/>
  <c r="R336" i="20"/>
  <c r="R337" i="20" s="1"/>
  <c r="R515" i="20"/>
  <c r="L929" i="16"/>
  <c r="R514" i="20"/>
  <c r="Q922" i="16"/>
  <c r="R922" i="16" s="1"/>
  <c r="S922" i="16" s="1"/>
  <c r="M928" i="16"/>
  <c r="N928" i="16" s="1"/>
  <c r="P146" i="16"/>
  <c r="P162" i="16" s="1"/>
  <c r="P903" i="20"/>
  <c r="P527" i="20"/>
  <c r="Q527" i="20" s="1"/>
  <c r="Q529" i="20" s="1"/>
  <c r="O528" i="20"/>
  <c r="L1624" i="16"/>
  <c r="M1624" i="16" s="1"/>
  <c r="M2214" i="16"/>
  <c r="M1943" i="16"/>
  <c r="N1943" i="16" s="1"/>
  <c r="O2150" i="16"/>
  <c r="P902" i="20"/>
  <c r="Q902" i="20" s="1"/>
  <c r="P521" i="20"/>
  <c r="Q520" i="20"/>
  <c r="O1942" i="16"/>
  <c r="P1942" i="16" s="1"/>
  <c r="Q1942" i="16" s="1"/>
  <c r="K2169" i="16"/>
  <c r="O1488" i="16"/>
  <c r="P1488" i="16" s="1"/>
  <c r="K1626" i="16"/>
  <c r="P536" i="20"/>
  <c r="R901" i="20"/>
  <c r="Q534" i="20"/>
  <c r="Q536" i="20" s="1"/>
  <c r="E561" i="20"/>
  <c r="K562" i="20" s="1"/>
  <c r="Q903" i="20"/>
  <c r="D568" i="20"/>
  <c r="D567" i="20"/>
  <c r="E567" i="20" s="1"/>
  <c r="C568" i="20"/>
  <c r="C569" i="20" s="1"/>
  <c r="C567" i="20"/>
  <c r="C947" i="20"/>
  <c r="D942" i="20"/>
  <c r="C942" i="20"/>
  <c r="Q896" i="20"/>
  <c r="M1617" i="16"/>
  <c r="M2167" i="16"/>
  <c r="N1610" i="16"/>
  <c r="O1610" i="16" s="1"/>
  <c r="O2167" i="16" s="1"/>
  <c r="Q1487" i="16"/>
  <c r="Q2150" i="16" s="1"/>
  <c r="N2213" i="16"/>
  <c r="N1936" i="16"/>
  <c r="N1937" i="16" s="1"/>
  <c r="O1935" i="16"/>
  <c r="P1935" i="16" s="1"/>
  <c r="Q888" i="16"/>
  <c r="Q161" i="16" s="1"/>
  <c r="O1494" i="16"/>
  <c r="S1480" i="16"/>
  <c r="M1611" i="16"/>
  <c r="M1612" i="16" s="1"/>
  <c r="Q1928" i="16"/>
  <c r="K158" i="16"/>
  <c r="Q882" i="16"/>
  <c r="R881" i="16"/>
  <c r="P906" i="16"/>
  <c r="R876" i="16"/>
  <c r="R905" i="16"/>
  <c r="Q900" i="16"/>
  <c r="R1460" i="16"/>
  <c r="R1461" i="16" s="1"/>
  <c r="R332" i="16"/>
  <c r="L1618" i="16"/>
  <c r="R1590" i="16"/>
  <c r="R462" i="20"/>
  <c r="R463" i="20" s="1"/>
  <c r="L1619" i="16"/>
  <c r="O1604" i="16"/>
  <c r="O2166" i="16"/>
  <c r="Q2165" i="16"/>
  <c r="M1495" i="16"/>
  <c r="N1495" i="16" s="1"/>
  <c r="P1597" i="16"/>
  <c r="Q1597" i="16" s="1"/>
  <c r="Q1641" i="16"/>
  <c r="K1641" i="16"/>
  <c r="E1636" i="16"/>
  <c r="F1636" i="16" s="1"/>
  <c r="L1641" i="16"/>
  <c r="R1641" i="16"/>
  <c r="B1635" i="16"/>
  <c r="M1641" i="16"/>
  <c r="E1637" i="16"/>
  <c r="D1637" i="16" s="1"/>
  <c r="N1641" i="16"/>
  <c r="D1636" i="16"/>
  <c r="O1641" i="16"/>
  <c r="D1642" i="16"/>
  <c r="P1641" i="16"/>
  <c r="P1929" i="16"/>
  <c r="P2165" i="16"/>
  <c r="Q1323" i="16"/>
  <c r="P1481" i="16"/>
  <c r="Q2125" i="16"/>
  <c r="P2125" i="16"/>
  <c r="Q2148" i="16"/>
  <c r="Q1474" i="16"/>
  <c r="N2151" i="16"/>
  <c r="P1330" i="16"/>
  <c r="Q1330" i="16" s="1"/>
  <c r="M2151" i="16"/>
  <c r="E1370" i="16"/>
  <c r="D1370" i="16" s="1"/>
  <c r="E1369" i="16"/>
  <c r="F1369" i="16" s="1"/>
  <c r="D1375" i="16"/>
  <c r="B1368" i="16"/>
  <c r="D1369" i="16"/>
  <c r="K1374" i="16"/>
  <c r="L1374" i="16"/>
  <c r="M1374" i="16"/>
  <c r="N1374" i="16"/>
  <c r="O1374" i="16"/>
  <c r="P1374" i="16"/>
  <c r="Q1374" i="16"/>
  <c r="R1374" i="16"/>
  <c r="P2150" i="16"/>
  <c r="Q2124" i="16"/>
  <c r="R1135" i="16"/>
  <c r="Q1136" i="16"/>
  <c r="S2064" i="16"/>
  <c r="S2092" i="16" s="1"/>
  <c r="R112" i="10"/>
  <c r="U366" i="10"/>
  <c r="V79" i="10"/>
  <c r="U60" i="22"/>
  <c r="T64" i="22"/>
  <c r="Q112" i="10"/>
  <c r="T71" i="10"/>
  <c r="U33" i="22"/>
  <c r="U37" i="22" s="1"/>
  <c r="T38" i="22"/>
  <c r="T106" i="11" s="1"/>
  <c r="R36" i="10"/>
  <c r="T85" i="10"/>
  <c r="T56" i="22"/>
  <c r="U51" i="22"/>
  <c r="U55" i="22" s="1"/>
  <c r="S84" i="10"/>
  <c r="S118" i="10" s="1"/>
  <c r="S114" i="10"/>
  <c r="S65" i="22"/>
  <c r="S92" i="12" s="1"/>
  <c r="S89" i="10"/>
  <c r="W22" i="20"/>
  <c r="V92" i="10"/>
  <c r="V91" i="10" s="1"/>
  <c r="R2081" i="16"/>
  <c r="R2094" i="16"/>
  <c r="R2080" i="16"/>
  <c r="W15" i="22"/>
  <c r="W17" i="22" s="1"/>
  <c r="V77" i="10"/>
  <c r="S199" i="18"/>
  <c r="S200" i="18"/>
  <c r="R201" i="18"/>
  <c r="Q1895" i="16" l="1"/>
  <c r="R1895" i="16" s="1"/>
  <c r="S35" i="8"/>
  <c r="S11" i="20"/>
  <c r="S11" i="18"/>
  <c r="S11" i="16"/>
  <c r="S11" i="22"/>
  <c r="S11" i="10"/>
  <c r="S11" i="12"/>
  <c r="S2074" i="16"/>
  <c r="T27" i="8"/>
  <c r="T11" i="12" s="1"/>
  <c r="T126" i="8"/>
  <c r="S2081" i="16"/>
  <c r="S2079" i="16"/>
  <c r="S2046" i="16"/>
  <c r="S2073" i="16"/>
  <c r="S2077" i="16"/>
  <c r="S2050" i="16"/>
  <c r="T2050" i="16" s="1"/>
  <c r="R2093" i="16"/>
  <c r="R2096" i="16" s="1"/>
  <c r="R1556" i="16"/>
  <c r="S1556" i="16" s="1"/>
  <c r="S2047" i="16"/>
  <c r="R1296" i="16"/>
  <c r="R2078" i="16"/>
  <c r="R2082" i="16" s="1"/>
  <c r="R256" i="20" s="1"/>
  <c r="R1440" i="16"/>
  <c r="R1310" i="16"/>
  <c r="L1351" i="16"/>
  <c r="R1433" i="16"/>
  <c r="R1303" i="16"/>
  <c r="K1358" i="16"/>
  <c r="K1359" i="16" s="1"/>
  <c r="K2129" i="16"/>
  <c r="P2208" i="16"/>
  <c r="Q1900" i="16"/>
  <c r="K585" i="16"/>
  <c r="K1950" i="16"/>
  <c r="K2215" i="16"/>
  <c r="L1949" i="16"/>
  <c r="O1902" i="16"/>
  <c r="P1901" i="16"/>
  <c r="O1921" i="16"/>
  <c r="M1923" i="16"/>
  <c r="N1922" i="16"/>
  <c r="K1364" i="16"/>
  <c r="K2130" i="16" s="1"/>
  <c r="M934" i="16"/>
  <c r="L935" i="16"/>
  <c r="R1289" i="16"/>
  <c r="R1282" i="16"/>
  <c r="R1150" i="16"/>
  <c r="R1164" i="16"/>
  <c r="K13" i="25"/>
  <c r="K48" i="25" s="1"/>
  <c r="I255" i="25"/>
  <c r="S265" i="16"/>
  <c r="S53" i="20" s="1"/>
  <c r="S1233" i="12"/>
  <c r="S1237" i="12" s="1"/>
  <c r="S1394" i="12" s="1"/>
  <c r="T1142" i="12"/>
  <c r="T1144" i="12"/>
  <c r="T1145" i="12"/>
  <c r="T1146" i="12"/>
  <c r="T1143" i="12"/>
  <c r="T1133" i="12"/>
  <c r="T1135" i="12"/>
  <c r="T1137" i="12"/>
  <c r="T1134" i="12"/>
  <c r="T1136" i="12"/>
  <c r="T1090" i="12"/>
  <c r="T1098" i="12"/>
  <c r="T1106" i="12"/>
  <c r="T1114" i="12"/>
  <c r="T1095" i="12"/>
  <c r="T1103" i="12"/>
  <c r="T1111" i="12"/>
  <c r="T1119" i="12"/>
  <c r="T1112" i="12"/>
  <c r="T1092" i="12"/>
  <c r="T1100" i="12"/>
  <c r="T1108" i="12"/>
  <c r="T1116" i="12"/>
  <c r="T1097" i="12"/>
  <c r="T1105" i="12"/>
  <c r="T1113" i="12"/>
  <c r="T1104" i="12"/>
  <c r="T1094" i="12"/>
  <c r="T1102" i="12"/>
  <c r="T1110" i="12"/>
  <c r="T1118" i="12"/>
  <c r="T1091" i="12"/>
  <c r="T1099" i="12"/>
  <c r="T1107" i="12"/>
  <c r="T1115" i="12"/>
  <c r="T1096" i="12"/>
  <c r="T1093" i="12"/>
  <c r="T1101" i="12"/>
  <c r="T1109" i="12"/>
  <c r="T1117" i="12"/>
  <c r="T1046" i="12"/>
  <c r="T1054" i="12"/>
  <c r="T1062" i="12"/>
  <c r="T1070" i="12"/>
  <c r="T1078" i="12"/>
  <c r="T1066" i="12"/>
  <c r="T1074" i="12"/>
  <c r="T1051" i="12"/>
  <c r="T1059" i="12"/>
  <c r="T1067" i="12"/>
  <c r="T1075" i="12"/>
  <c r="T1083" i="12"/>
  <c r="T1050" i="12"/>
  <c r="T1058" i="12"/>
  <c r="T1048" i="12"/>
  <c r="T1056" i="12"/>
  <c r="T1064" i="12"/>
  <c r="T1072" i="12"/>
  <c r="T1080" i="12"/>
  <c r="T1053" i="12"/>
  <c r="T1061" i="12"/>
  <c r="T1069" i="12"/>
  <c r="T1077" i="12"/>
  <c r="T1085" i="12"/>
  <c r="T1047" i="12"/>
  <c r="T1055" i="12"/>
  <c r="T1063" i="12"/>
  <c r="T1071" i="12"/>
  <c r="T1079" i="12"/>
  <c r="T1049" i="12"/>
  <c r="T1065" i="12"/>
  <c r="T1052" i="12"/>
  <c r="T1060" i="12"/>
  <c r="T1068" i="12"/>
  <c r="T1076" i="12"/>
  <c r="T1084" i="12"/>
  <c r="T1057" i="12"/>
  <c r="T1073" i="12"/>
  <c r="T1082" i="12"/>
  <c r="T1081" i="12"/>
  <c r="T1001" i="12"/>
  <c r="T1009" i="12"/>
  <c r="T1017" i="12"/>
  <c r="T1025" i="12"/>
  <c r="T1033" i="12"/>
  <c r="T1006" i="12"/>
  <c r="T1014" i="12"/>
  <c r="T1022" i="12"/>
  <c r="T1030" i="12"/>
  <c r="T1038" i="12"/>
  <c r="T1003" i="12"/>
  <c r="T1011" i="12"/>
  <c r="T1019" i="12"/>
  <c r="T1027" i="12"/>
  <c r="T1035" i="12"/>
  <c r="T1008" i="12"/>
  <c r="T1016" i="12"/>
  <c r="T1024" i="12"/>
  <c r="T1032" i="12"/>
  <c r="T1040" i="12"/>
  <c r="T1005" i="12"/>
  <c r="T1013" i="12"/>
  <c r="T1021" i="12"/>
  <c r="T1029" i="12"/>
  <c r="T1037" i="12"/>
  <c r="T1002" i="12"/>
  <c r="T1010" i="12"/>
  <c r="T1018" i="12"/>
  <c r="T1026" i="12"/>
  <c r="T1034" i="12"/>
  <c r="T1007" i="12"/>
  <c r="T1015" i="12"/>
  <c r="T1004" i="12"/>
  <c r="T1012" i="12"/>
  <c r="T1020" i="12"/>
  <c r="T1028" i="12"/>
  <c r="T1036" i="12"/>
  <c r="T1031" i="12"/>
  <c r="T1039" i="12"/>
  <c r="T1023" i="12"/>
  <c r="T991" i="12"/>
  <c r="T993" i="12"/>
  <c r="T994" i="12"/>
  <c r="T995" i="12"/>
  <c r="T992" i="12"/>
  <c r="T967" i="12"/>
  <c r="T975" i="12"/>
  <c r="T983" i="12"/>
  <c r="T972" i="12"/>
  <c r="T980" i="12"/>
  <c r="T969" i="12"/>
  <c r="T977" i="12"/>
  <c r="T985" i="12"/>
  <c r="T981" i="12"/>
  <c r="T974" i="12"/>
  <c r="T982" i="12"/>
  <c r="T973" i="12"/>
  <c r="T971" i="12"/>
  <c r="T979" i="12"/>
  <c r="T968" i="12"/>
  <c r="T976" i="12"/>
  <c r="T984" i="12"/>
  <c r="T970" i="12"/>
  <c r="T978" i="12"/>
  <c r="T986" i="12"/>
  <c r="Q1406" i="12"/>
  <c r="T900" i="12"/>
  <c r="T902" i="12"/>
  <c r="T903" i="12"/>
  <c r="T904" i="12"/>
  <c r="T901" i="12"/>
  <c r="T891" i="12"/>
  <c r="T893" i="12"/>
  <c r="T892" i="12"/>
  <c r="T895" i="12"/>
  <c r="T894" i="12"/>
  <c r="T848" i="12"/>
  <c r="T856" i="12"/>
  <c r="T864" i="12"/>
  <c r="T872" i="12"/>
  <c r="T865" i="12"/>
  <c r="T873" i="12"/>
  <c r="T853" i="12"/>
  <c r="T861" i="12"/>
  <c r="T869" i="12"/>
  <c r="T877" i="12"/>
  <c r="T850" i="12"/>
  <c r="T858" i="12"/>
  <c r="T866" i="12"/>
  <c r="T874" i="12"/>
  <c r="T849" i="12"/>
  <c r="T1332" i="12" s="1"/>
  <c r="T862" i="12"/>
  <c r="T855" i="12"/>
  <c r="T863" i="12"/>
  <c r="T871" i="12"/>
  <c r="T854" i="12"/>
  <c r="T870" i="12"/>
  <c r="T852" i="12"/>
  <c r="T1335" i="12" s="1"/>
  <c r="T860" i="12"/>
  <c r="T868" i="12"/>
  <c r="T876" i="12"/>
  <c r="T857" i="12"/>
  <c r="T851" i="12"/>
  <c r="T859" i="12"/>
  <c r="T867" i="12"/>
  <c r="T875" i="12"/>
  <c r="T804" i="12"/>
  <c r="T812" i="12"/>
  <c r="T820" i="12"/>
  <c r="T828" i="12"/>
  <c r="T836" i="12"/>
  <c r="T809" i="12"/>
  <c r="T817" i="12"/>
  <c r="T825" i="12"/>
  <c r="T833" i="12"/>
  <c r="T841" i="12"/>
  <c r="T806" i="12"/>
  <c r="T814" i="12"/>
  <c r="T822" i="12"/>
  <c r="T830" i="12"/>
  <c r="T838" i="12"/>
  <c r="T818" i="12"/>
  <c r="T842" i="12"/>
  <c r="T811" i="12"/>
  <c r="T819" i="12"/>
  <c r="T827" i="12"/>
  <c r="T835" i="12"/>
  <c r="T843" i="12"/>
  <c r="T810" i="12"/>
  <c r="T808" i="12"/>
  <c r="T1291" i="12" s="1"/>
  <c r="T816" i="12"/>
  <c r="T824" i="12"/>
  <c r="T832" i="12"/>
  <c r="T840" i="12"/>
  <c r="T834" i="12"/>
  <c r="T805" i="12"/>
  <c r="T1288" i="12" s="1"/>
  <c r="T813" i="12"/>
  <c r="T821" i="12"/>
  <c r="T829" i="12"/>
  <c r="T837" i="12"/>
  <c r="T807" i="12"/>
  <c r="T815" i="12"/>
  <c r="T823" i="12"/>
  <c r="T831" i="12"/>
  <c r="T839" i="12"/>
  <c r="T826" i="12"/>
  <c r="R1401" i="12"/>
  <c r="R1411" i="12" s="1"/>
  <c r="R1412" i="12" s="1"/>
  <c r="R257" i="20" s="1"/>
  <c r="T759" i="12"/>
  <c r="T767" i="12"/>
  <c r="T775" i="12"/>
  <c r="T783" i="12"/>
  <c r="T791" i="12"/>
  <c r="T764" i="12"/>
  <c r="T772" i="12"/>
  <c r="T780" i="12"/>
  <c r="T788" i="12"/>
  <c r="T796" i="12"/>
  <c r="T761" i="12"/>
  <c r="T769" i="12"/>
  <c r="T777" i="12"/>
  <c r="T785" i="12"/>
  <c r="T793" i="12"/>
  <c r="T766" i="12"/>
  <c r="T774" i="12"/>
  <c r="T782" i="12"/>
  <c r="T790" i="12"/>
  <c r="T798" i="12"/>
  <c r="T763" i="12"/>
  <c r="T1246" i="12" s="1"/>
  <c r="T771" i="12"/>
  <c r="T779" i="12"/>
  <c r="T787" i="12"/>
  <c r="T795" i="12"/>
  <c r="T760" i="12"/>
  <c r="T1243" i="12" s="1"/>
  <c r="T768" i="12"/>
  <c r="T776" i="12"/>
  <c r="T784" i="12"/>
  <c r="T792" i="12"/>
  <c r="T765" i="12"/>
  <c r="T773" i="12"/>
  <c r="T781" i="12"/>
  <c r="T789" i="12"/>
  <c r="T797" i="12"/>
  <c r="T762" i="12"/>
  <c r="T770" i="12"/>
  <c r="T778" i="12"/>
  <c r="T786" i="12"/>
  <c r="T794" i="12"/>
  <c r="T749" i="12"/>
  <c r="T750" i="12"/>
  <c r="T753" i="12"/>
  <c r="T751" i="12"/>
  <c r="T752" i="12"/>
  <c r="S1228" i="12"/>
  <c r="S1393" i="12" s="1"/>
  <c r="S1361" i="12"/>
  <c r="S1397" i="12" s="1"/>
  <c r="S1327" i="12"/>
  <c r="S1396" i="12" s="1"/>
  <c r="S1282" i="12"/>
  <c r="S1395" i="12" s="1"/>
  <c r="T725" i="12"/>
  <c r="T733" i="12"/>
  <c r="T741" i="12"/>
  <c r="T729" i="12"/>
  <c r="T1212" i="12" s="1"/>
  <c r="T730" i="12"/>
  <c r="T738" i="12"/>
  <c r="T727" i="12"/>
  <c r="T735" i="12"/>
  <c r="T743" i="12"/>
  <c r="T737" i="12"/>
  <c r="T732" i="12"/>
  <c r="T740" i="12"/>
  <c r="T726" i="12"/>
  <c r="T1209" i="12" s="1"/>
  <c r="T734" i="12"/>
  <c r="T742" i="12"/>
  <c r="T744" i="12"/>
  <c r="T731" i="12"/>
  <c r="T739" i="12"/>
  <c r="T728" i="12"/>
  <c r="T736" i="12"/>
  <c r="P923" i="12"/>
  <c r="O931" i="12"/>
  <c r="S930" i="12"/>
  <c r="S216" i="10" s="1"/>
  <c r="S360" i="10" s="1"/>
  <c r="T943" i="12"/>
  <c r="T944" i="12"/>
  <c r="T948" i="12"/>
  <c r="T952" i="12"/>
  <c r="T956" i="12"/>
  <c r="T960" i="12"/>
  <c r="T947" i="12"/>
  <c r="T951" i="12"/>
  <c r="T955" i="12"/>
  <c r="T959" i="12"/>
  <c r="T946" i="12"/>
  <c r="T950" i="12"/>
  <c r="T954" i="12"/>
  <c r="T958" i="12"/>
  <c r="T962" i="12"/>
  <c r="T945" i="12"/>
  <c r="T949" i="12"/>
  <c r="T953" i="12"/>
  <c r="T957" i="12"/>
  <c r="T961" i="12"/>
  <c r="T701" i="12"/>
  <c r="T720" i="12"/>
  <c r="T702" i="12"/>
  <c r="T1185" i="12" s="1"/>
  <c r="T706" i="12"/>
  <c r="T710" i="12"/>
  <c r="T714" i="12"/>
  <c r="T718" i="12"/>
  <c r="T705" i="12"/>
  <c r="T1188" i="12" s="1"/>
  <c r="T709" i="12"/>
  <c r="T713" i="12"/>
  <c r="T717" i="12"/>
  <c r="T704" i="12"/>
  <c r="T708" i="12"/>
  <c r="T712" i="12"/>
  <c r="T716" i="12"/>
  <c r="T703" i="12"/>
  <c r="T707" i="12"/>
  <c r="T711" i="12"/>
  <c r="T715" i="12"/>
  <c r="T719" i="12"/>
  <c r="T31" i="20"/>
  <c r="S1149" i="16"/>
  <c r="S1170" i="16"/>
  <c r="R2068" i="16"/>
  <c r="R2069" i="16" s="1"/>
  <c r="R2055" i="16"/>
  <c r="R796" i="16" s="1"/>
  <c r="S2080" i="16"/>
  <c r="S2058" i="16"/>
  <c r="S2072" i="16" s="1"/>
  <c r="S206" i="12"/>
  <c r="S875" i="16"/>
  <c r="S2076" i="16"/>
  <c r="S2053" i="16"/>
  <c r="S1569" i="16"/>
  <c r="S264" i="12"/>
  <c r="S2049" i="16"/>
  <c r="S2122" i="16"/>
  <c r="S752" i="16"/>
  <c r="S214" i="20" s="1"/>
  <c r="S762" i="16"/>
  <c r="S224" i="20" s="1"/>
  <c r="S1887" i="16"/>
  <c r="S1156" i="16"/>
  <c r="S1157" i="16" s="1"/>
  <c r="S1443" i="12"/>
  <c r="S756" i="16"/>
  <c r="S218" i="20" s="1"/>
  <c r="S1493" i="12"/>
  <c r="S769" i="16"/>
  <c r="S231" i="20" s="1"/>
  <c r="S1428" i="12"/>
  <c r="S1591" i="12"/>
  <c r="S1472" i="12"/>
  <c r="S1514" i="12"/>
  <c r="S1583" i="12"/>
  <c r="S1519" i="12"/>
  <c r="S1448" i="12"/>
  <c r="T120" i="20"/>
  <c r="S745" i="16"/>
  <c r="S207" i="20" s="1"/>
  <c r="S783" i="16"/>
  <c r="S245" i="20" s="1"/>
  <c r="S768" i="16"/>
  <c r="S230" i="20" s="1"/>
  <c r="S777" i="16"/>
  <c r="S239" i="20" s="1"/>
  <c r="S747" i="16"/>
  <c r="S209" i="20" s="1"/>
  <c r="S775" i="16"/>
  <c r="S237" i="20" s="1"/>
  <c r="S771" i="16"/>
  <c r="S233" i="20" s="1"/>
  <c r="S776" i="16"/>
  <c r="S238" i="20" s="1"/>
  <c r="S758" i="16"/>
  <c r="S220" i="20" s="1"/>
  <c r="S761" i="16"/>
  <c r="S223" i="20" s="1"/>
  <c r="S750" i="16"/>
  <c r="S212" i="20" s="1"/>
  <c r="S767" i="16"/>
  <c r="S229" i="20" s="1"/>
  <c r="S744" i="16"/>
  <c r="S206" i="20" s="1"/>
  <c r="T1469" i="16"/>
  <c r="T940" i="12"/>
  <c r="T1802" i="12"/>
  <c r="S770" i="16"/>
  <c r="S232" i="20" s="1"/>
  <c r="S774" i="16"/>
  <c r="S236" i="20" s="1"/>
  <c r="S760" i="16"/>
  <c r="S222" i="20" s="1"/>
  <c r="T1701" i="12"/>
  <c r="S755" i="16"/>
  <c r="S217" i="20" s="1"/>
  <c r="S746" i="16"/>
  <c r="S208" i="20" s="1"/>
  <c r="S766" i="16"/>
  <c r="S228" i="20" s="1"/>
  <c r="T132" i="20"/>
  <c r="T353" i="16"/>
  <c r="T1675" i="12"/>
  <c r="T1724" i="12"/>
  <c r="T197" i="16"/>
  <c r="S1434" i="12"/>
  <c r="S1562" i="12"/>
  <c r="S1457" i="12"/>
  <c r="S1589" i="12"/>
  <c r="S1503" i="12"/>
  <c r="S1450" i="12"/>
  <c r="S1497" i="12"/>
  <c r="S350" i="20"/>
  <c r="S1529" i="12"/>
  <c r="S1576" i="12"/>
  <c r="S1512" i="12"/>
  <c r="S1427" i="12"/>
  <c r="S1537" i="12"/>
  <c r="S1531" i="12"/>
  <c r="S1440" i="12"/>
  <c r="J371" i="25"/>
  <c r="S1574" i="12"/>
  <c r="S1548" i="12"/>
  <c r="S1486" i="12"/>
  <c r="S1597" i="12"/>
  <c r="S1595" i="12"/>
  <c r="S1436" i="12"/>
  <c r="S101" i="18"/>
  <c r="S1484" i="12"/>
  <c r="S1592" i="12"/>
  <c r="S1494" i="12"/>
  <c r="S1504" i="12"/>
  <c r="S1580" i="12"/>
  <c r="S1495" i="12"/>
  <c r="S1516" i="12"/>
  <c r="S1600" i="12"/>
  <c r="S1535" i="12"/>
  <c r="R699" i="16"/>
  <c r="S887" i="16"/>
  <c r="T94" i="20"/>
  <c r="T574" i="16"/>
  <c r="T921" i="12"/>
  <c r="T1578" i="16"/>
  <c r="T357" i="16"/>
  <c r="T58" i="20"/>
  <c r="T1740" i="12"/>
  <c r="T1805" i="12"/>
  <c r="T160" i="20"/>
  <c r="T1817" i="12"/>
  <c r="T12" i="22"/>
  <c r="T151" i="20"/>
  <c r="T1163" i="12"/>
  <c r="T22" i="16"/>
  <c r="T423" i="16"/>
  <c r="T1788" i="12"/>
  <c r="T174" i="16"/>
  <c r="S48" i="18"/>
  <c r="S53" i="18" s="1"/>
  <c r="T1667" i="12"/>
  <c r="U28" i="8"/>
  <c r="T425" i="16"/>
  <c r="T177" i="20"/>
  <c r="T1557" i="16"/>
  <c r="J465" i="25"/>
  <c r="J277" i="25"/>
  <c r="J155" i="25"/>
  <c r="J201" i="25" s="1"/>
  <c r="J239" i="25" s="1"/>
  <c r="J258" i="25" s="1"/>
  <c r="J266" i="25" s="1"/>
  <c r="I135" i="25"/>
  <c r="J324" i="25"/>
  <c r="J418" i="25"/>
  <c r="S486" i="20"/>
  <c r="S487" i="20" s="1"/>
  <c r="S1583" i="16"/>
  <c r="S1204" i="12"/>
  <c r="S1392" i="12" s="1"/>
  <c r="S1439" i="16"/>
  <c r="S594" i="12"/>
  <c r="S520" i="12"/>
  <c r="S116" i="12"/>
  <c r="S585" i="12"/>
  <c r="S221" i="12"/>
  <c r="K73" i="25"/>
  <c r="K119" i="25" s="1"/>
  <c r="K127" i="25" s="1"/>
  <c r="K138" i="25" s="1"/>
  <c r="K146" i="25" s="1"/>
  <c r="S434" i="12"/>
  <c r="S161" i="12"/>
  <c r="S306" i="12"/>
  <c r="S1467" i="16"/>
  <c r="S514" i="20"/>
  <c r="I218" i="25"/>
  <c r="S748" i="16"/>
  <c r="S210" i="20" s="1"/>
  <c r="S781" i="16"/>
  <c r="S243" i="20" s="1"/>
  <c r="S759" i="16"/>
  <c r="S221" i="20" s="1"/>
  <c r="S749" i="16"/>
  <c r="S211" i="20" s="1"/>
  <c r="S782" i="16"/>
  <c r="S244" i="20" s="1"/>
  <c r="S773" i="16"/>
  <c r="S235" i="20" s="1"/>
  <c r="S753" i="16"/>
  <c r="S215" i="20" s="1"/>
  <c r="S763" i="16"/>
  <c r="S225" i="20" s="1"/>
  <c r="S754" i="16"/>
  <c r="S216" i="20" s="1"/>
  <c r="S780" i="16"/>
  <c r="S242" i="20" s="1"/>
  <c r="S772" i="16"/>
  <c r="S234" i="20" s="1"/>
  <c r="S751" i="16"/>
  <c r="S213" i="20" s="1"/>
  <c r="S757" i="16"/>
  <c r="S219" i="20" s="1"/>
  <c r="S765" i="16"/>
  <c r="S227" i="20" s="1"/>
  <c r="S778" i="16"/>
  <c r="S240" i="20" s="1"/>
  <c r="S779" i="16"/>
  <c r="S241" i="20" s="1"/>
  <c r="S1534" i="12"/>
  <c r="S1533" i="12"/>
  <c r="S1541" i="12"/>
  <c r="S1577" i="12"/>
  <c r="S1491" i="12"/>
  <c r="S1579" i="12"/>
  <c r="S1518" i="12"/>
  <c r="S1587" i="12"/>
  <c r="S1578" i="12"/>
  <c r="S1536" i="12"/>
  <c r="S1483" i="12"/>
  <c r="S1467" i="12"/>
  <c r="S1488" i="12"/>
  <c r="S1584" i="12"/>
  <c r="S1452" i="12"/>
  <c r="S1565" i="12"/>
  <c r="S1520" i="12"/>
  <c r="S1489" i="12"/>
  <c r="S1508" i="12"/>
  <c r="S1432" i="12"/>
  <c r="S1515" i="12"/>
  <c r="S1431" i="12"/>
  <c r="S1590" i="12"/>
  <c r="S1553" i="12"/>
  <c r="S351" i="20"/>
  <c r="S1550" i="12"/>
  <c r="S1571" i="12"/>
  <c r="S1435" i="12"/>
  <c r="S1482" i="12"/>
  <c r="S1538" i="12"/>
  <c r="S1437" i="12"/>
  <c r="S1506" i="12"/>
  <c r="S1585" i="12"/>
  <c r="S1546" i="12"/>
  <c r="S1466" i="12"/>
  <c r="S1461" i="12"/>
  <c r="S1438" i="12"/>
  <c r="S1528" i="12"/>
  <c r="S1474" i="12"/>
  <c r="S1572" i="12"/>
  <c r="S1594" i="12"/>
  <c r="S1464" i="12"/>
  <c r="S1510" i="12"/>
  <c r="S1441" i="12"/>
  <c r="S1552" i="12"/>
  <c r="S1473" i="12"/>
  <c r="S1551" i="12"/>
  <c r="S1513" i="12"/>
  <c r="S1455" i="12"/>
  <c r="S1560" i="12"/>
  <c r="S1558" i="12"/>
  <c r="S1559" i="12"/>
  <c r="S1521" i="12"/>
  <c r="S1498" i="12"/>
  <c r="S1459" i="12"/>
  <c r="S1454" i="12"/>
  <c r="S1599" i="12"/>
  <c r="S1426" i="12"/>
  <c r="S1539" i="12"/>
  <c r="S1501" i="12"/>
  <c r="S1557" i="12"/>
  <c r="S1575" i="12"/>
  <c r="S1476" i="12"/>
  <c r="S1566" i="12"/>
  <c r="S1588" i="12"/>
  <c r="S1500" i="12"/>
  <c r="S1499" i="12"/>
  <c r="S1593" i="12"/>
  <c r="S1490" i="12"/>
  <c r="S1596" i="12"/>
  <c r="S1554" i="12"/>
  <c r="S1507" i="12"/>
  <c r="S1527" i="12"/>
  <c r="S1582" i="12"/>
  <c r="S1545" i="12"/>
  <c r="S1542" i="12"/>
  <c r="S1540" i="12"/>
  <c r="S1453" i="12"/>
  <c r="S1487" i="12"/>
  <c r="S1581" i="12"/>
  <c r="S1543" i="12"/>
  <c r="S1462" i="12"/>
  <c r="S1456" i="12"/>
  <c r="S1598" i="12"/>
  <c r="S1561" i="12"/>
  <c r="S1430" i="12"/>
  <c r="S1475" i="12"/>
  <c r="S1439" i="12"/>
  <c r="S1465" i="12"/>
  <c r="S1485" i="12"/>
  <c r="S1460" i="12"/>
  <c r="S1532" i="12"/>
  <c r="S1429" i="12"/>
  <c r="S1563" i="12"/>
  <c r="S1573" i="12"/>
  <c r="S1502" i="12"/>
  <c r="S1463" i="12"/>
  <c r="S1496" i="12"/>
  <c r="S1458" i="12"/>
  <c r="S1505" i="12"/>
  <c r="S1433" i="12"/>
  <c r="S1442" i="12"/>
  <c r="S1547" i="12"/>
  <c r="S1509" i="12"/>
  <c r="S1451" i="12"/>
  <c r="S1556" i="12"/>
  <c r="S1530" i="12"/>
  <c r="S1555" i="12"/>
  <c r="S1517" i="12"/>
  <c r="S1492" i="12"/>
  <c r="S1564" i="12"/>
  <c r="S1424" i="12"/>
  <c r="S1511" i="12"/>
  <c r="S1449" i="12"/>
  <c r="S1586" i="12"/>
  <c r="S1549" i="12"/>
  <c r="S1425" i="12"/>
  <c r="S1142" i="16"/>
  <c r="S1446" i="16"/>
  <c r="S2114" i="16"/>
  <c r="J48" i="25"/>
  <c r="S1302" i="16"/>
  <c r="S1288" i="16"/>
  <c r="S2119" i="16"/>
  <c r="S1399" i="16"/>
  <c r="S2112" i="16"/>
  <c r="S372" i="20"/>
  <c r="S893" i="16"/>
  <c r="S1281" i="16"/>
  <c r="S1555" i="16"/>
  <c r="S1163" i="16"/>
  <c r="S86" i="20"/>
  <c r="S1205" i="20" s="1"/>
  <c r="S331" i="16"/>
  <c r="S806" i="16" s="1"/>
  <c r="R1601" i="12"/>
  <c r="R1637" i="12" s="1"/>
  <c r="S198" i="20"/>
  <c r="S1209" i="20" s="1"/>
  <c r="S368" i="16"/>
  <c r="S1915" i="16"/>
  <c r="S1309" i="16"/>
  <c r="S284" i="16"/>
  <c r="S804" i="16" s="1"/>
  <c r="S1505" i="16"/>
  <c r="S807" i="16"/>
  <c r="S507" i="20"/>
  <c r="S1413" i="16"/>
  <c r="S2042" i="16"/>
  <c r="S811" i="16" s="1"/>
  <c r="S73" i="20"/>
  <c r="S1203" i="20" s="1"/>
  <c r="S180" i="20"/>
  <c r="S1208" i="20" s="1"/>
  <c r="S584" i="16"/>
  <c r="S809" i="16" s="1"/>
  <c r="S1807" i="12"/>
  <c r="S1876" i="12" s="1"/>
  <c r="S1914" i="12" s="1"/>
  <c r="S1684" i="12"/>
  <c r="S1872" i="12" s="1"/>
  <c r="S1910" i="12" s="1"/>
  <c r="R1567" i="12"/>
  <c r="R1636" i="12" s="1"/>
  <c r="R1477" i="12"/>
  <c r="R1634" i="12" s="1"/>
  <c r="S162" i="20"/>
  <c r="S1207" i="20" s="1"/>
  <c r="S1841" i="12"/>
  <c r="S1877" i="12" s="1"/>
  <c r="S1915" i="12" s="1"/>
  <c r="S626" i="16"/>
  <c r="S810" i="16" s="1"/>
  <c r="S1717" i="12"/>
  <c r="S1874" i="12" s="1"/>
  <c r="S1912" i="12" s="1"/>
  <c r="R1468" i="12"/>
  <c r="R1633" i="12" s="1"/>
  <c r="R1444" i="12"/>
  <c r="R1632" i="12" s="1"/>
  <c r="S808" i="16"/>
  <c r="S462" i="16"/>
  <c r="S463" i="16" s="1"/>
  <c r="S1838" i="16"/>
  <c r="S1708" i="12"/>
  <c r="S1873" i="12" s="1"/>
  <c r="S1911" i="12" s="1"/>
  <c r="R1522" i="12"/>
  <c r="R1635" i="12" s="1"/>
  <c r="S119" i="18"/>
  <c r="T1434" i="16"/>
  <c r="T1699" i="12"/>
  <c r="T1822" i="12"/>
  <c r="T1672" i="12"/>
  <c r="T95" i="11"/>
  <c r="T1638" i="12"/>
  <c r="T1787" i="12"/>
  <c r="T1784" i="12"/>
  <c r="T801" i="16"/>
  <c r="T1796" i="12"/>
  <c r="T97" i="20"/>
  <c r="T1400" i="12"/>
  <c r="T1836" i="16"/>
  <c r="T461" i="16" s="1"/>
  <c r="T178" i="20"/>
  <c r="T1644" i="12"/>
  <c r="T275" i="16"/>
  <c r="T26" i="22"/>
  <c r="T1837" i="12"/>
  <c r="T102" i="20"/>
  <c r="T1592" i="16"/>
  <c r="T280" i="16"/>
  <c r="T175" i="20"/>
  <c r="T84" i="20"/>
  <c r="T1760" i="12"/>
  <c r="T1877" i="16"/>
  <c r="S136" i="16"/>
  <c r="T205" i="16"/>
  <c r="T199" i="16"/>
  <c r="T130" i="16"/>
  <c r="T106" i="16"/>
  <c r="T114" i="16"/>
  <c r="T127" i="16"/>
  <c r="T35" i="20"/>
  <c r="T36" i="20"/>
  <c r="T1165" i="16"/>
  <c r="T1214" i="16"/>
  <c r="T256" i="16" s="1"/>
  <c r="T209" i="16"/>
  <c r="T203" i="16"/>
  <c r="T107" i="16"/>
  <c r="T120" i="16"/>
  <c r="T128" i="16"/>
  <c r="T118" i="16"/>
  <c r="T42" i="20"/>
  <c r="T48" i="20"/>
  <c r="T1158" i="16"/>
  <c r="T1221" i="16"/>
  <c r="T1235" i="16"/>
  <c r="T915" i="12"/>
  <c r="T1930" i="12" s="1"/>
  <c r="T1568" i="16"/>
  <c r="T2161" i="16" s="1"/>
  <c r="T471" i="20"/>
  <c r="T886" i="16"/>
  <c r="T513" i="20"/>
  <c r="T515" i="20" s="1"/>
  <c r="T892" i="16"/>
  <c r="T104" i="16"/>
  <c r="T213" i="16"/>
  <c r="T207" i="16"/>
  <c r="T112" i="16"/>
  <c r="T105" i="16"/>
  <c r="T113" i="16"/>
  <c r="T132" i="16"/>
  <c r="T40" i="20"/>
  <c r="T43" i="20"/>
  <c r="T1172" i="16"/>
  <c r="T1162" i="16"/>
  <c r="T461" i="20"/>
  <c r="T506" i="20"/>
  <c r="T508" i="20" s="1"/>
  <c r="T1554" i="16"/>
  <c r="T2159" i="16" s="1"/>
  <c r="T492" i="20"/>
  <c r="T99" i="16"/>
  <c r="T206" i="16"/>
  <c r="T211" i="16"/>
  <c r="T129" i="16"/>
  <c r="T126" i="16"/>
  <c r="T121" i="16"/>
  <c r="T117" i="16"/>
  <c r="T41" i="20"/>
  <c r="T38" i="20"/>
  <c r="T1179" i="16"/>
  <c r="T1155" i="16"/>
  <c r="T384" i="20"/>
  <c r="T1412" i="16"/>
  <c r="T2138" i="16" s="1"/>
  <c r="T1582" i="16"/>
  <c r="T2163" i="16" s="1"/>
  <c r="T1886" i="16"/>
  <c r="T2206" i="16" s="1"/>
  <c r="T1134" i="16"/>
  <c r="T29" i="8"/>
  <c r="T127" i="8" s="1"/>
  <c r="T100" i="16"/>
  <c r="T1910" i="16"/>
  <c r="T1613" i="16"/>
  <c r="T1346" i="16"/>
  <c r="T193" i="20"/>
  <c r="T57" i="20"/>
  <c r="T157" i="16"/>
  <c r="T200" i="16"/>
  <c r="T215" i="16"/>
  <c r="T108" i="16"/>
  <c r="T110" i="16"/>
  <c r="T131" i="16"/>
  <c r="T122" i="16"/>
  <c r="T46" i="20"/>
  <c r="T39" i="20"/>
  <c r="T1186" i="16"/>
  <c r="T252" i="16" s="1"/>
  <c r="T1228" i="16"/>
  <c r="T880" i="16"/>
  <c r="T1445" i="16"/>
  <c r="T2144" i="16" s="1"/>
  <c r="T894" i="20"/>
  <c r="T1308" i="16"/>
  <c r="T2115" i="16" s="1"/>
  <c r="T1459" i="16"/>
  <c r="T79" i="16"/>
  <c r="T102" i="16"/>
  <c r="T1606" i="16"/>
  <c r="T1599" i="16"/>
  <c r="T1564" i="16"/>
  <c r="T173" i="20"/>
  <c r="T189" i="20"/>
  <c r="T625" i="16"/>
  <c r="T352" i="16"/>
  <c r="T1702" i="12"/>
  <c r="T1661" i="12"/>
  <c r="T1917" i="16"/>
  <c r="T88" i="22"/>
  <c r="T62" i="20"/>
  <c r="T624" i="16"/>
  <c r="T1497" i="16"/>
  <c r="T142" i="20"/>
  <c r="T2038" i="16"/>
  <c r="T2051" i="16" s="1"/>
  <c r="T441" i="16"/>
  <c r="T273" i="16"/>
  <c r="T70" i="16"/>
  <c r="T1758" i="12"/>
  <c r="T1903" i="16"/>
  <c r="T300" i="10"/>
  <c r="T143" i="20"/>
  <c r="T580" i="16"/>
  <c r="T428" i="16"/>
  <c r="T1748" i="12"/>
  <c r="T1838" i="12"/>
  <c r="T1664" i="12"/>
  <c r="T188" i="20"/>
  <c r="T1462" i="16"/>
  <c r="T83" i="18"/>
  <c r="T205" i="20"/>
  <c r="T447" i="16"/>
  <c r="T272" i="16"/>
  <c r="T1683" i="12"/>
  <c r="T1821" i="12"/>
  <c r="T617" i="12"/>
  <c r="T1938" i="16"/>
  <c r="T116" i="18"/>
  <c r="T121" i="20"/>
  <c r="T66" i="20"/>
  <c r="T433" i="16"/>
  <c r="T1820" i="12"/>
  <c r="T1705" i="12"/>
  <c r="T1737" i="12"/>
  <c r="T91" i="12"/>
  <c r="T1339" i="16"/>
  <c r="T176" i="20"/>
  <c r="T2039" i="16"/>
  <c r="T2065" i="16" s="1"/>
  <c r="T2093" i="16" s="1"/>
  <c r="T430" i="16"/>
  <c r="T1703" i="12"/>
  <c r="T1727" i="12"/>
  <c r="T1704" i="12"/>
  <c r="T23" i="12"/>
  <c r="T204" i="16"/>
  <c r="T202" i="16"/>
  <c r="T134" i="16"/>
  <c r="T124" i="16"/>
  <c r="T125" i="16"/>
  <c r="T123" i="16"/>
  <c r="T47" i="20"/>
  <c r="T37" i="20"/>
  <c r="T1193" i="16"/>
  <c r="T253" i="16" s="1"/>
  <c r="T1148" i="16"/>
  <c r="T349" i="20"/>
  <c r="T208" i="16"/>
  <c r="T210" i="16"/>
  <c r="T116" i="16"/>
  <c r="T109" i="16"/>
  <c r="T111" i="16"/>
  <c r="T45" i="20"/>
  <c r="T44" i="20"/>
  <c r="T33" i="20"/>
  <c r="T1200" i="16"/>
  <c r="T254" i="16" s="1"/>
  <c r="T478" i="20"/>
  <c r="T1438" i="16"/>
  <c r="T2143" i="16" s="1"/>
  <c r="T141" i="16"/>
  <c r="T1141" i="16"/>
  <c r="T1301" i="16"/>
  <c r="T2114" i="16" s="1"/>
  <c r="T98" i="16"/>
  <c r="T101" i="16"/>
  <c r="T1620" i="16"/>
  <c r="T1571" i="16"/>
  <c r="T242" i="10"/>
  <c r="T64" i="20"/>
  <c r="T2041" i="16"/>
  <c r="T2067" i="16" s="1"/>
  <c r="T119" i="16"/>
  <c r="T1466" i="16"/>
  <c r="T2147" i="16" s="1"/>
  <c r="T1398" i="16"/>
  <c r="T95" i="16"/>
  <c r="T1476" i="16"/>
  <c r="T1537" i="16"/>
  <c r="T98" i="20"/>
  <c r="T583" i="16"/>
  <c r="T439" i="16"/>
  <c r="T1835" i="12"/>
  <c r="T38" i="16"/>
  <c r="T1290" i="16"/>
  <c r="T153" i="20"/>
  <c r="T34" i="20"/>
  <c r="T328" i="20"/>
  <c r="T1914" i="16"/>
  <c r="T2210" i="16" s="1"/>
  <c r="T96" i="16"/>
  <c r="T1422" i="16"/>
  <c r="T1483" i="16"/>
  <c r="T70" i="20"/>
  <c r="T449" i="16"/>
  <c r="T1880" i="12"/>
  <c r="T1919" i="12" s="1"/>
  <c r="T1751" i="12"/>
  <c r="T1669" i="12"/>
  <c r="T1448" i="16"/>
  <c r="T29" i="18"/>
  <c r="T618" i="16"/>
  <c r="T216" i="16"/>
  <c r="T145" i="20"/>
  <c r="T146" i="20"/>
  <c r="T450" i="16"/>
  <c r="T1773" i="12"/>
  <c r="T1878" i="12"/>
  <c r="T1916" i="12" s="1"/>
  <c r="T1668" i="12"/>
  <c r="T363" i="10"/>
  <c r="T59" i="20"/>
  <c r="T456" i="16"/>
  <c r="T276" i="16"/>
  <c r="T1823" i="12"/>
  <c r="T1782" i="12"/>
  <c r="T44" i="11"/>
  <c r="T1455" i="16"/>
  <c r="T191" i="20"/>
  <c r="T169" i="20"/>
  <c r="T437" i="16"/>
  <c r="T1824" i="12"/>
  <c r="T1834" i="12"/>
  <c r="T1833" i="12"/>
  <c r="T1144" i="16"/>
  <c r="T96" i="18"/>
  <c r="T126" i="20"/>
  <c r="T621" i="16"/>
  <c r="T419" i="16"/>
  <c r="T1815" i="12"/>
  <c r="T1733" i="12"/>
  <c r="T104" i="11"/>
  <c r="T271" i="10"/>
  <c r="T127" i="20"/>
  <c r="T623" i="16"/>
  <c r="T408" i="16"/>
  <c r="T1715" i="12"/>
  <c r="T1778" i="12"/>
  <c r="T73" i="12"/>
  <c r="T435" i="16"/>
  <c r="T96" i="20"/>
  <c r="T1730" i="12"/>
  <c r="T44" i="18"/>
  <c r="T1829" i="12"/>
  <c r="T2040" i="16"/>
  <c r="T2066" i="16" s="1"/>
  <c r="T2094" i="16" s="1"/>
  <c r="T180" i="11"/>
  <c r="T325" i="16"/>
  <c r="T1501" i="16"/>
  <c r="T364" i="16" s="1"/>
  <c r="T1831" i="12"/>
  <c r="T1367" i="16"/>
  <c r="T1639" i="12"/>
  <c r="T1825" i="12"/>
  <c r="T1747" i="12"/>
  <c r="T326" i="16"/>
  <c r="T1725" i="12"/>
  <c r="T1739" i="12"/>
  <c r="T1516" i="16"/>
  <c r="T270" i="16"/>
  <c r="T1750" i="12"/>
  <c r="T1401" i="16"/>
  <c r="T141" i="20"/>
  <c r="T1731" i="12"/>
  <c r="T42" i="12"/>
  <c r="T101" i="20"/>
  <c r="T1502" i="16"/>
  <c r="T365" i="16" s="1"/>
  <c r="T1666" i="12"/>
  <c r="T1691" i="12"/>
  <c r="T1665" i="12"/>
  <c r="T240" i="11"/>
  <c r="T74" i="11"/>
  <c r="T32" i="20"/>
  <c r="T904" i="16"/>
  <c r="T910" i="16"/>
  <c r="T135" i="16"/>
  <c r="T1530" i="16"/>
  <c r="T603" i="12"/>
  <c r="T129" i="20"/>
  <c r="T617" i="16"/>
  <c r="T1781" i="12"/>
  <c r="T330" i="16"/>
  <c r="T1813" i="12"/>
  <c r="T385" i="10"/>
  <c r="T489" i="10" s="1"/>
  <c r="T194" i="20"/>
  <c r="T61" i="20"/>
  <c r="T1304" i="16"/>
  <c r="T174" i="20"/>
  <c r="T2037" i="16"/>
  <c r="T2063" i="16" s="1"/>
  <c r="T2091" i="16" s="1"/>
  <c r="T283" i="16"/>
  <c r="T1680" i="12"/>
  <c r="T1775" i="12"/>
  <c r="T32" i="22"/>
  <c r="T12" i="20"/>
  <c r="T25" i="20" s="1"/>
  <c r="T1188" i="20" s="1"/>
  <c r="T451" i="16"/>
  <c r="T1801" i="12"/>
  <c r="T12" i="16"/>
  <c r="T192" i="16" s="1"/>
  <c r="T327" i="16"/>
  <c r="T130" i="20"/>
  <c r="T30" i="20"/>
  <c r="T1744" i="12"/>
  <c r="T1404" i="12"/>
  <c r="T172" i="20"/>
  <c r="T448" i="16"/>
  <c r="T268" i="16"/>
  <c r="T1879" i="12"/>
  <c r="T1918" i="12" s="1"/>
  <c r="T75" i="10"/>
  <c r="T457" i="16"/>
  <c r="T46" i="16"/>
  <c r="T81" i="20"/>
  <c r="T1688" i="12"/>
  <c r="T197" i="20"/>
  <c r="T436" i="16"/>
  <c r="T1812" i="12"/>
  <c r="T1169" i="16"/>
  <c r="T201" i="16"/>
  <c r="T1151" i="16"/>
  <c r="T1473" i="16"/>
  <c r="T1322" i="16"/>
  <c r="T97" i="16"/>
  <c r="T1924" i="16"/>
  <c r="T12" i="10"/>
  <c r="T99" i="20"/>
  <c r="T422" i="16"/>
  <c r="T1695" i="12"/>
  <c r="T1783" i="12"/>
  <c r="T1692" i="12"/>
  <c r="T98" i="10"/>
  <c r="T95" i="20"/>
  <c r="T579" i="16"/>
  <c r="T1408" i="16"/>
  <c r="T149" i="20"/>
  <c r="T582" i="16"/>
  <c r="T198" i="16"/>
  <c r="T1832" i="12"/>
  <c r="T62" i="16"/>
  <c r="T1931" i="16"/>
  <c r="T41" i="22"/>
  <c r="T112" i="22"/>
  <c r="T446" i="16"/>
  <c r="T1769" i="12"/>
  <c r="T1803" i="12"/>
  <c r="T1770" i="12"/>
  <c r="T1722" i="12"/>
  <c r="T413" i="10"/>
  <c r="T135" i="20"/>
  <c r="T576" i="16"/>
  <c r="T424" i="16"/>
  <c r="T1804" i="12"/>
  <c r="T1681" i="12"/>
  <c r="T113" i="11"/>
  <c r="T1297" i="16"/>
  <c r="T139" i="20"/>
  <c r="T122" i="20"/>
  <c r="T443" i="16"/>
  <c r="T1793" i="12"/>
  <c r="T1795" i="12"/>
  <c r="T1757" i="12"/>
  <c r="T32" i="8"/>
  <c r="T31" i="8" s="1"/>
  <c r="T119" i="18" s="1"/>
  <c r="T107" i="18"/>
  <c r="T187" i="20"/>
  <c r="T564" i="16"/>
  <c r="T358" i="16"/>
  <c r="T1759" i="12"/>
  <c r="T1677" i="12"/>
  <c r="T1833" i="16"/>
  <c r="T458" i="16" s="1"/>
  <c r="T1792" i="12"/>
  <c r="T144" i="20"/>
  <c r="T12" i="12"/>
  <c r="T453" i="16"/>
  <c r="T82" i="12"/>
  <c r="T54" i="16"/>
  <c r="T83" i="20"/>
  <c r="T1839" i="12"/>
  <c r="T219" i="10"/>
  <c r="T1729" i="12"/>
  <c r="T118" i="20"/>
  <c r="T35" i="11"/>
  <c r="T114" i="12"/>
  <c r="T1374" i="16"/>
  <c r="T212" i="16"/>
  <c r="T1207" i="16"/>
  <c r="T255" i="16" s="1"/>
  <c r="T485" i="20"/>
  <c r="T103" i="16"/>
  <c r="T1952" i="16"/>
  <c r="T94" i="22"/>
  <c r="T69" i="20"/>
  <c r="T329" i="16"/>
  <c r="T1840" i="12"/>
  <c r="T1693" i="12"/>
  <c r="T1157" i="12"/>
  <c r="T103" i="22"/>
  <c r="T124" i="20"/>
  <c r="T445" i="16"/>
  <c r="T127" i="10"/>
  <c r="T67" i="20"/>
  <c r="T2036" i="16"/>
  <c r="T2062" i="16" s="1"/>
  <c r="T2076" i="16" s="1"/>
  <c r="T278" i="16"/>
  <c r="T1752" i="12"/>
  <c r="T1726" i="12"/>
  <c r="T1441" i="16"/>
  <c r="T195" i="20"/>
  <c r="T60" i="20"/>
  <c r="T279" i="16"/>
  <c r="T1676" i="12"/>
  <c r="T1771" i="12"/>
  <c r="T1421" i="12"/>
  <c r="T1549" i="12" s="1"/>
  <c r="T1712" i="12"/>
  <c r="T190" i="10"/>
  <c r="T140" i="20"/>
  <c r="T2034" i="16"/>
  <c r="T2060" i="16" s="1"/>
  <c r="T2074" i="16" s="1"/>
  <c r="T573" i="16"/>
  <c r="T1772" i="12"/>
  <c r="T1674" i="12"/>
  <c r="T124" i="11"/>
  <c r="T1332" i="16"/>
  <c r="T63" i="18"/>
  <c r="T2044" i="16"/>
  <c r="T434" i="16"/>
  <c r="T1707" i="12"/>
  <c r="T1830" i="12"/>
  <c r="T1774" i="12"/>
  <c r="T355" i="16"/>
  <c r="T50" i="22"/>
  <c r="T119" i="20"/>
  <c r="T444" i="16"/>
  <c r="T1789" i="12"/>
  <c r="T1791" i="12"/>
  <c r="T1398" i="12"/>
  <c r="T616" i="16"/>
  <c r="T214" i="16"/>
  <c r="T1329" i="16"/>
  <c r="T1596" i="16"/>
  <c r="T133" i="16"/>
  <c r="T874" i="16"/>
  <c r="T1280" i="16"/>
  <c r="T2118" i="16" s="1"/>
  <c r="T1325" i="16"/>
  <c r="T136" i="20"/>
  <c r="T698" i="16"/>
  <c r="T440" i="16"/>
  <c r="T1728" i="12"/>
  <c r="T1734" i="12"/>
  <c r="T1849" i="16"/>
  <c r="T190" i="20"/>
  <c r="T49" i="20"/>
  <c r="T577" i="16"/>
  <c r="T68" i="22"/>
  <c r="T65" i="20"/>
  <c r="T575" i="16"/>
  <c r="T431" i="16"/>
  <c r="T1694" i="12"/>
  <c r="T1798" i="12"/>
  <c r="T1627" i="16"/>
  <c r="T134" i="20"/>
  <c r="T578" i="16"/>
  <c r="T274" i="16"/>
  <c r="T1884" i="12"/>
  <c r="T1696" i="12"/>
  <c r="T100" i="12"/>
  <c r="T1137" i="16"/>
  <c r="T20" i="22"/>
  <c r="T179" i="20"/>
  <c r="T452" i="16"/>
  <c r="T1797" i="12"/>
  <c r="T1735" i="12"/>
  <c r="T1753" i="12"/>
  <c r="T12" i="11"/>
  <c r="T1544" i="16"/>
  <c r="T125" i="20"/>
  <c r="T2032" i="16"/>
  <c r="T2058" i="16" s="1"/>
  <c r="T417" i="16"/>
  <c r="T1800" i="12"/>
  <c r="T1678" i="12"/>
  <c r="T1806" i="12"/>
  <c r="T1490" i="16"/>
  <c r="T131" i="20"/>
  <c r="T71" i="20"/>
  <c r="T361" i="16"/>
  <c r="T1816" i="12"/>
  <c r="T1826" i="12"/>
  <c r="T1181" i="12"/>
  <c r="T154" i="20"/>
  <c r="T1673" i="12"/>
  <c r="T282" i="16"/>
  <c r="T1835" i="16"/>
  <c r="T460" i="16" s="1"/>
  <c r="T1706" i="12"/>
  <c r="T1503" i="16"/>
  <c r="T366" i="16" s="1"/>
  <c r="T1779" i="12"/>
  <c r="T1311" i="16"/>
  <c r="T1713" i="12"/>
  <c r="T277" i="16"/>
  <c r="T53" i="11"/>
  <c r="T1732" i="12"/>
  <c r="T1811" i="12"/>
  <c r="T1283" i="16"/>
  <c r="T157" i="20"/>
  <c r="T1755" i="12"/>
  <c r="T619" i="16"/>
  <c r="T59" i="22"/>
  <c r="T1790" i="12"/>
  <c r="T156" i="10"/>
  <c r="T1353" i="16"/>
  <c r="T1786" i="12"/>
  <c r="T1889" i="16"/>
  <c r="S68" i="18"/>
  <c r="T159" i="20"/>
  <c r="T46" i="10"/>
  <c r="T1777" i="12"/>
  <c r="T1756" i="12"/>
  <c r="T1697" i="12"/>
  <c r="T1836" i="12"/>
  <c r="T356" i="16"/>
  <c r="T116" i="20"/>
  <c r="T63" i="12"/>
  <c r="T362" i="16"/>
  <c r="T12" i="18"/>
  <c r="T1670" i="12"/>
  <c r="T271" i="16"/>
  <c r="T334" i="10"/>
  <c r="T1714" i="12"/>
  <c r="T2031" i="16"/>
  <c r="T1318" i="16"/>
  <c r="T1690" i="12"/>
  <c r="T100" i="20"/>
  <c r="T1640" i="12"/>
  <c r="T455" i="16"/>
  <c r="T130" i="22"/>
  <c r="T74" i="18"/>
  <c r="T421" i="16"/>
  <c r="S33" i="18"/>
  <c r="S38" i="18" s="1"/>
  <c r="T80" i="20"/>
  <c r="T1698" i="12"/>
  <c r="T1736" i="12"/>
  <c r="T420" i="16"/>
  <c r="T438" i="16"/>
  <c r="T93" i="20"/>
  <c r="T432" i="16"/>
  <c r="T281" i="16"/>
  <c r="S86" i="18"/>
  <c r="T158" i="20"/>
  <c r="T442" i="16"/>
  <c r="T426" i="16"/>
  <c r="T1785" i="12"/>
  <c r="T657" i="16"/>
  <c r="T776" i="16" s="1"/>
  <c r="T238" i="20" s="1"/>
  <c r="T2071" i="16"/>
  <c r="T1767" i="12"/>
  <c r="T222" i="11"/>
  <c r="T698" i="12"/>
  <c r="T360" i="16"/>
  <c r="T152" i="20"/>
  <c r="T1794" i="12"/>
  <c r="T85" i="20"/>
  <c r="T1634" i="16"/>
  <c r="T1799" i="12"/>
  <c r="T2057" i="16"/>
  <c r="T1641" i="16"/>
  <c r="T1776" i="12"/>
  <c r="T133" i="20"/>
  <c r="T1700" i="12"/>
  <c r="T581" i="16"/>
  <c r="T354" i="16"/>
  <c r="T1360" i="16"/>
  <c r="T786" i="16"/>
  <c r="T1682" i="12"/>
  <c r="T30" i="16"/>
  <c r="T123" i="20"/>
  <c r="T1749" i="12"/>
  <c r="T1754" i="12"/>
  <c r="T150" i="20"/>
  <c r="S77" i="18"/>
  <c r="T231" i="11"/>
  <c r="T1814" i="12"/>
  <c r="T121" i="22"/>
  <c r="T2085" i="16"/>
  <c r="T156" i="20"/>
  <c r="T196" i="20"/>
  <c r="T170" i="20"/>
  <c r="T32" i="12"/>
  <c r="T1399" i="12"/>
  <c r="T429" i="16"/>
  <c r="T1415" i="16"/>
  <c r="T1746" i="12"/>
  <c r="T2033" i="16"/>
  <c r="T2046" i="16" s="1"/>
  <c r="T1837" i="16"/>
  <c r="T462" i="16" s="1"/>
  <c r="T1819" i="12"/>
  <c r="T138" i="20"/>
  <c r="T201" i="11"/>
  <c r="T1828" i="12"/>
  <c r="T137" i="20"/>
  <c r="T1743" i="12"/>
  <c r="T620" i="16"/>
  <c r="T454" i="16"/>
  <c r="T1896" i="16"/>
  <c r="T622" i="16"/>
  <c r="T115" i="16"/>
  <c r="S1762" i="12"/>
  <c r="S1875" i="12" s="1"/>
  <c r="S1913" i="12" s="1"/>
  <c r="T1761" i="12"/>
  <c r="S18" i="18"/>
  <c r="S23" i="18" s="1"/>
  <c r="T1394" i="16"/>
  <c r="T269" i="16"/>
  <c r="T328" i="16"/>
  <c r="T82" i="20"/>
  <c r="T103" i="20"/>
  <c r="T1689" i="12"/>
  <c r="T1504" i="16"/>
  <c r="T367" i="16" s="1"/>
  <c r="T161" i="20"/>
  <c r="T1738" i="12"/>
  <c r="T1671" i="12"/>
  <c r="T1834" i="16"/>
  <c r="T459" i="16" s="1"/>
  <c r="T1585" i="16"/>
  <c r="T1679" i="12"/>
  <c r="T128" i="20"/>
  <c r="T117" i="20"/>
  <c r="T1500" i="16"/>
  <c r="T363" i="16" s="1"/>
  <c r="T171" i="20"/>
  <c r="T162" i="11"/>
  <c r="T427" i="16"/>
  <c r="T155" i="20"/>
  <c r="T1827" i="12"/>
  <c r="T72" i="20"/>
  <c r="T615" i="16"/>
  <c r="T1745" i="12"/>
  <c r="T148" i="20"/>
  <c r="T418" i="16"/>
  <c r="T171" i="11"/>
  <c r="T1723" i="12"/>
  <c r="T1742" i="12"/>
  <c r="T2035" i="16"/>
  <c r="T1945" i="16"/>
  <c r="T1768" i="12"/>
  <c r="T192" i="20"/>
  <c r="T629" i="12"/>
  <c r="T1716" i="12"/>
  <c r="T147" i="20"/>
  <c r="T1741" i="12"/>
  <c r="T359" i="16"/>
  <c r="T1523" i="16"/>
  <c r="T1780" i="12"/>
  <c r="T68" i="20"/>
  <c r="T63" i="20"/>
  <c r="T1818" i="12"/>
  <c r="T82" i="22"/>
  <c r="T356" i="20"/>
  <c r="T1648" i="16"/>
  <c r="T1190" i="16"/>
  <c r="T1381" i="16"/>
  <c r="T922" i="16"/>
  <c r="T363" i="20"/>
  <c r="T1294" i="16"/>
  <c r="T2113" i="16" s="1"/>
  <c r="S493" i="20"/>
  <c r="S494" i="20" s="1"/>
  <c r="T1589" i="16"/>
  <c r="T2164" i="16" s="1"/>
  <c r="T335" i="20"/>
  <c r="T1287" i="16"/>
  <c r="T2119" i="16" s="1"/>
  <c r="T898" i="16"/>
  <c r="S896" i="12"/>
  <c r="S916" i="12" s="1"/>
  <c r="S1932" i="12" s="1"/>
  <c r="S1138" i="12"/>
  <c r="S1158" i="12" s="1"/>
  <c r="S1147" i="12"/>
  <c r="S1159" i="12" s="1"/>
  <c r="I136" i="25"/>
  <c r="I217" i="25"/>
  <c r="I256" i="25"/>
  <c r="S745" i="12"/>
  <c r="S910" i="12" s="1"/>
  <c r="S1925" i="12" s="1"/>
  <c r="R805" i="16"/>
  <c r="S799" i="12"/>
  <c r="S912" i="12" s="1"/>
  <c r="S754" i="12"/>
  <c r="S911" i="12" s="1"/>
  <c r="S1926" i="12" s="1"/>
  <c r="S899" i="16"/>
  <c r="P1646" i="12"/>
  <c r="S996" i="12"/>
  <c r="S1153" i="12" s="1"/>
  <c r="S1086" i="12"/>
  <c r="S1155" i="12" s="1"/>
  <c r="S963" i="12"/>
  <c r="S1151" i="12" s="1"/>
  <c r="R1917" i="12"/>
  <c r="R1920" i="12" s="1"/>
  <c r="S878" i="12"/>
  <c r="S914" i="12" s="1"/>
  <c r="S1929" i="12" s="1"/>
  <c r="S1120" i="12"/>
  <c r="S1156" i="12" s="1"/>
  <c r="S905" i="12"/>
  <c r="S917" i="12" s="1"/>
  <c r="S1933" i="12" s="1"/>
  <c r="S721" i="12"/>
  <c r="S909" i="12" s="1"/>
  <c r="S1924" i="12" s="1"/>
  <c r="S1041" i="12"/>
  <c r="S1154" i="12" s="1"/>
  <c r="S844" i="12"/>
  <c r="S913" i="12" s="1"/>
  <c r="S1928" i="12" s="1"/>
  <c r="Q1641" i="12"/>
  <c r="Q1651" i="12" s="1"/>
  <c r="S987" i="12"/>
  <c r="S1152" i="12" s="1"/>
  <c r="R1881" i="12"/>
  <c r="R1891" i="12" s="1"/>
  <c r="S2164" i="16"/>
  <c r="S357" i="20"/>
  <c r="S358" i="20" s="1"/>
  <c r="Q1886" i="12"/>
  <c r="R1160" i="12"/>
  <c r="R1170" i="12" s="1"/>
  <c r="R1171" i="12" s="1"/>
  <c r="S846" i="20"/>
  <c r="T845" i="20"/>
  <c r="T847" i="20" s="1"/>
  <c r="J255" i="25"/>
  <c r="J256" i="25"/>
  <c r="I201" i="25"/>
  <c r="I239" i="25" s="1"/>
  <c r="I258" i="25" s="1"/>
  <c r="I266" i="25" s="1"/>
  <c r="J136" i="25"/>
  <c r="J218" i="25"/>
  <c r="J135" i="25"/>
  <c r="J217" i="25"/>
  <c r="I220" i="25"/>
  <c r="I228" i="25" s="1"/>
  <c r="H220" i="25"/>
  <c r="H228" i="25" s="1"/>
  <c r="T1431" i="16"/>
  <c r="T2142" i="16" s="1"/>
  <c r="H1381" i="16"/>
  <c r="I1381" i="16" s="1" a="1"/>
  <c r="I1381" i="16" s="1"/>
  <c r="I1374" i="16" a="1"/>
  <c r="I1374" i="16" s="1"/>
  <c r="H1235" i="16"/>
  <c r="I1228" i="16" a="1"/>
  <c r="I1228" i="16" s="1"/>
  <c r="H1655" i="16"/>
  <c r="I1648" i="16" a="1"/>
  <c r="I1648" i="16" s="1"/>
  <c r="H1544" i="16"/>
  <c r="I1544" i="16" s="1" a="1"/>
  <c r="I1544" i="16" s="1"/>
  <c r="I1537" i="16" a="1"/>
  <c r="I1537" i="16" s="1"/>
  <c r="T2048" i="16"/>
  <c r="T1419" i="16"/>
  <c r="S1432" i="16"/>
  <c r="J936" i="20" a="1"/>
  <c r="J936" i="20" s="1"/>
  <c r="D940" i="20"/>
  <c r="T1575" i="16"/>
  <c r="T2162" i="16" s="1"/>
  <c r="S1576" i="16"/>
  <c r="S1392" i="16"/>
  <c r="S2120" i="16"/>
  <c r="T1391" i="16"/>
  <c r="T2135" i="16" s="1"/>
  <c r="S1406" i="16"/>
  <c r="S2135" i="16"/>
  <c r="S2113" i="16"/>
  <c r="T1405" i="16"/>
  <c r="T2137" i="16" s="1"/>
  <c r="S2137" i="16"/>
  <c r="S1295" i="16"/>
  <c r="S365" i="20"/>
  <c r="S364" i="20"/>
  <c r="P179" i="16"/>
  <c r="P52" i="10" s="1"/>
  <c r="P340" i="10" s="1"/>
  <c r="P158" i="16"/>
  <c r="P169" i="16"/>
  <c r="O186" i="16"/>
  <c r="O60" i="10" s="1"/>
  <c r="O163" i="16"/>
  <c r="L80" i="16"/>
  <c r="L176" i="16"/>
  <c r="L175" i="16" s="1"/>
  <c r="N178" i="16"/>
  <c r="N51" i="10" s="1"/>
  <c r="N182" i="16"/>
  <c r="N180" i="16" s="1"/>
  <c r="M56" i="10"/>
  <c r="K59" i="10"/>
  <c r="K54" i="10" s="1"/>
  <c r="K53" i="10" s="1"/>
  <c r="K180" i="16"/>
  <c r="K49" i="10"/>
  <c r="N84" i="16"/>
  <c r="O86" i="16"/>
  <c r="O83" i="16"/>
  <c r="R894" i="16"/>
  <c r="S1315" i="16"/>
  <c r="T1315" i="16" s="1"/>
  <c r="T2123" i="16" s="1"/>
  <c r="R1316" i="16"/>
  <c r="S1888" i="16"/>
  <c r="R1420" i="16"/>
  <c r="R1421" i="16" s="1"/>
  <c r="Q333" i="16"/>
  <c r="U380" i="10"/>
  <c r="U91" i="10"/>
  <c r="U105" i="10" s="1"/>
  <c r="U370" i="10"/>
  <c r="M916" i="20"/>
  <c r="M917" i="20" s="1"/>
  <c r="S1894" i="16"/>
  <c r="S1895" i="16" s="1"/>
  <c r="T1893" i="16"/>
  <c r="S1453" i="16"/>
  <c r="S479" i="20"/>
  <c r="S480" i="20" s="1"/>
  <c r="T1452" i="16"/>
  <c r="T2145" i="16" s="1"/>
  <c r="F1363" i="16"/>
  <c r="O908" i="20"/>
  <c r="O910" i="20" s="1"/>
  <c r="M909" i="20"/>
  <c r="M910" i="20" s="1"/>
  <c r="S1447" i="16"/>
  <c r="O1337" i="16"/>
  <c r="P1336" i="16"/>
  <c r="P2126" i="16" s="1"/>
  <c r="L2128" i="16"/>
  <c r="Q1475" i="16"/>
  <c r="L1357" i="16"/>
  <c r="L1352" i="16"/>
  <c r="M1350" i="16"/>
  <c r="N1350" i="16" s="1"/>
  <c r="O1350" i="16" s="1"/>
  <c r="Q1165" i="12"/>
  <c r="Q1172" i="12" s="1"/>
  <c r="S1393" i="16"/>
  <c r="S1468" i="16"/>
  <c r="N1205" i="16"/>
  <c r="N1206" i="16" s="1"/>
  <c r="O1204" i="16"/>
  <c r="O1207" i="16" s="1"/>
  <c r="R246" i="20"/>
  <c r="S1407" i="16"/>
  <c r="P1598" i="16"/>
  <c r="Q1598" i="16" s="1"/>
  <c r="P1178" i="16"/>
  <c r="Q1178" i="16" s="1"/>
  <c r="M2127" i="16"/>
  <c r="S1584" i="16"/>
  <c r="S1414" i="16"/>
  <c r="S1454" i="16"/>
  <c r="Q1324" i="16"/>
  <c r="M1344" i="16"/>
  <c r="M1345" i="16" s="1"/>
  <c r="R1591" i="16"/>
  <c r="S1916" i="16"/>
  <c r="S1171" i="16"/>
  <c r="P1482" i="16"/>
  <c r="S1577" i="16"/>
  <c r="O1605" i="16"/>
  <c r="P1930" i="16"/>
  <c r="R1143" i="16"/>
  <c r="O1338" i="16"/>
  <c r="T1603" i="16"/>
  <c r="M1944" i="16"/>
  <c r="N1944" i="16" s="1"/>
  <c r="R1570" i="16"/>
  <c r="S1570" i="16" s="1"/>
  <c r="O1489" i="16"/>
  <c r="P1489" i="16" s="1"/>
  <c r="M1496" i="16"/>
  <c r="N1496" i="16" s="1"/>
  <c r="R1400" i="16"/>
  <c r="S1400" i="16" s="1"/>
  <c r="R1317" i="16"/>
  <c r="O1192" i="16"/>
  <c r="P1192" i="16" s="1"/>
  <c r="Q1192" i="16" s="1"/>
  <c r="R1192" i="16" s="1"/>
  <c r="D1371" i="16"/>
  <c r="F1370" i="16" s="1"/>
  <c r="P1331" i="16"/>
  <c r="Q1331" i="16" s="1"/>
  <c r="P1343" i="16"/>
  <c r="Q1343" i="16" s="1"/>
  <c r="S1908" i="16"/>
  <c r="S1909" i="16" s="1"/>
  <c r="T1907" i="16"/>
  <c r="T2209" i="16" s="1"/>
  <c r="D1638" i="16"/>
  <c r="F1637" i="16" s="1"/>
  <c r="K1638" i="16" s="1"/>
  <c r="P2257" i="16"/>
  <c r="P28" i="16" s="1"/>
  <c r="P82" i="16" s="1"/>
  <c r="P177" i="16" s="1"/>
  <c r="S2086" i="16"/>
  <c r="P35" i="16"/>
  <c r="Q33" i="16" s="1"/>
  <c r="Q2234" i="16" s="1"/>
  <c r="Q2246" i="16" s="1"/>
  <c r="P2258" i="16"/>
  <c r="P36" i="16" s="1"/>
  <c r="P75" i="16"/>
  <c r="Q73" i="16" s="1"/>
  <c r="Q2239" i="16" s="1"/>
  <c r="Q2251" i="16" s="1"/>
  <c r="P2263" i="16"/>
  <c r="P76" i="16" s="1"/>
  <c r="P89" i="16" s="1"/>
  <c r="P185" i="16" s="1"/>
  <c r="O55" i="10"/>
  <c r="P51" i="16"/>
  <c r="Q49" i="16" s="1"/>
  <c r="Q2236" i="16" s="1"/>
  <c r="Q2248" i="16" s="1"/>
  <c r="P2260" i="16"/>
  <c r="P52" i="16" s="1"/>
  <c r="P59" i="16"/>
  <c r="Q57" i="16" s="1"/>
  <c r="Q2237" i="16" s="1"/>
  <c r="Q2249" i="16" s="1"/>
  <c r="P2261" i="16"/>
  <c r="P60" i="16" s="1"/>
  <c r="P87" i="16" s="1"/>
  <c r="P183" i="16" s="1"/>
  <c r="P43" i="16"/>
  <c r="Q41" i="16" s="1"/>
  <c r="Q2235" i="16" s="1"/>
  <c r="Q2247" i="16" s="1"/>
  <c r="P2259" i="16"/>
  <c r="P44" i="16" s="1"/>
  <c r="P85" i="16" s="1"/>
  <c r="P181" i="16" s="1"/>
  <c r="P67" i="16"/>
  <c r="Q65" i="16" s="1"/>
  <c r="Q2238" i="16" s="1"/>
  <c r="Q2250" i="16" s="1"/>
  <c r="P2262" i="16"/>
  <c r="P68" i="16" s="1"/>
  <c r="P88" i="16" s="1"/>
  <c r="P184" i="16" s="1"/>
  <c r="M19" i="16"/>
  <c r="N17" i="16" s="1"/>
  <c r="N2232" i="16" s="1"/>
  <c r="N2240" i="16" s="1"/>
  <c r="N91" i="16" s="1"/>
  <c r="N101" i="12" s="1"/>
  <c r="M2256" i="16"/>
  <c r="M2252" i="16"/>
  <c r="T377" i="20"/>
  <c r="T1176" i="16"/>
  <c r="P385" i="20"/>
  <c r="Q385" i="20" s="1"/>
  <c r="R385" i="20" s="1"/>
  <c r="R386" i="20" s="1"/>
  <c r="R1177" i="16"/>
  <c r="S1177" i="16" s="1"/>
  <c r="O379" i="20"/>
  <c r="P378" i="20"/>
  <c r="Q378" i="20" s="1"/>
  <c r="N400" i="20"/>
  <c r="N399" i="20"/>
  <c r="O399" i="20" s="1"/>
  <c r="P398" i="20"/>
  <c r="Q398" i="20" s="1"/>
  <c r="R391" i="20"/>
  <c r="S391" i="20" s="1"/>
  <c r="S1191" i="16"/>
  <c r="P1184" i="16"/>
  <c r="Q1184" i="16" s="1"/>
  <c r="T370" i="20"/>
  <c r="R1183" i="16"/>
  <c r="S1183" i="16" s="1"/>
  <c r="T1183" i="16" s="1"/>
  <c r="N393" i="20"/>
  <c r="O392" i="20"/>
  <c r="O1200" i="16"/>
  <c r="P1197" i="16"/>
  <c r="N412" i="20"/>
  <c r="N414" i="20" s="1"/>
  <c r="O1198" i="16"/>
  <c r="O1199" i="16" s="1"/>
  <c r="M940" i="16"/>
  <c r="N940" i="16" s="1"/>
  <c r="L1219" i="16"/>
  <c r="L1220" i="16"/>
  <c r="S371" i="20"/>
  <c r="N406" i="20"/>
  <c r="O406" i="20" s="1"/>
  <c r="O407" i="20" s="1"/>
  <c r="M413" i="20"/>
  <c r="M1212" i="16"/>
  <c r="M1213" i="16" s="1"/>
  <c r="N1211" i="16"/>
  <c r="N1214" i="16" s="1"/>
  <c r="N256" i="16" s="1"/>
  <c r="L1225" i="16"/>
  <c r="L1228" i="16" s="1"/>
  <c r="L258" i="16" s="1"/>
  <c r="L426" i="20"/>
  <c r="L427" i="20" s="1"/>
  <c r="N407" i="20"/>
  <c r="P405" i="20"/>
  <c r="L946" i="16"/>
  <c r="L947" i="16" s="1"/>
  <c r="M1214" i="16"/>
  <c r="L421" i="20"/>
  <c r="M419" i="20"/>
  <c r="M1218" i="16"/>
  <c r="N917" i="16"/>
  <c r="P911" i="16"/>
  <c r="O916" i="16"/>
  <c r="N58" i="10"/>
  <c r="L930" i="16"/>
  <c r="O912" i="16"/>
  <c r="F951" i="16"/>
  <c r="K952" i="16" s="1"/>
  <c r="K953" i="16" s="1"/>
  <c r="E962" i="16"/>
  <c r="F962" i="16" s="1"/>
  <c r="D962" i="16"/>
  <c r="C964" i="16"/>
  <c r="B961" i="16"/>
  <c r="D967" i="16"/>
  <c r="J966" i="16"/>
  <c r="E963" i="16"/>
  <c r="D957" i="16"/>
  <c r="P393" i="20"/>
  <c r="R379" i="20"/>
  <c r="O1221" i="16"/>
  <c r="K1226" i="16"/>
  <c r="K1227" i="16" s="1"/>
  <c r="K1228" i="16"/>
  <c r="K258" i="16" s="1"/>
  <c r="T1249" i="16"/>
  <c r="S1249" i="16"/>
  <c r="E1244" i="16"/>
  <c r="F1244" i="16" s="1"/>
  <c r="R1249" i="16"/>
  <c r="D1244" i="16"/>
  <c r="D1250" i="16"/>
  <c r="Q1249" i="16"/>
  <c r="P1249" i="16"/>
  <c r="E1245" i="16"/>
  <c r="D1231" i="16"/>
  <c r="D1232" i="16" s="1"/>
  <c r="F1231" i="16" s="1"/>
  <c r="K1232" i="16"/>
  <c r="P1242" i="16"/>
  <c r="E1238" i="16"/>
  <c r="T1242" i="16"/>
  <c r="S1242" i="16"/>
  <c r="E1237" i="16"/>
  <c r="F1237" i="16" s="1"/>
  <c r="R1242" i="16"/>
  <c r="Q1242" i="16"/>
  <c r="D1237" i="16"/>
  <c r="S472" i="20"/>
  <c r="K433" i="20"/>
  <c r="K434" i="20" s="1"/>
  <c r="K428" i="20"/>
  <c r="C438" i="20"/>
  <c r="D437" i="20"/>
  <c r="C444" i="20"/>
  <c r="C446" i="20" s="1"/>
  <c r="C447" i="20" s="1"/>
  <c r="C699" i="20"/>
  <c r="D699" i="20"/>
  <c r="D664" i="20"/>
  <c r="E664" i="20" s="1"/>
  <c r="C664" i="20"/>
  <c r="D657" i="20"/>
  <c r="E657" i="20" s="1"/>
  <c r="C657" i="20"/>
  <c r="D605" i="20"/>
  <c r="C605" i="20"/>
  <c r="C607" i="20"/>
  <c r="C598" i="20"/>
  <c r="D816" i="20" s="1"/>
  <c r="D598" i="20"/>
  <c r="C600" i="20"/>
  <c r="D830" i="20" s="1"/>
  <c r="C591" i="20"/>
  <c r="D591" i="20"/>
  <c r="E591" i="20" s="1"/>
  <c r="C593" i="20"/>
  <c r="D578" i="20"/>
  <c r="C579" i="20"/>
  <c r="D577" i="20"/>
  <c r="E577" i="20" s="1"/>
  <c r="C577" i="20"/>
  <c r="Q2257" i="16"/>
  <c r="R25" i="16"/>
  <c r="S329" i="20"/>
  <c r="S330" i="20" s="1"/>
  <c r="T499" i="20"/>
  <c r="S500" i="20"/>
  <c r="S501" i="20" s="1"/>
  <c r="R1136" i="16"/>
  <c r="R918" i="12"/>
  <c r="R928" i="12" s="1"/>
  <c r="R929" i="12" s="1"/>
  <c r="T2061" i="16"/>
  <c r="T2089" i="16" s="1"/>
  <c r="T2054" i="16"/>
  <c r="R1931" i="12"/>
  <c r="R1934" i="12" s="1"/>
  <c r="T1561" i="16"/>
  <c r="T2160" i="16" s="1"/>
  <c r="S1562" i="16"/>
  <c r="S1563" i="16" s="1"/>
  <c r="O216" i="10"/>
  <c r="O360" i="10" s="1"/>
  <c r="P216" i="10"/>
  <c r="P360" i="10" s="1"/>
  <c r="Q152" i="16"/>
  <c r="T2064" i="16"/>
  <c r="T2092" i="16" s="1"/>
  <c r="M918" i="16"/>
  <c r="O541" i="20"/>
  <c r="P541" i="20" s="1"/>
  <c r="P543" i="20" s="1"/>
  <c r="N542" i="20"/>
  <c r="N923" i="16"/>
  <c r="O923" i="16" s="1"/>
  <c r="P923" i="16" s="1"/>
  <c r="Q923" i="16" s="1"/>
  <c r="R923" i="16" s="1"/>
  <c r="S923" i="16" s="1"/>
  <c r="S336" i="20"/>
  <c r="S337" i="20" s="1"/>
  <c r="M929" i="16"/>
  <c r="O928" i="16"/>
  <c r="O2214" i="16"/>
  <c r="Q146" i="16"/>
  <c r="Q162" i="16" s="1"/>
  <c r="N1624" i="16"/>
  <c r="N2169" i="16" s="1"/>
  <c r="L2169" i="16"/>
  <c r="N2167" i="16"/>
  <c r="L1626" i="16"/>
  <c r="N1611" i="16"/>
  <c r="O1611" i="16" s="1"/>
  <c r="L1625" i="16"/>
  <c r="M1625" i="16" s="1"/>
  <c r="O1943" i="16"/>
  <c r="P1943" i="16" s="1"/>
  <c r="Q1943" i="16" s="1"/>
  <c r="Q535" i="20"/>
  <c r="Q521" i="20"/>
  <c r="R527" i="20"/>
  <c r="S527" i="20" s="1"/>
  <c r="T527" i="20" s="1"/>
  <c r="P529" i="20"/>
  <c r="P528" i="20"/>
  <c r="Q528" i="20" s="1"/>
  <c r="R888" i="16"/>
  <c r="O1936" i="16"/>
  <c r="P1936" i="16" s="1"/>
  <c r="R520" i="20"/>
  <c r="S520" i="20" s="1"/>
  <c r="S522" i="20" s="1"/>
  <c r="Q522" i="20"/>
  <c r="O917" i="20"/>
  <c r="Q1935" i="16"/>
  <c r="Q2213" i="16" s="1"/>
  <c r="P2213" i="16"/>
  <c r="R534" i="20"/>
  <c r="R536" i="20" s="1"/>
  <c r="Q915" i="20"/>
  <c r="Q917" i="20" s="1"/>
  <c r="S901" i="20"/>
  <c r="T901" i="20" s="1"/>
  <c r="L562" i="20"/>
  <c r="M562" i="20" s="1"/>
  <c r="N917" i="20"/>
  <c r="Q1488" i="16"/>
  <c r="K563" i="20"/>
  <c r="K564" i="20" s="1"/>
  <c r="R902" i="20"/>
  <c r="E568" i="20"/>
  <c r="K569" i="20" s="1"/>
  <c r="C954" i="20"/>
  <c r="D948" i="20"/>
  <c r="E948" i="20" s="1"/>
  <c r="C949" i="20"/>
  <c r="C950" i="20" s="1"/>
  <c r="C948" i="20"/>
  <c r="N1617" i="16"/>
  <c r="O1617" i="16" s="1"/>
  <c r="P917" i="20"/>
  <c r="R896" i="20"/>
  <c r="R895" i="20"/>
  <c r="S895" i="20" s="1"/>
  <c r="R903" i="20"/>
  <c r="Q2212" i="16"/>
  <c r="R1928" i="16"/>
  <c r="R2212" i="16" s="1"/>
  <c r="L1631" i="16"/>
  <c r="M1631" i="16" s="1"/>
  <c r="N1631" i="16" s="1"/>
  <c r="K1632" i="16"/>
  <c r="K1633" i="16" s="1"/>
  <c r="P1494" i="16"/>
  <c r="K2170" i="16"/>
  <c r="P2214" i="16"/>
  <c r="R1942" i="16"/>
  <c r="O2213" i="16"/>
  <c r="O2151" i="16"/>
  <c r="O1495" i="16"/>
  <c r="T1480" i="16"/>
  <c r="P1610" i="16"/>
  <c r="R1487" i="16"/>
  <c r="Q906" i="16"/>
  <c r="K175" i="16"/>
  <c r="S881" i="16"/>
  <c r="R882" i="16"/>
  <c r="S876" i="16"/>
  <c r="R900" i="16"/>
  <c r="S905" i="16"/>
  <c r="S1460" i="16"/>
  <c r="S1461" i="16" s="1"/>
  <c r="S332" i="16"/>
  <c r="T2077" i="16"/>
  <c r="N2127" i="16"/>
  <c r="M1618" i="16"/>
  <c r="M1619" i="16" s="1"/>
  <c r="S462" i="20"/>
  <c r="S463" i="20" s="1"/>
  <c r="S1590" i="16"/>
  <c r="M2169" i="16"/>
  <c r="Q2214" i="16"/>
  <c r="P1604" i="16"/>
  <c r="R1330" i="16"/>
  <c r="S1330" i="16" s="1"/>
  <c r="P2166" i="16"/>
  <c r="S1135" i="16"/>
  <c r="M2168" i="16"/>
  <c r="R2165" i="16"/>
  <c r="Q1929" i="16"/>
  <c r="R1648" i="16"/>
  <c r="L1648" i="16"/>
  <c r="B1642" i="16"/>
  <c r="M1648" i="16"/>
  <c r="K1648" i="16"/>
  <c r="E1644" i="16"/>
  <c r="D1644" i="16" s="1"/>
  <c r="N1648" i="16"/>
  <c r="Q1648" i="16"/>
  <c r="D1649" i="16"/>
  <c r="O1648" i="16"/>
  <c r="E1643" i="16"/>
  <c r="F1643" i="16" s="1"/>
  <c r="D1643" i="16"/>
  <c r="P1648" i="16"/>
  <c r="S1648" i="16"/>
  <c r="R1597" i="16"/>
  <c r="Q2149" i="16"/>
  <c r="Q1481" i="16"/>
  <c r="R2125" i="16"/>
  <c r="K1371" i="16"/>
  <c r="R2124" i="16"/>
  <c r="R1323" i="16"/>
  <c r="E1376" i="16"/>
  <c r="F1376" i="16" s="1"/>
  <c r="D1376" i="16"/>
  <c r="B1375" i="16"/>
  <c r="E1377" i="16"/>
  <c r="D1377" i="16" s="1"/>
  <c r="K1381" i="16"/>
  <c r="L1381" i="16"/>
  <c r="M1381" i="16"/>
  <c r="N1381" i="16"/>
  <c r="O1381" i="16"/>
  <c r="P1381" i="16"/>
  <c r="Q1381" i="16"/>
  <c r="R1381" i="16"/>
  <c r="S1381" i="16"/>
  <c r="R2148" i="16"/>
  <c r="R1474" i="16"/>
  <c r="T2045" i="16"/>
  <c r="S2078" i="16"/>
  <c r="T2086" i="16"/>
  <c r="T2072" i="16"/>
  <c r="V366" i="10"/>
  <c r="W79" i="10"/>
  <c r="S113" i="10"/>
  <c r="S36" i="10"/>
  <c r="U38" i="22"/>
  <c r="U106" i="11" s="1"/>
  <c r="U71" i="10"/>
  <c r="V33" i="22"/>
  <c r="V37" i="22" s="1"/>
  <c r="U56" i="22"/>
  <c r="V51" i="22"/>
  <c r="V55" i="22" s="1"/>
  <c r="U85" i="10"/>
  <c r="T114" i="10"/>
  <c r="T84" i="10"/>
  <c r="T118" i="10" s="1"/>
  <c r="T89" i="10"/>
  <c r="T113" i="10" s="1"/>
  <c r="T65" i="22"/>
  <c r="T92" i="12" s="1"/>
  <c r="V60" i="22"/>
  <c r="U64" i="22"/>
  <c r="X22" i="20"/>
  <c r="X92" i="10" s="1"/>
  <c r="W92" i="10"/>
  <c r="T2081" i="16"/>
  <c r="T2095" i="16"/>
  <c r="S2075" i="16"/>
  <c r="S2089" i="16"/>
  <c r="X15" i="22"/>
  <c r="X17" i="22" s="1"/>
  <c r="X77" i="10" s="1"/>
  <c r="W77" i="10"/>
  <c r="T200" i="18"/>
  <c r="U200" i="18" s="1"/>
  <c r="T199" i="18"/>
  <c r="S201" i="18"/>
  <c r="M256" i="16" l="1"/>
  <c r="O254" i="16"/>
  <c r="T35" i="8"/>
  <c r="T11" i="11"/>
  <c r="T11" i="18"/>
  <c r="T11" i="22"/>
  <c r="T11" i="20"/>
  <c r="T11" i="10"/>
  <c r="T11" i="16"/>
  <c r="U27" i="8"/>
  <c r="U11" i="16" s="1"/>
  <c r="U126" i="8"/>
  <c r="T2047" i="16"/>
  <c r="S1296" i="16"/>
  <c r="T2052" i="16"/>
  <c r="T2049" i="16"/>
  <c r="Q923" i="12"/>
  <c r="Q931" i="12" s="1"/>
  <c r="P931" i="12"/>
  <c r="S1433" i="16"/>
  <c r="T2059" i="16"/>
  <c r="T2087" i="16" s="1"/>
  <c r="S1440" i="16"/>
  <c r="S1303" i="16"/>
  <c r="S1289" i="16"/>
  <c r="L1358" i="16"/>
  <c r="S1310" i="16"/>
  <c r="T1310" i="16" s="1"/>
  <c r="S1282" i="16"/>
  <c r="L1364" i="16"/>
  <c r="L2130" i="16" s="1"/>
  <c r="K954" i="16"/>
  <c r="K1951" i="16"/>
  <c r="K587" i="16" s="1"/>
  <c r="K794" i="16" s="1"/>
  <c r="K586" i="16"/>
  <c r="L1950" i="16"/>
  <c r="N1923" i="16"/>
  <c r="O1923" i="16" s="1"/>
  <c r="O1922" i="16"/>
  <c r="P1921" i="16"/>
  <c r="O2211" i="16"/>
  <c r="Q2208" i="16"/>
  <c r="R1900" i="16"/>
  <c r="R2208" i="16" s="1"/>
  <c r="P1902" i="16"/>
  <c r="Q1901" i="16"/>
  <c r="K1365" i="16"/>
  <c r="K1366" i="16" s="1"/>
  <c r="L936" i="16"/>
  <c r="M936" i="16" s="1"/>
  <c r="M935" i="16"/>
  <c r="L585" i="16"/>
  <c r="L2215" i="16"/>
  <c r="L952" i="16"/>
  <c r="L953" i="16" s="1"/>
  <c r="N934" i="16"/>
  <c r="O934" i="16" s="1"/>
  <c r="M1949" i="16"/>
  <c r="S1150" i="16"/>
  <c r="S1164" i="16"/>
  <c r="K62" i="25"/>
  <c r="K136" i="25" s="1"/>
  <c r="T594" i="12"/>
  <c r="S1143" i="16"/>
  <c r="T265" i="16"/>
  <c r="T53" i="20" s="1"/>
  <c r="S888" i="16"/>
  <c r="S161" i="16" s="1"/>
  <c r="R161" i="16"/>
  <c r="S894" i="16"/>
  <c r="S164" i="16" s="1"/>
  <c r="R164" i="16"/>
  <c r="T1233" i="12"/>
  <c r="T1237" i="12" s="1"/>
  <c r="T1394" i="12" s="1"/>
  <c r="U1145" i="12"/>
  <c r="U1142" i="12"/>
  <c r="U1144" i="12"/>
  <c r="U1146" i="12"/>
  <c r="U1143" i="12"/>
  <c r="U1136" i="12"/>
  <c r="U1133" i="12"/>
  <c r="U1134" i="12"/>
  <c r="U1135" i="12"/>
  <c r="U1137" i="12"/>
  <c r="U1093" i="12"/>
  <c r="U1101" i="12"/>
  <c r="U1109" i="12"/>
  <c r="U1117" i="12"/>
  <c r="U1090" i="12"/>
  <c r="U1098" i="12"/>
  <c r="U1106" i="12"/>
  <c r="U1114" i="12"/>
  <c r="U1095" i="12"/>
  <c r="U1103" i="12"/>
  <c r="U1111" i="12"/>
  <c r="U1119" i="12"/>
  <c r="U1091" i="12"/>
  <c r="U1092" i="12"/>
  <c r="U1100" i="12"/>
  <c r="U1108" i="12"/>
  <c r="U1116" i="12"/>
  <c r="U1097" i="12"/>
  <c r="U1105" i="12"/>
  <c r="U1113" i="12"/>
  <c r="U1107" i="12"/>
  <c r="U1115" i="12"/>
  <c r="U1094" i="12"/>
  <c r="U1102" i="12"/>
  <c r="U1110" i="12"/>
  <c r="U1118" i="12"/>
  <c r="U1099" i="12"/>
  <c r="U1096" i="12"/>
  <c r="U1104" i="12"/>
  <c r="U1112" i="12"/>
  <c r="U1049" i="12"/>
  <c r="U1057" i="12"/>
  <c r="U1065" i="12"/>
  <c r="U1073" i="12"/>
  <c r="U1081" i="12"/>
  <c r="U1053" i="12"/>
  <c r="U1046" i="12"/>
  <c r="U1054" i="12"/>
  <c r="U1062" i="12"/>
  <c r="U1070" i="12"/>
  <c r="U1078" i="12"/>
  <c r="U1061" i="12"/>
  <c r="U1051" i="12"/>
  <c r="U1059" i="12"/>
  <c r="U1067" i="12"/>
  <c r="U1075" i="12"/>
  <c r="U1083" i="12"/>
  <c r="U1069" i="12"/>
  <c r="U1048" i="12"/>
  <c r="U1056" i="12"/>
  <c r="U1064" i="12"/>
  <c r="U1072" i="12"/>
  <c r="U1080" i="12"/>
  <c r="U1050" i="12"/>
  <c r="U1058" i="12"/>
  <c r="U1066" i="12"/>
  <c r="U1074" i="12"/>
  <c r="U1082" i="12"/>
  <c r="U1052" i="12"/>
  <c r="U1068" i="12"/>
  <c r="U1047" i="12"/>
  <c r="U1055" i="12"/>
  <c r="U1063" i="12"/>
  <c r="U1071" i="12"/>
  <c r="U1079" i="12"/>
  <c r="U1060" i="12"/>
  <c r="U1084" i="12"/>
  <c r="U1077" i="12"/>
  <c r="U1085" i="12"/>
  <c r="U1076" i="12"/>
  <c r="U1004" i="12"/>
  <c r="U1012" i="12"/>
  <c r="U1020" i="12"/>
  <c r="U1028" i="12"/>
  <c r="U1036" i="12"/>
  <c r="U1001" i="12"/>
  <c r="U1009" i="12"/>
  <c r="U1017" i="12"/>
  <c r="U1025" i="12"/>
  <c r="U1033" i="12"/>
  <c r="U1006" i="12"/>
  <c r="U1014" i="12"/>
  <c r="U1022" i="12"/>
  <c r="U1030" i="12"/>
  <c r="U1038" i="12"/>
  <c r="U1003" i="12"/>
  <c r="U1011" i="12"/>
  <c r="U1019" i="12"/>
  <c r="U1027" i="12"/>
  <c r="U1035" i="12"/>
  <c r="U1008" i="12"/>
  <c r="U1016" i="12"/>
  <c r="U1024" i="12"/>
  <c r="U1032" i="12"/>
  <c r="U1040" i="12"/>
  <c r="U1005" i="12"/>
  <c r="U1013" i="12"/>
  <c r="U1021" i="12"/>
  <c r="U1029" i="12"/>
  <c r="U1037" i="12"/>
  <c r="U1002" i="12"/>
  <c r="U1010" i="12"/>
  <c r="U1018" i="12"/>
  <c r="U1007" i="12"/>
  <c r="U1015" i="12"/>
  <c r="U1023" i="12"/>
  <c r="U1031" i="12"/>
  <c r="U1039" i="12"/>
  <c r="U1026" i="12"/>
  <c r="U1034" i="12"/>
  <c r="U994" i="12"/>
  <c r="U991" i="12"/>
  <c r="U993" i="12"/>
  <c r="U995" i="12"/>
  <c r="U992" i="12"/>
  <c r="U970" i="12"/>
  <c r="U978" i="12"/>
  <c r="U986" i="12"/>
  <c r="U967" i="12"/>
  <c r="U975" i="12"/>
  <c r="U983" i="12"/>
  <c r="U972" i="12"/>
  <c r="U980" i="12"/>
  <c r="U968" i="12"/>
  <c r="U976" i="12"/>
  <c r="U984" i="12"/>
  <c r="U969" i="12"/>
  <c r="U977" i="12"/>
  <c r="U985" i="12"/>
  <c r="U974" i="12"/>
  <c r="U982" i="12"/>
  <c r="U971" i="12"/>
  <c r="U979" i="12"/>
  <c r="U973" i="12"/>
  <c r="U981" i="12"/>
  <c r="U903" i="12"/>
  <c r="U900" i="12"/>
  <c r="U902" i="12"/>
  <c r="U904" i="12"/>
  <c r="U901" i="12"/>
  <c r="U894" i="12"/>
  <c r="U895" i="12"/>
  <c r="U891" i="12"/>
  <c r="U893" i="12"/>
  <c r="U892" i="12"/>
  <c r="U851" i="12"/>
  <c r="U859" i="12"/>
  <c r="U867" i="12"/>
  <c r="U875" i="12"/>
  <c r="U876" i="12"/>
  <c r="U848" i="12"/>
  <c r="U856" i="12"/>
  <c r="U864" i="12"/>
  <c r="U872" i="12"/>
  <c r="U852" i="12"/>
  <c r="U1335" i="12" s="1"/>
  <c r="U857" i="12"/>
  <c r="U853" i="12"/>
  <c r="U861" i="12"/>
  <c r="U869" i="12"/>
  <c r="U877" i="12"/>
  <c r="U860" i="12"/>
  <c r="U850" i="12"/>
  <c r="U858" i="12"/>
  <c r="U866" i="12"/>
  <c r="U874" i="12"/>
  <c r="U868" i="12"/>
  <c r="U855" i="12"/>
  <c r="U863" i="12"/>
  <c r="U871" i="12"/>
  <c r="U849" i="12"/>
  <c r="U1332" i="12" s="1"/>
  <c r="U865" i="12"/>
  <c r="U873" i="12"/>
  <c r="U854" i="12"/>
  <c r="U862" i="12"/>
  <c r="U870" i="12"/>
  <c r="R1406" i="12"/>
  <c r="U807" i="12"/>
  <c r="U815" i="12"/>
  <c r="U823" i="12"/>
  <c r="U831" i="12"/>
  <c r="U839" i="12"/>
  <c r="U804" i="12"/>
  <c r="U812" i="12"/>
  <c r="U820" i="12"/>
  <c r="U828" i="12"/>
  <c r="U836" i="12"/>
  <c r="U809" i="12"/>
  <c r="U817" i="12"/>
  <c r="U825" i="12"/>
  <c r="U833" i="12"/>
  <c r="U841" i="12"/>
  <c r="U821" i="12"/>
  <c r="U806" i="12"/>
  <c r="U814" i="12"/>
  <c r="U822" i="12"/>
  <c r="U830" i="12"/>
  <c r="U838" i="12"/>
  <c r="U813" i="12"/>
  <c r="U829" i="12"/>
  <c r="U811" i="12"/>
  <c r="U819" i="12"/>
  <c r="U827" i="12"/>
  <c r="U835" i="12"/>
  <c r="U843" i="12"/>
  <c r="U805" i="12"/>
  <c r="U1288" i="12" s="1"/>
  <c r="U808" i="12"/>
  <c r="U1291" i="12" s="1"/>
  <c r="U816" i="12"/>
  <c r="U824" i="12"/>
  <c r="U832" i="12"/>
  <c r="U840" i="12"/>
  <c r="U810" i="12"/>
  <c r="U818" i="12"/>
  <c r="U826" i="12"/>
  <c r="U834" i="12"/>
  <c r="U842" i="12"/>
  <c r="U837" i="12"/>
  <c r="U762" i="12"/>
  <c r="U770" i="12"/>
  <c r="U778" i="12"/>
  <c r="U786" i="12"/>
  <c r="U794" i="12"/>
  <c r="U759" i="12"/>
  <c r="U767" i="12"/>
  <c r="U775" i="12"/>
  <c r="U783" i="12"/>
  <c r="U791" i="12"/>
  <c r="U764" i="12"/>
  <c r="U772" i="12"/>
  <c r="U780" i="12"/>
  <c r="U788" i="12"/>
  <c r="U796" i="12"/>
  <c r="U761" i="12"/>
  <c r="U769" i="12"/>
  <c r="U777" i="12"/>
  <c r="U785" i="12"/>
  <c r="U793" i="12"/>
  <c r="U766" i="12"/>
  <c r="U774" i="12"/>
  <c r="U782" i="12"/>
  <c r="U790" i="12"/>
  <c r="U798" i="12"/>
  <c r="U763" i="12"/>
  <c r="U1246" i="12" s="1"/>
  <c r="U771" i="12"/>
  <c r="U779" i="12"/>
  <c r="U787" i="12"/>
  <c r="U795" i="12"/>
  <c r="U760" i="12"/>
  <c r="U1243" i="12" s="1"/>
  <c r="U768" i="12"/>
  <c r="U776" i="12"/>
  <c r="U784" i="12"/>
  <c r="U792" i="12"/>
  <c r="U765" i="12"/>
  <c r="U773" i="12"/>
  <c r="U781" i="12"/>
  <c r="U789" i="12"/>
  <c r="U797" i="12"/>
  <c r="S1401" i="12"/>
  <c r="S1411" i="12" s="1"/>
  <c r="S1412" i="12" s="1"/>
  <c r="S257" i="20" s="1"/>
  <c r="U749" i="12"/>
  <c r="U751" i="12"/>
  <c r="U750" i="12"/>
  <c r="U753" i="12"/>
  <c r="U752" i="12"/>
  <c r="T1361" i="12"/>
  <c r="T1397" i="12" s="1"/>
  <c r="T1228" i="12"/>
  <c r="T1393" i="12" s="1"/>
  <c r="T1327" i="12"/>
  <c r="T1396" i="12" s="1"/>
  <c r="T1282" i="12"/>
  <c r="T1395" i="12" s="1"/>
  <c r="U728" i="12"/>
  <c r="U736" i="12"/>
  <c r="U744" i="12"/>
  <c r="U725" i="12"/>
  <c r="U733" i="12"/>
  <c r="U741" i="12"/>
  <c r="U730" i="12"/>
  <c r="U738" i="12"/>
  <c r="U727" i="12"/>
  <c r="U735" i="12"/>
  <c r="U743" i="12"/>
  <c r="U732" i="12"/>
  <c r="U740" i="12"/>
  <c r="U729" i="12"/>
  <c r="U1212" i="12" s="1"/>
  <c r="U737" i="12"/>
  <c r="U731" i="12"/>
  <c r="U726" i="12"/>
  <c r="U1209" i="12" s="1"/>
  <c r="U734" i="12"/>
  <c r="U742" i="12"/>
  <c r="U739" i="12"/>
  <c r="T930" i="12"/>
  <c r="T216" i="10" s="1"/>
  <c r="T360" i="10" s="1"/>
  <c r="U943" i="12"/>
  <c r="U945" i="12"/>
  <c r="U949" i="12"/>
  <c r="U953" i="12"/>
  <c r="U957" i="12"/>
  <c r="U961" i="12"/>
  <c r="U954" i="12"/>
  <c r="U944" i="12"/>
  <c r="U948" i="12"/>
  <c r="U952" i="12"/>
  <c r="U956" i="12"/>
  <c r="U960" i="12"/>
  <c r="U946" i="12"/>
  <c r="U947" i="12"/>
  <c r="U951" i="12"/>
  <c r="U955" i="12"/>
  <c r="U959" i="12"/>
  <c r="U958" i="12"/>
  <c r="U962" i="12"/>
  <c r="U950" i="12"/>
  <c r="U701" i="12"/>
  <c r="U703" i="12"/>
  <c r="U707" i="12"/>
  <c r="U711" i="12"/>
  <c r="U715" i="12"/>
  <c r="U719" i="12"/>
  <c r="U702" i="12"/>
  <c r="U1185" i="12" s="1"/>
  <c r="U706" i="12"/>
  <c r="U710" i="12"/>
  <c r="U714" i="12"/>
  <c r="U718" i="12"/>
  <c r="U720" i="12"/>
  <c r="U705" i="12"/>
  <c r="U1188" i="12" s="1"/>
  <c r="U709" i="12"/>
  <c r="U713" i="12"/>
  <c r="U717" i="12"/>
  <c r="U708" i="12"/>
  <c r="U712" i="12"/>
  <c r="U704" i="12"/>
  <c r="U716" i="12"/>
  <c r="U449" i="16"/>
  <c r="T1149" i="16"/>
  <c r="S2068" i="16"/>
  <c r="S2069" i="16" s="1"/>
  <c r="S2055" i="16"/>
  <c r="S796" i="16" s="1"/>
  <c r="U921" i="12"/>
  <c r="U196" i="20"/>
  <c r="U1788" i="12"/>
  <c r="U82" i="22"/>
  <c r="T2088" i="16"/>
  <c r="U197" i="16"/>
  <c r="U59" i="20"/>
  <c r="U117" i="20"/>
  <c r="U1835" i="16"/>
  <c r="U460" i="16" s="1"/>
  <c r="U190" i="10"/>
  <c r="U1582" i="16"/>
  <c r="U2163" i="16" s="1"/>
  <c r="U127" i="20"/>
  <c r="U146" i="20"/>
  <c r="U124" i="20"/>
  <c r="U1878" i="12"/>
  <c r="U1916" i="12" s="1"/>
  <c r="U1399" i="12"/>
  <c r="U134" i="20"/>
  <c r="U170" i="20"/>
  <c r="U1812" i="12"/>
  <c r="T2053" i="16"/>
  <c r="U898" i="16"/>
  <c r="T2080" i="16"/>
  <c r="T1156" i="16"/>
  <c r="T1157" i="16" s="1"/>
  <c r="U1339" i="16"/>
  <c r="U1737" i="12"/>
  <c r="U114" i="12"/>
  <c r="U2040" i="16"/>
  <c r="U1671" i="12"/>
  <c r="U1290" i="16"/>
  <c r="U616" i="16"/>
  <c r="U1421" i="12"/>
  <c r="U1452" i="12" s="1"/>
  <c r="U1476" i="16"/>
  <c r="U1665" i="12"/>
  <c r="U1814" i="12"/>
  <c r="U112" i="22"/>
  <c r="U125" i="20"/>
  <c r="U1825" i="12"/>
  <c r="V28" i="8"/>
  <c r="U95" i="11"/>
  <c r="U273" i="16"/>
  <c r="U1791" i="12"/>
  <c r="U1849" i="16"/>
  <c r="U1620" i="16"/>
  <c r="U1504" i="16"/>
  <c r="U367" i="16" s="1"/>
  <c r="U1221" i="16"/>
  <c r="U617" i="12"/>
  <c r="U582" i="16"/>
  <c r="U1787" i="12"/>
  <c r="U109" i="16"/>
  <c r="U1778" i="12"/>
  <c r="U1786" i="12"/>
  <c r="U448" i="16"/>
  <c r="U2044" i="16"/>
  <c r="U1819" i="12"/>
  <c r="U328" i="16"/>
  <c r="U1748" i="12"/>
  <c r="U1831" i="12"/>
  <c r="U1832" i="12"/>
  <c r="U1640" i="12"/>
  <c r="U62" i="20"/>
  <c r="U1760" i="12"/>
  <c r="U698" i="12"/>
  <c r="U131" i="20"/>
  <c r="U325" i="16"/>
  <c r="U1798" i="12"/>
  <c r="U420" i="16"/>
  <c r="U1655" i="16"/>
  <c r="U119" i="16"/>
  <c r="U1828" i="12"/>
  <c r="U123" i="20"/>
  <c r="U1750" i="12"/>
  <c r="U1880" i="12"/>
  <c r="U1919" i="12" s="1"/>
  <c r="U355" i="16"/>
  <c r="U1889" i="16"/>
  <c r="U66" i="20"/>
  <c r="U1743" i="12"/>
  <c r="U1434" i="16"/>
  <c r="U173" i="20"/>
  <c r="U1782" i="12"/>
  <c r="U280" i="16"/>
  <c r="U171" i="20"/>
  <c r="U152" i="20"/>
  <c r="U20" i="22"/>
  <c r="U1441" i="16"/>
  <c r="U1678" i="12"/>
  <c r="U22" i="16"/>
  <c r="U1311" i="16"/>
  <c r="U231" i="11"/>
  <c r="U1677" i="12"/>
  <c r="U427" i="16"/>
  <c r="U431" i="16"/>
  <c r="U155" i="20"/>
  <c r="U1669" i="12"/>
  <c r="U579" i="16"/>
  <c r="U1823" i="12"/>
  <c r="U157" i="20"/>
  <c r="U1648" i="16"/>
  <c r="U1181" i="12"/>
  <c r="U71" i="20"/>
  <c r="U443" i="16"/>
  <c r="U1783" i="12"/>
  <c r="U1599" i="16"/>
  <c r="U451" i="16"/>
  <c r="U1790" i="12"/>
  <c r="U1523" i="16"/>
  <c r="U85" i="20"/>
  <c r="U618" i="16"/>
  <c r="U1592" i="16"/>
  <c r="U363" i="20"/>
  <c r="U446" i="16"/>
  <c r="U68" i="22"/>
  <c r="U1817" i="12"/>
  <c r="U1835" i="12"/>
  <c r="U1725" i="12"/>
  <c r="U159" i="20"/>
  <c r="U12" i="12"/>
  <c r="U698" i="16"/>
  <c r="U1346" i="16"/>
  <c r="U180" i="11"/>
  <c r="U240" i="11"/>
  <c r="U1639" i="12"/>
  <c r="U1837" i="16"/>
  <c r="U462" i="16" s="1"/>
  <c r="U1644" i="12"/>
  <c r="U158" i="20"/>
  <c r="U1775" i="12"/>
  <c r="U26" i="22"/>
  <c r="U188" i="20"/>
  <c r="U35" i="11"/>
  <c r="U58" i="20"/>
  <c r="U1774" i="12"/>
  <c r="U580" i="16"/>
  <c r="U100" i="12"/>
  <c r="U1729" i="12"/>
  <c r="U1752" i="12"/>
  <c r="U450" i="16"/>
  <c r="U197" i="20"/>
  <c r="U1415" i="16"/>
  <c r="U1753" i="12"/>
  <c r="U1693" i="12"/>
  <c r="U435" i="16"/>
  <c r="U624" i="16"/>
  <c r="U65" i="20"/>
  <c r="U1585" i="16"/>
  <c r="U1667" i="12"/>
  <c r="U1696" i="12"/>
  <c r="U1728" i="12"/>
  <c r="U623" i="16"/>
  <c r="U68" i="20"/>
  <c r="U1374" i="16"/>
  <c r="U63" i="12"/>
  <c r="U1700" i="12"/>
  <c r="U1732" i="12"/>
  <c r="U455" i="16"/>
  <c r="U189" i="20"/>
  <c r="U156" i="10"/>
  <c r="U940" i="12"/>
  <c r="U354" i="16"/>
  <c r="U359" i="16"/>
  <c r="U130" i="20"/>
  <c r="U12" i="18"/>
  <c r="U1722" i="12"/>
  <c r="U1805" i="12"/>
  <c r="U425" i="16"/>
  <c r="U63" i="18"/>
  <c r="U1801" i="12"/>
  <c r="U1503" i="16"/>
  <c r="U366" i="16" s="1"/>
  <c r="U413" i="10"/>
  <c r="U1886" i="16"/>
  <c r="U2206" i="16" s="1"/>
  <c r="U106" i="16"/>
  <c r="U207" i="16"/>
  <c r="U622" i="16"/>
  <c r="U139" i="20"/>
  <c r="U1400" i="12"/>
  <c r="U1682" i="12"/>
  <c r="U430" i="16"/>
  <c r="U452" i="16"/>
  <c r="U32" i="22"/>
  <c r="U1469" i="16"/>
  <c r="U1749" i="12"/>
  <c r="U1839" i="12"/>
  <c r="U432" i="16"/>
  <c r="U2035" i="16"/>
  <c r="U2061" i="16" s="1"/>
  <c r="U2089" i="16" s="1"/>
  <c r="U176" i="20"/>
  <c r="U1917" i="16"/>
  <c r="U426" i="16"/>
  <c r="U1826" i="12"/>
  <c r="U1840" i="12"/>
  <c r="U575" i="16"/>
  <c r="U151" i="20"/>
  <c r="U1283" i="16"/>
  <c r="U1661" i="12"/>
  <c r="U1830" i="12"/>
  <c r="U30" i="16"/>
  <c r="U103" i="20"/>
  <c r="U80" i="20"/>
  <c r="U1557" i="16"/>
  <c r="U1157" i="12"/>
  <c r="U1795" i="12"/>
  <c r="U421" i="16"/>
  <c r="U195" i="20"/>
  <c r="U1530" i="16"/>
  <c r="U1501" i="16"/>
  <c r="U364" i="16" s="1"/>
  <c r="U1714" i="12"/>
  <c r="U564" i="16"/>
  <c r="U1571" i="16"/>
  <c r="U1770" i="12"/>
  <c r="U361" i="16"/>
  <c r="U1144" i="16"/>
  <c r="U101" i="16"/>
  <c r="U115" i="16"/>
  <c r="U335" i="20"/>
  <c r="U1134" i="16"/>
  <c r="U422" i="16"/>
  <c r="U1837" i="12"/>
  <c r="U120" i="20"/>
  <c r="U160" i="20"/>
  <c r="U1638" i="12"/>
  <c r="U1779" i="12"/>
  <c r="U272" i="16"/>
  <c r="U49" i="20"/>
  <c r="U156" i="20"/>
  <c r="U1360" i="16"/>
  <c r="U1666" i="12"/>
  <c r="U1702" i="12"/>
  <c r="U274" i="16"/>
  <c r="U2057" i="16"/>
  <c r="U126" i="20"/>
  <c r="U1836" i="16"/>
  <c r="U461" i="16" s="1"/>
  <c r="U1741" i="12"/>
  <c r="U1697" i="12"/>
  <c r="U358" i="16"/>
  <c r="U2031" i="16"/>
  <c r="U178" i="20"/>
  <c r="U1641" i="16"/>
  <c r="U1757" i="12"/>
  <c r="U1701" i="12"/>
  <c r="U362" i="16"/>
  <c r="U2033" i="16"/>
  <c r="U2046" i="16" s="1"/>
  <c r="U118" i="20"/>
  <c r="U1613" i="16"/>
  <c r="U1672" i="12"/>
  <c r="U1735" i="12"/>
  <c r="U329" i="16"/>
  <c r="U136" i="20"/>
  <c r="U1455" i="16"/>
  <c r="U96" i="20"/>
  <c r="U1739" i="12"/>
  <c r="U625" i="16"/>
  <c r="U1634" i="16"/>
  <c r="U1771" i="12"/>
  <c r="U444" i="16"/>
  <c r="U1401" i="16"/>
  <c r="U103" i="16"/>
  <c r="U1480" i="16"/>
  <c r="U1228" i="16"/>
  <c r="U127" i="16"/>
  <c r="U1459" i="16"/>
  <c r="U2146" i="16" s="1"/>
  <c r="U94" i="20"/>
  <c r="U127" i="10"/>
  <c r="U1730" i="12"/>
  <c r="U70" i="16"/>
  <c r="U12" i="20"/>
  <c r="U25" i="20" s="1"/>
  <c r="U1188" i="20" s="1"/>
  <c r="U441" i="16"/>
  <c r="U148" i="20"/>
  <c r="U1516" i="16"/>
  <c r="U418" i="16"/>
  <c r="U275" i="16"/>
  <c r="U1751" i="12"/>
  <c r="U445" i="16"/>
  <c r="U2039" i="16"/>
  <c r="U2065" i="16" s="1"/>
  <c r="U2093" i="16" s="1"/>
  <c r="U147" i="20"/>
  <c r="U1404" i="12"/>
  <c r="U1879" i="12"/>
  <c r="U1918" i="12" s="1"/>
  <c r="U1724" i="12"/>
  <c r="U573" i="16"/>
  <c r="U138" i="20"/>
  <c r="U116" i="18"/>
  <c r="U161" i="20"/>
  <c r="U1777" i="12"/>
  <c r="U1727" i="12"/>
  <c r="U439" i="16"/>
  <c r="U2071" i="16"/>
  <c r="U175" i="20"/>
  <c r="U1896" i="16"/>
  <c r="U1793" i="12"/>
  <c r="U1731" i="12"/>
  <c r="U281" i="16"/>
  <c r="U2034" i="16"/>
  <c r="U191" i="20"/>
  <c r="U1490" i="16"/>
  <c r="U1675" i="12"/>
  <c r="U1768" i="12"/>
  <c r="U577" i="16"/>
  <c r="U187" i="20"/>
  <c r="U1462" i="16"/>
  <c r="U1785" i="12"/>
  <c r="U1683" i="12"/>
  <c r="U116" i="20"/>
  <c r="U1903" i="16"/>
  <c r="U1827" i="12"/>
  <c r="U119" i="20"/>
  <c r="U1176" i="16"/>
  <c r="U35" i="20"/>
  <c r="U117" i="16"/>
  <c r="U1190" i="16"/>
  <c r="U1169" i="16"/>
  <c r="U478" i="20"/>
  <c r="U42" i="12"/>
  <c r="U242" i="10"/>
  <c r="U1733" i="12"/>
  <c r="U128" i="20"/>
  <c r="U1738" i="12"/>
  <c r="U1756" i="12"/>
  <c r="U456" i="16"/>
  <c r="U102" i="20"/>
  <c r="U88" i="22"/>
  <c r="U32" i="12"/>
  <c r="U1670" i="12"/>
  <c r="U1759" i="12"/>
  <c r="U278" i="16"/>
  <c r="U144" i="20"/>
  <c r="U74" i="18"/>
  <c r="U44" i="11"/>
  <c r="U1674" i="12"/>
  <c r="U1815" i="12"/>
  <c r="U216" i="16"/>
  <c r="U69" i="20"/>
  <c r="U142" i="20"/>
  <c r="U74" i="11"/>
  <c r="U1789" i="12"/>
  <c r="U1800" i="12"/>
  <c r="U179" i="20"/>
  <c r="U137" i="20"/>
  <c r="U1297" i="16"/>
  <c r="U1680" i="12"/>
  <c r="U1820" i="12"/>
  <c r="U192" i="20"/>
  <c r="U104" i="11"/>
  <c r="U1690" i="12"/>
  <c r="U172" i="20"/>
  <c r="U915" i="12"/>
  <c r="U1930" i="12" s="1"/>
  <c r="U47" i="20"/>
  <c r="U215" i="16"/>
  <c r="U1394" i="16"/>
  <c r="U2085" i="16"/>
  <c r="U1304" i="16"/>
  <c r="U53" i="11"/>
  <c r="U437" i="16"/>
  <c r="U98" i="10"/>
  <c r="U169" i="20"/>
  <c r="U1627" i="16"/>
  <c r="U1806" i="12"/>
  <c r="U1698" i="12"/>
  <c r="U72" i="20"/>
  <c r="U41" i="22"/>
  <c r="U1822" i="12"/>
  <c r="U1836" i="12"/>
  <c r="U615" i="16"/>
  <c r="U60" i="20"/>
  <c r="U12" i="10"/>
  <c r="U629" i="12"/>
  <c r="U1761" i="12"/>
  <c r="U46" i="16"/>
  <c r="U198" i="16"/>
  <c r="U122" i="20"/>
  <c r="U94" i="22"/>
  <c r="U91" i="12"/>
  <c r="U1773" i="12"/>
  <c r="U438" i="16"/>
  <c r="U1833" i="16"/>
  <c r="U458" i="16" s="1"/>
  <c r="U64" i="20"/>
  <c r="U190" i="20"/>
  <c r="U201" i="11"/>
  <c r="U1704" i="12"/>
  <c r="U1736" i="12"/>
  <c r="U177" i="20"/>
  <c r="U150" i="20"/>
  <c r="U1606" i="16"/>
  <c r="U1676" i="12"/>
  <c r="U360" i="16"/>
  <c r="U121" i="20"/>
  <c r="U1163" i="12"/>
  <c r="U1824" i="12"/>
  <c r="U135" i="20"/>
  <c r="U37" i="20"/>
  <c r="U211" i="16"/>
  <c r="T1429" i="12"/>
  <c r="T1456" i="12"/>
  <c r="T1552" i="12"/>
  <c r="T1599" i="12"/>
  <c r="T1587" i="12"/>
  <c r="T1449" i="12"/>
  <c r="T2120" i="16"/>
  <c r="T1593" i="12"/>
  <c r="T1562" i="12"/>
  <c r="T1539" i="12"/>
  <c r="T887" i="16"/>
  <c r="T1455" i="12"/>
  <c r="T1582" i="12"/>
  <c r="T1572" i="12"/>
  <c r="T1500" i="12"/>
  <c r="T1533" i="12"/>
  <c r="T1577" i="12"/>
  <c r="T1438" i="12"/>
  <c r="T1486" i="12"/>
  <c r="T1536" i="12"/>
  <c r="T1579" i="12"/>
  <c r="T2121" i="16"/>
  <c r="T350" i="20"/>
  <c r="T351" i="20" s="1"/>
  <c r="J209" i="25"/>
  <c r="J247" i="25" s="1"/>
  <c r="T1561" i="12"/>
  <c r="T1538" i="12"/>
  <c r="T1436" i="12"/>
  <c r="T1583" i="12"/>
  <c r="T1441" i="12"/>
  <c r="T1585" i="12"/>
  <c r="T1555" i="12"/>
  <c r="T1527" i="12"/>
  <c r="T1550" i="12"/>
  <c r="T1512" i="12"/>
  <c r="T1440" i="12"/>
  <c r="T1483" i="12"/>
  <c r="T1489" i="12"/>
  <c r="T1506" i="12"/>
  <c r="T1600" i="12"/>
  <c r="T1425" i="12"/>
  <c r="T1544" i="12"/>
  <c r="T1453" i="12"/>
  <c r="T1547" i="12"/>
  <c r="T1427" i="12"/>
  <c r="T1551" i="12"/>
  <c r="T1513" i="12"/>
  <c r="T1467" i="12"/>
  <c r="T1461" i="12"/>
  <c r="T1581" i="12"/>
  <c r="T1503" i="12"/>
  <c r="T1428" i="12"/>
  <c r="T1498" i="12"/>
  <c r="T1592" i="12"/>
  <c r="T1443" i="12"/>
  <c r="T1515" i="12"/>
  <c r="T1434" i="12"/>
  <c r="T1590" i="12"/>
  <c r="T1541" i="12"/>
  <c r="T1530" i="12"/>
  <c r="T1492" i="12"/>
  <c r="T1497" i="12"/>
  <c r="T1495" i="12"/>
  <c r="T1494" i="12"/>
  <c r="T1571" i="12"/>
  <c r="T1499" i="12"/>
  <c r="T1493" i="12"/>
  <c r="T1553" i="12"/>
  <c r="T1451" i="12"/>
  <c r="T1556" i="12"/>
  <c r="T1528" i="12"/>
  <c r="T1531" i="12"/>
  <c r="T1565" i="12"/>
  <c r="T1464" i="12"/>
  <c r="T1484" i="12"/>
  <c r="T1458" i="12"/>
  <c r="T1487" i="12"/>
  <c r="T1532" i="12"/>
  <c r="T1510" i="12"/>
  <c r="T1459" i="12"/>
  <c r="T1433" i="12"/>
  <c r="T1548" i="12"/>
  <c r="U1914" i="16"/>
  <c r="U2210" i="16" s="1"/>
  <c r="T1474" i="12"/>
  <c r="T1424" i="12"/>
  <c r="T1580" i="12"/>
  <c r="T1578" i="12"/>
  <c r="T1472" i="12"/>
  <c r="T1542" i="12"/>
  <c r="T1504" i="12"/>
  <c r="T1432" i="12"/>
  <c r="T1563" i="12"/>
  <c r="T1482" i="12"/>
  <c r="T1554" i="12"/>
  <c r="T1516" i="12"/>
  <c r="T1450" i="12"/>
  <c r="T1519" i="12"/>
  <c r="T1442" i="12"/>
  <c r="T1594" i="12"/>
  <c r="T1545" i="12"/>
  <c r="T1534" i="12"/>
  <c r="T1496" i="12"/>
  <c r="T486" i="20"/>
  <c r="T487" i="20" s="1"/>
  <c r="T1546" i="12"/>
  <c r="T1475" i="12"/>
  <c r="T1435" i="12"/>
  <c r="T1596" i="12"/>
  <c r="T1437" i="12"/>
  <c r="T1566" i="12"/>
  <c r="T364" i="20"/>
  <c r="T1521" i="12"/>
  <c r="T1507" i="12"/>
  <c r="T1439" i="12"/>
  <c r="T1591" i="12"/>
  <c r="T1490" i="12"/>
  <c r="T1584" i="12"/>
  <c r="T1511" i="12"/>
  <c r="T1505" i="12"/>
  <c r="T1502" i="12"/>
  <c r="T1573" i="12"/>
  <c r="T1540" i="12"/>
  <c r="T1543" i="12"/>
  <c r="T1597" i="12"/>
  <c r="T1576" i="12"/>
  <c r="T1588" i="12"/>
  <c r="T1560" i="12"/>
  <c r="T1559" i="12"/>
  <c r="T1430" i="12"/>
  <c r="T1529" i="12"/>
  <c r="T1452" i="12"/>
  <c r="T1574" i="12"/>
  <c r="T1476" i="12"/>
  <c r="T1509" i="12"/>
  <c r="T1595" i="12"/>
  <c r="T1426" i="12"/>
  <c r="T1586" i="12"/>
  <c r="T1537" i="12"/>
  <c r="T1473" i="12"/>
  <c r="T1488" i="12"/>
  <c r="T1462" i="12"/>
  <c r="T1491" i="12"/>
  <c r="T1431" i="12"/>
  <c r="T1514" i="12"/>
  <c r="T1463" i="12"/>
  <c r="T1517" i="12"/>
  <c r="T1457" i="12"/>
  <c r="T1508" i="12"/>
  <c r="T1518" i="12"/>
  <c r="T1485" i="12"/>
  <c r="T1501" i="12"/>
  <c r="T1465" i="12"/>
  <c r="T1557" i="12"/>
  <c r="T1460" i="12"/>
  <c r="T1564" i="12"/>
  <c r="T1589" i="12"/>
  <c r="T1535" i="12"/>
  <c r="T1448" i="12"/>
  <c r="T1558" i="12"/>
  <c r="T1520" i="12"/>
  <c r="T1454" i="12"/>
  <c r="T1575" i="12"/>
  <c r="T1466" i="12"/>
  <c r="T1598" i="12"/>
  <c r="T48" i="18"/>
  <c r="T53" i="18" s="1"/>
  <c r="T493" i="20"/>
  <c r="T494" i="20" s="1"/>
  <c r="T1446" i="16"/>
  <c r="T116" i="12"/>
  <c r="L73" i="25"/>
  <c r="L119" i="25" s="1"/>
  <c r="L127" i="25" s="1"/>
  <c r="L138" i="25" s="1"/>
  <c r="L146" i="25" s="1"/>
  <c r="L13" i="25"/>
  <c r="L48" i="25" s="1"/>
  <c r="T161" i="12"/>
  <c r="U208" i="16"/>
  <c r="U206" i="16"/>
  <c r="U111" i="16"/>
  <c r="U129" i="16"/>
  <c r="U118" i="16"/>
  <c r="U116" i="16"/>
  <c r="U48" i="20"/>
  <c r="U42" i="20"/>
  <c r="U1193" i="16"/>
  <c r="U253" i="16" s="1"/>
  <c r="U461" i="20"/>
  <c r="U506" i="20"/>
  <c r="U508" i="20" s="1"/>
  <c r="U29" i="8"/>
  <c r="U127" i="8" s="1"/>
  <c r="U100" i="16"/>
  <c r="U1952" i="16"/>
  <c r="U1325" i="16"/>
  <c r="U83" i="18"/>
  <c r="U63" i="20"/>
  <c r="U442" i="16"/>
  <c r="U269" i="16"/>
  <c r="U1803" i="12"/>
  <c r="U1716" i="12"/>
  <c r="U171" i="11"/>
  <c r="U1408" i="16"/>
  <c r="U193" i="20"/>
  <c r="U205" i="20"/>
  <c r="U619" i="16"/>
  <c r="U1500" i="16"/>
  <c r="U363" i="16" s="1"/>
  <c r="U1799" i="12"/>
  <c r="U1695" i="12"/>
  <c r="U82" i="12"/>
  <c r="U1910" i="16"/>
  <c r="U75" i="10"/>
  <c r="U101" i="20"/>
  <c r="U621" i="16"/>
  <c r="U356" i="16"/>
  <c r="U1679" i="12"/>
  <c r="U1794" i="12"/>
  <c r="U1769" i="12"/>
  <c r="U1945" i="16"/>
  <c r="U46" i="10"/>
  <c r="U212" i="16"/>
  <c r="U210" i="16"/>
  <c r="U128" i="16"/>
  <c r="U110" i="16"/>
  <c r="U113" i="16"/>
  <c r="U32" i="20"/>
  <c r="U34" i="20"/>
  <c r="U41" i="20"/>
  <c r="U1200" i="16"/>
  <c r="U254" i="16" s="1"/>
  <c r="U141" i="16"/>
  <c r="U485" i="20"/>
  <c r="U79" i="16"/>
  <c r="U99" i="16"/>
  <c r="U1483" i="16"/>
  <c r="U1332" i="16"/>
  <c r="U157" i="16"/>
  <c r="U201" i="16"/>
  <c r="U199" i="16"/>
  <c r="U214" i="16"/>
  <c r="U125" i="16"/>
  <c r="U131" i="16"/>
  <c r="U126" i="16"/>
  <c r="U36" i="20"/>
  <c r="U46" i="20"/>
  <c r="U1151" i="16"/>
  <c r="U1207" i="16"/>
  <c r="U255" i="16" s="1"/>
  <c r="U1235" i="16"/>
  <c r="U1249" i="16"/>
  <c r="U1242" i="16"/>
  <c r="U174" i="16"/>
  <c r="U471" i="20"/>
  <c r="U95" i="16"/>
  <c r="U102" i="16"/>
  <c r="U1367" i="16"/>
  <c r="U1877" i="16"/>
  <c r="U1544" i="16"/>
  <c r="U153" i="20"/>
  <c r="U786" i="16"/>
  <c r="U429" i="16"/>
  <c r="U1744" i="12"/>
  <c r="U62" i="16"/>
  <c r="U1699" i="12"/>
  <c r="U1502" i="16"/>
  <c r="U365" i="16" s="1"/>
  <c r="U1537" i="16"/>
  <c r="U194" i="20"/>
  <c r="U29" i="18"/>
  <c r="U2037" i="16"/>
  <c r="U2063" i="16" s="1"/>
  <c r="U1740" i="12"/>
  <c r="U1838" i="12"/>
  <c r="U1829" i="12"/>
  <c r="U205" i="16"/>
  <c r="U203" i="16"/>
  <c r="U124" i="16"/>
  <c r="U122" i="16"/>
  <c r="U133" i="16"/>
  <c r="U112" i="16"/>
  <c r="U45" i="20"/>
  <c r="U38" i="20"/>
  <c r="U1165" i="16"/>
  <c r="U1214" i="16"/>
  <c r="U256" i="16" s="1"/>
  <c r="U1445" i="16"/>
  <c r="U2144" i="16" s="1"/>
  <c r="U1280" i="16"/>
  <c r="U2118" i="16" s="1"/>
  <c r="U96" i="16"/>
  <c r="U104" i="16"/>
  <c r="U1353" i="16"/>
  <c r="U1578" i="16"/>
  <c r="U603" i="12"/>
  <c r="U140" i="20"/>
  <c r="U2041" i="16"/>
  <c r="U2054" i="16" s="1"/>
  <c r="U417" i="16"/>
  <c r="U1884" i="12"/>
  <c r="U1758" i="12"/>
  <c r="U1703" i="12"/>
  <c r="U1811" i="12"/>
  <c r="U363" i="10"/>
  <c r="U132" i="20"/>
  <c r="U2036" i="16"/>
  <c r="U2062" i="16" s="1"/>
  <c r="U2076" i="16" s="1"/>
  <c r="U357" i="16"/>
  <c r="U1804" i="12"/>
  <c r="U202" i="16"/>
  <c r="U132" i="16"/>
  <c r="U107" i="16"/>
  <c r="U43" i="20"/>
  <c r="U886" i="16"/>
  <c r="U135" i="16"/>
  <c r="U1497" i="16"/>
  <c r="U271" i="10"/>
  <c r="U100" i="20"/>
  <c r="U423" i="16"/>
  <c r="U1726" i="12"/>
  <c r="U162" i="11"/>
  <c r="U121" i="22"/>
  <c r="U93" i="20"/>
  <c r="U408" i="16"/>
  <c r="U1754" i="12"/>
  <c r="U1398" i="12"/>
  <c r="U1689" i="12"/>
  <c r="U300" i="10"/>
  <c r="U154" i="20"/>
  <c r="U657" i="16"/>
  <c r="U776" i="16" s="1"/>
  <c r="U238" i="20" s="1"/>
  <c r="U352" i="16"/>
  <c r="U1705" i="12"/>
  <c r="U1673" i="12"/>
  <c r="U574" i="16"/>
  <c r="U219" i="10"/>
  <c r="U129" i="20"/>
  <c r="U2038" i="16"/>
  <c r="U2064" i="16" s="1"/>
  <c r="U2092" i="16" s="1"/>
  <c r="U282" i="16"/>
  <c r="U1796" i="12"/>
  <c r="U1746" i="12"/>
  <c r="U1797" i="12"/>
  <c r="U83" i="20"/>
  <c r="U385" i="10"/>
  <c r="U489" i="10" s="1"/>
  <c r="U98" i="20"/>
  <c r="U30" i="20"/>
  <c r="U436" i="16"/>
  <c r="U1792" i="12"/>
  <c r="U1742" i="12"/>
  <c r="U1781" i="12"/>
  <c r="U73" i="12"/>
  <c r="U1422" i="16"/>
  <c r="U143" i="20"/>
  <c r="U97" i="20"/>
  <c r="U447" i="16"/>
  <c r="U276" i="16"/>
  <c r="U1755" i="12"/>
  <c r="U1692" i="12"/>
  <c r="U1707" i="12"/>
  <c r="U334" i="10"/>
  <c r="U67" i="20"/>
  <c r="U57" i="20"/>
  <c r="U270" i="16"/>
  <c r="U434" i="16"/>
  <c r="U1818" i="12"/>
  <c r="U1833" i="12"/>
  <c r="U23" i="12"/>
  <c r="U433" i="16"/>
  <c r="U583" i="16"/>
  <c r="U424" i="16"/>
  <c r="U149" i="20"/>
  <c r="U1767" i="12"/>
  <c r="U54" i="16"/>
  <c r="U12" i="16"/>
  <c r="U192" i="16" s="1"/>
  <c r="U268" i="16"/>
  <c r="U279" i="16"/>
  <c r="U1564" i="16"/>
  <c r="U326" i="16"/>
  <c r="U209" i="16"/>
  <c r="U121" i="16"/>
  <c r="U130" i="16"/>
  <c r="U39" i="20"/>
  <c r="U1158" i="16"/>
  <c r="U1596" i="16"/>
  <c r="U98" i="16"/>
  <c r="U1137" i="16"/>
  <c r="U130" i="22"/>
  <c r="U141" i="20"/>
  <c r="U453" i="16"/>
  <c r="U1802" i="12"/>
  <c r="U32" i="8"/>
  <c r="U31" i="8" s="1"/>
  <c r="U68" i="18" s="1"/>
  <c r="U50" i="22"/>
  <c r="U61" i="20"/>
  <c r="U419" i="16"/>
  <c r="U457" i="16"/>
  <c r="U124" i="11"/>
  <c r="U1712" i="12"/>
  <c r="U107" i="18"/>
  <c r="U99" i="20"/>
  <c r="U174" i="20"/>
  <c r="U1816" i="12"/>
  <c r="U1834" i="12"/>
  <c r="U1813" i="12"/>
  <c r="U82" i="20"/>
  <c r="U12" i="22"/>
  <c r="U84" i="20"/>
  <c r="U617" i="16"/>
  <c r="U440" i="16"/>
  <c r="U1715" i="12"/>
  <c r="U271" i="16"/>
  <c r="U1668" i="12"/>
  <c r="U1688" i="12"/>
  <c r="U59" i="22"/>
  <c r="U70" i="20"/>
  <c r="U581" i="16"/>
  <c r="U277" i="16"/>
  <c r="U1706" i="12"/>
  <c r="U38" i="16"/>
  <c r="U1664" i="12"/>
  <c r="U12" i="11"/>
  <c r="U1318" i="16"/>
  <c r="U95" i="20"/>
  <c r="U2032" i="16"/>
  <c r="U2058" i="16" s="1"/>
  <c r="U2086" i="16" s="1"/>
  <c r="U454" i="16"/>
  <c r="U330" i="16"/>
  <c r="U1723" i="12"/>
  <c r="U1745" i="12"/>
  <c r="U1681" i="12"/>
  <c r="U103" i="22"/>
  <c r="U31" i="20"/>
  <c r="U620" i="16"/>
  <c r="U428" i="16"/>
  <c r="U1784" i="12"/>
  <c r="U1734" i="12"/>
  <c r="U1691" i="12"/>
  <c r="U327" i="16"/>
  <c r="U1694" i="12"/>
  <c r="U283" i="16"/>
  <c r="U1747" i="12"/>
  <c r="U1834" i="16"/>
  <c r="U459" i="16" s="1"/>
  <c r="U1931" i="16"/>
  <c r="U222" i="11"/>
  <c r="U113" i="11"/>
  <c r="U1780" i="12"/>
  <c r="U1381" i="16"/>
  <c r="U801" i="16"/>
  <c r="U353" i="16"/>
  <c r="U213" i="16"/>
  <c r="U134" i="16"/>
  <c r="U108" i="16"/>
  <c r="U44" i="20"/>
  <c r="U1172" i="16"/>
  <c r="U97" i="16"/>
  <c r="U1924" i="16"/>
  <c r="U96" i="18"/>
  <c r="U576" i="16"/>
  <c r="U200" i="16"/>
  <c r="U120" i="16"/>
  <c r="U105" i="16"/>
  <c r="U33" i="20"/>
  <c r="U1179" i="16"/>
  <c r="U1412" i="16"/>
  <c r="U2138" i="16" s="1"/>
  <c r="U1448" i="16"/>
  <c r="U44" i="18"/>
  <c r="U578" i="16"/>
  <c r="U1776" i="12"/>
  <c r="U1821" i="12"/>
  <c r="U1938" i="16"/>
  <c r="U145" i="20"/>
  <c r="U133" i="20"/>
  <c r="U1772" i="12"/>
  <c r="U1713" i="12"/>
  <c r="U81" i="20"/>
  <c r="U204" i="16"/>
  <c r="U114" i="16"/>
  <c r="U123" i="16"/>
  <c r="U40" i="20"/>
  <c r="U1186" i="16"/>
  <c r="U252" i="16" s="1"/>
  <c r="T766" i="16"/>
  <c r="T228" i="20" s="1"/>
  <c r="U377" i="20"/>
  <c r="U527" i="20"/>
  <c r="U1329" i="16"/>
  <c r="U910" i="16"/>
  <c r="U1398" i="16"/>
  <c r="U2136" i="16" s="1"/>
  <c r="U1603" i="16"/>
  <c r="U356" i="20"/>
  <c r="U904" i="16"/>
  <c r="U894" i="20"/>
  <c r="U874" i="16"/>
  <c r="U1322" i="16"/>
  <c r="U328" i="20"/>
  <c r="U880" i="16"/>
  <c r="U384" i="20"/>
  <c r="U1419" i="16"/>
  <c r="U2139" i="16" s="1"/>
  <c r="U922" i="16"/>
  <c r="U1473" i="16"/>
  <c r="U901" i="20"/>
  <c r="U370" i="20"/>
  <c r="U1589" i="16"/>
  <c r="U2164" i="16" s="1"/>
  <c r="K465" i="25"/>
  <c r="T1915" i="16"/>
  <c r="T1281" i="16"/>
  <c r="T1191" i="16"/>
  <c r="T780" i="16"/>
  <c r="T242" i="20" s="1"/>
  <c r="T763" i="16"/>
  <c r="T225" i="20" s="1"/>
  <c r="T758" i="16"/>
  <c r="T220" i="20" s="1"/>
  <c r="T777" i="16"/>
  <c r="T239" i="20" s="1"/>
  <c r="K324" i="25"/>
  <c r="K155" i="25"/>
  <c r="K201" i="25" s="1"/>
  <c r="K239" i="25" s="1"/>
  <c r="K258" i="25" s="1"/>
  <c r="K266" i="25" s="1"/>
  <c r="K371" i="25"/>
  <c r="S1477" i="12"/>
  <c r="S1634" i="12" s="1"/>
  <c r="K418" i="25"/>
  <c r="K277" i="25"/>
  <c r="S1444" i="12"/>
  <c r="S1632" i="12" s="1"/>
  <c r="S1522" i="12"/>
  <c r="S1635" i="12" s="1"/>
  <c r="S1468" i="12"/>
  <c r="S1633" i="12" s="1"/>
  <c r="S1601" i="12"/>
  <c r="S1637" i="12" s="1"/>
  <c r="S1567" i="12"/>
  <c r="S1636" i="12" s="1"/>
  <c r="T744" i="16"/>
  <c r="T206" i="20" s="1"/>
  <c r="T752" i="16"/>
  <c r="T214" i="20" s="1"/>
  <c r="T764" i="16"/>
  <c r="T226" i="20" s="1"/>
  <c r="T778" i="16"/>
  <c r="T240" i="20" s="1"/>
  <c r="T746" i="16"/>
  <c r="T208" i="20" s="1"/>
  <c r="T893" i="16"/>
  <c r="T756" i="16"/>
  <c r="T218" i="20" s="1"/>
  <c r="T774" i="16"/>
  <c r="T236" i="20" s="1"/>
  <c r="T754" i="16"/>
  <c r="T216" i="20" s="1"/>
  <c r="T772" i="16"/>
  <c r="T234" i="20" s="1"/>
  <c r="T773" i="16"/>
  <c r="T235" i="20" s="1"/>
  <c r="T761" i="16"/>
  <c r="T223" i="20" s="1"/>
  <c r="T781" i="16"/>
  <c r="T243" i="20" s="1"/>
  <c r="T768" i="16"/>
  <c r="T230" i="20" s="1"/>
  <c r="T751" i="16"/>
  <c r="T213" i="20" s="1"/>
  <c r="T748" i="16"/>
  <c r="T210" i="20" s="1"/>
  <c r="T767" i="16"/>
  <c r="T229" i="20" s="1"/>
  <c r="T747" i="16"/>
  <c r="T209" i="20" s="1"/>
  <c r="T775" i="16"/>
  <c r="T237" i="20" s="1"/>
  <c r="U1438" i="16"/>
  <c r="U2143" i="16" s="1"/>
  <c r="S699" i="16"/>
  <c r="T779" i="16"/>
  <c r="T241" i="20" s="1"/>
  <c r="T750" i="16"/>
  <c r="T212" i="20" s="1"/>
  <c r="T745" i="16"/>
  <c r="T207" i="20" s="1"/>
  <c r="T783" i="16"/>
  <c r="T245" i="20" s="1"/>
  <c r="T755" i="16"/>
  <c r="T217" i="20" s="1"/>
  <c r="T769" i="16"/>
  <c r="T231" i="20" s="1"/>
  <c r="T760" i="16"/>
  <c r="T222" i="20" s="1"/>
  <c r="T782" i="16"/>
  <c r="T244" i="20" s="1"/>
  <c r="T759" i="16"/>
  <c r="T221" i="20" s="1"/>
  <c r="T753" i="16"/>
  <c r="T215" i="20" s="1"/>
  <c r="T749" i="16"/>
  <c r="T211" i="20" s="1"/>
  <c r="T771" i="16"/>
  <c r="T233" i="20" s="1"/>
  <c r="T1142" i="16"/>
  <c r="T762" i="16"/>
  <c r="T224" i="20" s="1"/>
  <c r="T757" i="16"/>
  <c r="T219" i="20" s="1"/>
  <c r="T765" i="16"/>
  <c r="T227" i="20" s="1"/>
  <c r="T770" i="16"/>
  <c r="T232" i="20" s="1"/>
  <c r="T1439" i="16"/>
  <c r="T1204" i="12"/>
  <c r="T1392" i="12" s="1"/>
  <c r="T507" i="20"/>
  <c r="T2136" i="16"/>
  <c r="U1308" i="16"/>
  <c r="U2122" i="16" s="1"/>
  <c r="T2122" i="16"/>
  <c r="T1399" i="16"/>
  <c r="U892" i="16"/>
  <c r="T2125" i="16"/>
  <c r="T1887" i="16"/>
  <c r="U492" i="20"/>
  <c r="T1163" i="16"/>
  <c r="T875" i="16"/>
  <c r="T1302" i="16"/>
  <c r="T86" i="18"/>
  <c r="T68" i="18"/>
  <c r="T77" i="18"/>
  <c r="T110" i="18"/>
  <c r="U1301" i="16"/>
  <c r="T101" i="18"/>
  <c r="T33" i="18"/>
  <c r="T38" i="18" s="1"/>
  <c r="T18" i="18"/>
  <c r="T23" i="18" s="1"/>
  <c r="T1309" i="16"/>
  <c r="T745" i="12"/>
  <c r="T910" i="12" s="1"/>
  <c r="T1925" i="12" s="1"/>
  <c r="T584" i="16"/>
  <c r="T809" i="16" s="1"/>
  <c r="U1568" i="16"/>
  <c r="U2161" i="16" s="1"/>
  <c r="T1807" i="12"/>
  <c r="T1876" i="12" s="1"/>
  <c r="T1914" i="12" s="1"/>
  <c r="T365" i="20"/>
  <c r="T754" i="12"/>
  <c r="T911" i="12" s="1"/>
  <c r="T1926" i="12" s="1"/>
  <c r="U1148" i="16"/>
  <c r="T1138" i="12"/>
  <c r="T1158" i="12" s="1"/>
  <c r="T905" i="12"/>
  <c r="T917" i="12" s="1"/>
  <c r="T1933" i="12" s="1"/>
  <c r="R1641" i="12"/>
  <c r="R1651" i="12" s="1"/>
  <c r="T1413" i="16"/>
  <c r="T306" i="12"/>
  <c r="T264" i="12"/>
  <c r="T1288" i="16"/>
  <c r="T1170" i="16"/>
  <c r="T1171" i="16" s="1"/>
  <c r="T221" i="12"/>
  <c r="T585" i="12"/>
  <c r="T206" i="12"/>
  <c r="R1886" i="12"/>
  <c r="T520" i="12"/>
  <c r="U1287" i="16"/>
  <c r="U2112" i="16" s="1"/>
  <c r="T434" i="12"/>
  <c r="T2112" i="16"/>
  <c r="T899" i="16"/>
  <c r="T86" i="20"/>
  <c r="T1205" i="20" s="1"/>
  <c r="T626" i="16"/>
  <c r="T810" i="16" s="1"/>
  <c r="T2042" i="16"/>
  <c r="T811" i="16" s="1"/>
  <c r="T136" i="16"/>
  <c r="S1917" i="12"/>
  <c r="S1920" i="12" s="1"/>
  <c r="S805" i="16"/>
  <c r="T1569" i="16"/>
  <c r="U1141" i="16"/>
  <c r="U1155" i="16"/>
  <c r="S1881" i="12"/>
  <c r="S1891" i="12" s="1"/>
  <c r="U1162" i="16"/>
  <c r="T844" i="12"/>
  <c r="T913" i="12" s="1"/>
  <c r="T1928" i="12" s="1"/>
  <c r="T1147" i="12"/>
  <c r="T1159" i="12" s="1"/>
  <c r="T1086" i="12"/>
  <c r="T1155" i="12" s="1"/>
  <c r="T162" i="20"/>
  <c r="T1207" i="20" s="1"/>
  <c r="T807" i="16"/>
  <c r="T463" i="16"/>
  <c r="T1717" i="12"/>
  <c r="T1874" i="12" s="1"/>
  <c r="T1912" i="12" s="1"/>
  <c r="T1762" i="12"/>
  <c r="T1875" i="12" s="1"/>
  <c r="T1913" i="12" s="1"/>
  <c r="T1841" i="12"/>
  <c r="T1877" i="12" s="1"/>
  <c r="T1915" i="12" s="1"/>
  <c r="T331" i="16"/>
  <c r="T806" i="16" s="1"/>
  <c r="T284" i="16"/>
  <c r="T804" i="16" s="1"/>
  <c r="T1708" i="12"/>
  <c r="T1873" i="12" s="1"/>
  <c r="T1911" i="12" s="1"/>
  <c r="T1684" i="12"/>
  <c r="T1872" i="12" s="1"/>
  <c r="T1910" i="12" s="1"/>
  <c r="T73" i="20"/>
  <c r="T1203" i="20" s="1"/>
  <c r="T180" i="20"/>
  <c r="T1208" i="20" s="1"/>
  <c r="T198" i="20"/>
  <c r="T1209" i="20" s="1"/>
  <c r="T1583" i="16"/>
  <c r="U513" i="20"/>
  <c r="U515" i="20" s="1"/>
  <c r="U1294" i="16"/>
  <c r="U1554" i="16"/>
  <c r="U2159" i="16" s="1"/>
  <c r="T896" i="12"/>
  <c r="T916" i="12" s="1"/>
  <c r="T1932" i="12" s="1"/>
  <c r="T721" i="12"/>
  <c r="T909" i="12" s="1"/>
  <c r="T1924" i="12" s="1"/>
  <c r="T987" i="12"/>
  <c r="T1152" i="12" s="1"/>
  <c r="T1041" i="12"/>
  <c r="T1154" i="12" s="1"/>
  <c r="T996" i="12"/>
  <c r="T1153" i="12" s="1"/>
  <c r="T963" i="12"/>
  <c r="T1151" i="12" s="1"/>
  <c r="T1120" i="12"/>
  <c r="T1156" i="12" s="1"/>
  <c r="T878" i="12"/>
  <c r="T914" i="12" s="1"/>
  <c r="T1929" i="12" s="1"/>
  <c r="T799" i="12"/>
  <c r="T912" i="12" s="1"/>
  <c r="T1927" i="12" s="1"/>
  <c r="T368" i="16"/>
  <c r="T905" i="16"/>
  <c r="T1467" i="16"/>
  <c r="T808" i="16"/>
  <c r="T1505" i="16"/>
  <c r="T514" i="20"/>
  <c r="U1466" i="16"/>
  <c r="U2147" i="16" s="1"/>
  <c r="U349" i="20"/>
  <c r="T1295" i="16"/>
  <c r="T1555" i="16"/>
  <c r="T1556" i="16" s="1"/>
  <c r="T1838" i="16"/>
  <c r="T357" i="20"/>
  <c r="T358" i="20" s="1"/>
  <c r="S1160" i="12"/>
  <c r="S1170" i="12" s="1"/>
  <c r="S1171" i="12" s="1"/>
  <c r="Q1646" i="12"/>
  <c r="T846" i="20"/>
  <c r="U845" i="20"/>
  <c r="U1431" i="16"/>
  <c r="U2142" i="16" s="1"/>
  <c r="T1432" i="16"/>
  <c r="H1662" i="16"/>
  <c r="I1655" i="16" a="1"/>
  <c r="I1655" i="16" s="1"/>
  <c r="H1242" i="16"/>
  <c r="I1235" i="16" a="1"/>
  <c r="I1235" i="16" s="1"/>
  <c r="U1575" i="16"/>
  <c r="U2162" i="16" s="1"/>
  <c r="T1576" i="16"/>
  <c r="D947" i="20"/>
  <c r="J943" i="20" a="1"/>
  <c r="J943" i="20" s="1"/>
  <c r="U1391" i="16"/>
  <c r="T1392" i="16"/>
  <c r="U1405" i="16"/>
  <c r="U2137" i="16" s="1"/>
  <c r="T1406" i="16"/>
  <c r="T2075" i="16"/>
  <c r="S246" i="20"/>
  <c r="L49" i="10"/>
  <c r="Q179" i="16"/>
  <c r="Q52" i="10" s="1"/>
  <c r="Q340" i="10" s="1"/>
  <c r="Q158" i="16"/>
  <c r="P186" i="16"/>
  <c r="P60" i="10" s="1"/>
  <c r="P163" i="16"/>
  <c r="Q169" i="16"/>
  <c r="N56" i="10"/>
  <c r="O178" i="16"/>
  <c r="O51" i="10" s="1"/>
  <c r="O182" i="16"/>
  <c r="O180" i="16" s="1"/>
  <c r="S1420" i="16"/>
  <c r="S1421" i="16" s="1"/>
  <c r="S334" i="16" s="1"/>
  <c r="S791" i="16" s="1"/>
  <c r="P86" i="16"/>
  <c r="U1315" i="16"/>
  <c r="O84" i="16"/>
  <c r="P83" i="16"/>
  <c r="S2123" i="16"/>
  <c r="S1316" i="16"/>
  <c r="T1316" i="16" s="1"/>
  <c r="T1888" i="16"/>
  <c r="N916" i="20"/>
  <c r="O916" i="20" s="1"/>
  <c r="P916" i="20" s="1"/>
  <c r="Q916" i="20" s="1"/>
  <c r="R333" i="16"/>
  <c r="V380" i="10"/>
  <c r="V105" i="10"/>
  <c r="V370" i="10"/>
  <c r="T1894" i="16"/>
  <c r="T1895" i="16" s="1"/>
  <c r="T2207" i="16"/>
  <c r="U1893" i="16"/>
  <c r="U2207" i="16" s="1"/>
  <c r="T1453" i="16"/>
  <c r="T479" i="20"/>
  <c r="T480" i="20" s="1"/>
  <c r="U1452" i="16"/>
  <c r="U2145" i="16" s="1"/>
  <c r="P908" i="20"/>
  <c r="Q908" i="20" s="1"/>
  <c r="M1357" i="16"/>
  <c r="M2129" i="16" s="1"/>
  <c r="Q1336" i="16"/>
  <c r="Q2126" i="16" s="1"/>
  <c r="P1337" i="16"/>
  <c r="N909" i="20"/>
  <c r="O909" i="20" s="1"/>
  <c r="T1447" i="16"/>
  <c r="R1475" i="16"/>
  <c r="Q1930" i="16"/>
  <c r="T1584" i="16"/>
  <c r="L1359" i="16"/>
  <c r="L2129" i="16"/>
  <c r="M1351" i="16"/>
  <c r="M1352" i="16" s="1"/>
  <c r="P1350" i="16"/>
  <c r="Q1350" i="16" s="1"/>
  <c r="R1350" i="16" s="1"/>
  <c r="M2128" i="16"/>
  <c r="R1165" i="12"/>
  <c r="R1172" i="12" s="1"/>
  <c r="R1598" i="16"/>
  <c r="T1468" i="16"/>
  <c r="T1393" i="16"/>
  <c r="T1414" i="16"/>
  <c r="T1407" i="16"/>
  <c r="P1204" i="16"/>
  <c r="Q1204" i="16" s="1"/>
  <c r="R1204" i="16" s="1"/>
  <c r="O1205" i="16"/>
  <c r="O1206" i="16" s="1"/>
  <c r="R1324" i="16"/>
  <c r="T1454" i="16"/>
  <c r="S1591" i="16"/>
  <c r="N1344" i="16"/>
  <c r="O1344" i="16" s="1"/>
  <c r="P1344" i="16" s="1"/>
  <c r="Q1344" i="16" s="1"/>
  <c r="Q1482" i="16"/>
  <c r="T1916" i="16"/>
  <c r="P912" i="16"/>
  <c r="T1577" i="16"/>
  <c r="R334" i="16"/>
  <c r="R791" i="16" s="1"/>
  <c r="T1400" i="16"/>
  <c r="P1605" i="16"/>
  <c r="O1496" i="16"/>
  <c r="O1937" i="16"/>
  <c r="P1937" i="16" s="1"/>
  <c r="S1192" i="16"/>
  <c r="P1338" i="16"/>
  <c r="R1343" i="16"/>
  <c r="S1343" i="16" s="1"/>
  <c r="T1570" i="16"/>
  <c r="M1626" i="16"/>
  <c r="R1178" i="16"/>
  <c r="S1178" i="16" s="1"/>
  <c r="Q1489" i="16"/>
  <c r="N1612" i="16"/>
  <c r="O1612" i="16" s="1"/>
  <c r="O1944" i="16"/>
  <c r="P1944" i="16" s="1"/>
  <c r="Q1944" i="16" s="1"/>
  <c r="P1185" i="16"/>
  <c r="Q1185" i="16" s="1"/>
  <c r="R1331" i="16"/>
  <c r="S1331" i="16" s="1"/>
  <c r="D1378" i="16"/>
  <c r="F1377" i="16" s="1"/>
  <c r="S1317" i="16"/>
  <c r="T1317" i="16" s="1"/>
  <c r="U1907" i="16"/>
  <c r="U2209" i="16" s="1"/>
  <c r="T1908" i="16"/>
  <c r="T1909" i="16" s="1"/>
  <c r="D1645" i="16"/>
  <c r="F1644" i="16" s="1"/>
  <c r="S2096" i="16"/>
  <c r="N2244" i="16"/>
  <c r="N19" i="16" s="1"/>
  <c r="O17" i="16" s="1"/>
  <c r="O2232" i="16" s="1"/>
  <c r="T2078" i="16"/>
  <c r="Q51" i="16"/>
  <c r="R49" i="16" s="1"/>
  <c r="R2236" i="16" s="1"/>
  <c r="R2248" i="16" s="1"/>
  <c r="Q2260" i="16"/>
  <c r="Q52" i="16" s="1"/>
  <c r="Q67" i="16"/>
  <c r="R65" i="16" s="1"/>
  <c r="R2238" i="16" s="1"/>
  <c r="R2250" i="16" s="1"/>
  <c r="R67" i="16" s="1"/>
  <c r="Q2262" i="16"/>
  <c r="Q68" i="16" s="1"/>
  <c r="Q88" i="16" s="1"/>
  <c r="Q184" i="16" s="1"/>
  <c r="Q43" i="16"/>
  <c r="R41" i="16" s="1"/>
  <c r="R2235" i="16" s="1"/>
  <c r="R2247" i="16" s="1"/>
  <c r="Q2259" i="16"/>
  <c r="Q44" i="16" s="1"/>
  <c r="Q59" i="16"/>
  <c r="R57" i="16" s="1"/>
  <c r="R2237" i="16" s="1"/>
  <c r="R2249" i="16" s="1"/>
  <c r="Q2261" i="16"/>
  <c r="Q60" i="16" s="1"/>
  <c r="Q87" i="16" s="1"/>
  <c r="Q183" i="16" s="1"/>
  <c r="P55" i="10"/>
  <c r="Q75" i="16"/>
  <c r="R73" i="16" s="1"/>
  <c r="R2239" i="16" s="1"/>
  <c r="R2251" i="16" s="1"/>
  <c r="Q2263" i="16"/>
  <c r="Q76" i="16" s="1"/>
  <c r="Q89" i="16" s="1"/>
  <c r="Q185" i="16" s="1"/>
  <c r="Q35" i="16"/>
  <c r="R33" i="16" s="1"/>
  <c r="R2234" i="16" s="1"/>
  <c r="R2246" i="16" s="1"/>
  <c r="Q2258" i="16"/>
  <c r="Q36" i="16" s="1"/>
  <c r="M2264" i="16"/>
  <c r="M20" i="16"/>
  <c r="M81" i="16" s="1"/>
  <c r="S385" i="20"/>
  <c r="S386" i="20" s="1"/>
  <c r="T1177" i="16"/>
  <c r="R398" i="20"/>
  <c r="S398" i="20" s="1"/>
  <c r="Q379" i="20"/>
  <c r="R378" i="20"/>
  <c r="S378" i="20" s="1"/>
  <c r="O400" i="20"/>
  <c r="P399" i="20"/>
  <c r="P400" i="20" s="1"/>
  <c r="T472" i="20"/>
  <c r="T473" i="20" s="1"/>
  <c r="S473" i="20"/>
  <c r="T372" i="20"/>
  <c r="N413" i="20"/>
  <c r="M941" i="16"/>
  <c r="M942" i="16" s="1"/>
  <c r="R1184" i="16"/>
  <c r="S1184" i="16" s="1"/>
  <c r="T1184" i="16" s="1"/>
  <c r="T371" i="20"/>
  <c r="L1227" i="16"/>
  <c r="O917" i="16"/>
  <c r="O412" i="20"/>
  <c r="P412" i="20" s="1"/>
  <c r="Q412" i="20" s="1"/>
  <c r="R412" i="20" s="1"/>
  <c r="S412" i="20" s="1"/>
  <c r="O393" i="20"/>
  <c r="P392" i="20"/>
  <c r="Q392" i="20" s="1"/>
  <c r="L948" i="16"/>
  <c r="P1198" i="16"/>
  <c r="P1199" i="16" s="1"/>
  <c r="Q1197" i="16"/>
  <c r="O1211" i="16"/>
  <c r="P1211" i="16" s="1"/>
  <c r="Q1211" i="16" s="1"/>
  <c r="R1211" i="16" s="1"/>
  <c r="L1226" i="16"/>
  <c r="M1225" i="16"/>
  <c r="M1228" i="16" s="1"/>
  <c r="M258" i="16" s="1"/>
  <c r="N1212" i="16"/>
  <c r="N1213" i="16" s="1"/>
  <c r="L1232" i="16"/>
  <c r="L1235" i="16"/>
  <c r="L259" i="16" s="1"/>
  <c r="M421" i="20"/>
  <c r="N419" i="20"/>
  <c r="N421" i="20" s="1"/>
  <c r="N1218" i="16"/>
  <c r="N1221" i="16" s="1"/>
  <c r="N257" i="16" s="1"/>
  <c r="M1219" i="16"/>
  <c r="M1220" i="16" s="1"/>
  <c r="Q405" i="20"/>
  <c r="P406" i="20"/>
  <c r="M946" i="16"/>
  <c r="M947" i="16" s="1"/>
  <c r="M420" i="20"/>
  <c r="M1221" i="16"/>
  <c r="M257" i="16" s="1"/>
  <c r="L433" i="20"/>
  <c r="L434" i="20" s="1"/>
  <c r="L428" i="20"/>
  <c r="M426" i="20"/>
  <c r="M427" i="20" s="1"/>
  <c r="L59" i="10"/>
  <c r="L54" i="10" s="1"/>
  <c r="L53" i="10" s="1"/>
  <c r="Q911" i="16"/>
  <c r="O57" i="10"/>
  <c r="P916" i="16"/>
  <c r="N924" i="16"/>
  <c r="O924" i="16" s="1"/>
  <c r="D958" i="16"/>
  <c r="F957" i="16" s="1"/>
  <c r="K958" i="16" s="1"/>
  <c r="K959" i="16" s="1"/>
  <c r="D963" i="16"/>
  <c r="D964" i="16" s="1"/>
  <c r="D973" i="16"/>
  <c r="J972" i="16"/>
  <c r="E969" i="16"/>
  <c r="E968" i="16"/>
  <c r="F968" i="16" s="1"/>
  <c r="D968" i="16"/>
  <c r="C970" i="16"/>
  <c r="B967" i="16"/>
  <c r="O940" i="16"/>
  <c r="T379" i="20"/>
  <c r="I209" i="16"/>
  <c r="G42" i="20" s="1"/>
  <c r="O257" i="16"/>
  <c r="K1233" i="16"/>
  <c r="K1235" i="16"/>
  <c r="K259" i="16" s="1"/>
  <c r="K1234" i="16"/>
  <c r="S1256" i="16"/>
  <c r="R1256" i="16"/>
  <c r="E1251" i="16"/>
  <c r="F1251" i="16" s="1"/>
  <c r="D1257" i="16"/>
  <c r="D1264" i="16" s="1"/>
  <c r="Q1256" i="16"/>
  <c r="D1251" i="16"/>
  <c r="P1256" i="16"/>
  <c r="T1256" i="16"/>
  <c r="U1256" i="16"/>
  <c r="E1252" i="16"/>
  <c r="K1246" i="16"/>
  <c r="D1245" i="16"/>
  <c r="D1246" i="16" s="1"/>
  <c r="F1245" i="16" s="1"/>
  <c r="K1239" i="16"/>
  <c r="D1238" i="16"/>
  <c r="D1239" i="16" s="1"/>
  <c r="F1238" i="16" s="1"/>
  <c r="U1183" i="16"/>
  <c r="K435" i="20"/>
  <c r="D644" i="20"/>
  <c r="K440" i="20"/>
  <c r="K441" i="20" s="1"/>
  <c r="C685" i="20"/>
  <c r="D864" i="20"/>
  <c r="E864" i="20" s="1"/>
  <c r="C864" i="20"/>
  <c r="D636" i="20"/>
  <c r="E636" i="20" s="1"/>
  <c r="D815" i="20"/>
  <c r="E815" i="20" s="1"/>
  <c r="C815" i="20"/>
  <c r="C817" i="20"/>
  <c r="C445" i="20"/>
  <c r="D444" i="20"/>
  <c r="C451" i="20"/>
  <c r="C453" i="20" s="1"/>
  <c r="C454" i="20" s="1"/>
  <c r="D679" i="20"/>
  <c r="T391" i="20"/>
  <c r="E699" i="20"/>
  <c r="C920" i="20"/>
  <c r="C673" i="20"/>
  <c r="C671" i="20"/>
  <c r="D671" i="20"/>
  <c r="E671" i="20" s="1"/>
  <c r="D692" i="20"/>
  <c r="C692" i="20"/>
  <c r="D685" i="20"/>
  <c r="E598" i="20"/>
  <c r="C629" i="20"/>
  <c r="C631" i="20"/>
  <c r="D629" i="20"/>
  <c r="E629" i="20" s="1"/>
  <c r="E605" i="20"/>
  <c r="D678" i="20"/>
  <c r="E678" i="20" s="1"/>
  <c r="C678" i="20"/>
  <c r="C680" i="20"/>
  <c r="C666" i="20"/>
  <c r="D615" i="20"/>
  <c r="D622" i="20"/>
  <c r="E622" i="20" s="1"/>
  <c r="C624" i="20"/>
  <c r="C622" i="20"/>
  <c r="C659" i="20"/>
  <c r="D665" i="20"/>
  <c r="D672" i="20"/>
  <c r="C615" i="20"/>
  <c r="C617" i="20"/>
  <c r="D949" i="20" s="1"/>
  <c r="E949" i="20" s="1"/>
  <c r="D616" i="20"/>
  <c r="D623" i="20"/>
  <c r="C652" i="20"/>
  <c r="D650" i="20"/>
  <c r="E650" i="20" s="1"/>
  <c r="C650" i="20"/>
  <c r="D651" i="20"/>
  <c r="D658" i="20"/>
  <c r="D630" i="20"/>
  <c r="D637" i="20"/>
  <c r="C638" i="20"/>
  <c r="C636" i="20"/>
  <c r="E578" i="20"/>
  <c r="K579" i="20" s="1"/>
  <c r="Q28" i="16"/>
  <c r="Q82" i="16" s="1"/>
  <c r="Q177" i="16" s="1"/>
  <c r="R2233" i="16"/>
  <c r="T329" i="20"/>
  <c r="T330" i="20" s="1"/>
  <c r="U499" i="20"/>
  <c r="S1136" i="16"/>
  <c r="T500" i="20"/>
  <c r="T501" i="20" s="1"/>
  <c r="N918" i="16"/>
  <c r="T1562" i="16"/>
  <c r="T1563" i="16" s="1"/>
  <c r="U1561" i="16"/>
  <c r="U2160" i="16" s="1"/>
  <c r="S918" i="12"/>
  <c r="S928" i="12" s="1"/>
  <c r="S929" i="12" s="1"/>
  <c r="S1927" i="12"/>
  <c r="S1931" i="12" s="1"/>
  <c r="S1934" i="12" s="1"/>
  <c r="R152" i="16"/>
  <c r="O543" i="20"/>
  <c r="O542" i="20"/>
  <c r="P542" i="20" s="1"/>
  <c r="Q541" i="20"/>
  <c r="R541" i="20" s="1"/>
  <c r="S541" i="20" s="1"/>
  <c r="S543" i="20" s="1"/>
  <c r="M930" i="16"/>
  <c r="P928" i="16"/>
  <c r="T336" i="20"/>
  <c r="T337" i="20" s="1"/>
  <c r="N929" i="16"/>
  <c r="L1632" i="16"/>
  <c r="M1632" i="16" s="1"/>
  <c r="N1632" i="16" s="1"/>
  <c r="O1624" i="16"/>
  <c r="P1624" i="16" s="1"/>
  <c r="P2169" i="16" s="1"/>
  <c r="R146" i="16"/>
  <c r="R162" i="16" s="1"/>
  <c r="N1625" i="16"/>
  <c r="R535" i="20"/>
  <c r="R915" i="20"/>
  <c r="S915" i="20" s="1"/>
  <c r="T915" i="20" s="1"/>
  <c r="U915" i="20" s="1"/>
  <c r="L564" i="20"/>
  <c r="S534" i="20"/>
  <c r="T534" i="20" s="1"/>
  <c r="U534" i="20" s="1"/>
  <c r="R529" i="20"/>
  <c r="R1488" i="16"/>
  <c r="L563" i="20"/>
  <c r="M563" i="20" s="1"/>
  <c r="M564" i="20" s="1"/>
  <c r="Q1936" i="16"/>
  <c r="R528" i="20"/>
  <c r="S528" i="20" s="1"/>
  <c r="L1633" i="16"/>
  <c r="K1639" i="16"/>
  <c r="K1640" i="16" s="1"/>
  <c r="L1638" i="16"/>
  <c r="L2171" i="16" s="1"/>
  <c r="R522" i="20"/>
  <c r="T520" i="20"/>
  <c r="T522" i="20" s="1"/>
  <c r="R521" i="20"/>
  <c r="S521" i="20" s="1"/>
  <c r="P2167" i="16"/>
  <c r="R2150" i="16"/>
  <c r="K2171" i="16"/>
  <c r="P1495" i="16"/>
  <c r="L569" i="20"/>
  <c r="R1935" i="16"/>
  <c r="S1935" i="16" s="1"/>
  <c r="P1611" i="16"/>
  <c r="N562" i="20"/>
  <c r="S1928" i="16"/>
  <c r="S2212" i="16" s="1"/>
  <c r="S529" i="20"/>
  <c r="S902" i="20"/>
  <c r="K950" i="20"/>
  <c r="K951" i="20" s="1"/>
  <c r="S903" i="20"/>
  <c r="O1631" i="16"/>
  <c r="P1631" i="16" s="1"/>
  <c r="K570" i="20"/>
  <c r="K571" i="20" s="1"/>
  <c r="C961" i="20"/>
  <c r="C956" i="20"/>
  <c r="C957" i="20" s="1"/>
  <c r="C955" i="20"/>
  <c r="D956" i="20"/>
  <c r="D955" i="20"/>
  <c r="E955" i="20" s="1"/>
  <c r="P1617" i="16"/>
  <c r="Q1617" i="16" s="1"/>
  <c r="S896" i="20"/>
  <c r="S1487" i="16"/>
  <c r="T1487" i="16" s="1"/>
  <c r="S1942" i="16"/>
  <c r="S2214" i="16" s="1"/>
  <c r="L2170" i="16"/>
  <c r="K1645" i="16"/>
  <c r="R1943" i="16"/>
  <c r="Q1610" i="16"/>
  <c r="L1371" i="16"/>
  <c r="R2214" i="16"/>
  <c r="P2151" i="16"/>
  <c r="Q1494" i="16"/>
  <c r="R1494" i="16" s="1"/>
  <c r="S1494" i="16" s="1"/>
  <c r="T1494" i="16" s="1"/>
  <c r="U1494" i="16" s="1"/>
  <c r="R906" i="16"/>
  <c r="K50" i="10"/>
  <c r="S882" i="16"/>
  <c r="T881" i="16"/>
  <c r="T876" i="16"/>
  <c r="S900" i="16"/>
  <c r="T2146" i="16"/>
  <c r="T1460" i="16"/>
  <c r="T923" i="16"/>
  <c r="T2139" i="16"/>
  <c r="T332" i="16"/>
  <c r="T2090" i="16"/>
  <c r="M2170" i="16"/>
  <c r="P2127" i="16"/>
  <c r="T462" i="20"/>
  <c r="T463" i="20" s="1"/>
  <c r="N2170" i="16"/>
  <c r="N1618" i="16"/>
  <c r="N1619" i="16" s="1"/>
  <c r="T1590" i="16"/>
  <c r="T1330" i="16"/>
  <c r="Q1604" i="16"/>
  <c r="O2168" i="16"/>
  <c r="T1135" i="16"/>
  <c r="Q2166" i="16"/>
  <c r="N2168" i="16"/>
  <c r="R1929" i="16"/>
  <c r="S1655" i="16"/>
  <c r="K1655" i="16"/>
  <c r="Q1655" i="16"/>
  <c r="L1655" i="16"/>
  <c r="D1650" i="16"/>
  <c r="M1655" i="16"/>
  <c r="D1656" i="16"/>
  <c r="N1655" i="16"/>
  <c r="P1655" i="16"/>
  <c r="E1651" i="16"/>
  <c r="D1651" i="16" s="1"/>
  <c r="O1655" i="16"/>
  <c r="T1655" i="16"/>
  <c r="E1650" i="16"/>
  <c r="F1650" i="16" s="1"/>
  <c r="B1649" i="16"/>
  <c r="R1655" i="16"/>
  <c r="S1597" i="16"/>
  <c r="S2165" i="16"/>
  <c r="R2149" i="16"/>
  <c r="R1481" i="16"/>
  <c r="N2128" i="16"/>
  <c r="S2148" i="16"/>
  <c r="K2131" i="16"/>
  <c r="K1372" i="16"/>
  <c r="K1373" i="16" s="1"/>
  <c r="S1323" i="16"/>
  <c r="S1474" i="16"/>
  <c r="Q2127" i="16"/>
  <c r="K1378" i="16"/>
  <c r="S2124" i="16"/>
  <c r="U2077" i="16"/>
  <c r="U2091" i="16"/>
  <c r="U2050" i="16"/>
  <c r="T2079" i="16"/>
  <c r="U2067" i="16"/>
  <c r="U2081" i="16" s="1"/>
  <c r="X79" i="10"/>
  <c r="X366" i="10" s="1"/>
  <c r="W366" i="10"/>
  <c r="V71" i="10"/>
  <c r="V38" i="22"/>
  <c r="V106" i="11" s="1"/>
  <c r="W33" i="22"/>
  <c r="W37" i="22" s="1"/>
  <c r="U114" i="10"/>
  <c r="U84" i="10"/>
  <c r="U118" i="10" s="1"/>
  <c r="U89" i="10"/>
  <c r="U113" i="10" s="1"/>
  <c r="U65" i="22"/>
  <c r="U92" i="12" s="1"/>
  <c r="V85" i="10"/>
  <c r="W51" i="22"/>
  <c r="W55" i="22" s="1"/>
  <c r="V56" i="22"/>
  <c r="V64" i="22"/>
  <c r="W60" i="22"/>
  <c r="T36" i="10"/>
  <c r="T112" i="10"/>
  <c r="S112" i="10"/>
  <c r="S2082" i="16"/>
  <c r="S256" i="20" s="1"/>
  <c r="V200" i="18"/>
  <c r="U199" i="18"/>
  <c r="T201" i="18"/>
  <c r="U201" i="18" s="1"/>
  <c r="O1214" i="16" l="1"/>
  <c r="O256" i="16" s="1"/>
  <c r="T1192" i="16"/>
  <c r="U35" i="8"/>
  <c r="U11" i="12"/>
  <c r="U11" i="11"/>
  <c r="U11" i="20"/>
  <c r="U11" i="18"/>
  <c r="V27" i="8"/>
  <c r="V11" i="10" s="1"/>
  <c r="U2051" i="16"/>
  <c r="U2059" i="16"/>
  <c r="U11" i="22"/>
  <c r="U2048" i="16"/>
  <c r="U2047" i="16"/>
  <c r="U11" i="10"/>
  <c r="V126" i="8"/>
  <c r="T2055" i="16"/>
  <c r="T796" i="16" s="1"/>
  <c r="T1296" i="16"/>
  <c r="R923" i="12"/>
  <c r="R931" i="12" s="1"/>
  <c r="K256" i="25"/>
  <c r="U2053" i="16"/>
  <c r="T2073" i="16"/>
  <c r="T2082" i="16" s="1"/>
  <c r="T256" i="20" s="1"/>
  <c r="T1433" i="16"/>
  <c r="T2068" i="16"/>
  <c r="T2069" i="16" s="1"/>
  <c r="T1143" i="16"/>
  <c r="T1289" i="16"/>
  <c r="T1282" i="16"/>
  <c r="T1303" i="16"/>
  <c r="T1440" i="16"/>
  <c r="U2045" i="16"/>
  <c r="U2072" i="16"/>
  <c r="M1364" i="16"/>
  <c r="N1364" i="16" s="1"/>
  <c r="N2130" i="16" s="1"/>
  <c r="K255" i="25"/>
  <c r="K135" i="25"/>
  <c r="K217" i="25"/>
  <c r="K218" i="25"/>
  <c r="L1366" i="16"/>
  <c r="T1164" i="16"/>
  <c r="L1365" i="16"/>
  <c r="L1951" i="16"/>
  <c r="L587" i="16" s="1"/>
  <c r="L794" i="16" s="1"/>
  <c r="N936" i="16"/>
  <c r="O936" i="16" s="1"/>
  <c r="S1900" i="16"/>
  <c r="K960" i="16"/>
  <c r="P1922" i="16"/>
  <c r="P934" i="16"/>
  <c r="Q934" i="16" s="1"/>
  <c r="P2211" i="16"/>
  <c r="Q1921" i="16"/>
  <c r="Q1902" i="16"/>
  <c r="R1901" i="16"/>
  <c r="P1923" i="16"/>
  <c r="L586" i="16"/>
  <c r="M1950" i="16"/>
  <c r="M952" i="16"/>
  <c r="N952" i="16" s="1"/>
  <c r="L954" i="16"/>
  <c r="N1949" i="16"/>
  <c r="M2215" i="16"/>
  <c r="M585" i="16"/>
  <c r="N935" i="16"/>
  <c r="O935" i="16" s="1"/>
  <c r="T1150" i="16"/>
  <c r="U116" i="12"/>
  <c r="T888" i="16"/>
  <c r="T161" i="16" s="1"/>
  <c r="U265" i="16"/>
  <c r="U53" i="20" s="1"/>
  <c r="T894" i="16"/>
  <c r="T164" i="16" s="1"/>
  <c r="U1233" i="12"/>
  <c r="U1237" i="12" s="1"/>
  <c r="U1394" i="12" s="1"/>
  <c r="U905" i="16"/>
  <c r="V1145" i="12"/>
  <c r="V1142" i="12"/>
  <c r="V1144" i="12"/>
  <c r="V1146" i="12"/>
  <c r="V1143" i="12"/>
  <c r="V1137" i="12"/>
  <c r="V1136" i="12"/>
  <c r="V1133" i="12"/>
  <c r="V1135" i="12"/>
  <c r="V1134" i="12"/>
  <c r="V1096" i="12"/>
  <c r="V1104" i="12"/>
  <c r="V1112" i="12"/>
  <c r="V1102" i="12"/>
  <c r="V1093" i="12"/>
  <c r="V1101" i="12"/>
  <c r="V1109" i="12"/>
  <c r="V1117" i="12"/>
  <c r="V1090" i="12"/>
  <c r="V1098" i="12"/>
  <c r="V1106" i="12"/>
  <c r="V1114" i="12"/>
  <c r="V1110" i="12"/>
  <c r="V1095" i="12"/>
  <c r="V1103" i="12"/>
  <c r="V1111" i="12"/>
  <c r="V1119" i="12"/>
  <c r="V1092" i="12"/>
  <c r="V1100" i="12"/>
  <c r="V1108" i="12"/>
  <c r="V1116" i="12"/>
  <c r="V1094" i="12"/>
  <c r="V1097" i="12"/>
  <c r="V1105" i="12"/>
  <c r="V1113" i="12"/>
  <c r="V1118" i="12"/>
  <c r="V1091" i="12"/>
  <c r="V1099" i="12"/>
  <c r="V1107" i="12"/>
  <c r="V1115" i="12"/>
  <c r="V1052" i="12"/>
  <c r="V1060" i="12"/>
  <c r="V1068" i="12"/>
  <c r="V1076" i="12"/>
  <c r="V1084" i="12"/>
  <c r="V1064" i="12"/>
  <c r="V1072" i="12"/>
  <c r="V1049" i="12"/>
  <c r="V1057" i="12"/>
  <c r="V1065" i="12"/>
  <c r="V1073" i="12"/>
  <c r="V1081" i="12"/>
  <c r="V1056" i="12"/>
  <c r="V1046" i="12"/>
  <c r="V1054" i="12"/>
  <c r="V1062" i="12"/>
  <c r="V1070" i="12"/>
  <c r="V1078" i="12"/>
  <c r="V1048" i="12"/>
  <c r="V1051" i="12"/>
  <c r="V1059" i="12"/>
  <c r="V1067" i="12"/>
  <c r="V1075" i="12"/>
  <c r="V1083" i="12"/>
  <c r="V1053" i="12"/>
  <c r="V1061" i="12"/>
  <c r="V1069" i="12"/>
  <c r="V1077" i="12"/>
  <c r="V1085" i="12"/>
  <c r="V1050" i="12"/>
  <c r="V1058" i="12"/>
  <c r="V1066" i="12"/>
  <c r="V1074" i="12"/>
  <c r="V1082" i="12"/>
  <c r="V1047" i="12"/>
  <c r="V1055" i="12"/>
  <c r="V1063" i="12"/>
  <c r="V1079" i="12"/>
  <c r="V1080" i="12"/>
  <c r="V1071" i="12"/>
  <c r="V1007" i="12"/>
  <c r="V1015" i="12"/>
  <c r="V1023" i="12"/>
  <c r="V1031" i="12"/>
  <c r="V1039" i="12"/>
  <c r="V1021" i="12"/>
  <c r="V1004" i="12"/>
  <c r="V1012" i="12"/>
  <c r="V1020" i="12"/>
  <c r="V1028" i="12"/>
  <c r="V1036" i="12"/>
  <c r="V1001" i="12"/>
  <c r="V1009" i="12"/>
  <c r="V1017" i="12"/>
  <c r="V1025" i="12"/>
  <c r="V1033" i="12"/>
  <c r="V1006" i="12"/>
  <c r="V1014" i="12"/>
  <c r="V1022" i="12"/>
  <c r="V1030" i="12"/>
  <c r="V1038" i="12"/>
  <c r="V1003" i="12"/>
  <c r="V1011" i="12"/>
  <c r="V1019" i="12"/>
  <c r="V1027" i="12"/>
  <c r="V1035" i="12"/>
  <c r="V1008" i="12"/>
  <c r="V1016" i="12"/>
  <c r="V1024" i="12"/>
  <c r="V1032" i="12"/>
  <c r="V1040" i="12"/>
  <c r="V1005" i="12"/>
  <c r="V1013" i="12"/>
  <c r="V1002" i="12"/>
  <c r="V1010" i="12"/>
  <c r="V1018" i="12"/>
  <c r="V1026" i="12"/>
  <c r="V1034" i="12"/>
  <c r="V1029" i="12"/>
  <c r="V1037" i="12"/>
  <c r="V994" i="12"/>
  <c r="V991" i="12"/>
  <c r="V992" i="12"/>
  <c r="V993" i="12"/>
  <c r="V995" i="12"/>
  <c r="V973" i="12"/>
  <c r="V981" i="12"/>
  <c r="V970" i="12"/>
  <c r="V978" i="12"/>
  <c r="V986" i="12"/>
  <c r="V971" i="12"/>
  <c r="V979" i="12"/>
  <c r="V967" i="12"/>
  <c r="V975" i="12"/>
  <c r="V983" i="12"/>
  <c r="V972" i="12"/>
  <c r="V980" i="12"/>
  <c r="V969" i="12"/>
  <c r="V977" i="12"/>
  <c r="V985" i="12"/>
  <c r="V974" i="12"/>
  <c r="V982" i="12"/>
  <c r="V968" i="12"/>
  <c r="V976" i="12"/>
  <c r="V984" i="12"/>
  <c r="V903" i="12"/>
  <c r="V900" i="12"/>
  <c r="V902" i="12"/>
  <c r="V904" i="12"/>
  <c r="V901" i="12"/>
  <c r="V894" i="12"/>
  <c r="V895" i="12"/>
  <c r="V891" i="12"/>
  <c r="V893" i="12"/>
  <c r="V892" i="12"/>
  <c r="V854" i="12"/>
  <c r="V862" i="12"/>
  <c r="V870" i="12"/>
  <c r="V876" i="12"/>
  <c r="V851" i="12"/>
  <c r="V859" i="12"/>
  <c r="V867" i="12"/>
  <c r="V875" i="12"/>
  <c r="V871" i="12"/>
  <c r="V860" i="12"/>
  <c r="V848" i="12"/>
  <c r="V856" i="12"/>
  <c r="V864" i="12"/>
  <c r="V872" i="12"/>
  <c r="V863" i="12"/>
  <c r="V868" i="12"/>
  <c r="V853" i="12"/>
  <c r="V861" i="12"/>
  <c r="V869" i="12"/>
  <c r="V877" i="12"/>
  <c r="V855" i="12"/>
  <c r="V852" i="12"/>
  <c r="V1335" i="12" s="1"/>
  <c r="V850" i="12"/>
  <c r="V858" i="12"/>
  <c r="V866" i="12"/>
  <c r="V874" i="12"/>
  <c r="V849" i="12"/>
  <c r="V1332" i="12" s="1"/>
  <c r="V857" i="12"/>
  <c r="V865" i="12"/>
  <c r="V873" i="12"/>
  <c r="S1406" i="12"/>
  <c r="U1282" i="12"/>
  <c r="U1395" i="12" s="1"/>
  <c r="T1401" i="12"/>
  <c r="T1411" i="12" s="1"/>
  <c r="T1412" i="12" s="1"/>
  <c r="T257" i="20" s="1"/>
  <c r="V810" i="12"/>
  <c r="V818" i="12"/>
  <c r="V826" i="12"/>
  <c r="V834" i="12"/>
  <c r="V842" i="12"/>
  <c r="V807" i="12"/>
  <c r="V815" i="12"/>
  <c r="V823" i="12"/>
  <c r="V831" i="12"/>
  <c r="V839" i="12"/>
  <c r="V804" i="12"/>
  <c r="V812" i="12"/>
  <c r="V820" i="12"/>
  <c r="V828" i="12"/>
  <c r="V836" i="12"/>
  <c r="V824" i="12"/>
  <c r="V832" i="12"/>
  <c r="V809" i="12"/>
  <c r="V817" i="12"/>
  <c r="V825" i="12"/>
  <c r="V833" i="12"/>
  <c r="V841" i="12"/>
  <c r="V816" i="12"/>
  <c r="V806" i="12"/>
  <c r="V814" i="12"/>
  <c r="V822" i="12"/>
  <c r="V830" i="12"/>
  <c r="V838" i="12"/>
  <c r="V808" i="12"/>
  <c r="V1291" i="12" s="1"/>
  <c r="V811" i="12"/>
  <c r="V819" i="12"/>
  <c r="V827" i="12"/>
  <c r="V835" i="12"/>
  <c r="V843" i="12"/>
  <c r="V805" i="12"/>
  <c r="V1288" i="12" s="1"/>
  <c r="V813" i="12"/>
  <c r="V821" i="12"/>
  <c r="V829" i="12"/>
  <c r="V837" i="12"/>
  <c r="V840" i="12"/>
  <c r="V765" i="12"/>
  <c r="V773" i="12"/>
  <c r="V781" i="12"/>
  <c r="V789" i="12"/>
  <c r="V797" i="12"/>
  <c r="V762" i="12"/>
  <c r="V770" i="12"/>
  <c r="V778" i="12"/>
  <c r="V786" i="12"/>
  <c r="V794" i="12"/>
  <c r="V759" i="12"/>
  <c r="V767" i="12"/>
  <c r="V775" i="12"/>
  <c r="V783" i="12"/>
  <c r="V791" i="12"/>
  <c r="V764" i="12"/>
  <c r="V772" i="12"/>
  <c r="V780" i="12"/>
  <c r="V788" i="12"/>
  <c r="V796" i="12"/>
  <c r="V761" i="12"/>
  <c r="V769" i="12"/>
  <c r="V777" i="12"/>
  <c r="V785" i="12"/>
  <c r="V793" i="12"/>
  <c r="V766" i="12"/>
  <c r="V774" i="12"/>
  <c r="V782" i="12"/>
  <c r="V790" i="12"/>
  <c r="V798" i="12"/>
  <c r="V763" i="12"/>
  <c r="V1246" i="12" s="1"/>
  <c r="V771" i="12"/>
  <c r="V779" i="12"/>
  <c r="V787" i="12"/>
  <c r="V795" i="12"/>
  <c r="V760" i="12"/>
  <c r="V1243" i="12" s="1"/>
  <c r="V768" i="12"/>
  <c r="V776" i="12"/>
  <c r="V784" i="12"/>
  <c r="V792" i="12"/>
  <c r="V749" i="12"/>
  <c r="V751" i="12"/>
  <c r="V750" i="12"/>
  <c r="V753" i="12"/>
  <c r="V752" i="12"/>
  <c r="U1228" i="12"/>
  <c r="U1393" i="12" s="1"/>
  <c r="U1361" i="12"/>
  <c r="U1397" i="12" s="1"/>
  <c r="U1327" i="12"/>
  <c r="U1396" i="12" s="1"/>
  <c r="V731" i="12"/>
  <c r="V739" i="12"/>
  <c r="V728" i="12"/>
  <c r="V736" i="12"/>
  <c r="V744" i="12"/>
  <c r="V725" i="12"/>
  <c r="V733" i="12"/>
  <c r="V741" i="12"/>
  <c r="V735" i="12"/>
  <c r="V743" i="12"/>
  <c r="V730" i="12"/>
  <c r="V738" i="12"/>
  <c r="V727" i="12"/>
  <c r="V732" i="12"/>
  <c r="V740" i="12"/>
  <c r="V734" i="12"/>
  <c r="V729" i="12"/>
  <c r="V1212" i="12" s="1"/>
  <c r="V737" i="12"/>
  <c r="V726" i="12"/>
  <c r="V1209" i="12" s="1"/>
  <c r="V742" i="12"/>
  <c r="U930" i="12"/>
  <c r="U216" i="10" s="1"/>
  <c r="U360" i="10" s="1"/>
  <c r="V943" i="12"/>
  <c r="V945" i="12"/>
  <c r="V949" i="12"/>
  <c r="V953" i="12"/>
  <c r="V957" i="12"/>
  <c r="V961" i="12"/>
  <c r="V944" i="12"/>
  <c r="V948" i="12"/>
  <c r="V952" i="12"/>
  <c r="V956" i="12"/>
  <c r="V960" i="12"/>
  <c r="V947" i="12"/>
  <c r="V951" i="12"/>
  <c r="V955" i="12"/>
  <c r="V959" i="12"/>
  <c r="V946" i="12"/>
  <c r="V950" i="12"/>
  <c r="V954" i="12"/>
  <c r="V958" i="12"/>
  <c r="V962" i="12"/>
  <c r="V701" i="12"/>
  <c r="V703" i="12"/>
  <c r="V707" i="12"/>
  <c r="V711" i="12"/>
  <c r="V715" i="12"/>
  <c r="V719" i="12"/>
  <c r="V702" i="12"/>
  <c r="V1185" i="12" s="1"/>
  <c r="V706" i="12"/>
  <c r="V710" i="12"/>
  <c r="V714" i="12"/>
  <c r="V718" i="12"/>
  <c r="V705" i="12"/>
  <c r="V1188" i="12" s="1"/>
  <c r="V709" i="12"/>
  <c r="V713" i="12"/>
  <c r="V704" i="12"/>
  <c r="V708" i="12"/>
  <c r="V712" i="12"/>
  <c r="V716" i="12"/>
  <c r="V720" i="12"/>
  <c r="V717" i="12"/>
  <c r="U306" i="12"/>
  <c r="U221" i="12"/>
  <c r="M73" i="25"/>
  <c r="M119" i="25" s="1"/>
  <c r="M127" i="25" s="1"/>
  <c r="M138" i="25" s="1"/>
  <c r="M146" i="25" s="1"/>
  <c r="U520" i="12"/>
  <c r="U161" i="12"/>
  <c r="U585" i="12"/>
  <c r="U264" i="12"/>
  <c r="U434" i="12"/>
  <c r="U1583" i="16"/>
  <c r="U1135" i="16"/>
  <c r="U206" i="12"/>
  <c r="U594" i="12"/>
  <c r="M13" i="25"/>
  <c r="M62" i="25" s="1"/>
  <c r="T2096" i="16"/>
  <c r="U1500" i="12"/>
  <c r="V408" i="16"/>
  <c r="U1512" i="12"/>
  <c r="V1367" i="16"/>
  <c r="U1553" i="12"/>
  <c r="V1798" i="12"/>
  <c r="U1558" i="12"/>
  <c r="V455" i="16"/>
  <c r="V194" i="20"/>
  <c r="U899" i="16"/>
  <c r="V441" i="16"/>
  <c r="U1538" i="12"/>
  <c r="V91" i="12"/>
  <c r="V1896" i="16"/>
  <c r="V579" i="16"/>
  <c r="U1432" i="12"/>
  <c r="V1743" i="12"/>
  <c r="V129" i="20"/>
  <c r="V1828" i="12"/>
  <c r="U379" i="20"/>
  <c r="U1177" i="16"/>
  <c r="U372" i="20"/>
  <c r="U1191" i="16"/>
  <c r="U2079" i="16"/>
  <c r="U2052" i="16"/>
  <c r="U2066" i="16"/>
  <c r="U2094" i="16" s="1"/>
  <c r="U2049" i="16"/>
  <c r="U2090" i="16"/>
  <c r="U2060" i="16"/>
  <c r="U2074" i="16" s="1"/>
  <c r="U1170" i="16"/>
  <c r="U1171" i="16" s="1"/>
  <c r="U1399" i="16"/>
  <c r="U1887" i="16"/>
  <c r="U1586" i="12"/>
  <c r="U1544" i="12"/>
  <c r="V449" i="16"/>
  <c r="V1724" i="12"/>
  <c r="U2119" i="16"/>
  <c r="V453" i="16"/>
  <c r="V145" i="20"/>
  <c r="U2078" i="16"/>
  <c r="U1156" i="16"/>
  <c r="U1157" i="16" s="1"/>
  <c r="L62" i="25"/>
  <c r="U365" i="20"/>
  <c r="V210" i="16"/>
  <c r="V213" i="16"/>
  <c r="V208" i="16"/>
  <c r="V134" i="16"/>
  <c r="V119" i="16"/>
  <c r="V127" i="16"/>
  <c r="V41" i="20"/>
  <c r="V47" i="20"/>
  <c r="V1165" i="16"/>
  <c r="V1221" i="16"/>
  <c r="V214" i="16"/>
  <c r="V116" i="16"/>
  <c r="V212" i="16"/>
  <c r="V111" i="16"/>
  <c r="V133" i="16"/>
  <c r="V109" i="16"/>
  <c r="V33" i="20"/>
  <c r="V38" i="20"/>
  <c r="V1172" i="16"/>
  <c r="V1169" i="16"/>
  <c r="V1249" i="16"/>
  <c r="V461" i="20"/>
  <c r="V478" i="20"/>
  <c r="V1190" i="16"/>
  <c r="V215" i="16"/>
  <c r="V132" i="16"/>
  <c r="V120" i="16"/>
  <c r="V110" i="16"/>
  <c r="V108" i="16"/>
  <c r="V131" i="16"/>
  <c r="V46" i="20"/>
  <c r="V43" i="20"/>
  <c r="V1186" i="16"/>
  <c r="V1235" i="16"/>
  <c r="V898" i="16"/>
  <c r="V1886" i="16"/>
  <c r="V97" i="16"/>
  <c r="V1910" i="16"/>
  <c r="V1290" i="16"/>
  <c r="V196" i="20"/>
  <c r="V30" i="20"/>
  <c r="V582" i="16"/>
  <c r="V419" i="16"/>
  <c r="V1408" i="16"/>
  <c r="V148" i="20"/>
  <c r="V2034" i="16"/>
  <c r="V2060" i="16" s="1"/>
  <c r="V2088" i="16" s="1"/>
  <c r="V624" i="16"/>
  <c r="V1353" i="16"/>
  <c r="V29" i="18"/>
  <c r="V67" i="20"/>
  <c r="V103" i="22"/>
  <c r="V1641" i="16"/>
  <c r="V193" i="20"/>
  <c r="V144" i="20"/>
  <c r="V268" i="16"/>
  <c r="V1775" i="12"/>
  <c r="V1401" i="16"/>
  <c r="V62" i="20"/>
  <c r="V98" i="10"/>
  <c r="V71" i="20"/>
  <c r="V451" i="16"/>
  <c r="V1796" i="12"/>
  <c r="V1750" i="12"/>
  <c r="V41" i="22"/>
  <c r="V157" i="16"/>
  <c r="V199" i="16"/>
  <c r="V207" i="16"/>
  <c r="V128" i="16"/>
  <c r="V117" i="16"/>
  <c r="V123" i="16"/>
  <c r="V113" i="16"/>
  <c r="V32" i="20"/>
  <c r="V45" i="20"/>
  <c r="V1193" i="16"/>
  <c r="V201" i="16"/>
  <c r="V211" i="16"/>
  <c r="V107" i="16"/>
  <c r="V115" i="16"/>
  <c r="V105" i="16"/>
  <c r="V44" i="20"/>
  <c r="V35" i="20"/>
  <c r="V48" i="20"/>
  <c r="V1200" i="16"/>
  <c r="V174" i="16"/>
  <c r="V200" i="16"/>
  <c r="V118" i="16"/>
  <c r="V34" i="20"/>
  <c r="V915" i="12"/>
  <c r="V1930" i="12" s="1"/>
  <c r="V101" i="16"/>
  <c r="V1889" i="16"/>
  <c r="V363" i="10"/>
  <c r="V31" i="20"/>
  <c r="V2031" i="16"/>
  <c r="V428" i="16"/>
  <c r="V1374" i="16"/>
  <c r="V107" i="18"/>
  <c r="V2038" i="16"/>
  <c r="V2064" i="16" s="1"/>
  <c r="V2092" i="16" s="1"/>
  <c r="V417" i="16"/>
  <c r="V1530" i="16"/>
  <c r="V152" i="20"/>
  <c r="V603" i="12"/>
  <c r="V1599" i="16"/>
  <c r="V178" i="20"/>
  <c r="V2071" i="16"/>
  <c r="V1776" i="12"/>
  <c r="V1794" i="12"/>
  <c r="V142" i="20"/>
  <c r="V1606" i="16"/>
  <c r="V68" i="20"/>
  <c r="V450" i="16"/>
  <c r="V46" i="16"/>
  <c r="V1931" i="16"/>
  <c r="V154" i="20"/>
  <c r="V2044" i="16"/>
  <c r="V198" i="16"/>
  <c r="V1778" i="12"/>
  <c r="V1769" i="12"/>
  <c r="V162" i="11"/>
  <c r="V63" i="20"/>
  <c r="V423" i="16"/>
  <c r="V1818" i="12"/>
  <c r="V1673" i="12"/>
  <c r="V921" i="12"/>
  <c r="V1722" i="12"/>
  <c r="V577" i="16"/>
  <c r="V1706" i="12"/>
  <c r="V1729" i="12"/>
  <c r="V42" i="12"/>
  <c r="V2040" i="16"/>
  <c r="V2066" i="16" s="1"/>
  <c r="V2094" i="16" s="1"/>
  <c r="V280" i="16"/>
  <c r="V1754" i="12"/>
  <c r="V1665" i="12"/>
  <c r="V23" i="12"/>
  <c r="V1523" i="16"/>
  <c r="V270" i="16"/>
  <c r="V1783" i="12"/>
  <c r="V361" i="16"/>
  <c r="V32" i="12"/>
  <c r="V1655" i="16"/>
  <c r="V128" i="20"/>
  <c r="V1694" i="12"/>
  <c r="V1829" i="12"/>
  <c r="V1681" i="12"/>
  <c r="V81" i="20"/>
  <c r="V452" i="16"/>
  <c r="V1683" i="12"/>
  <c r="V1825" i="12"/>
  <c r="V1671" i="12"/>
  <c r="V1767" i="12"/>
  <c r="V436" i="16"/>
  <c r="V657" i="16"/>
  <c r="V778" i="16" s="1"/>
  <c r="V240" i="20" s="1"/>
  <c r="V1797" i="12"/>
  <c r="V204" i="16"/>
  <c r="V122" i="16"/>
  <c r="V36" i="20"/>
  <c r="V1176" i="16"/>
  <c r="V1256" i="16"/>
  <c r="V1134" i="16"/>
  <c r="V206" i="16"/>
  <c r="V121" i="16"/>
  <c r="V126" i="16"/>
  <c r="V1158" i="16"/>
  <c r="V95" i="16"/>
  <c r="V135" i="16"/>
  <c r="V209" i="16"/>
  <c r="V40" i="20"/>
  <c r="V1228" i="16"/>
  <c r="V102" i="16"/>
  <c r="V1938" i="16"/>
  <c r="V219" i="10"/>
  <c r="V136" i="20"/>
  <c r="V620" i="16"/>
  <c r="V1483" i="16"/>
  <c r="V59" i="22"/>
  <c r="V2039" i="16"/>
  <c r="V2065" i="16" s="1"/>
  <c r="V433" i="16"/>
  <c r="V334" i="10"/>
  <c r="V103" i="20"/>
  <c r="V44" i="18"/>
  <c r="V1537" i="16"/>
  <c r="V66" i="20"/>
  <c r="V426" i="16"/>
  <c r="V1730" i="12"/>
  <c r="V140" i="20"/>
  <c r="V124" i="16"/>
  <c r="V39" i="20"/>
  <c r="V1582" i="16"/>
  <c r="V2163" i="16" s="1"/>
  <c r="V104" i="16"/>
  <c r="V1945" i="16"/>
  <c r="V130" i="22"/>
  <c r="V179" i="20"/>
  <c r="V1834" i="16"/>
  <c r="V459" i="16" s="1"/>
  <c r="V1297" i="16"/>
  <c r="V96" i="18"/>
  <c r="V100" i="20"/>
  <c r="V420" i="16"/>
  <c r="V12" i="10"/>
  <c r="V1877" i="16"/>
  <c r="V191" i="20"/>
  <c r="V413" i="10"/>
  <c r="V155" i="20"/>
  <c r="V1884" i="12"/>
  <c r="V1304" i="16"/>
  <c r="V174" i="20"/>
  <c r="V83" i="18"/>
  <c r="V93" i="20"/>
  <c r="V358" i="16"/>
  <c r="V1879" i="12"/>
  <c r="V1918" i="12" s="1"/>
  <c r="V187" i="20"/>
  <c r="V118" i="20"/>
  <c r="V1839" i="12"/>
  <c r="V1670" i="12"/>
  <c r="V1756" i="12"/>
  <c r="V1592" i="16"/>
  <c r="V425" i="16"/>
  <c r="V1697" i="12"/>
  <c r="V1748" i="12"/>
  <c r="V124" i="11"/>
  <c r="V116" i="18"/>
  <c r="V421" i="16"/>
  <c r="V1758" i="12"/>
  <c r="V1736" i="12"/>
  <c r="V97" i="20"/>
  <c r="V430" i="16"/>
  <c r="V1713" i="12"/>
  <c r="V1707" i="12"/>
  <c r="V83" i="20"/>
  <c r="V622" i="16"/>
  <c r="V1819" i="12"/>
  <c r="V1716" i="12"/>
  <c r="V73" i="12"/>
  <c r="V300" i="10"/>
  <c r="V360" i="16"/>
  <c r="V1838" i="12"/>
  <c r="V1840" i="12"/>
  <c r="V170" i="20"/>
  <c r="V95" i="20"/>
  <c r="V1755" i="12"/>
  <c r="V1675" i="12"/>
  <c r="V240" i="11"/>
  <c r="V1741" i="12"/>
  <c r="V435" i="16"/>
  <c r="V448" i="16"/>
  <c r="V1689" i="12"/>
  <c r="V157" i="20"/>
  <c r="V1434" i="16"/>
  <c r="V363" i="20"/>
  <c r="V112" i="16"/>
  <c r="V42" i="20"/>
  <c r="V141" i="16"/>
  <c r="V100" i="16"/>
  <c r="V1917" i="16"/>
  <c r="V50" i="22"/>
  <c r="V138" i="20"/>
  <c r="V2057" i="16"/>
  <c r="V1634" i="16"/>
  <c r="V153" i="20"/>
  <c r="V621" i="16"/>
  <c r="V564" i="16"/>
  <c r="V121" i="22"/>
  <c r="V1339" i="16"/>
  <c r="V135" i="20"/>
  <c r="V68" i="22"/>
  <c r="V127" i="20"/>
  <c r="V1690" i="12"/>
  <c r="V1469" i="16"/>
  <c r="V84" i="20"/>
  <c r="V173" i="20"/>
  <c r="V581" i="16"/>
  <c r="V279" i="16"/>
  <c r="V1782" i="12"/>
  <c r="V192" i="20"/>
  <c r="V625" i="16"/>
  <c r="V1747" i="12"/>
  <c r="V1777" i="12"/>
  <c r="V1816" i="12"/>
  <c r="V20" i="22"/>
  <c r="V424" i="16"/>
  <c r="V38" i="16"/>
  <c r="V1664" i="12"/>
  <c r="V201" i="11"/>
  <c r="V70" i="20"/>
  <c r="V325" i="16"/>
  <c r="V1770" i="12"/>
  <c r="V1832" i="12"/>
  <c r="V2085" i="16"/>
  <c r="V1800" i="12"/>
  <c r="V1837" i="12"/>
  <c r="V1805" i="12"/>
  <c r="V160" i="20"/>
  <c r="V447" i="16"/>
  <c r="V1723" i="12"/>
  <c r="V1640" i="12"/>
  <c r="V222" i="11"/>
  <c r="V137" i="20"/>
  <c r="V359" i="16"/>
  <c r="V1742" i="12"/>
  <c r="V1703" i="12"/>
  <c r="V96" i="20"/>
  <c r="V205" i="20"/>
  <c r="V216" i="16"/>
  <c r="V1820" i="12"/>
  <c r="V106" i="16"/>
  <c r="V37" i="20"/>
  <c r="V506" i="20"/>
  <c r="V508" i="20" s="1"/>
  <c r="V125" i="16"/>
  <c r="V1151" i="16"/>
  <c r="V103" i="16"/>
  <c r="V129" i="16"/>
  <c r="V29" i="8"/>
  <c r="V127" i="8" s="1"/>
  <c r="V1476" i="16"/>
  <c r="V2036" i="16"/>
  <c r="V2049" i="16" s="1"/>
  <c r="V1500" i="16"/>
  <c r="V363" i="16" s="1"/>
  <c r="V99" i="20"/>
  <c r="V576" i="16"/>
  <c r="V121" i="20"/>
  <c r="V101" i="20"/>
  <c r="V65" i="20"/>
  <c r="V1739" i="12"/>
  <c r="V26" i="22"/>
  <c r="V169" i="20"/>
  <c r="V356" i="16"/>
  <c r="V1834" i="12"/>
  <c r="V1360" i="16"/>
  <c r="V427" i="16"/>
  <c r="V1737" i="12"/>
  <c r="V629" i="12"/>
  <c r="V619" i="16"/>
  <c r="V1799" i="12"/>
  <c r="V1638" i="12"/>
  <c r="V1837" i="16"/>
  <c r="V462" i="16" s="1"/>
  <c r="V446" i="16"/>
  <c r="V1639" i="12"/>
  <c r="V1578" i="16"/>
  <c r="V281" i="16"/>
  <c r="V1725" i="12"/>
  <c r="V100" i="12"/>
  <c r="V120" i="20"/>
  <c r="V1746" i="12"/>
  <c r="V1399" i="12"/>
  <c r="V1415" i="16"/>
  <c r="V283" i="16"/>
  <c r="V1695" i="12"/>
  <c r="V1835" i="16"/>
  <c r="V460" i="16" s="1"/>
  <c r="V440" i="16"/>
  <c r="V1790" i="12"/>
  <c r="V940" i="12"/>
  <c r="V35" i="11"/>
  <c r="V1793" i="12"/>
  <c r="V156" i="10"/>
  <c r="V1692" i="12"/>
  <c r="V1502" i="16"/>
  <c r="V365" i="16" s="1"/>
  <c r="V330" i="16"/>
  <c r="V2041" i="16"/>
  <c r="V2067" i="16" s="1"/>
  <c r="V2095" i="16" s="1"/>
  <c r="V1400" i="12"/>
  <c r="V434" i="16"/>
  <c r="V1744" i="12"/>
  <c r="V1702" i="12"/>
  <c r="V1836" i="16"/>
  <c r="V461" i="16" s="1"/>
  <c r="V1163" i="12"/>
  <c r="V1788" i="12"/>
  <c r="V1688" i="12"/>
  <c r="V1696" i="12"/>
  <c r="V1903" i="16"/>
  <c r="V1785" i="12"/>
  <c r="V114" i="16"/>
  <c r="V79" i="16"/>
  <c r="V1497" i="16"/>
  <c r="V149" i="20"/>
  <c r="V1137" i="16"/>
  <c r="V126" i="20"/>
  <c r="V362" i="16"/>
  <c r="V139" i="20"/>
  <c r="V124" i="20"/>
  <c r="V122" i="20"/>
  <c r="V1878" i="12"/>
  <c r="V1916" i="12" s="1"/>
  <c r="V72" i="20"/>
  <c r="V12" i="20"/>
  <c r="V25" i="20" s="1"/>
  <c r="V1188" i="20" s="1"/>
  <c r="V277" i="16"/>
  <c r="V1648" i="16"/>
  <c r="V1448" i="16"/>
  <c r="V1676" i="12"/>
  <c r="V231" i="11"/>
  <c r="V1774" i="12"/>
  <c r="V1811" i="12"/>
  <c r="V32" i="22"/>
  <c r="V1880" i="12"/>
  <c r="V1919" i="12" s="1"/>
  <c r="V418" i="16"/>
  <c r="V1802" i="12"/>
  <c r="V60" i="20"/>
  <c r="V1836" i="12"/>
  <c r="V439" i="16"/>
  <c r="V53" i="11"/>
  <c r="V1826" i="12"/>
  <c r="V271" i="16"/>
  <c r="V1679" i="12"/>
  <c r="V130" i="16"/>
  <c r="V99" i="16"/>
  <c r="V1311" i="16"/>
  <c r="V132" i="20"/>
  <c r="V1571" i="16"/>
  <c r="V175" i="20"/>
  <c r="V354" i="16"/>
  <c r="V141" i="20"/>
  <c r="V1283" i="16"/>
  <c r="V1833" i="16"/>
  <c r="V458" i="16" s="1"/>
  <c r="V1678" i="12"/>
  <c r="V49" i="20"/>
  <c r="V133" i="20"/>
  <c r="V352" i="16"/>
  <c r="V1332" i="16"/>
  <c r="V112" i="22"/>
  <c r="V1772" i="12"/>
  <c r="V1781" i="12"/>
  <c r="V44" i="11"/>
  <c r="V454" i="16"/>
  <c r="V12" i="16"/>
  <c r="V192" i="16" s="1"/>
  <c r="V1404" i="12"/>
  <c r="V1585" i="16"/>
  <c r="V1804" i="12"/>
  <c r="V1669" i="12"/>
  <c r="V147" i="20"/>
  <c r="V1827" i="12"/>
  <c r="V1728" i="12"/>
  <c r="V327" i="16"/>
  <c r="V273" i="16"/>
  <c r="V1704" i="12"/>
  <c r="V698" i="12"/>
  <c r="V125" i="20"/>
  <c r="V1815" i="12"/>
  <c r="V197" i="16"/>
  <c r="V1318" i="16"/>
  <c r="V442" i="16"/>
  <c r="V1745" i="12"/>
  <c r="V82" i="12"/>
  <c r="V786" i="16"/>
  <c r="V1699" i="12"/>
  <c r="V1786" i="12"/>
  <c r="V131" i="20"/>
  <c r="V1821" i="12"/>
  <c r="V1732" i="12"/>
  <c r="V1677" i="12"/>
  <c r="V276" i="16"/>
  <c r="V113" i="11"/>
  <c r="V2032" i="16"/>
  <c r="V329" i="16"/>
  <c r="V190" i="10"/>
  <c r="V275" i="16"/>
  <c r="V54" i="16"/>
  <c r="V161" i="20"/>
  <c r="V1398" i="12"/>
  <c r="V1787" i="12"/>
  <c r="V1753" i="12"/>
  <c r="V2035" i="16"/>
  <c r="V2048" i="16" s="1"/>
  <c r="V12" i="12"/>
  <c r="V1784" i="12"/>
  <c r="V1824" i="12"/>
  <c r="V32" i="8"/>
  <c r="V31" i="8" s="1"/>
  <c r="V110" i="18" s="1"/>
  <c r="V1740" i="12"/>
  <c r="V1179" i="16"/>
  <c r="V1242" i="16"/>
  <c r="V98" i="16"/>
  <c r="V12" i="18"/>
  <c r="V64" i="20"/>
  <c r="V1516" i="16"/>
  <c r="V130" i="20"/>
  <c r="V1462" i="16"/>
  <c r="V1613" i="16"/>
  <c r="V1441" i="16"/>
  <c r="V457" i="16"/>
  <c r="V1814" i="12"/>
  <c r="V1346" i="16"/>
  <c r="V98" i="20"/>
  <c r="V1715" i="12"/>
  <c r="V1490" i="16"/>
  <c r="V189" i="20"/>
  <c r="V1803" i="12"/>
  <c r="V1668" i="12"/>
  <c r="V58" i="20"/>
  <c r="V438" i="16"/>
  <c r="V1813" i="12"/>
  <c r="V1157" i="12"/>
  <c r="V177" i="20"/>
  <c r="V1831" i="12"/>
  <c r="V573" i="16"/>
  <c r="V1731" i="12"/>
  <c r="V1381" i="16"/>
  <c r="V1833" i="12"/>
  <c r="V1812" i="12"/>
  <c r="V22" i="16"/>
  <c r="V1672" i="12"/>
  <c r="V1667" i="12"/>
  <c r="V353" i="16"/>
  <c r="V1644" i="12"/>
  <c r="V1422" i="16"/>
  <c r="V1779" i="12"/>
  <c r="V1504" i="16"/>
  <c r="V367" i="16" s="1"/>
  <c r="V269" i="16"/>
  <c r="V1394" i="16"/>
  <c r="V1207" i="16"/>
  <c r="V335" i="20"/>
  <c r="V96" i="16"/>
  <c r="V176" i="20"/>
  <c r="V623" i="16"/>
  <c r="V271" i="10"/>
  <c r="V59" i="20"/>
  <c r="V1849" i="16"/>
  <c r="V1620" i="16"/>
  <c r="V1564" i="16"/>
  <c r="V278" i="16"/>
  <c r="V1627" i="16"/>
  <c r="V1455" i="16"/>
  <c r="V801" i="16"/>
  <c r="V1759" i="12"/>
  <c r="V46" i="10"/>
  <c r="V102" i="20"/>
  <c r="V1701" i="12"/>
  <c r="V1661" i="12"/>
  <c r="V1712" i="12"/>
  <c r="V70" i="16"/>
  <c r="V1733" i="12"/>
  <c r="V1789" i="12"/>
  <c r="V69" i="20"/>
  <c r="V1735" i="12"/>
  <c r="V575" i="16"/>
  <c r="V30" i="16"/>
  <c r="V422" i="16"/>
  <c r="V1503" i="16"/>
  <c r="V366" i="16" s="1"/>
  <c r="V156" i="20"/>
  <c r="V1674" i="12"/>
  <c r="U1474" i="12"/>
  <c r="U1440" i="12"/>
  <c r="U1484" i="12"/>
  <c r="U1589" i="12"/>
  <c r="U1487" i="12"/>
  <c r="U1566" i="12"/>
  <c r="U1448" i="12"/>
  <c r="U1464" i="12"/>
  <c r="U1584" i="12"/>
  <c r="U1505" i="12"/>
  <c r="U1564" i="12"/>
  <c r="U1491" i="12"/>
  <c r="U1555" i="12"/>
  <c r="U1426" i="12"/>
  <c r="U1599" i="12"/>
  <c r="U1459" i="12"/>
  <c r="U1536" i="12"/>
  <c r="U1438" i="12"/>
  <c r="U1504" i="12"/>
  <c r="U1427" i="12"/>
  <c r="U1535" i="12"/>
  <c r="U1433" i="12"/>
  <c r="U1460" i="12"/>
  <c r="U1475" i="12"/>
  <c r="U1434" i="12"/>
  <c r="U1542" i="12"/>
  <c r="U1556" i="12"/>
  <c r="U1443" i="12"/>
  <c r="U1595" i="12"/>
  <c r="U1573" i="12"/>
  <c r="U1541" i="12"/>
  <c r="U1435" i="12"/>
  <c r="U1453" i="12"/>
  <c r="U1591" i="12"/>
  <c r="U1548" i="12"/>
  <c r="U1457" i="12"/>
  <c r="U1574" i="12"/>
  <c r="U1449" i="12"/>
  <c r="U1559" i="12"/>
  <c r="U1450" i="12"/>
  <c r="U1578" i="12"/>
  <c r="U1529" i="12"/>
  <c r="U1551" i="12"/>
  <c r="U1424" i="12"/>
  <c r="U1587" i="12"/>
  <c r="U1483" i="12"/>
  <c r="U1562" i="12"/>
  <c r="U1496" i="12"/>
  <c r="U1458" i="12"/>
  <c r="U1598" i="12"/>
  <c r="U1503" i="12"/>
  <c r="U1493" i="12"/>
  <c r="U1547" i="12"/>
  <c r="U1561" i="12"/>
  <c r="U1463" i="12"/>
  <c r="U1580" i="12"/>
  <c r="U1488" i="12"/>
  <c r="U1539" i="12"/>
  <c r="U1513" i="12"/>
  <c r="U1557" i="12"/>
  <c r="U1520" i="12"/>
  <c r="U1590" i="12"/>
  <c r="U1428" i="12"/>
  <c r="U1465" i="12"/>
  <c r="U1533" i="12"/>
  <c r="U1518" i="12"/>
  <c r="U1582" i="12"/>
  <c r="U1545" i="12"/>
  <c r="U1456" i="12"/>
  <c r="U1560" i="12"/>
  <c r="U1498" i="12"/>
  <c r="U1501" i="12"/>
  <c r="U1494" i="12"/>
  <c r="U1431" i="12"/>
  <c r="U1461" i="12"/>
  <c r="U1429" i="12"/>
  <c r="U1451" i="12"/>
  <c r="U1532" i="12"/>
  <c r="U1506" i="12"/>
  <c r="U1454" i="12"/>
  <c r="U1575" i="12"/>
  <c r="U1510" i="12"/>
  <c r="U1546" i="12"/>
  <c r="U1499" i="12"/>
  <c r="U1588" i="12"/>
  <c r="U1579" i="12"/>
  <c r="U1550" i="12"/>
  <c r="U1511" i="12"/>
  <c r="U1593" i="12"/>
  <c r="U1507" i="12"/>
  <c r="U1425" i="12"/>
  <c r="U1508" i="12"/>
  <c r="U1554" i="12"/>
  <c r="U1519" i="12"/>
  <c r="U1497" i="12"/>
  <c r="U1514" i="12"/>
  <c r="U1430" i="12"/>
  <c r="U1486" i="12"/>
  <c r="U1492" i="12"/>
  <c r="V94" i="20"/>
  <c r="V1501" i="16"/>
  <c r="V364" i="16" s="1"/>
  <c r="V195" i="20"/>
  <c r="V123" i="20"/>
  <c r="V272" i="16"/>
  <c r="V357" i="16"/>
  <c r="V63" i="12"/>
  <c r="V82" i="20"/>
  <c r="V85" i="20"/>
  <c r="V1835" i="12"/>
  <c r="V1817" i="12"/>
  <c r="V63" i="18"/>
  <c r="V94" i="22"/>
  <c r="V80" i="20"/>
  <c r="V1325" i="16"/>
  <c r="V274" i="16"/>
  <c r="V1214" i="16"/>
  <c r="U1565" i="12"/>
  <c r="U1521" i="12"/>
  <c r="V1773" i="12"/>
  <c r="V188" i="20"/>
  <c r="V1726" i="12"/>
  <c r="V385" i="10"/>
  <c r="V489" i="10" s="1"/>
  <c r="V445" i="16"/>
  <c r="U1527" i="12"/>
  <c r="U1581" i="12"/>
  <c r="U1596" i="12"/>
  <c r="V104" i="11"/>
  <c r="V617" i="16"/>
  <c r="V119" i="20"/>
  <c r="U1531" i="12"/>
  <c r="V1181" i="12"/>
  <c r="V328" i="20"/>
  <c r="U1563" i="12"/>
  <c r="V159" i="20"/>
  <c r="V618" i="16"/>
  <c r="V114" i="12"/>
  <c r="V82" i="22"/>
  <c r="V1761" i="12"/>
  <c r="V12" i="11"/>
  <c r="V1727" i="12"/>
  <c r="V127" i="10"/>
  <c r="V12" i="22"/>
  <c r="V583" i="16"/>
  <c r="V146" i="20"/>
  <c r="V202" i="16"/>
  <c r="U1552" i="12"/>
  <c r="U1600" i="12"/>
  <c r="U1577" i="12"/>
  <c r="U1594" i="12"/>
  <c r="U1472" i="12"/>
  <c r="U1549" i="12"/>
  <c r="U1571" i="12"/>
  <c r="U1485" i="12"/>
  <c r="V180" i="11"/>
  <c r="V218" i="11" s="1"/>
  <c r="V2033" i="16"/>
  <c r="V2046" i="16" s="1"/>
  <c r="V1738" i="12"/>
  <c r="V95" i="11"/>
  <c r="V117" i="20"/>
  <c r="V57" i="20"/>
  <c r="V1682" i="12"/>
  <c r="V1693" i="12"/>
  <c r="V1752" i="12"/>
  <c r="V172" i="20"/>
  <c r="V429" i="16"/>
  <c r="V437" i="16"/>
  <c r="V1557" i="16"/>
  <c r="V242" i="10"/>
  <c r="V134" i="20"/>
  <c r="V143" i="20"/>
  <c r="U1528" i="12"/>
  <c r="U1516" i="12"/>
  <c r="V1734" i="12"/>
  <c r="V443" i="16"/>
  <c r="V1768" i="12"/>
  <c r="V197" i="20"/>
  <c r="V205" i="16"/>
  <c r="V910" i="16"/>
  <c r="U1495" i="12"/>
  <c r="U1473" i="12"/>
  <c r="V616" i="16"/>
  <c r="V1698" i="12"/>
  <c r="V1822" i="12"/>
  <c r="V456" i="16"/>
  <c r="U1490" i="12"/>
  <c r="U1489" i="12"/>
  <c r="U1576" i="12"/>
  <c r="U1592" i="12"/>
  <c r="U1482" i="12"/>
  <c r="V1680" i="12"/>
  <c r="V328" i="16"/>
  <c r="V1806" i="12"/>
  <c r="V432" i="16"/>
  <c r="U1534" i="12"/>
  <c r="U1466" i="12"/>
  <c r="U1583" i="12"/>
  <c r="V1780" i="12"/>
  <c r="V1830" i="12"/>
  <c r="V116" i="20"/>
  <c r="V1791" i="12"/>
  <c r="V444" i="16"/>
  <c r="V1823" i="12"/>
  <c r="V1924" i="16"/>
  <c r="U1585" i="12"/>
  <c r="U1572" i="12"/>
  <c r="V326" i="16"/>
  <c r="V190" i="20"/>
  <c r="V62" i="16"/>
  <c r="V355" i="16"/>
  <c r="V1705" i="12"/>
  <c r="V580" i="16"/>
  <c r="V1148" i="16"/>
  <c r="V485" i="20"/>
  <c r="U1515" i="12"/>
  <c r="U1467" i="12"/>
  <c r="V1801" i="12"/>
  <c r="V1757" i="12"/>
  <c r="W28" i="8"/>
  <c r="V1795" i="12"/>
  <c r="V74" i="18"/>
  <c r="V203" i="16"/>
  <c r="U1543" i="12"/>
  <c r="U1502" i="12"/>
  <c r="U1437" i="12"/>
  <c r="V158" i="20"/>
  <c r="V1714" i="12"/>
  <c r="V171" i="11"/>
  <c r="V1792" i="12"/>
  <c r="V61" i="20"/>
  <c r="U1441" i="12"/>
  <c r="U1442" i="12"/>
  <c r="U1455" i="12"/>
  <c r="U1436" i="12"/>
  <c r="U1517" i="12"/>
  <c r="V74" i="11"/>
  <c r="V1749" i="12"/>
  <c r="V574" i="16"/>
  <c r="V282" i="16"/>
  <c r="V1760" i="12"/>
  <c r="V617" i="12"/>
  <c r="V578" i="16"/>
  <c r="V1544" i="16"/>
  <c r="V88" i="22"/>
  <c r="U1476" i="12"/>
  <c r="U1530" i="12"/>
  <c r="U1462" i="12"/>
  <c r="U1439" i="12"/>
  <c r="U1537" i="12"/>
  <c r="U1540" i="12"/>
  <c r="U1509" i="12"/>
  <c r="U1597" i="12"/>
  <c r="V171" i="20"/>
  <c r="V1751" i="12"/>
  <c r="V1771" i="12"/>
  <c r="V1700" i="12"/>
  <c r="V1691" i="12"/>
  <c r="V150" i="20"/>
  <c r="V698" i="16"/>
  <c r="V615" i="16"/>
  <c r="V1666" i="12"/>
  <c r="V1421" i="12"/>
  <c r="V1544" i="12" s="1"/>
  <c r="V1952" i="16"/>
  <c r="V2037" i="16"/>
  <c r="V2063" i="16" s="1"/>
  <c r="V2091" i="16" s="1"/>
  <c r="V431" i="16"/>
  <c r="V151" i="20"/>
  <c r="V75" i="10"/>
  <c r="V1144" i="16"/>
  <c r="V1315" i="16"/>
  <c r="V2123" i="16" s="1"/>
  <c r="V1294" i="16"/>
  <c r="V2113" i="16" s="1"/>
  <c r="V1322" i="16"/>
  <c r="V1329" i="16"/>
  <c r="V2125" i="16" s="1"/>
  <c r="V534" i="20"/>
  <c r="V356" i="20"/>
  <c r="V1662" i="16"/>
  <c r="V1494" i="16"/>
  <c r="V915" i="20"/>
  <c r="V471" i="20"/>
  <c r="V1391" i="16"/>
  <c r="V2135" i="16" s="1"/>
  <c r="V901" i="20"/>
  <c r="V874" i="16"/>
  <c r="V1473" i="16"/>
  <c r="V894" i="20"/>
  <c r="V527" i="20"/>
  <c r="V1596" i="16"/>
  <c r="V1459" i="16"/>
  <c r="V2146" i="16" s="1"/>
  <c r="V1480" i="16"/>
  <c r="V1162" i="16"/>
  <c r="V922" i="16"/>
  <c r="V904" i="16"/>
  <c r="V892" i="16"/>
  <c r="V384" i="20"/>
  <c r="V1603" i="16"/>
  <c r="U364" i="20"/>
  <c r="V880" i="16"/>
  <c r="U1460" i="16"/>
  <c r="V1445" i="16"/>
  <c r="V2144" i="16" s="1"/>
  <c r="U180" i="20"/>
  <c r="U1208" i="20" s="1"/>
  <c r="U507" i="20"/>
  <c r="U887" i="16"/>
  <c r="U486" i="20"/>
  <c r="U487" i="20" s="1"/>
  <c r="J220" i="25"/>
  <c r="J228" i="25" s="1"/>
  <c r="U1838" i="16"/>
  <c r="U350" i="20"/>
  <c r="U351" i="20" s="1"/>
  <c r="U905" i="12"/>
  <c r="U917" i="12" s="1"/>
  <c r="U1933" i="12" s="1"/>
  <c r="V513" i="20"/>
  <c r="V515" i="20" s="1"/>
  <c r="V1287" i="16"/>
  <c r="U1309" i="16"/>
  <c r="U1310" i="16" s="1"/>
  <c r="U1505" i="16"/>
  <c r="U2115" i="16"/>
  <c r="V1589" i="16"/>
  <c r="V1914" i="16"/>
  <c r="V2210" i="16" s="1"/>
  <c r="U1149" i="16"/>
  <c r="U1915" i="16"/>
  <c r="U1281" i="16"/>
  <c r="U807" i="16"/>
  <c r="V1280" i="16"/>
  <c r="V1398" i="16"/>
  <c r="V2136" i="16" s="1"/>
  <c r="U996" i="12"/>
  <c r="U1153" i="12" s="1"/>
  <c r="U2113" i="16"/>
  <c r="U284" i="16"/>
  <c r="U804" i="16" s="1"/>
  <c r="U1446" i="16"/>
  <c r="U764" i="16"/>
  <c r="U226" i="20" s="1"/>
  <c r="U771" i="16"/>
  <c r="U233" i="20" s="1"/>
  <c r="U893" i="16"/>
  <c r="U781" i="16"/>
  <c r="U243" i="20" s="1"/>
  <c r="U875" i="16"/>
  <c r="L155" i="25"/>
  <c r="L201" i="25" s="1"/>
  <c r="L239" i="25" s="1"/>
  <c r="L258" i="25" s="1"/>
  <c r="L266" i="25" s="1"/>
  <c r="V886" i="16"/>
  <c r="U749" i="16"/>
  <c r="U211" i="20" s="1"/>
  <c r="T1477" i="12"/>
  <c r="T1634" i="12" s="1"/>
  <c r="U759" i="16"/>
  <c r="U221" i="20" s="1"/>
  <c r="U73" i="20"/>
  <c r="U1203" i="20" s="1"/>
  <c r="U772" i="16"/>
  <c r="U234" i="20" s="1"/>
  <c r="U756" i="16"/>
  <c r="U218" i="20" s="1"/>
  <c r="U782" i="16"/>
  <c r="U244" i="20" s="1"/>
  <c r="U783" i="16"/>
  <c r="U245" i="20" s="1"/>
  <c r="U747" i="16"/>
  <c r="U209" i="20" s="1"/>
  <c r="U1717" i="12"/>
  <c r="U1874" i="12" s="1"/>
  <c r="U1912" i="12" s="1"/>
  <c r="U963" i="12"/>
  <c r="U1151" i="12" s="1"/>
  <c r="U584" i="16"/>
  <c r="U809" i="16" s="1"/>
  <c r="T1468" i="12"/>
  <c r="T1633" i="12" s="1"/>
  <c r="T1522" i="12"/>
  <c r="T1635" i="12" s="1"/>
  <c r="T1601" i="12"/>
  <c r="T1637" i="12" s="1"/>
  <c r="T1444" i="12"/>
  <c r="T1632" i="12" s="1"/>
  <c r="T1567" i="12"/>
  <c r="T1636" i="12" s="1"/>
  <c r="L418" i="25"/>
  <c r="U775" i="16"/>
  <c r="U237" i="20" s="1"/>
  <c r="U757" i="16"/>
  <c r="U219" i="20" s="1"/>
  <c r="U755" i="16"/>
  <c r="U217" i="20" s="1"/>
  <c r="U744" i="16"/>
  <c r="U206" i="20" s="1"/>
  <c r="U765" i="16"/>
  <c r="U227" i="20" s="1"/>
  <c r="U763" i="16"/>
  <c r="U225" i="20" s="1"/>
  <c r="U754" i="16"/>
  <c r="U216" i="20" s="1"/>
  <c r="U761" i="16"/>
  <c r="U223" i="20" s="1"/>
  <c r="U758" i="16"/>
  <c r="U220" i="20" s="1"/>
  <c r="U745" i="16"/>
  <c r="U207" i="20" s="1"/>
  <c r="U778" i="16"/>
  <c r="U240" i="20" s="1"/>
  <c r="U750" i="16"/>
  <c r="U212" i="20" s="1"/>
  <c r="U767" i="16"/>
  <c r="U229" i="20" s="1"/>
  <c r="U774" i="16"/>
  <c r="U236" i="20" s="1"/>
  <c r="U770" i="16"/>
  <c r="U232" i="20" s="1"/>
  <c r="L371" i="25"/>
  <c r="U751" i="16"/>
  <c r="U213" i="20" s="1"/>
  <c r="U752" i="16"/>
  <c r="U214" i="20" s="1"/>
  <c r="U773" i="16"/>
  <c r="U235" i="20" s="1"/>
  <c r="U762" i="16"/>
  <c r="U224" i="20" s="1"/>
  <c r="U746" i="16"/>
  <c r="U208" i="20" s="1"/>
  <c r="L324" i="25"/>
  <c r="L277" i="25"/>
  <c r="L465" i="25"/>
  <c r="U748" i="16"/>
  <c r="U210" i="20" s="1"/>
  <c r="U780" i="16"/>
  <c r="U242" i="20" s="1"/>
  <c r="U779" i="16"/>
  <c r="U241" i="20" s="1"/>
  <c r="U768" i="16"/>
  <c r="U230" i="20" s="1"/>
  <c r="U760" i="16"/>
  <c r="U222" i="20" s="1"/>
  <c r="U769" i="16"/>
  <c r="U231" i="20" s="1"/>
  <c r="U753" i="16"/>
  <c r="U215" i="20" s="1"/>
  <c r="U766" i="16"/>
  <c r="U228" i="20" s="1"/>
  <c r="U777" i="16"/>
  <c r="U239" i="20" s="1"/>
  <c r="V1412" i="16"/>
  <c r="V2138" i="16" s="1"/>
  <c r="U878" i="12"/>
  <c r="U914" i="12" s="1"/>
  <c r="U1929" i="12" s="1"/>
  <c r="U101" i="18"/>
  <c r="U1120" i="12"/>
  <c r="U1156" i="12" s="1"/>
  <c r="V377" i="20"/>
  <c r="U626" i="16"/>
  <c r="U810" i="16" s="1"/>
  <c r="U1762" i="12"/>
  <c r="U1875" i="12" s="1"/>
  <c r="U1913" i="12" s="1"/>
  <c r="V1419" i="16"/>
  <c r="V2139" i="16" s="1"/>
  <c r="U357" i="20"/>
  <c r="U358" i="20" s="1"/>
  <c r="U33" i="18"/>
  <c r="U38" i="18" s="1"/>
  <c r="U86" i="18"/>
  <c r="U923" i="16"/>
  <c r="U119" i="18"/>
  <c r="U368" i="16"/>
  <c r="U77" i="18"/>
  <c r="U48" i="18"/>
  <c r="U53" i="18" s="1"/>
  <c r="U110" i="18"/>
  <c r="U1684" i="12"/>
  <c r="U1872" i="12" s="1"/>
  <c r="U1910" i="12" s="1"/>
  <c r="U1841" i="12"/>
  <c r="U1877" i="12" s="1"/>
  <c r="U1915" i="12" s="1"/>
  <c r="U18" i="18"/>
  <c r="U23" i="18" s="1"/>
  <c r="U1288" i="16"/>
  <c r="U162" i="20"/>
  <c r="U1207" i="20" s="1"/>
  <c r="U1147" i="12"/>
  <c r="U1159" i="12" s="1"/>
  <c r="U896" i="12"/>
  <c r="U916" i="12" s="1"/>
  <c r="U1932" i="12" s="1"/>
  <c r="U1138" i="12"/>
  <c r="U1158" i="12" s="1"/>
  <c r="U1204" i="12"/>
  <c r="U1392" i="12" s="1"/>
  <c r="U198" i="20"/>
  <c r="U1209" i="20" s="1"/>
  <c r="U1041" i="12"/>
  <c r="U1154" i="12" s="1"/>
  <c r="U987" i="12"/>
  <c r="U1152" i="12" s="1"/>
  <c r="U745" i="12"/>
  <c r="U910" i="12" s="1"/>
  <c r="U1925" i="12" s="1"/>
  <c r="U1142" i="16"/>
  <c r="U1086" i="12"/>
  <c r="U1155" i="12" s="1"/>
  <c r="U799" i="12"/>
  <c r="U912" i="12" s="1"/>
  <c r="U136" i="16"/>
  <c r="U844" i="12"/>
  <c r="U913" i="12" s="1"/>
  <c r="U1928" i="12" s="1"/>
  <c r="U1807" i="12"/>
  <c r="U1876" i="12" s="1"/>
  <c r="U1914" i="12" s="1"/>
  <c r="U1708" i="12"/>
  <c r="U1873" i="12" s="1"/>
  <c r="U1911" i="12" s="1"/>
  <c r="U86" i="20"/>
  <c r="U1205" i="20" s="1"/>
  <c r="U331" i="16"/>
  <c r="U806" i="16" s="1"/>
  <c r="U808" i="16"/>
  <c r="U754" i="12"/>
  <c r="U911" i="12" s="1"/>
  <c r="U1926" i="12" s="1"/>
  <c r="V1308" i="16"/>
  <c r="V2115" i="16" s="1"/>
  <c r="U721" i="12"/>
  <c r="U909" i="12" s="1"/>
  <c r="U1924" i="12" s="1"/>
  <c r="U2042" i="16"/>
  <c r="U811" i="16" s="1"/>
  <c r="U2120" i="16"/>
  <c r="U371" i="20"/>
  <c r="V370" i="20"/>
  <c r="U463" i="16"/>
  <c r="U1413" i="16"/>
  <c r="U1295" i="16"/>
  <c r="U846" i="20"/>
  <c r="U1439" i="16"/>
  <c r="V1554" i="16"/>
  <c r="V2159" i="16" s="1"/>
  <c r="V1438" i="16"/>
  <c r="V2143" i="16" s="1"/>
  <c r="K209" i="25"/>
  <c r="K247" i="25" s="1"/>
  <c r="V845" i="20"/>
  <c r="V847" i="20" s="1"/>
  <c r="V349" i="20"/>
  <c r="S1641" i="12"/>
  <c r="S1651" i="12" s="1"/>
  <c r="R1646" i="12"/>
  <c r="T699" i="16"/>
  <c r="U847" i="20"/>
  <c r="T246" i="20"/>
  <c r="U1302" i="16"/>
  <c r="U1569" i="16"/>
  <c r="U493" i="20"/>
  <c r="U494" i="20" s="1"/>
  <c r="V492" i="20"/>
  <c r="V1568" i="16"/>
  <c r="V2161" i="16" s="1"/>
  <c r="V1301" i="16"/>
  <c r="V2121" i="16" s="1"/>
  <c r="U2121" i="16"/>
  <c r="U2114" i="16"/>
  <c r="U1467" i="16"/>
  <c r="U514" i="20"/>
  <c r="V1141" i="16"/>
  <c r="T1917" i="12"/>
  <c r="T1920" i="12" s="1"/>
  <c r="T805" i="16"/>
  <c r="S1886" i="12"/>
  <c r="V1155" i="16"/>
  <c r="V1466" i="16"/>
  <c r="V2147" i="16" s="1"/>
  <c r="U1163" i="16"/>
  <c r="U1555" i="16"/>
  <c r="U1556" i="16" s="1"/>
  <c r="T1160" i="12"/>
  <c r="T1170" i="12" s="1"/>
  <c r="T1171" i="12" s="1"/>
  <c r="T1881" i="12"/>
  <c r="T1891" i="12" s="1"/>
  <c r="U1432" i="16"/>
  <c r="V1431" i="16"/>
  <c r="V2142" i="16" s="1"/>
  <c r="V1575" i="16"/>
  <c r="U1576" i="16"/>
  <c r="H1249" i="16"/>
  <c r="I1242" i="16" a="1"/>
  <c r="I1242" i="16" s="1"/>
  <c r="H1669" i="16"/>
  <c r="I1662" i="16" a="1"/>
  <c r="I1662" i="16" s="1"/>
  <c r="J950" i="20" a="1"/>
  <c r="J950" i="20" s="1"/>
  <c r="D954" i="20"/>
  <c r="U2135" i="16"/>
  <c r="U1392" i="16"/>
  <c r="L571" i="20"/>
  <c r="U332" i="16"/>
  <c r="V1405" i="16"/>
  <c r="V2137" i="16" s="1"/>
  <c r="U1406" i="16"/>
  <c r="S333" i="16"/>
  <c r="T1420" i="16"/>
  <c r="T333" i="16" s="1"/>
  <c r="R179" i="16"/>
  <c r="R52" i="10" s="1"/>
  <c r="R340" i="10" s="1"/>
  <c r="R158" i="16"/>
  <c r="R169" i="16"/>
  <c r="Q186" i="16"/>
  <c r="Q60" i="10" s="1"/>
  <c r="Q163" i="16"/>
  <c r="P84" i="16"/>
  <c r="P182" i="16"/>
  <c r="P180" i="16" s="1"/>
  <c r="U2123" i="16"/>
  <c r="U1316" i="16"/>
  <c r="O56" i="10"/>
  <c r="M80" i="16"/>
  <c r="M176" i="16"/>
  <c r="M175" i="16" s="1"/>
  <c r="P178" i="16"/>
  <c r="P51" i="10" s="1"/>
  <c r="U1888" i="16"/>
  <c r="P58" i="10"/>
  <c r="Q86" i="16"/>
  <c r="Q83" i="16"/>
  <c r="Q85" i="16"/>
  <c r="Q181" i="16" s="1"/>
  <c r="W380" i="10"/>
  <c r="W91" i="10"/>
  <c r="W105" i="10" s="1"/>
  <c r="X370" i="10"/>
  <c r="W370" i="10"/>
  <c r="U1894" i="16"/>
  <c r="V1893" i="16"/>
  <c r="V2207" i="16" s="1"/>
  <c r="N1351" i="16"/>
  <c r="N1352" i="16" s="1"/>
  <c r="O1352" i="16" s="1"/>
  <c r="P1352" i="16" s="1"/>
  <c r="V1452" i="16"/>
  <c r="V2145" i="16" s="1"/>
  <c r="U479" i="20"/>
  <c r="U480" i="20" s="1"/>
  <c r="U1453" i="16"/>
  <c r="Q1337" i="16"/>
  <c r="R1336" i="16"/>
  <c r="P910" i="20"/>
  <c r="N1357" i="16"/>
  <c r="N2129" i="16" s="1"/>
  <c r="M1358" i="16"/>
  <c r="P909" i="20"/>
  <c r="Q909" i="20" s="1"/>
  <c r="U1447" i="16"/>
  <c r="S1475" i="16"/>
  <c r="R1930" i="16"/>
  <c r="U1414" i="16"/>
  <c r="U1584" i="16"/>
  <c r="M1359" i="16"/>
  <c r="L579" i="20"/>
  <c r="M579" i="20" s="1"/>
  <c r="N579" i="20" s="1"/>
  <c r="O579" i="20" s="1"/>
  <c r="O581" i="20" s="1"/>
  <c r="K580" i="20"/>
  <c r="S1598" i="16"/>
  <c r="S1165" i="12"/>
  <c r="S1172" i="12" s="1"/>
  <c r="U1393" i="16"/>
  <c r="U1468" i="16"/>
  <c r="U1407" i="16"/>
  <c r="P1205" i="16"/>
  <c r="Q1205" i="16" s="1"/>
  <c r="R1205" i="16" s="1"/>
  <c r="U1454" i="16"/>
  <c r="T1591" i="16"/>
  <c r="R1482" i="16"/>
  <c r="U1916" i="16"/>
  <c r="N1345" i="16"/>
  <c r="O1345" i="16" s="1"/>
  <c r="P1345" i="16" s="1"/>
  <c r="Q1345" i="16" s="1"/>
  <c r="S1324" i="16"/>
  <c r="U1895" i="16"/>
  <c r="U1577" i="16"/>
  <c r="Q1605" i="16"/>
  <c r="U1400" i="16"/>
  <c r="P1496" i="16"/>
  <c r="R1944" i="16"/>
  <c r="Q1937" i="16"/>
  <c r="N1626" i="16"/>
  <c r="Q1338" i="16"/>
  <c r="R1489" i="16"/>
  <c r="T1343" i="16"/>
  <c r="U1343" i="16" s="1"/>
  <c r="U1570" i="16"/>
  <c r="P1612" i="16"/>
  <c r="T1331" i="16"/>
  <c r="R1185" i="16"/>
  <c r="S1185" i="16" s="1"/>
  <c r="T1185" i="16" s="1"/>
  <c r="M1633" i="16"/>
  <c r="N1633" i="16" s="1"/>
  <c r="U1317" i="16"/>
  <c r="T1461" i="16"/>
  <c r="T1421" i="16"/>
  <c r="T334" i="16" s="1"/>
  <c r="T791" i="16" s="1"/>
  <c r="T199" i="10" s="1"/>
  <c r="T1178" i="16"/>
  <c r="U1178" i="16" s="1"/>
  <c r="U1908" i="16"/>
  <c r="U1909" i="16" s="1"/>
  <c r="V1907" i="16"/>
  <c r="L1645" i="16"/>
  <c r="M1645" i="16" s="1"/>
  <c r="N1645" i="16" s="1"/>
  <c r="D1652" i="16"/>
  <c r="F1651" i="16" s="1"/>
  <c r="N2256" i="16"/>
  <c r="N20" i="16" s="1"/>
  <c r="N81" i="16" s="1"/>
  <c r="N2252" i="16"/>
  <c r="U2075" i="16"/>
  <c r="R2262" i="16"/>
  <c r="R68" i="16" s="1"/>
  <c r="R88" i="16" s="1"/>
  <c r="R184" i="16" s="1"/>
  <c r="U2073" i="16"/>
  <c r="V2050" i="16"/>
  <c r="U2087" i="16"/>
  <c r="R51" i="16"/>
  <c r="S49" i="16" s="1"/>
  <c r="S2236" i="16" s="1"/>
  <c r="S2248" i="16" s="1"/>
  <c r="R2260" i="16"/>
  <c r="R52" i="16" s="1"/>
  <c r="O2244" i="16"/>
  <c r="O2240" i="16"/>
  <c r="O91" i="16" s="1"/>
  <c r="O101" i="12" s="1"/>
  <c r="R35" i="16"/>
  <c r="S33" i="16" s="1"/>
  <c r="S2234" i="16" s="1"/>
  <c r="S2246" i="16" s="1"/>
  <c r="R2258" i="16"/>
  <c r="R36" i="16" s="1"/>
  <c r="R75" i="16"/>
  <c r="S73" i="16" s="1"/>
  <c r="S2239" i="16" s="1"/>
  <c r="S2251" i="16" s="1"/>
  <c r="R2263" i="16"/>
  <c r="R76" i="16" s="1"/>
  <c r="R89" i="16" s="1"/>
  <c r="R185" i="16" s="1"/>
  <c r="R59" i="16"/>
  <c r="S57" i="16" s="1"/>
  <c r="S2237" i="16" s="1"/>
  <c r="S2249" i="16" s="1"/>
  <c r="R2261" i="16"/>
  <c r="R60" i="16" s="1"/>
  <c r="R87" i="16" s="1"/>
  <c r="R183" i="16" s="1"/>
  <c r="R43" i="16"/>
  <c r="S41" i="16" s="1"/>
  <c r="S2235" i="16" s="1"/>
  <c r="S2247" i="16" s="1"/>
  <c r="R2259" i="16"/>
  <c r="R44" i="16" s="1"/>
  <c r="T385" i="20"/>
  <c r="T386" i="20" s="1"/>
  <c r="Q399" i="20"/>
  <c r="Q400" i="20" s="1"/>
  <c r="S379" i="20"/>
  <c r="T378" i="20"/>
  <c r="U378" i="20" s="1"/>
  <c r="U472" i="20"/>
  <c r="U473" i="20" s="1"/>
  <c r="S1204" i="16"/>
  <c r="T1204" i="16" s="1"/>
  <c r="N941" i="16"/>
  <c r="N942" i="16" s="1"/>
  <c r="P917" i="16"/>
  <c r="O1218" i="16"/>
  <c r="P1218" i="16" s="1"/>
  <c r="L1233" i="16"/>
  <c r="O413" i="20"/>
  <c r="P413" i="20" s="1"/>
  <c r="O1212" i="16"/>
  <c r="P1212" i="16" s="1"/>
  <c r="Q1212" i="16" s="1"/>
  <c r="R1212" i="16" s="1"/>
  <c r="N1225" i="16"/>
  <c r="N1228" i="16" s="1"/>
  <c r="N258" i="16" s="1"/>
  <c r="R1197" i="16"/>
  <c r="S1197" i="16" s="1"/>
  <c r="T1197" i="16" s="1"/>
  <c r="Q393" i="20"/>
  <c r="R392" i="20"/>
  <c r="M1232" i="16"/>
  <c r="M1235" i="16" s="1"/>
  <c r="M259" i="16" s="1"/>
  <c r="Q1198" i="16"/>
  <c r="Q1199" i="16" s="1"/>
  <c r="L1246" i="16"/>
  <c r="L1249" i="16" s="1"/>
  <c r="L261" i="16" s="1"/>
  <c r="M948" i="16"/>
  <c r="N946" i="16"/>
  <c r="L1234" i="16"/>
  <c r="S1211" i="16"/>
  <c r="T1211" i="16" s="1"/>
  <c r="U1211" i="16" s="1"/>
  <c r="N426" i="20"/>
  <c r="N428" i="20" s="1"/>
  <c r="O414" i="20"/>
  <c r="L1239" i="16"/>
  <c r="M1226" i="16"/>
  <c r="M1227" i="16" s="1"/>
  <c r="P407" i="20"/>
  <c r="Q406" i="20"/>
  <c r="Q407" i="20"/>
  <c r="R405" i="20"/>
  <c r="S405" i="20" s="1"/>
  <c r="O419" i="20"/>
  <c r="P419" i="20" s="1"/>
  <c r="L435" i="20"/>
  <c r="M433" i="20"/>
  <c r="N433" i="20" s="1"/>
  <c r="N435" i="20" s="1"/>
  <c r="N1219" i="16"/>
  <c r="N420" i="20"/>
  <c r="L440" i="20"/>
  <c r="L441" i="20" s="1"/>
  <c r="M428" i="20"/>
  <c r="L958" i="16"/>
  <c r="R911" i="16"/>
  <c r="M59" i="10"/>
  <c r="M54" i="10" s="1"/>
  <c r="M53" i="10" s="1"/>
  <c r="Q916" i="16"/>
  <c r="Q912" i="16"/>
  <c r="N59" i="10"/>
  <c r="N54" i="10" s="1"/>
  <c r="N53" i="10" s="1"/>
  <c r="P940" i="16"/>
  <c r="F963" i="16"/>
  <c r="K964" i="16" s="1"/>
  <c r="K965" i="16" s="1"/>
  <c r="D969" i="16"/>
  <c r="D970" i="16" s="1"/>
  <c r="C976" i="16"/>
  <c r="B973" i="16"/>
  <c r="D979" i="16"/>
  <c r="D985" i="16" s="1"/>
  <c r="J978" i="16"/>
  <c r="E975" i="16"/>
  <c r="E974" i="16"/>
  <c r="F974" i="16" s="1"/>
  <c r="D974" i="16"/>
  <c r="D1265" i="16"/>
  <c r="E1266" i="16"/>
  <c r="D1266" i="16" s="1"/>
  <c r="D1267" i="16" s="1"/>
  <c r="E1265" i="16"/>
  <c r="U386" i="20"/>
  <c r="O1235" i="16"/>
  <c r="K1240" i="16"/>
  <c r="K1242" i="16"/>
  <c r="K260" i="16" s="1"/>
  <c r="K1247" i="16"/>
  <c r="K1249" i="16"/>
  <c r="K261" i="16" s="1"/>
  <c r="K1248" i="16"/>
  <c r="K1241" i="16"/>
  <c r="T412" i="20"/>
  <c r="S1263" i="16"/>
  <c r="E1258" i="16"/>
  <c r="T1263" i="16"/>
  <c r="R1263" i="16"/>
  <c r="D1258" i="16"/>
  <c r="Q1263" i="16"/>
  <c r="P1263" i="16"/>
  <c r="V1263" i="16"/>
  <c r="E1259" i="16"/>
  <c r="U1263" i="16"/>
  <c r="D1252" i="16"/>
  <c r="D1253" i="16" s="1"/>
  <c r="F1252" i="16" s="1"/>
  <c r="K1253" i="16"/>
  <c r="U1184" i="16"/>
  <c r="V1183" i="16"/>
  <c r="E816" i="20"/>
  <c r="K817" i="20" s="1"/>
  <c r="L817" i="20" s="1"/>
  <c r="L819" i="20" s="1"/>
  <c r="K442" i="20"/>
  <c r="E615" i="20"/>
  <c r="E616" i="20" s="1"/>
  <c r="K617" i="20" s="1"/>
  <c r="K618" i="20" s="1"/>
  <c r="C934" i="20"/>
  <c r="D934" i="20"/>
  <c r="E934" i="20" s="1"/>
  <c r="C936" i="20"/>
  <c r="D941" i="20"/>
  <c r="E941" i="20" s="1"/>
  <c r="C941" i="20"/>
  <c r="C943" i="20"/>
  <c r="C452" i="20"/>
  <c r="D451" i="20"/>
  <c r="K447" i="20"/>
  <c r="K448" i="20" s="1"/>
  <c r="T398" i="20"/>
  <c r="U391" i="20"/>
  <c r="C922" i="20"/>
  <c r="D920" i="20"/>
  <c r="E920" i="20" s="1"/>
  <c r="D921" i="20"/>
  <c r="E685" i="20"/>
  <c r="E692" i="20"/>
  <c r="C871" i="20"/>
  <c r="D871" i="20"/>
  <c r="E871" i="20" s="1"/>
  <c r="E665" i="20"/>
  <c r="K666" i="20" s="1"/>
  <c r="K667" i="20" s="1"/>
  <c r="K668" i="20" s="1"/>
  <c r="E679" i="20"/>
  <c r="K680" i="20" s="1"/>
  <c r="E672" i="20"/>
  <c r="K673" i="20" s="1"/>
  <c r="E623" i="20"/>
  <c r="K624" i="20" s="1"/>
  <c r="E651" i="20"/>
  <c r="K652" i="20" s="1"/>
  <c r="E658" i="20"/>
  <c r="K659" i="20" s="1"/>
  <c r="K660" i="20" s="1"/>
  <c r="K661" i="20" s="1"/>
  <c r="E637" i="20"/>
  <c r="K638" i="20" s="1"/>
  <c r="E630" i="20"/>
  <c r="K631" i="20" s="1"/>
  <c r="K581" i="20"/>
  <c r="R2245" i="16"/>
  <c r="R27" i="16" s="1"/>
  <c r="S25" i="16" s="1"/>
  <c r="U329" i="20"/>
  <c r="U330" i="20" s="1"/>
  <c r="S65" i="16"/>
  <c r="S2238" i="16" s="1"/>
  <c r="S2250" i="16" s="1"/>
  <c r="S67" i="16" s="1"/>
  <c r="U500" i="20"/>
  <c r="U501" i="20" s="1"/>
  <c r="V499" i="20"/>
  <c r="T1136" i="16"/>
  <c r="O918" i="16"/>
  <c r="U1562" i="16"/>
  <c r="U1563" i="16" s="1"/>
  <c r="V1561" i="16"/>
  <c r="V2160" i="16" s="1"/>
  <c r="T918" i="12"/>
  <c r="T928" i="12" s="1"/>
  <c r="T929" i="12" s="1"/>
  <c r="T1931" i="12"/>
  <c r="T1934" i="12" s="1"/>
  <c r="S152" i="16"/>
  <c r="Q543" i="20"/>
  <c r="R543" i="20"/>
  <c r="T541" i="20"/>
  <c r="U541" i="20" s="1"/>
  <c r="U543" i="20" s="1"/>
  <c r="Q542" i="20"/>
  <c r="R542" i="20" s="1"/>
  <c r="S542" i="20" s="1"/>
  <c r="O929" i="16"/>
  <c r="N930" i="16"/>
  <c r="U336" i="20"/>
  <c r="Q928" i="16"/>
  <c r="O2169" i="16"/>
  <c r="O1625" i="16"/>
  <c r="P1625" i="16" s="1"/>
  <c r="S2150" i="16"/>
  <c r="Q1624" i="16"/>
  <c r="R1624" i="16" s="1"/>
  <c r="S1624" i="16" s="1"/>
  <c r="S2169" i="16" s="1"/>
  <c r="S535" i="20"/>
  <c r="T535" i="20" s="1"/>
  <c r="U535" i="20" s="1"/>
  <c r="S536" i="20"/>
  <c r="V2045" i="16"/>
  <c r="Q2151" i="16"/>
  <c r="U536" i="20"/>
  <c r="S146" i="16"/>
  <c r="S162" i="16" s="1"/>
  <c r="S906" i="16"/>
  <c r="L1639" i="16"/>
  <c r="T536" i="20"/>
  <c r="T1928" i="16"/>
  <c r="U1928" i="16" s="1"/>
  <c r="O2170" i="16"/>
  <c r="O1632" i="16"/>
  <c r="P1632" i="16" s="1"/>
  <c r="T521" i="20"/>
  <c r="L1640" i="16"/>
  <c r="M1638" i="16"/>
  <c r="N1638" i="16" s="1"/>
  <c r="N2171" i="16" s="1"/>
  <c r="S2151" i="16"/>
  <c r="Q1495" i="16"/>
  <c r="R1495" i="16" s="1"/>
  <c r="S1495" i="16" s="1"/>
  <c r="U520" i="20"/>
  <c r="R2213" i="16"/>
  <c r="N563" i="20"/>
  <c r="T1935" i="16"/>
  <c r="U1935" i="16" s="1"/>
  <c r="V1935" i="16" s="1"/>
  <c r="R1936" i="16"/>
  <c r="S1936" i="16" s="1"/>
  <c r="M569" i="20"/>
  <c r="R1617" i="16"/>
  <c r="S1617" i="16" s="1"/>
  <c r="L950" i="20"/>
  <c r="Q910" i="20"/>
  <c r="R908" i="20"/>
  <c r="S1488" i="16"/>
  <c r="T1488" i="16" s="1"/>
  <c r="O562" i="20"/>
  <c r="O564" i="20" s="1"/>
  <c r="P2170" i="16"/>
  <c r="Q1631" i="16"/>
  <c r="Q2170" i="16" s="1"/>
  <c r="U529" i="20"/>
  <c r="T529" i="20"/>
  <c r="K2172" i="16"/>
  <c r="E956" i="20"/>
  <c r="K957" i="20" s="1"/>
  <c r="K958" i="20" s="1"/>
  <c r="K1646" i="16"/>
  <c r="T903" i="20"/>
  <c r="K952" i="20"/>
  <c r="C968" i="20"/>
  <c r="D963" i="20"/>
  <c r="C963" i="20"/>
  <c r="L570" i="20"/>
  <c r="R916" i="20"/>
  <c r="S916" i="20" s="1"/>
  <c r="T528" i="20"/>
  <c r="T902" i="20"/>
  <c r="K1647" i="16"/>
  <c r="R917" i="20"/>
  <c r="T917" i="20"/>
  <c r="T896" i="20"/>
  <c r="T895" i="20"/>
  <c r="U895" i="20" s="1"/>
  <c r="N564" i="20"/>
  <c r="R1610" i="16"/>
  <c r="Q2167" i="16"/>
  <c r="Q1611" i="16"/>
  <c r="L1378" i="16"/>
  <c r="L2132" i="16" s="1"/>
  <c r="M1371" i="16"/>
  <c r="S1350" i="16"/>
  <c r="T1350" i="16" s="1"/>
  <c r="U1350" i="16" s="1"/>
  <c r="U1487" i="16"/>
  <c r="V1487" i="16" s="1"/>
  <c r="S1943" i="16"/>
  <c r="T1942" i="16"/>
  <c r="T882" i="16"/>
  <c r="O58" i="10"/>
  <c r="P57" i="10"/>
  <c r="L50" i="10"/>
  <c r="K338" i="10"/>
  <c r="K48" i="10"/>
  <c r="K47" i="10" s="1"/>
  <c r="U881" i="16"/>
  <c r="U876" i="16"/>
  <c r="P924" i="16"/>
  <c r="T900" i="16"/>
  <c r="U1590" i="16"/>
  <c r="U2125" i="16"/>
  <c r="U1330" i="16"/>
  <c r="O1618" i="16"/>
  <c r="O1619" i="16" s="1"/>
  <c r="P2168" i="16"/>
  <c r="T2151" i="16"/>
  <c r="R2151" i="16"/>
  <c r="R2166" i="16"/>
  <c r="R1604" i="16"/>
  <c r="T2165" i="16"/>
  <c r="S1481" i="16"/>
  <c r="T1481" i="16" s="1"/>
  <c r="T1662" i="16"/>
  <c r="E1657" i="16"/>
  <c r="Q1662" i="16"/>
  <c r="R1662" i="16"/>
  <c r="K1662" i="16"/>
  <c r="S1662" i="16"/>
  <c r="N1662" i="16"/>
  <c r="L1662" i="16"/>
  <c r="U1662" i="16"/>
  <c r="D1663" i="16"/>
  <c r="M1662" i="16"/>
  <c r="B1656" i="16"/>
  <c r="B1958" i="16" s="1"/>
  <c r="D1657" i="16"/>
  <c r="O1662" i="16"/>
  <c r="E1658" i="16"/>
  <c r="P1662" i="16"/>
  <c r="S2213" i="16"/>
  <c r="K1652" i="16"/>
  <c r="S1929" i="16"/>
  <c r="T1597" i="16"/>
  <c r="T1474" i="16"/>
  <c r="S2149" i="16"/>
  <c r="T2149" i="16"/>
  <c r="T1323" i="16"/>
  <c r="P2128" i="16"/>
  <c r="S2127" i="16"/>
  <c r="L1372" i="16"/>
  <c r="K285" i="16"/>
  <c r="K1379" i="16"/>
  <c r="K1380" i="16" s="1"/>
  <c r="K287" i="16" s="1"/>
  <c r="K789" i="16" s="1"/>
  <c r="K2132" i="16"/>
  <c r="O2128" i="16"/>
  <c r="R2127" i="16"/>
  <c r="L2131" i="16"/>
  <c r="L1373" i="16"/>
  <c r="R1344" i="16"/>
  <c r="S1344" i="16" s="1"/>
  <c r="T2124" i="16"/>
  <c r="T2150" i="16"/>
  <c r="T2148" i="16"/>
  <c r="V2061" i="16"/>
  <c r="V2089" i="16" s="1"/>
  <c r="U2095" i="16"/>
  <c r="U112" i="10"/>
  <c r="U36" i="10"/>
  <c r="X60" i="22"/>
  <c r="X64" i="22" s="1"/>
  <c r="W64" i="22"/>
  <c r="V89" i="10"/>
  <c r="V65" i="22"/>
  <c r="V92" i="12" s="1"/>
  <c r="V36" i="10" s="1"/>
  <c r="W38" i="22"/>
  <c r="W106" i="11" s="1"/>
  <c r="X33" i="22"/>
  <c r="X37" i="22" s="1"/>
  <c r="W71" i="10"/>
  <c r="X51" i="22"/>
  <c r="X55" i="22" s="1"/>
  <c r="W85" i="10"/>
  <c r="W56" i="22"/>
  <c r="V84" i="10"/>
  <c r="V118" i="10" s="1"/>
  <c r="V114" i="10"/>
  <c r="U462" i="20"/>
  <c r="V2058" i="16"/>
  <c r="V2047" i="16"/>
  <c r="V2059" i="16"/>
  <c r="W200" i="18"/>
  <c r="V201" i="18"/>
  <c r="V199" i="18"/>
  <c r="P1206" i="16" l="1"/>
  <c r="U1192" i="16"/>
  <c r="V35" i="8"/>
  <c r="W27" i="8"/>
  <c r="W11" i="20" s="1"/>
  <c r="V11" i="16"/>
  <c r="V11" i="11"/>
  <c r="V11" i="12"/>
  <c r="V11" i="20"/>
  <c r="V11" i="18"/>
  <c r="V11" i="22"/>
  <c r="U2088" i="16"/>
  <c r="U2096" i="16" s="1"/>
  <c r="V2079" i="16"/>
  <c r="W126" i="8"/>
  <c r="U1296" i="16"/>
  <c r="S923" i="12"/>
  <c r="S931" i="12" s="1"/>
  <c r="U1433" i="16"/>
  <c r="V2077" i="16"/>
  <c r="U1143" i="16"/>
  <c r="U1289" i="16"/>
  <c r="U2080" i="16"/>
  <c r="U2082" i="16" s="1"/>
  <c r="U256" i="20" s="1"/>
  <c r="U1303" i="16"/>
  <c r="U1282" i="16"/>
  <c r="U1440" i="16"/>
  <c r="O1364" i="16"/>
  <c r="P1364" i="16" s="1"/>
  <c r="M2130" i="16"/>
  <c r="M1365" i="16"/>
  <c r="N1365" i="16" s="1"/>
  <c r="U888" i="16"/>
  <c r="U161" i="16" s="1"/>
  <c r="O952" i="16"/>
  <c r="P952" i="16" s="1"/>
  <c r="U1164" i="16"/>
  <c r="M953" i="16"/>
  <c r="N953" i="16" s="1"/>
  <c r="P936" i="16"/>
  <c r="Q936" i="16" s="1"/>
  <c r="S2208" i="16"/>
  <c r="T1900" i="16"/>
  <c r="P935" i="16"/>
  <c r="Q935" i="16" s="1"/>
  <c r="L964" i="16"/>
  <c r="L965" i="16" s="1"/>
  <c r="K966" i="16"/>
  <c r="R934" i="16"/>
  <c r="S934" i="16" s="1"/>
  <c r="R1902" i="16"/>
  <c r="S1901" i="16"/>
  <c r="N2215" i="16"/>
  <c r="N585" i="16"/>
  <c r="O1949" i="16"/>
  <c r="Q2211" i="16"/>
  <c r="Q1923" i="16"/>
  <c r="R1921" i="16"/>
  <c r="M1951" i="16"/>
  <c r="M587" i="16" s="1"/>
  <c r="M794" i="16" s="1"/>
  <c r="M202" i="10" s="1"/>
  <c r="M346" i="10" s="1"/>
  <c r="N1950" i="16"/>
  <c r="M586" i="16"/>
  <c r="K1255" i="16"/>
  <c r="Q1922" i="16"/>
  <c r="U1150" i="16"/>
  <c r="U1461" i="16"/>
  <c r="U1136" i="16"/>
  <c r="U894" i="16"/>
  <c r="U164" i="16" s="1"/>
  <c r="V264" i="12"/>
  <c r="V905" i="16"/>
  <c r="L135" i="25"/>
  <c r="V1233" i="12"/>
  <c r="V1237" i="12" s="1"/>
  <c r="V1394" i="12" s="1"/>
  <c r="W1143" i="12"/>
  <c r="W1146" i="12"/>
  <c r="W1145" i="12"/>
  <c r="W1142" i="12"/>
  <c r="W1144" i="12"/>
  <c r="W1134" i="12"/>
  <c r="W1136" i="12"/>
  <c r="W1133" i="12"/>
  <c r="W1135" i="12"/>
  <c r="W1137" i="12"/>
  <c r="W1091" i="12"/>
  <c r="W1099" i="12"/>
  <c r="W1107" i="12"/>
  <c r="W1115" i="12"/>
  <c r="W1096" i="12"/>
  <c r="W1104" i="12"/>
  <c r="W1112" i="12"/>
  <c r="W1093" i="12"/>
  <c r="W1101" i="12"/>
  <c r="W1109" i="12"/>
  <c r="W1117" i="12"/>
  <c r="W1090" i="12"/>
  <c r="W1098" i="12"/>
  <c r="W1106" i="12"/>
  <c r="W1114" i="12"/>
  <c r="W1095" i="12"/>
  <c r="W1103" i="12"/>
  <c r="W1111" i="12"/>
  <c r="W1119" i="12"/>
  <c r="W1097" i="12"/>
  <c r="W1092" i="12"/>
  <c r="W1100" i="12"/>
  <c r="W1108" i="12"/>
  <c r="W1116" i="12"/>
  <c r="W1094" i="12"/>
  <c r="W1102" i="12"/>
  <c r="W1110" i="12"/>
  <c r="W1118" i="12"/>
  <c r="W1105" i="12"/>
  <c r="W1113" i="12"/>
  <c r="W1047" i="12"/>
  <c r="W1055" i="12"/>
  <c r="W1063" i="12"/>
  <c r="W1071" i="12"/>
  <c r="W1079" i="12"/>
  <c r="W1051" i="12"/>
  <c r="W1052" i="12"/>
  <c r="W1060" i="12"/>
  <c r="W1068" i="12"/>
  <c r="W1076" i="12"/>
  <c r="W1084" i="12"/>
  <c r="W1059" i="12"/>
  <c r="W1049" i="12"/>
  <c r="W1057" i="12"/>
  <c r="W1065" i="12"/>
  <c r="W1073" i="12"/>
  <c r="W1081" i="12"/>
  <c r="W1067" i="12"/>
  <c r="W1075" i="12"/>
  <c r="W1046" i="12"/>
  <c r="W1054" i="12"/>
  <c r="W1062" i="12"/>
  <c r="W1070" i="12"/>
  <c r="W1078" i="12"/>
  <c r="W1048" i="12"/>
  <c r="W1056" i="12"/>
  <c r="W1064" i="12"/>
  <c r="W1072" i="12"/>
  <c r="W1080" i="12"/>
  <c r="W1050" i="12"/>
  <c r="W1066" i="12"/>
  <c r="W1053" i="12"/>
  <c r="W1061" i="12"/>
  <c r="W1069" i="12"/>
  <c r="W1077" i="12"/>
  <c r="W1085" i="12"/>
  <c r="W1058" i="12"/>
  <c r="W1074" i="12"/>
  <c r="W1082" i="12"/>
  <c r="W1083" i="12"/>
  <c r="W1280" i="16"/>
  <c r="W2118" i="16" s="1"/>
  <c r="W1603" i="16"/>
  <c r="W1002" i="12"/>
  <c r="W1010" i="12"/>
  <c r="W1018" i="12"/>
  <c r="W1026" i="12"/>
  <c r="W1034" i="12"/>
  <c r="W1016" i="12"/>
  <c r="W1007" i="12"/>
  <c r="W1015" i="12"/>
  <c r="W1023" i="12"/>
  <c r="W1031" i="12"/>
  <c r="W1039" i="12"/>
  <c r="W1004" i="12"/>
  <c r="W1012" i="12"/>
  <c r="W1020" i="12"/>
  <c r="W1028" i="12"/>
  <c r="W1036" i="12"/>
  <c r="W1001" i="12"/>
  <c r="W1009" i="12"/>
  <c r="W1017" i="12"/>
  <c r="W1025" i="12"/>
  <c r="W1033" i="12"/>
  <c r="W1006" i="12"/>
  <c r="W1014" i="12"/>
  <c r="W1022" i="12"/>
  <c r="W1030" i="12"/>
  <c r="W1038" i="12"/>
  <c r="W1003" i="12"/>
  <c r="W1011" i="12"/>
  <c r="W1019" i="12"/>
  <c r="W1027" i="12"/>
  <c r="W1035" i="12"/>
  <c r="W1005" i="12"/>
  <c r="W1013" i="12"/>
  <c r="W1021" i="12"/>
  <c r="W1029" i="12"/>
  <c r="W1037" i="12"/>
  <c r="W1008" i="12"/>
  <c r="W1040" i="12"/>
  <c r="W1032" i="12"/>
  <c r="W1024" i="12"/>
  <c r="W992" i="12"/>
  <c r="W994" i="12"/>
  <c r="W991" i="12"/>
  <c r="W995" i="12"/>
  <c r="W993" i="12"/>
  <c r="W968" i="12"/>
  <c r="W976" i="12"/>
  <c r="W984" i="12"/>
  <c r="W973" i="12"/>
  <c r="W981" i="12"/>
  <c r="W970" i="12"/>
  <c r="W978" i="12"/>
  <c r="W986" i="12"/>
  <c r="W967" i="12"/>
  <c r="W975" i="12"/>
  <c r="W983" i="12"/>
  <c r="W982" i="12"/>
  <c r="W972" i="12"/>
  <c r="W980" i="12"/>
  <c r="W969" i="12"/>
  <c r="W977" i="12"/>
  <c r="W985" i="12"/>
  <c r="W974" i="12"/>
  <c r="W971" i="12"/>
  <c r="W979" i="12"/>
  <c r="W901" i="12"/>
  <c r="W903" i="12"/>
  <c r="W904" i="12"/>
  <c r="W900" i="12"/>
  <c r="W902" i="12"/>
  <c r="T1406" i="12"/>
  <c r="W892" i="12"/>
  <c r="W893" i="12"/>
  <c r="W894" i="12"/>
  <c r="W891" i="12"/>
  <c r="W895" i="12"/>
  <c r="W849" i="12"/>
  <c r="W1332" i="12" s="1"/>
  <c r="W857" i="12"/>
  <c r="W865" i="12"/>
  <c r="W873" i="12"/>
  <c r="W850" i="12"/>
  <c r="W855" i="12"/>
  <c r="W854" i="12"/>
  <c r="W862" i="12"/>
  <c r="W870" i="12"/>
  <c r="W858" i="12"/>
  <c r="W874" i="12"/>
  <c r="W871" i="12"/>
  <c r="W851" i="12"/>
  <c r="W859" i="12"/>
  <c r="W867" i="12"/>
  <c r="W875" i="12"/>
  <c r="W848" i="12"/>
  <c r="W856" i="12"/>
  <c r="W864" i="12"/>
  <c r="W872" i="12"/>
  <c r="W866" i="12"/>
  <c r="W863" i="12"/>
  <c r="W853" i="12"/>
  <c r="W861" i="12"/>
  <c r="W869" i="12"/>
  <c r="W877" i="12"/>
  <c r="W852" i="12"/>
  <c r="W1335" i="12" s="1"/>
  <c r="W860" i="12"/>
  <c r="W868" i="12"/>
  <c r="W876" i="12"/>
  <c r="U1401" i="12"/>
  <c r="U1411" i="12" s="1"/>
  <c r="M68" i="25" s="1"/>
  <c r="W805" i="12"/>
  <c r="W1288" i="12" s="1"/>
  <c r="W813" i="12"/>
  <c r="W821" i="12"/>
  <c r="W829" i="12"/>
  <c r="W837" i="12"/>
  <c r="W835" i="12"/>
  <c r="W810" i="12"/>
  <c r="W818" i="12"/>
  <c r="W826" i="12"/>
  <c r="W834" i="12"/>
  <c r="W842" i="12"/>
  <c r="W807" i="12"/>
  <c r="W815" i="12"/>
  <c r="W823" i="12"/>
  <c r="W831" i="12"/>
  <c r="W839" i="12"/>
  <c r="W827" i="12"/>
  <c r="W804" i="12"/>
  <c r="W812" i="12"/>
  <c r="W820" i="12"/>
  <c r="W828" i="12"/>
  <c r="W836" i="12"/>
  <c r="W819" i="12"/>
  <c r="W843" i="12"/>
  <c r="W809" i="12"/>
  <c r="W817" i="12"/>
  <c r="W825" i="12"/>
  <c r="W833" i="12"/>
  <c r="W841" i="12"/>
  <c r="W806" i="12"/>
  <c r="W814" i="12"/>
  <c r="W822" i="12"/>
  <c r="W830" i="12"/>
  <c r="W838" i="12"/>
  <c r="W808" i="12"/>
  <c r="W1291" i="12" s="1"/>
  <c r="W816" i="12"/>
  <c r="W824" i="12"/>
  <c r="W832" i="12"/>
  <c r="W840" i="12"/>
  <c r="W811" i="12"/>
  <c r="V1282" i="12"/>
  <c r="V1395" i="12" s="1"/>
  <c r="W760" i="12"/>
  <c r="W1243" i="12" s="1"/>
  <c r="W768" i="12"/>
  <c r="W776" i="12"/>
  <c r="W784" i="12"/>
  <c r="W792" i="12"/>
  <c r="W765" i="12"/>
  <c r="W773" i="12"/>
  <c r="W781" i="12"/>
  <c r="W789" i="12"/>
  <c r="W797" i="12"/>
  <c r="W762" i="12"/>
  <c r="W770" i="12"/>
  <c r="W778" i="12"/>
  <c r="W786" i="12"/>
  <c r="W794" i="12"/>
  <c r="W759" i="12"/>
  <c r="W767" i="12"/>
  <c r="W775" i="12"/>
  <c r="W783" i="12"/>
  <c r="W791" i="12"/>
  <c r="W764" i="12"/>
  <c r="W772" i="12"/>
  <c r="W780" i="12"/>
  <c r="W788" i="12"/>
  <c r="W796" i="12"/>
  <c r="W761" i="12"/>
  <c r="W769" i="12"/>
  <c r="W777" i="12"/>
  <c r="W785" i="12"/>
  <c r="W793" i="12"/>
  <c r="W766" i="12"/>
  <c r="W774" i="12"/>
  <c r="W782" i="12"/>
  <c r="W790" i="12"/>
  <c r="W798" i="12"/>
  <c r="W763" i="12"/>
  <c r="W1246" i="12" s="1"/>
  <c r="W771" i="12"/>
  <c r="W779" i="12"/>
  <c r="W787" i="12"/>
  <c r="W795" i="12"/>
  <c r="W749" i="12"/>
  <c r="W752" i="12"/>
  <c r="W751" i="12"/>
  <c r="W750" i="12"/>
  <c r="W753" i="12"/>
  <c r="V1361" i="12"/>
  <c r="V1397" i="12" s="1"/>
  <c r="V1327" i="12"/>
  <c r="V1396" i="12" s="1"/>
  <c r="V1228" i="12"/>
  <c r="V1393" i="12" s="1"/>
  <c r="M155" i="25"/>
  <c r="M201" i="25" s="1"/>
  <c r="M239" i="25" s="1"/>
  <c r="M258" i="25" s="1"/>
  <c r="M266" i="25" s="1"/>
  <c r="M418" i="25"/>
  <c r="W726" i="12"/>
  <c r="W1209" i="12" s="1"/>
  <c r="W734" i="12"/>
  <c r="W742" i="12"/>
  <c r="W730" i="12"/>
  <c r="W731" i="12"/>
  <c r="W739" i="12"/>
  <c r="W738" i="12"/>
  <c r="W728" i="12"/>
  <c r="W736" i="12"/>
  <c r="W744" i="12"/>
  <c r="W725" i="12"/>
  <c r="W733" i="12"/>
  <c r="W741" i="12"/>
  <c r="W727" i="12"/>
  <c r="W735" i="12"/>
  <c r="W743" i="12"/>
  <c r="W729" i="12"/>
  <c r="W1212" i="12" s="1"/>
  <c r="W732" i="12"/>
  <c r="W740" i="12"/>
  <c r="W737" i="12"/>
  <c r="V930" i="12"/>
  <c r="V216" i="10" s="1"/>
  <c r="V360" i="10" s="1"/>
  <c r="W943" i="12"/>
  <c r="W946" i="12"/>
  <c r="W950" i="12"/>
  <c r="W954" i="12"/>
  <c r="W958" i="12"/>
  <c r="W962" i="12"/>
  <c r="W951" i="12"/>
  <c r="W945" i="12"/>
  <c r="W949" i="12"/>
  <c r="W953" i="12"/>
  <c r="W957" i="12"/>
  <c r="W961" i="12"/>
  <c r="W944" i="12"/>
  <c r="W948" i="12"/>
  <c r="W952" i="12"/>
  <c r="W956" i="12"/>
  <c r="W960" i="12"/>
  <c r="W955" i="12"/>
  <c r="W947" i="12"/>
  <c r="W959" i="12"/>
  <c r="W701" i="12"/>
  <c r="W704" i="12"/>
  <c r="W708" i="12"/>
  <c r="W712" i="12"/>
  <c r="W716" i="12"/>
  <c r="W720" i="12"/>
  <c r="W709" i="12"/>
  <c r="W703" i="12"/>
  <c r="W707" i="12"/>
  <c r="W711" i="12"/>
  <c r="W715" i="12"/>
  <c r="W719" i="12"/>
  <c r="W705" i="12"/>
  <c r="W1188" i="12" s="1"/>
  <c r="W713" i="12"/>
  <c r="W702" i="12"/>
  <c r="W1185" i="12" s="1"/>
  <c r="W706" i="12"/>
  <c r="W710" i="12"/>
  <c r="W714" i="12"/>
  <c r="W718" i="12"/>
  <c r="W717" i="12"/>
  <c r="M277" i="25"/>
  <c r="M324" i="25"/>
  <c r="M465" i="25"/>
  <c r="M371" i="25"/>
  <c r="V33" i="18"/>
  <c r="V38" i="18" s="1"/>
  <c r="V1191" i="16"/>
  <c r="V899" i="16"/>
  <c r="V1135" i="16"/>
  <c r="V1177" i="16"/>
  <c r="V1178" i="16" s="1"/>
  <c r="V86" i="18"/>
  <c r="M48" i="25"/>
  <c r="V1170" i="16"/>
  <c r="V206" i="12"/>
  <c r="V585" i="12"/>
  <c r="V161" i="12"/>
  <c r="W616" i="16"/>
  <c r="W1394" i="16"/>
  <c r="V1887" i="16"/>
  <c r="W1325" i="16"/>
  <c r="W457" i="16"/>
  <c r="W1834" i="16"/>
  <c r="W459" i="16" s="1"/>
  <c r="W95" i="16"/>
  <c r="W1476" i="16"/>
  <c r="W145" i="20"/>
  <c r="W127" i="10"/>
  <c r="W63" i="18"/>
  <c r="V1488" i="12"/>
  <c r="V1520" i="12"/>
  <c r="V1441" i="12"/>
  <c r="V1563" i="12"/>
  <c r="V752" i="16"/>
  <c r="V214" i="20" s="1"/>
  <c r="V1438" i="12"/>
  <c r="V1578" i="12"/>
  <c r="V1586" i="12"/>
  <c r="V1594" i="12"/>
  <c r="V1513" i="12"/>
  <c r="V1600" i="12"/>
  <c r="V1437" i="12"/>
  <c r="V1575" i="12"/>
  <c r="V1497" i="12"/>
  <c r="V1466" i="12"/>
  <c r="V1489" i="12"/>
  <c r="V1500" i="12"/>
  <c r="V1521" i="12"/>
  <c r="V1486" i="12"/>
  <c r="V1583" i="12"/>
  <c r="V1577" i="12"/>
  <c r="V1534" i="12"/>
  <c r="V1440" i="12"/>
  <c r="V1461" i="12"/>
  <c r="V1528" i="12"/>
  <c r="V1591" i="12"/>
  <c r="L68" i="25"/>
  <c r="L217" i="25"/>
  <c r="V1561" i="12"/>
  <c r="V1536" i="12"/>
  <c r="L218" i="25"/>
  <c r="V1580" i="12"/>
  <c r="V1512" i="12"/>
  <c r="V1519" i="12"/>
  <c r="V1494" i="12"/>
  <c r="V1435" i="12"/>
  <c r="V1467" i="12"/>
  <c r="U2055" i="16"/>
  <c r="U796" i="16" s="1"/>
  <c r="U204" i="10" s="1"/>
  <c r="V1566" i="12"/>
  <c r="V1565" i="12"/>
  <c r="V1425" i="12"/>
  <c r="V1502" i="12"/>
  <c r="V1450" i="12"/>
  <c r="V155" i="11"/>
  <c r="V1593" i="12"/>
  <c r="V1473" i="12"/>
  <c r="V1448" i="12"/>
  <c r="V1553" i="12"/>
  <c r="V1511" i="12"/>
  <c r="V1432" i="12"/>
  <c r="V1514" i="12"/>
  <c r="L136" i="25"/>
  <c r="V757" i="16"/>
  <c r="V219" i="20" s="1"/>
  <c r="V1518" i="12"/>
  <c r="V1474" i="12"/>
  <c r="V1431" i="12"/>
  <c r="V1552" i="12"/>
  <c r="V1535" i="12"/>
  <c r="V1547" i="12"/>
  <c r="V1452" i="12"/>
  <c r="V1460" i="12"/>
  <c r="V1560" i="12"/>
  <c r="V1459" i="12"/>
  <c r="V1555" i="12"/>
  <c r="V1465" i="12"/>
  <c r="V753" i="16"/>
  <c r="V215" i="20" s="1"/>
  <c r="V158" i="11"/>
  <c r="V1492" i="12"/>
  <c r="V1509" i="12"/>
  <c r="V1592" i="12"/>
  <c r="V1542" i="12"/>
  <c r="V1571" i="12"/>
  <c r="V1537" i="12"/>
  <c r="V1495" i="12"/>
  <c r="V1434" i="12"/>
  <c r="V1550" i="12"/>
  <c r="V1449" i="12"/>
  <c r="V1545" i="12"/>
  <c r="V1503" i="12"/>
  <c r="V1588" i="12"/>
  <c r="V1558" i="12"/>
  <c r="V1451" i="12"/>
  <c r="V1501" i="12"/>
  <c r="V1595" i="12"/>
  <c r="V1454" i="12"/>
  <c r="V1598" i="12"/>
  <c r="L256" i="25"/>
  <c r="V761" i="16"/>
  <c r="V223" i="20" s="1"/>
  <c r="L255" i="25"/>
  <c r="V1462" i="12"/>
  <c r="V1490" i="12"/>
  <c r="V1579" i="12"/>
  <c r="V1498" i="12"/>
  <c r="V1587" i="12"/>
  <c r="V1428" i="12"/>
  <c r="V1476" i="12"/>
  <c r="V1516" i="12"/>
  <c r="V1529" i="12"/>
  <c r="V1596" i="12"/>
  <c r="V1458" i="12"/>
  <c r="V1574" i="12"/>
  <c r="V1504" i="12"/>
  <c r="V1517" i="12"/>
  <c r="V1475" i="12"/>
  <c r="V1427" i="12"/>
  <c r="V1582" i="12"/>
  <c r="V1531" i="12"/>
  <c r="V1573" i="12"/>
  <c r="V1532" i="12"/>
  <c r="V1443" i="12"/>
  <c r="V1590" i="12"/>
  <c r="V1484" i="12"/>
  <c r="V1530" i="12"/>
  <c r="V1482" i="12"/>
  <c r="V1557" i="12"/>
  <c r="V1515" i="12"/>
  <c r="V772" i="16"/>
  <c r="V234" i="20" s="1"/>
  <c r="V1457" i="12"/>
  <c r="V1572" i="12"/>
  <c r="V1496" i="12"/>
  <c r="V1493" i="12"/>
  <c r="V1584" i="12"/>
  <c r="V1581" i="12"/>
  <c r="V1483" i="12"/>
  <c r="V1538" i="12"/>
  <c r="V1487" i="12"/>
  <c r="V1589" i="12"/>
  <c r="V1508" i="12"/>
  <c r="V1543" i="12"/>
  <c r="V1439" i="12"/>
  <c r="V1597" i="12"/>
  <c r="V1556" i="12"/>
  <c r="V1576" i="12"/>
  <c r="V1551" i="12"/>
  <c r="V1456" i="12"/>
  <c r="V1464" i="12"/>
  <c r="V1564" i="12"/>
  <c r="V1463" i="12"/>
  <c r="V1559" i="12"/>
  <c r="V1429" i="12"/>
  <c r="V1562" i="12"/>
  <c r="V1455" i="12"/>
  <c r="V1505" i="12"/>
  <c r="V1599" i="12"/>
  <c r="V2062" i="16"/>
  <c r="V2068" i="16" s="1"/>
  <c r="V1539" i="12"/>
  <c r="V1485" i="12"/>
  <c r="V1433" i="12"/>
  <c r="V1506" i="12"/>
  <c r="V1540" i="12"/>
  <c r="U2068" i="16"/>
  <c r="U2069" i="16" s="1"/>
  <c r="V1453" i="12"/>
  <c r="V1430" i="12"/>
  <c r="V1548" i="12"/>
  <c r="V1533" i="12"/>
  <c r="V1491" i="12"/>
  <c r="V1426" i="12"/>
  <c r="V1546" i="12"/>
  <c r="V1472" i="12"/>
  <c r="V1541" i="12"/>
  <c r="V1499" i="12"/>
  <c r="V1442" i="12"/>
  <c r="V1554" i="12"/>
  <c r="V1527" i="12"/>
  <c r="V1549" i="12"/>
  <c r="V1507" i="12"/>
  <c r="V1424" i="12"/>
  <c r="V1510" i="12"/>
  <c r="V1436" i="12"/>
  <c r="V1585" i="12"/>
  <c r="V2093" i="16"/>
  <c r="V2052" i="16"/>
  <c r="V1156" i="16"/>
  <c r="V1157" i="16" s="1"/>
  <c r="V923" i="16"/>
  <c r="V486" i="20"/>
  <c r="V487" i="20" s="1"/>
  <c r="V636" i="12"/>
  <c r="V514" i="20"/>
  <c r="W158" i="20"/>
  <c r="W1724" i="12"/>
  <c r="W1740" i="12"/>
  <c r="W1504" i="16"/>
  <c r="W367" i="16" s="1"/>
  <c r="W1283" i="16"/>
  <c r="W221" i="10"/>
  <c r="W365" i="10" s="1"/>
  <c r="W1585" i="16"/>
  <c r="W328" i="16"/>
  <c r="W1699" i="12"/>
  <c r="X28" i="8"/>
  <c r="W82" i="12"/>
  <c r="W1516" i="16"/>
  <c r="W335" i="20"/>
  <c r="W1667" i="12"/>
  <c r="W426" i="16"/>
  <c r="W1715" i="12"/>
  <c r="W70" i="12"/>
  <c r="W106" i="12" s="1"/>
  <c r="W26" i="10" s="1"/>
  <c r="W1503" i="16"/>
  <c r="W366" i="16" s="1"/>
  <c r="W1782" i="12"/>
  <c r="W1795" i="12"/>
  <c r="W1790" i="12"/>
  <c r="W1758" i="12"/>
  <c r="W435" i="16"/>
  <c r="W1627" i="16"/>
  <c r="W1169" i="16"/>
  <c r="W1774" i="12"/>
  <c r="W1669" i="12"/>
  <c r="W615" i="16"/>
  <c r="W74" i="11"/>
  <c r="W1829" i="12"/>
  <c r="W657" i="16"/>
  <c r="W776" i="16" s="1"/>
  <c r="W238" i="20" s="1"/>
  <c r="W437" i="16"/>
  <c r="W441" i="16"/>
  <c r="W198" i="16"/>
  <c r="W352" i="16"/>
  <c r="W12" i="20"/>
  <c r="W25" i="20" s="1"/>
  <c r="W1188" i="20" s="1"/>
  <c r="W122" i="16"/>
  <c r="W1793" i="12"/>
  <c r="W124" i="11"/>
  <c r="W1839" i="12"/>
  <c r="W1729" i="12"/>
  <c r="W141" i="20"/>
  <c r="W1311" i="16"/>
  <c r="W63" i="12"/>
  <c r="W136" i="20"/>
  <c r="W576" i="16"/>
  <c r="W103" i="20"/>
  <c r="W2031" i="16"/>
  <c r="W64" i="20"/>
  <c r="W171" i="20"/>
  <c r="W200" i="16"/>
  <c r="W214" i="16"/>
  <c r="W204" i="16"/>
  <c r="W133" i="16"/>
  <c r="W109" i="16"/>
  <c r="W114" i="16"/>
  <c r="W115" i="16"/>
  <c r="W48" i="20"/>
  <c r="W43" i="20"/>
  <c r="W1186" i="16"/>
  <c r="W1235" i="16"/>
  <c r="W901" i="20"/>
  <c r="W96" i="16"/>
  <c r="W101" i="16"/>
  <c r="W201" i="16"/>
  <c r="W208" i="16"/>
  <c r="W130" i="16"/>
  <c r="W106" i="16"/>
  <c r="W107" i="16"/>
  <c r="W46" i="20"/>
  <c r="W33" i="20"/>
  <c r="W36" i="20"/>
  <c r="W1200" i="16"/>
  <c r="W1242" i="16"/>
  <c r="W104" i="16"/>
  <c r="W103" i="16"/>
  <c r="W1655" i="16"/>
  <c r="W178" i="20"/>
  <c r="W2085" i="16"/>
  <c r="W453" i="16"/>
  <c r="W1835" i="12"/>
  <c r="W1770" i="12"/>
  <c r="W1676" i="12"/>
  <c r="W1157" i="12"/>
  <c r="W112" i="16"/>
  <c r="W205" i="16"/>
  <c r="W212" i="16"/>
  <c r="W123" i="16"/>
  <c r="W131" i="16"/>
  <c r="W121" i="16"/>
  <c r="W38" i="20"/>
  <c r="W40" i="20"/>
  <c r="W1151" i="16"/>
  <c r="W1207" i="16"/>
  <c r="W1249" i="16"/>
  <c r="W1263" i="16"/>
  <c r="W915" i="12"/>
  <c r="W1930" i="12" s="1"/>
  <c r="W874" i="16"/>
  <c r="W99" i="16"/>
  <c r="W1318" i="16"/>
  <c r="W187" i="20"/>
  <c r="W62" i="20"/>
  <c r="W440" i="16"/>
  <c r="W1751" i="12"/>
  <c r="W421" i="16"/>
  <c r="W1792" i="12"/>
  <c r="W617" i="12"/>
  <c r="W88" i="12"/>
  <c r="W110" i="12" s="1"/>
  <c r="W32" i="10" s="1"/>
  <c r="W1381" i="16"/>
  <c r="W26" i="22"/>
  <c r="W97" i="20"/>
  <c r="W583" i="16"/>
  <c r="W362" i="16"/>
  <c r="W1814" i="12"/>
  <c r="W1781" i="12"/>
  <c r="W1163" i="12"/>
  <c r="W60" i="12"/>
  <c r="W105" i="12" s="1"/>
  <c r="W25" i="10" s="1"/>
  <c r="W1483" i="16"/>
  <c r="W156" i="20"/>
  <c r="W155" i="20"/>
  <c r="W432" i="16"/>
  <c r="W1743" i="12"/>
  <c r="W1817" i="12"/>
  <c r="W1702" i="12"/>
  <c r="W188" i="20"/>
  <c r="W1462" i="16"/>
  <c r="W103" i="22"/>
  <c r="W120" i="16"/>
  <c r="W209" i="16"/>
  <c r="W199" i="16"/>
  <c r="W108" i="16"/>
  <c r="W129" i="16"/>
  <c r="W118" i="16"/>
  <c r="W39" i="20"/>
  <c r="W32" i="20"/>
  <c r="W1165" i="16"/>
  <c r="W1214" i="16"/>
  <c r="W174" i="16"/>
  <c r="W898" i="16"/>
  <c r="W98" i="16"/>
  <c r="W1530" i="16"/>
  <c r="W189" i="20"/>
  <c r="W67" i="20"/>
  <c r="W281" i="16"/>
  <c r="W22" i="16"/>
  <c r="W1825" i="12"/>
  <c r="W1664" i="12"/>
  <c r="W53" i="11"/>
  <c r="W20" i="12"/>
  <c r="W102" i="12" s="1"/>
  <c r="W22" i="10" s="1"/>
  <c r="W1599" i="16"/>
  <c r="W44" i="18"/>
  <c r="W128" i="20"/>
  <c r="W2035" i="16"/>
  <c r="W2061" i="16" s="1"/>
  <c r="W422" i="16"/>
  <c r="W1730" i="12"/>
  <c r="W1695" i="12"/>
  <c r="W157" i="16"/>
  <c r="W128" i="16"/>
  <c r="W213" i="16"/>
  <c r="W203" i="16"/>
  <c r="W116" i="16"/>
  <c r="W113" i="16"/>
  <c r="W127" i="16"/>
  <c r="W45" i="20"/>
  <c r="W34" i="20"/>
  <c r="W1158" i="16"/>
  <c r="W1221" i="16"/>
  <c r="W141" i="16"/>
  <c r="W102" i="16"/>
  <c r="W300" i="10"/>
  <c r="W179" i="20"/>
  <c r="W123" i="20"/>
  <c r="W439" i="16"/>
  <c r="W1779" i="12"/>
  <c r="W1745" i="12"/>
  <c r="W1752" i="12"/>
  <c r="W23" i="12"/>
  <c r="W206" i="16"/>
  <c r="W132" i="16"/>
  <c r="W211" i="16"/>
  <c r="W134" i="16"/>
  <c r="W119" i="16"/>
  <c r="W125" i="16"/>
  <c r="W42" i="20"/>
  <c r="W47" i="20"/>
  <c r="W1179" i="16"/>
  <c r="W1162" i="16"/>
  <c r="W527" i="20"/>
  <c r="W79" i="16"/>
  <c r="W97" i="16"/>
  <c r="W207" i="16"/>
  <c r="W44" i="20"/>
  <c r="W100" i="16"/>
  <c r="W1448" i="16"/>
  <c r="W144" i="20"/>
  <c r="W357" i="16"/>
  <c r="W1772" i="12"/>
  <c r="W327" i="16"/>
  <c r="W1497" i="16"/>
  <c r="W174" i="20"/>
  <c r="W2037" i="16"/>
  <c r="W2050" i="16" s="1"/>
  <c r="W329" i="16"/>
  <c r="W274" i="16"/>
  <c r="W1736" i="12"/>
  <c r="W1835" i="16"/>
  <c r="W460" i="16" s="1"/>
  <c r="W1441" i="16"/>
  <c r="W169" i="20"/>
  <c r="W2039" i="16"/>
  <c r="W358" i="16"/>
  <c r="W1726" i="12"/>
  <c r="W1748" i="12"/>
  <c r="W170" i="20"/>
  <c r="W1332" i="16"/>
  <c r="W173" i="20"/>
  <c r="W100" i="20"/>
  <c r="W577" i="16"/>
  <c r="W1823" i="12"/>
  <c r="W1700" i="12"/>
  <c r="W1665" i="12"/>
  <c r="W117" i="20"/>
  <c r="W1648" i="16"/>
  <c r="W98" i="10"/>
  <c r="W190" i="20"/>
  <c r="W142" i="20"/>
  <c r="W423" i="16"/>
  <c r="W1705" i="12"/>
  <c r="W1801" i="12"/>
  <c r="W1768" i="12"/>
  <c r="W1490" i="16"/>
  <c r="W132" i="20"/>
  <c r="W98" i="20"/>
  <c r="W360" i="16"/>
  <c r="W1815" i="12"/>
  <c r="W1692" i="12"/>
  <c r="W70" i="16"/>
  <c r="W1706" i="12"/>
  <c r="W81" i="20"/>
  <c r="W1290" i="16"/>
  <c r="W41" i="22"/>
  <c r="W177" i="20"/>
  <c r="W2044" i="16"/>
  <c r="W272" i="16"/>
  <c r="W1826" i="12"/>
  <c r="W1707" i="12"/>
  <c r="W1404" i="12"/>
  <c r="W574" i="16"/>
  <c r="W116" i="18"/>
  <c r="W355" i="16"/>
  <c r="W1668" i="12"/>
  <c r="W1783" i="12"/>
  <c r="W194" i="20"/>
  <c r="W1688" i="12"/>
  <c r="W201" i="11"/>
  <c r="W430" i="16"/>
  <c r="W242" i="10"/>
  <c r="W260" i="10"/>
  <c r="W403" i="10" s="1"/>
  <c r="W121" i="22"/>
  <c r="W353" i="16"/>
  <c r="W581" i="16"/>
  <c r="W1804" i="12"/>
  <c r="W175" i="20"/>
  <c r="W240" i="11"/>
  <c r="W172" i="20"/>
  <c r="W38" i="12"/>
  <c r="W104" i="12" s="1"/>
  <c r="W24" i="10" s="1"/>
  <c r="W215" i="16"/>
  <c r="W41" i="20"/>
  <c r="W135" i="16"/>
  <c r="W46" i="10"/>
  <c r="W619" i="16"/>
  <c r="W1682" i="12"/>
  <c r="W1832" i="12"/>
  <c r="W1500" i="16"/>
  <c r="W363" i="16" s="1"/>
  <c r="W1537" i="16"/>
  <c r="W149" i="20"/>
  <c r="W70" i="20"/>
  <c r="W1831" i="12"/>
  <c r="W1821" i="12"/>
  <c r="W1816" i="12"/>
  <c r="W230" i="10"/>
  <c r="W373" i="10" s="1"/>
  <c r="W1544" i="16"/>
  <c r="W147" i="20"/>
  <c r="W579" i="16"/>
  <c r="W354" i="16"/>
  <c r="W1794" i="12"/>
  <c r="W282" i="16"/>
  <c r="W160" i="20"/>
  <c r="W1408" i="16"/>
  <c r="W148" i="20"/>
  <c r="W127" i="20"/>
  <c r="W564" i="16"/>
  <c r="W1739" i="12"/>
  <c r="W12" i="16"/>
  <c r="W192" i="16" s="1"/>
  <c r="W1732" i="12"/>
  <c r="W83" i="20"/>
  <c r="W1469" i="16"/>
  <c r="W82" i="22"/>
  <c r="W71" i="20"/>
  <c r="W2033" i="16"/>
  <c r="W2046" i="16" s="1"/>
  <c r="W280" i="16"/>
  <c r="W1834" i="12"/>
  <c r="W1769" i="12"/>
  <c r="W1679" i="12"/>
  <c r="W1374" i="16"/>
  <c r="W107" i="18"/>
  <c r="W2036" i="16"/>
  <c r="W2062" i="16" s="1"/>
  <c r="W420" i="16"/>
  <c r="W1731" i="12"/>
  <c r="W1837" i="12"/>
  <c r="W1680" i="12"/>
  <c r="W1399" i="12"/>
  <c r="W161" i="20"/>
  <c r="W1422" i="16"/>
  <c r="W20" i="22"/>
  <c r="W195" i="20"/>
  <c r="W434" i="16"/>
  <c r="W1742" i="12"/>
  <c r="W1398" i="12"/>
  <c r="W58" i="20"/>
  <c r="W229" i="10"/>
  <c r="W1749" i="12"/>
  <c r="W197" i="20"/>
  <c r="W116" i="20"/>
  <c r="W105" i="16"/>
  <c r="W35" i="20"/>
  <c r="W910" i="16"/>
  <c r="W68" i="22"/>
  <c r="W698" i="16"/>
  <c r="W1818" i="12"/>
  <c r="W1675" i="12"/>
  <c r="W1903" i="16"/>
  <c r="W603" i="12"/>
  <c r="W84" i="20"/>
  <c r="W447" i="16"/>
  <c r="W1747" i="12"/>
  <c r="W1741" i="12"/>
  <c r="W698" i="12"/>
  <c r="W551" i="12"/>
  <c r="W610" i="12" s="1"/>
  <c r="W271" i="10"/>
  <c r="W68" i="20"/>
  <c r="W443" i="16"/>
  <c r="W216" i="16"/>
  <c r="W1704" i="12"/>
  <c r="W1800" i="12"/>
  <c r="W1833" i="16"/>
  <c r="W458" i="16" s="1"/>
  <c r="W1360" i="16"/>
  <c r="W143" i="20"/>
  <c r="W2040" i="16"/>
  <c r="W2066" i="16" s="1"/>
  <c r="W2094" i="16" s="1"/>
  <c r="W428" i="16"/>
  <c r="W1799" i="12"/>
  <c r="W1813" i="12"/>
  <c r="W30" i="16"/>
  <c r="W418" i="16"/>
  <c r="W1339" i="16"/>
  <c r="W12" i="18"/>
  <c r="W49" i="20"/>
  <c r="W621" i="16"/>
  <c r="W456" i="16"/>
  <c r="W1750" i="12"/>
  <c r="W1836" i="12"/>
  <c r="W629" i="12"/>
  <c r="W385" i="10"/>
  <c r="W489" i="10" s="1"/>
  <c r="W138" i="20"/>
  <c r="W786" i="16"/>
  <c r="W359" i="16"/>
  <c r="W1791" i="12"/>
  <c r="W1757" i="12"/>
  <c r="W1812" i="12"/>
  <c r="W91" i="12"/>
  <c r="W71" i="11"/>
  <c r="W117" i="11" s="1"/>
  <c r="W19" i="10" s="1"/>
  <c r="W1620" i="16"/>
  <c r="W137" i="20"/>
  <c r="W69" i="20"/>
  <c r="W450" i="16"/>
  <c r="W271" i="16"/>
  <c r="W1778" i="12"/>
  <c r="W1694" i="12"/>
  <c r="W1674" i="12"/>
  <c r="W177" i="11"/>
  <c r="W243" i="11" s="1"/>
  <c r="W162" i="10" s="1"/>
  <c r="W580" i="16"/>
  <c r="W591" i="12"/>
  <c r="W613" i="12" s="1"/>
  <c r="W1836" i="16"/>
  <c r="W461" i="16" s="1"/>
  <c r="W1780" i="12"/>
  <c r="W455" i="16"/>
  <c r="W2034" i="16"/>
  <c r="W2060" i="16" s="1"/>
  <c r="W2088" i="16" s="1"/>
  <c r="W168" i="11"/>
  <c r="W242" i="11" s="1"/>
  <c r="W161" i="10" s="1"/>
  <c r="W1703" i="12"/>
  <c r="W2041" i="16"/>
  <c r="W2067" i="16" s="1"/>
  <c r="W2095" i="16" s="1"/>
  <c r="W2057" i="16"/>
  <c r="W96" i="20"/>
  <c r="W94" i="20"/>
  <c r="W111" i="16"/>
  <c r="W37" i="20"/>
  <c r="W94" i="22"/>
  <c r="W451" i="16"/>
  <c r="W1734" i="12"/>
  <c r="W1400" i="12"/>
  <c r="W1924" i="16"/>
  <c r="W334" i="10"/>
  <c r="W122" i="20"/>
  <c r="W618" i="16"/>
  <c r="W1878" i="12"/>
  <c r="W1916" i="12" s="1"/>
  <c r="W1880" i="12"/>
  <c r="W1919" i="12" s="1"/>
  <c r="W35" i="11"/>
  <c r="W1144" i="16"/>
  <c r="W130" i="22"/>
  <c r="W102" i="20"/>
  <c r="W2038" i="16"/>
  <c r="W2064" i="16" s="1"/>
  <c r="W2092" i="16" s="1"/>
  <c r="W1827" i="12"/>
  <c r="W1737" i="12"/>
  <c r="W921" i="12"/>
  <c r="W1689" i="12"/>
  <c r="W1557" i="16"/>
  <c r="W154" i="20"/>
  <c r="W134" i="20"/>
  <c r="W444" i="16"/>
  <c r="W1714" i="12"/>
  <c r="W1733" i="12"/>
  <c r="W1671" i="12"/>
  <c r="W269" i="16"/>
  <c r="W1415" i="16"/>
  <c r="W153" i="20"/>
  <c r="W93" i="20"/>
  <c r="W625" i="16"/>
  <c r="W279" i="16"/>
  <c r="W38" i="16"/>
  <c r="W429" i="16"/>
  <c r="W1910" i="16"/>
  <c r="W219" i="10"/>
  <c r="W129" i="20"/>
  <c r="W59" i="20"/>
  <c r="W419" i="16"/>
  <c r="W1701" i="12"/>
  <c r="W1725" i="12"/>
  <c r="W1661" i="12"/>
  <c r="W44" i="11"/>
  <c r="W595" i="12"/>
  <c r="W600" i="12" s="1"/>
  <c r="W614" i="12" s="1"/>
  <c r="W1367" i="16"/>
  <c r="W124" i="20"/>
  <c r="W95" i="20"/>
  <c r="W573" i="16"/>
  <c r="W46" i="16"/>
  <c r="W1681" i="12"/>
  <c r="W1840" i="12"/>
  <c r="W73" i="12"/>
  <c r="W101" i="11"/>
  <c r="W120" i="11" s="1"/>
  <c r="W30" i="10" s="1"/>
  <c r="W448" i="16"/>
  <c r="W96" i="18"/>
  <c r="W182" i="12"/>
  <c r="W606" i="12" s="1"/>
  <c r="W1837" i="16"/>
  <c r="W462" i="16" s="1"/>
  <c r="W1693" i="12"/>
  <c r="W446" i="16"/>
  <c r="W1564" i="16"/>
  <c r="W940" i="12"/>
  <c r="W578" i="16"/>
  <c r="W325" i="16"/>
  <c r="W1683" i="12"/>
  <c r="W1434" i="16"/>
  <c r="W202" i="16"/>
  <c r="W110" i="16"/>
  <c r="W1172" i="16"/>
  <c r="W1256" i="16"/>
  <c r="W29" i="18"/>
  <c r="W442" i="16"/>
  <c r="W1802" i="12"/>
  <c r="W1181" i="12"/>
  <c r="W1952" i="16"/>
  <c r="W75" i="10"/>
  <c r="W193" i="20"/>
  <c r="W449" i="16"/>
  <c r="W1775" i="12"/>
  <c r="W1760" i="12"/>
  <c r="W222" i="11"/>
  <c r="W1641" i="16"/>
  <c r="W12" i="22"/>
  <c r="W66" i="20"/>
  <c r="W445" i="16"/>
  <c r="W1803" i="12"/>
  <c r="W1777" i="12"/>
  <c r="W1639" i="12"/>
  <c r="W262" i="10"/>
  <c r="W1523" i="16"/>
  <c r="W139" i="20"/>
  <c r="W133" i="20"/>
  <c r="W427" i="16"/>
  <c r="W1838" i="12"/>
  <c r="W1805" i="12"/>
  <c r="W1784" i="12"/>
  <c r="W233" i="10"/>
  <c r="W1606" i="16"/>
  <c r="W140" i="20"/>
  <c r="W118" i="20"/>
  <c r="W617" i="16"/>
  <c r="W197" i="16"/>
  <c r="W1786" i="12"/>
  <c r="W1640" i="12"/>
  <c r="W1938" i="16"/>
  <c r="W12" i="10"/>
  <c r="W152" i="20"/>
  <c r="W624" i="16"/>
  <c r="W276" i="16"/>
  <c r="W1830" i="12"/>
  <c r="W1797" i="12"/>
  <c r="W1756" i="12"/>
  <c r="W32" i="12"/>
  <c r="W1889" i="16"/>
  <c r="W1401" i="16"/>
  <c r="W74" i="18"/>
  <c r="W125" i="20"/>
  <c r="W356" i="16"/>
  <c r="W1759" i="12"/>
  <c r="W1833" i="12"/>
  <c r="W1672" i="12"/>
  <c r="W12" i="11"/>
  <c r="W1722" i="12"/>
  <c r="W1755" i="12"/>
  <c r="W150" i="20"/>
  <c r="W1353" i="16"/>
  <c r="W79" i="12"/>
  <c r="W107" i="12" s="1"/>
  <c r="W27" i="10" s="1"/>
  <c r="W278" i="16"/>
  <c r="W268" i="16"/>
  <c r="W363" i="10"/>
  <c r="W42" i="12"/>
  <c r="W361" i="16"/>
  <c r="W114" i="12"/>
  <c r="W159" i="20"/>
  <c r="W326" i="16"/>
  <c r="W192" i="20"/>
  <c r="W259" i="10"/>
  <c r="W402" i="10" s="1"/>
  <c r="W210" i="16"/>
  <c r="W117" i="16"/>
  <c r="W1193" i="16"/>
  <c r="W1137" i="16"/>
  <c r="W99" i="20"/>
  <c r="W1501" i="16"/>
  <c r="W364" i="16" s="1"/>
  <c r="W54" i="16"/>
  <c r="W100" i="12"/>
  <c r="W1877" i="16"/>
  <c r="W50" i="22"/>
  <c r="W130" i="20"/>
  <c r="W436" i="16"/>
  <c r="W1678" i="12"/>
  <c r="W1673" i="12"/>
  <c r="W113" i="11"/>
  <c r="W1578" i="16"/>
  <c r="W83" i="18"/>
  <c r="W120" i="20"/>
  <c r="W273" i="16"/>
  <c r="W1771" i="12"/>
  <c r="W1691" i="12"/>
  <c r="W171" i="11"/>
  <c r="W1896" i="16"/>
  <c r="W190" i="10"/>
  <c r="W60" i="20"/>
  <c r="W2071" i="16"/>
  <c r="W330" i="16"/>
  <c r="W1754" i="12"/>
  <c r="W1773" i="12"/>
  <c r="W1690" i="12"/>
  <c r="W1767" i="12"/>
  <c r="W1304" i="16"/>
  <c r="W135" i="20"/>
  <c r="W801" i="16"/>
  <c r="W417" i="16"/>
  <c r="W1819" i="12"/>
  <c r="W1696" i="12"/>
  <c r="W1698" i="12"/>
  <c r="W1592" i="16"/>
  <c r="W59" i="22"/>
  <c r="W63" i="20"/>
  <c r="W582" i="16"/>
  <c r="W438" i="16"/>
  <c r="W1746" i="12"/>
  <c r="W1716" i="12"/>
  <c r="W1421" i="12"/>
  <c r="W1433" i="12" s="1"/>
  <c r="W32" i="8"/>
  <c r="W31" i="8" s="1"/>
  <c r="W1917" i="16"/>
  <c r="W1662" i="16"/>
  <c r="W205" i="20"/>
  <c r="W31" i="20"/>
  <c r="W408" i="16"/>
  <c r="W1727" i="12"/>
  <c r="W1753" i="12"/>
  <c r="W1796" i="12"/>
  <c r="W12" i="12"/>
  <c r="W41" i="11"/>
  <c r="W115" i="11" s="1"/>
  <c r="W17" i="10" s="1"/>
  <c r="W1677" i="12"/>
  <c r="W623" i="16"/>
  <c r="W191" i="20"/>
  <c r="W431" i="12"/>
  <c r="W608" i="12" s="1"/>
  <c r="W1884" i="12"/>
  <c r="W1822" i="12"/>
  <c r="W92" i="11"/>
  <c r="W108" i="12" s="1"/>
  <c r="W28" i="10" s="1"/>
  <c r="W1806" i="12"/>
  <c r="W131" i="20"/>
  <c r="W124" i="16"/>
  <c r="W126" i="16"/>
  <c r="W1228" i="16"/>
  <c r="W29" i="8"/>
  <c r="W127" i="8" s="1"/>
  <c r="W1297" i="16"/>
  <c r="W126" i="20"/>
  <c r="W452" i="16"/>
  <c r="W1785" i="12"/>
  <c r="W180" i="11"/>
  <c r="W151" i="11" s="1"/>
  <c r="W1634" i="16"/>
  <c r="W176" i="20"/>
  <c r="W2032" i="16"/>
  <c r="W2058" i="16" s="1"/>
  <c r="W2086" i="16" s="1"/>
  <c r="W277" i="16"/>
  <c r="W1798" i="12"/>
  <c r="W1776" i="12"/>
  <c r="W162" i="11"/>
  <c r="W1455" i="16"/>
  <c r="W196" i="20"/>
  <c r="W101" i="20"/>
  <c r="W431" i="16"/>
  <c r="W62" i="16"/>
  <c r="W1744" i="12"/>
  <c r="W104" i="11"/>
  <c r="W1931" i="16"/>
  <c r="W112" i="22"/>
  <c r="W72" i="20"/>
  <c r="W575" i="16"/>
  <c r="W283" i="16"/>
  <c r="W270" i="16"/>
  <c r="W433" i="16"/>
  <c r="W231" i="11"/>
  <c r="W212" i="12"/>
  <c r="W607" i="12" s="1"/>
  <c r="W413" i="10"/>
  <c r="W146" i="20"/>
  <c r="W121" i="20"/>
  <c r="W424" i="16"/>
  <c r="W1735" i="12"/>
  <c r="W1761" i="12"/>
  <c r="W1828" i="12"/>
  <c r="W1346" i="16"/>
  <c r="W32" i="22"/>
  <c r="W30" i="20"/>
  <c r="W454" i="16"/>
  <c r="W275" i="16"/>
  <c r="W1879" i="12"/>
  <c r="W1918" i="12" s="1"/>
  <c r="W1820" i="12"/>
  <c r="W1666" i="12"/>
  <c r="W82" i="20"/>
  <c r="W1945" i="16"/>
  <c r="W156" i="10"/>
  <c r="W119" i="20"/>
  <c r="W620" i="16"/>
  <c r="W622" i="16"/>
  <c r="W1787" i="12"/>
  <c r="W425" i="16"/>
  <c r="W1638" i="12"/>
  <c r="W1502" i="16"/>
  <c r="W365" i="16" s="1"/>
  <c r="W29" i="12"/>
  <c r="W103" i="12" s="1"/>
  <c r="W23" i="10" s="1"/>
  <c r="W1824" i="12"/>
  <c r="W1723" i="12"/>
  <c r="W61" i="20"/>
  <c r="W1849" i="16"/>
  <c r="W95" i="11"/>
  <c r="W1789" i="12"/>
  <c r="W80" i="20"/>
  <c r="W1712" i="12"/>
  <c r="W1788" i="12"/>
  <c r="W1613" i="16"/>
  <c r="W157" i="20"/>
  <c r="W1670" i="12"/>
  <c r="W1644" i="12"/>
  <c r="W1697" i="12"/>
  <c r="W1728" i="12"/>
  <c r="W1713" i="12"/>
  <c r="W1738" i="12"/>
  <c r="W1811" i="12"/>
  <c r="W88" i="22"/>
  <c r="W85" i="20"/>
  <c r="W65" i="20"/>
  <c r="W57" i="20"/>
  <c r="W151" i="20"/>
  <c r="W1571" i="16"/>
  <c r="W349" i="20"/>
  <c r="W384" i="20"/>
  <c r="W1596" i="16"/>
  <c r="W1322" i="16"/>
  <c r="V996" i="12"/>
  <c r="V1153" i="12" s="1"/>
  <c r="V896" i="12"/>
  <c r="V916" i="12" s="1"/>
  <c r="V1932" i="12" s="1"/>
  <c r="W1287" i="16"/>
  <c r="W2119" i="16" s="1"/>
  <c r="W892" i="16"/>
  <c r="W1669" i="16"/>
  <c r="W1907" i="16"/>
  <c r="W2209" i="16" s="1"/>
  <c r="W1487" i="16"/>
  <c r="W1935" i="16"/>
  <c r="W880" i="16"/>
  <c r="W356" i="20"/>
  <c r="W1575" i="16"/>
  <c r="W2162" i="16" s="1"/>
  <c r="W1480" i="16"/>
  <c r="W2149" i="16" s="1"/>
  <c r="W534" i="20"/>
  <c r="W536" i="20" s="1"/>
  <c r="W1329" i="16"/>
  <c r="W2125" i="16" s="1"/>
  <c r="V1330" i="16"/>
  <c r="W1459" i="16"/>
  <c r="W2146" i="16" s="1"/>
  <c r="W1412" i="16"/>
  <c r="W2138" i="16" s="1"/>
  <c r="W1190" i="16"/>
  <c r="W1294" i="16"/>
  <c r="W2120" i="16" s="1"/>
  <c r="V1460" i="16"/>
  <c r="W485" i="20"/>
  <c r="V357" i="20"/>
  <c r="V358" i="20" s="1"/>
  <c r="V364" i="20"/>
  <c r="V584" i="16"/>
  <c r="V809" i="16" s="1"/>
  <c r="W471" i="20"/>
  <c r="V807" i="16"/>
  <c r="V1138" i="12"/>
  <c r="V1158" i="12" s="1"/>
  <c r="V905" i="12"/>
  <c r="V917" i="12" s="1"/>
  <c r="V1933" i="12" s="1"/>
  <c r="W1582" i="16"/>
  <c r="W2163" i="16" s="1"/>
  <c r="W1176" i="16"/>
  <c r="V2120" i="16"/>
  <c r="W1148" i="16"/>
  <c r="V1841" i="12"/>
  <c r="V1877" i="12" s="1"/>
  <c r="V1915" i="12" s="1"/>
  <c r="W506" i="20"/>
  <c r="W508" i="20" s="1"/>
  <c r="W1134" i="16"/>
  <c r="V2051" i="16"/>
  <c r="V2054" i="16"/>
  <c r="V1583" i="16"/>
  <c r="V2053" i="16"/>
  <c r="W904" i="16"/>
  <c r="W894" i="20"/>
  <c r="W915" i="20"/>
  <c r="W1141" i="16"/>
  <c r="V1295" i="16"/>
  <c r="V2112" i="16"/>
  <c r="V2078" i="16"/>
  <c r="V386" i="20"/>
  <c r="V372" i="20"/>
  <c r="N13" i="25"/>
  <c r="V507" i="20"/>
  <c r="V535" i="20"/>
  <c r="V1392" i="16"/>
  <c r="V875" i="16"/>
  <c r="W1589" i="16"/>
  <c r="W2164" i="16" s="1"/>
  <c r="N73" i="25"/>
  <c r="N119" i="25" s="1"/>
  <c r="N127" i="25" s="1"/>
  <c r="N138" i="25" s="1"/>
  <c r="N146" i="25" s="1"/>
  <c r="W1391" i="16"/>
  <c r="W2135" i="16" s="1"/>
  <c r="V594" i="12"/>
  <c r="V2114" i="16"/>
  <c r="V221" i="12"/>
  <c r="V434" i="12"/>
  <c r="V306" i="12"/>
  <c r="V536" i="20"/>
  <c r="U1477" i="12"/>
  <c r="U1634" i="12" s="1"/>
  <c r="W363" i="20"/>
  <c r="V1717" i="12"/>
  <c r="V1874" i="12" s="1"/>
  <c r="V1912" i="12" s="1"/>
  <c r="V1041" i="12"/>
  <c r="V1154" i="12" s="1"/>
  <c r="V86" i="20"/>
  <c r="V1205" i="20" s="1"/>
  <c r="V754" i="12"/>
  <c r="V911" i="12" s="1"/>
  <c r="V1926" i="12" s="1"/>
  <c r="W478" i="20"/>
  <c r="V520" i="12"/>
  <c r="V116" i="12"/>
  <c r="V1163" i="16"/>
  <c r="V379" i="20"/>
  <c r="W886" i="16"/>
  <c r="V68" i="18"/>
  <c r="V18" i="18"/>
  <c r="V23" i="18" s="1"/>
  <c r="V101" i="18"/>
  <c r="V48" i="18"/>
  <c r="V53" i="18" s="1"/>
  <c r="V119" i="18"/>
  <c r="V365" i="20"/>
  <c r="V77" i="18"/>
  <c r="V1149" i="16"/>
  <c r="W922" i="16"/>
  <c r="W1473" i="16"/>
  <c r="W1494" i="16"/>
  <c r="V1807" i="12"/>
  <c r="V1876" i="12" s="1"/>
  <c r="V1914" i="12" s="1"/>
  <c r="V198" i="20"/>
  <c r="V1209" i="20" s="1"/>
  <c r="V799" i="12"/>
  <c r="V912" i="12" s="1"/>
  <c r="V1927" i="12" s="1"/>
  <c r="W328" i="20"/>
  <c r="U1601" i="12"/>
  <c r="U1637" i="12" s="1"/>
  <c r="V162" i="20"/>
  <c r="V1207" i="20" s="1"/>
  <c r="U1522" i="12"/>
  <c r="U1635" i="12" s="1"/>
  <c r="U1444" i="12"/>
  <c r="U1632" i="12" s="1"/>
  <c r="U1567" i="12"/>
  <c r="U1636" i="12" s="1"/>
  <c r="U1468" i="12"/>
  <c r="U1633" i="12" s="1"/>
  <c r="V368" i="16"/>
  <c r="V331" i="16"/>
  <c r="V806" i="16" s="1"/>
  <c r="V1762" i="12"/>
  <c r="V1875" i="12" s="1"/>
  <c r="V1913" i="12" s="1"/>
  <c r="V626" i="16"/>
  <c r="V810" i="16" s="1"/>
  <c r="V2042" i="16"/>
  <c r="V811" i="16" s="1"/>
  <c r="V463" i="16"/>
  <c r="V1708" i="12"/>
  <c r="V1873" i="12" s="1"/>
  <c r="V1911" i="12" s="1"/>
  <c r="V987" i="12"/>
  <c r="V1152" i="12" s="1"/>
  <c r="V1120" i="12"/>
  <c r="V1156" i="12" s="1"/>
  <c r="V1684" i="12"/>
  <c r="V1872" i="12" s="1"/>
  <c r="V1910" i="12" s="1"/>
  <c r="V284" i="16"/>
  <c r="V804" i="16" s="1"/>
  <c r="V73" i="20"/>
  <c r="V1203" i="20" s="1"/>
  <c r="V180" i="20"/>
  <c r="V1208" i="20" s="1"/>
  <c r="V1204" i="12"/>
  <c r="V1392" i="12" s="1"/>
  <c r="V878" i="12"/>
  <c r="V914" i="12" s="1"/>
  <c r="V635" i="12" s="1"/>
  <c r="W1886" i="16"/>
  <c r="W2206" i="16" s="1"/>
  <c r="V136" i="16"/>
  <c r="V844" i="12"/>
  <c r="V963" i="12"/>
  <c r="V1151" i="12" s="1"/>
  <c r="W461" i="20"/>
  <c r="V1147" i="12"/>
  <c r="V1159" i="12" s="1"/>
  <c r="V745" i="12"/>
  <c r="V910" i="12" s="1"/>
  <c r="V1086" i="12"/>
  <c r="V1155" i="12" s="1"/>
  <c r="V1505" i="16"/>
  <c r="V462" i="20"/>
  <c r="V463" i="20" s="1"/>
  <c r="V777" i="16"/>
  <c r="V239" i="20" s="1"/>
  <c r="V759" i="16"/>
  <c r="V221" i="20" s="1"/>
  <c r="V808" i="16"/>
  <c r="V760" i="16"/>
  <c r="V222" i="20" s="1"/>
  <c r="V156" i="11"/>
  <c r="V766" i="16"/>
  <c r="V228" i="20" s="1"/>
  <c r="V751" i="16"/>
  <c r="V213" i="20" s="1"/>
  <c r="V193" i="11"/>
  <c r="V780" i="16"/>
  <c r="V242" i="20" s="1"/>
  <c r="V754" i="16"/>
  <c r="V216" i="20" s="1"/>
  <c r="V770" i="16"/>
  <c r="V232" i="20" s="1"/>
  <c r="V195" i="11"/>
  <c r="V1838" i="16"/>
  <c r="V769" i="16"/>
  <c r="V231" i="20" s="1"/>
  <c r="V157" i="11"/>
  <c r="V782" i="16"/>
  <c r="V244" i="20" s="1"/>
  <c r="V755" i="16"/>
  <c r="V217" i="20" s="1"/>
  <c r="V197" i="11"/>
  <c r="V194" i="11"/>
  <c r="V744" i="16"/>
  <c r="V747" i="16"/>
  <c r="V209" i="20" s="1"/>
  <c r="V776" i="16"/>
  <c r="V238" i="20" s="1"/>
  <c r="V746" i="16"/>
  <c r="V208" i="20" s="1"/>
  <c r="V149" i="11"/>
  <c r="V215" i="11"/>
  <c r="V745" i="16"/>
  <c r="V207" i="20" s="1"/>
  <c r="V748" i="16"/>
  <c r="V210" i="20" s="1"/>
  <c r="V779" i="16"/>
  <c r="V241" i="20" s="1"/>
  <c r="V758" i="16"/>
  <c r="V220" i="20" s="1"/>
  <c r="V763" i="16"/>
  <c r="V225" i="20" s="1"/>
  <c r="V150" i="11"/>
  <c r="V216" i="11"/>
  <c r="V151" i="11"/>
  <c r="V721" i="12"/>
  <c r="V909" i="12" s="1"/>
  <c r="V1924" i="12" s="1"/>
  <c r="V893" i="16"/>
  <c r="V774" i="16"/>
  <c r="V236" i="20" s="1"/>
  <c r="V214" i="11"/>
  <c r="W1315" i="16"/>
  <c r="W2123" i="16" s="1"/>
  <c r="V771" i="16"/>
  <c r="V233" i="20" s="1"/>
  <c r="V781" i="16"/>
  <c r="V243" i="20" s="1"/>
  <c r="V153" i="11"/>
  <c r="V750" i="16"/>
  <c r="V212" i="20" s="1"/>
  <c r="V773" i="16"/>
  <c r="V235" i="20" s="1"/>
  <c r="V762" i="16"/>
  <c r="V224" i="20" s="1"/>
  <c r="V152" i="11"/>
  <c r="V217" i="11"/>
  <c r="V2206" i="16"/>
  <c r="W1445" i="16"/>
  <c r="W2144" i="16" s="1"/>
  <c r="V1316" i="16"/>
  <c r="V765" i="16"/>
  <c r="V227" i="20" s="1"/>
  <c r="V767" i="16"/>
  <c r="V229" i="20" s="1"/>
  <c r="V196" i="11"/>
  <c r="V749" i="16"/>
  <c r="V211" i="20" s="1"/>
  <c r="V783" i="16"/>
  <c r="V245" i="20" s="1"/>
  <c r="V764" i="16"/>
  <c r="V226" i="20" s="1"/>
  <c r="V756" i="16"/>
  <c r="V218" i="20" s="1"/>
  <c r="V775" i="16"/>
  <c r="V237" i="20" s="1"/>
  <c r="V768" i="16"/>
  <c r="V230" i="20" s="1"/>
  <c r="V154" i="11"/>
  <c r="V1446" i="16"/>
  <c r="W370" i="20"/>
  <c r="W1914" i="16"/>
  <c r="W2210" i="16" s="1"/>
  <c r="V1915" i="16"/>
  <c r="W513" i="20"/>
  <c r="W515" i="20" s="1"/>
  <c r="V2119" i="16"/>
  <c r="V1281" i="16"/>
  <c r="V371" i="20"/>
  <c r="V1288" i="16"/>
  <c r="V2164" i="16"/>
  <c r="W1438" i="16"/>
  <c r="W2143" i="16" s="1"/>
  <c r="V1439" i="16"/>
  <c r="W1155" i="16"/>
  <c r="V378" i="20"/>
  <c r="V887" i="16"/>
  <c r="W377" i="20"/>
  <c r="W1419" i="16"/>
  <c r="W2139" i="16" s="1"/>
  <c r="W1554" i="16"/>
  <c r="W2159" i="16" s="1"/>
  <c r="W1301" i="16"/>
  <c r="V1555" i="16"/>
  <c r="V1556" i="16" s="1"/>
  <c r="V1413" i="16"/>
  <c r="V2118" i="16"/>
  <c r="V1399" i="16"/>
  <c r="W1398" i="16"/>
  <c r="W2136" i="16" s="1"/>
  <c r="L209" i="25"/>
  <c r="L247" i="25" s="1"/>
  <c r="T1641" i="12"/>
  <c r="T1651" i="12" s="1"/>
  <c r="T250" i="20" s="1"/>
  <c r="U699" i="16"/>
  <c r="U246" i="20"/>
  <c r="U251" i="20" s="1"/>
  <c r="M69" i="25" s="1"/>
  <c r="W1308" i="16"/>
  <c r="U1917" i="12"/>
  <c r="U1920" i="12" s="1"/>
  <c r="U1881" i="12"/>
  <c r="U1891" i="12" s="1"/>
  <c r="V2122" i="16"/>
  <c r="V1309" i="16"/>
  <c r="V1310" i="16" s="1"/>
  <c r="V1302" i="16"/>
  <c r="U805" i="16"/>
  <c r="U1160" i="12"/>
  <c r="U1170" i="12" s="1"/>
  <c r="U1171" i="12" s="1"/>
  <c r="V846" i="20"/>
  <c r="W845" i="20"/>
  <c r="W847" i="20" s="1"/>
  <c r="V350" i="20"/>
  <c r="V351" i="20" s="1"/>
  <c r="S1646" i="12"/>
  <c r="K220" i="25"/>
  <c r="K228" i="25" s="1"/>
  <c r="W492" i="20"/>
  <c r="T1886" i="12"/>
  <c r="W1568" i="16"/>
  <c r="W2161" i="16" s="1"/>
  <c r="V493" i="20"/>
  <c r="V494" i="20" s="1"/>
  <c r="V1569" i="16"/>
  <c r="T1165" i="12"/>
  <c r="T1172" i="12" s="1"/>
  <c r="V1142" i="16"/>
  <c r="W1466" i="16"/>
  <c r="W2147" i="16" s="1"/>
  <c r="V1467" i="16"/>
  <c r="M255" i="25"/>
  <c r="M256" i="25"/>
  <c r="M136" i="25"/>
  <c r="M218" i="25"/>
  <c r="W1431" i="16"/>
  <c r="V1432" i="16"/>
  <c r="M217" i="25"/>
  <c r="M135" i="25"/>
  <c r="V2162" i="16"/>
  <c r="V1576" i="16"/>
  <c r="H1676" i="16"/>
  <c r="I1669" i="16" a="1"/>
  <c r="I1669" i="16" s="1"/>
  <c r="H1256" i="16"/>
  <c r="I1249" i="16" a="1"/>
  <c r="I1249" i="16" s="1"/>
  <c r="D961" i="20"/>
  <c r="J957" i="20" a="1"/>
  <c r="J957" i="20" s="1"/>
  <c r="V332" i="16"/>
  <c r="W1405" i="16"/>
  <c r="W2137" i="16" s="1"/>
  <c r="V1406" i="16"/>
  <c r="U1420" i="16"/>
  <c r="V1420" i="16" s="1"/>
  <c r="V1888" i="16"/>
  <c r="P56" i="10"/>
  <c r="S179" i="16"/>
  <c r="S52" i="10" s="1"/>
  <c r="S340" i="10" s="1"/>
  <c r="S158" i="16"/>
  <c r="R186" i="16"/>
  <c r="R60" i="10" s="1"/>
  <c r="R163" i="16"/>
  <c r="S169" i="16"/>
  <c r="M49" i="10"/>
  <c r="N80" i="16"/>
  <c r="N176" i="16"/>
  <c r="N175" i="16" s="1"/>
  <c r="Q178" i="16"/>
  <c r="Q51" i="10" s="1"/>
  <c r="Q182" i="16"/>
  <c r="Q180" i="16" s="1"/>
  <c r="W1452" i="16"/>
  <c r="W2145" i="16" s="1"/>
  <c r="N947" i="16"/>
  <c r="R916" i="16"/>
  <c r="S916" i="16" s="1"/>
  <c r="Q84" i="16"/>
  <c r="L959" i="16"/>
  <c r="R86" i="16"/>
  <c r="Q55" i="10"/>
  <c r="R85" i="16"/>
  <c r="R181" i="16" s="1"/>
  <c r="R83" i="16"/>
  <c r="O1351" i="16"/>
  <c r="P1351" i="16" s="1"/>
  <c r="Q1351" i="16" s="1"/>
  <c r="R1351" i="16" s="1"/>
  <c r="W1893" i="16"/>
  <c r="W2207" i="16" s="1"/>
  <c r="V1894" i="16"/>
  <c r="V1895" i="16" s="1"/>
  <c r="X380" i="10"/>
  <c r="X91" i="10"/>
  <c r="X105" i="10" s="1"/>
  <c r="V479" i="20"/>
  <c r="V480" i="20" s="1"/>
  <c r="V1453" i="16"/>
  <c r="R1337" i="16"/>
  <c r="O1357" i="16"/>
  <c r="P1357" i="16" s="1"/>
  <c r="P2129" i="16" s="1"/>
  <c r="N1358" i="16"/>
  <c r="T1475" i="16"/>
  <c r="S1336" i="16"/>
  <c r="R2126" i="16"/>
  <c r="V1447" i="16"/>
  <c r="S1930" i="16"/>
  <c r="V1414" i="16"/>
  <c r="V1584" i="16"/>
  <c r="N581" i="20"/>
  <c r="L581" i="20"/>
  <c r="P579" i="20"/>
  <c r="P581" i="20" s="1"/>
  <c r="V1468" i="16"/>
  <c r="N1359" i="16"/>
  <c r="L580" i="20"/>
  <c r="M580" i="20" s="1"/>
  <c r="L666" i="20"/>
  <c r="M666" i="20" s="1"/>
  <c r="T1598" i="16"/>
  <c r="L659" i="20"/>
  <c r="M659" i="20" s="1"/>
  <c r="L631" i="20"/>
  <c r="L633" i="20" s="1"/>
  <c r="K632" i="20"/>
  <c r="K633" i="20" s="1"/>
  <c r="K625" i="20"/>
  <c r="K626" i="20" s="1"/>
  <c r="L624" i="20"/>
  <c r="M624" i="20" s="1"/>
  <c r="K639" i="20"/>
  <c r="K640" i="20" s="1"/>
  <c r="L638" i="20"/>
  <c r="L640" i="20" s="1"/>
  <c r="K674" i="20"/>
  <c r="K675" i="20" s="1"/>
  <c r="L673" i="20"/>
  <c r="L675" i="20" s="1"/>
  <c r="K681" i="20"/>
  <c r="K682" i="20" s="1"/>
  <c r="L680" i="20"/>
  <c r="L682" i="20" s="1"/>
  <c r="K653" i="20"/>
  <c r="K654" i="20" s="1"/>
  <c r="L652" i="20"/>
  <c r="L654" i="20" s="1"/>
  <c r="V1393" i="16"/>
  <c r="V1454" i="16"/>
  <c r="V1407" i="16"/>
  <c r="U1591" i="16"/>
  <c r="V1343" i="16"/>
  <c r="W1343" i="16" s="1"/>
  <c r="V1916" i="16"/>
  <c r="T1324" i="16"/>
  <c r="V1171" i="16"/>
  <c r="V1400" i="16"/>
  <c r="D459" i="16"/>
  <c r="D462" i="16"/>
  <c r="D460" i="16"/>
  <c r="D461" i="16"/>
  <c r="V1577" i="16"/>
  <c r="R1605" i="16"/>
  <c r="D458" i="16"/>
  <c r="S1944" i="16"/>
  <c r="R912" i="16"/>
  <c r="Q1612" i="16"/>
  <c r="V1570" i="16"/>
  <c r="R1338" i="16"/>
  <c r="V1317" i="16"/>
  <c r="S1482" i="16"/>
  <c r="T1482" i="16" s="1"/>
  <c r="V1908" i="16"/>
  <c r="R1937" i="16"/>
  <c r="S1937" i="16" s="1"/>
  <c r="O1626" i="16"/>
  <c r="P1626" i="16" s="1"/>
  <c r="O1633" i="16"/>
  <c r="P1633" i="16" s="1"/>
  <c r="I412" i="16"/>
  <c r="G2035" i="16" s="1"/>
  <c r="G2089" i="16" s="1"/>
  <c r="M2089" i="16" s="1"/>
  <c r="M1503" i="16"/>
  <c r="M366" i="16" s="1"/>
  <c r="I411" i="16"/>
  <c r="G2034" i="16" s="1"/>
  <c r="G2088" i="16" s="1"/>
  <c r="M2088" i="16" s="1"/>
  <c r="M1502" i="16"/>
  <c r="M365" i="16" s="1"/>
  <c r="I410" i="16"/>
  <c r="G2033" i="16" s="1"/>
  <c r="G2087" i="16" s="1"/>
  <c r="M2087" i="16" s="1"/>
  <c r="M1501" i="16"/>
  <c r="M364" i="16" s="1"/>
  <c r="I413" i="16"/>
  <c r="G2036" i="16" s="1"/>
  <c r="G2090" i="16" s="1"/>
  <c r="M2090" i="16" s="1"/>
  <c r="M1504" i="16"/>
  <c r="M367" i="16" s="1"/>
  <c r="V2209" i="16"/>
  <c r="Q1496" i="16"/>
  <c r="R1496" i="16" s="1"/>
  <c r="S1496" i="16" s="1"/>
  <c r="N2264" i="16"/>
  <c r="S1489" i="16"/>
  <c r="T1489" i="16" s="1"/>
  <c r="U1421" i="16"/>
  <c r="V1421" i="16" s="1"/>
  <c r="Q1206" i="16"/>
  <c r="R1206" i="16" s="1"/>
  <c r="O1213" i="16"/>
  <c r="P1213" i="16" s="1"/>
  <c r="Q1213" i="16" s="1"/>
  <c r="R1213" i="16" s="1"/>
  <c r="U1331" i="16"/>
  <c r="V1331" i="16" s="1"/>
  <c r="R1345" i="16"/>
  <c r="S1345" i="16" s="1"/>
  <c r="M1366" i="16"/>
  <c r="N1366" i="16" s="1"/>
  <c r="L2172" i="16"/>
  <c r="L1646" i="16"/>
  <c r="M1646" i="16" s="1"/>
  <c r="L1647" i="16"/>
  <c r="M1834" i="16"/>
  <c r="M459" i="16" s="1"/>
  <c r="M1837" i="16"/>
  <c r="M462" i="16" s="1"/>
  <c r="M1835" i="16"/>
  <c r="M460" i="16" s="1"/>
  <c r="M1836" i="16"/>
  <c r="M461" i="16" s="1"/>
  <c r="M1833" i="16"/>
  <c r="I409" i="16"/>
  <c r="G2032" i="16" s="1"/>
  <c r="G2086" i="16" s="1"/>
  <c r="M2086" i="16" s="1"/>
  <c r="M1500" i="16"/>
  <c r="F1265" i="16"/>
  <c r="F1266" i="16" s="1"/>
  <c r="E2008" i="16"/>
  <c r="F2008" i="16" s="1"/>
  <c r="D2008" i="16"/>
  <c r="F1258" i="16"/>
  <c r="E1959" i="16"/>
  <c r="F1959" i="16" s="1"/>
  <c r="D1959" i="16"/>
  <c r="F1657" i="16"/>
  <c r="E1966" i="16"/>
  <c r="F1966" i="16" s="1"/>
  <c r="D1966" i="16"/>
  <c r="D1658" i="16"/>
  <c r="E1973" i="16"/>
  <c r="F1973" i="16" s="1"/>
  <c r="D1973" i="16"/>
  <c r="R399" i="20"/>
  <c r="R400" i="20" s="1"/>
  <c r="V2081" i="16"/>
  <c r="S51" i="16"/>
  <c r="T49" i="16" s="1"/>
  <c r="T2236" i="16" s="1"/>
  <c r="T2248" i="16" s="1"/>
  <c r="S2260" i="16"/>
  <c r="S52" i="16" s="1"/>
  <c r="S43" i="16"/>
  <c r="T41" i="16" s="1"/>
  <c r="T2235" i="16" s="1"/>
  <c r="T2247" i="16" s="1"/>
  <c r="S2259" i="16"/>
  <c r="S44" i="16" s="1"/>
  <c r="S59" i="16"/>
  <c r="T57" i="16" s="1"/>
  <c r="T2237" i="16" s="1"/>
  <c r="T2249" i="16" s="1"/>
  <c r="S2261" i="16"/>
  <c r="S60" i="16" s="1"/>
  <c r="S87" i="16" s="1"/>
  <c r="S183" i="16" s="1"/>
  <c r="S75" i="16"/>
  <c r="T73" i="16" s="1"/>
  <c r="T2239" i="16" s="1"/>
  <c r="T2251" i="16" s="1"/>
  <c r="S2263" i="16"/>
  <c r="S76" i="16" s="1"/>
  <c r="S89" i="16" s="1"/>
  <c r="S185" i="16" s="1"/>
  <c r="O2252" i="16"/>
  <c r="O2256" i="16"/>
  <c r="O19" i="16"/>
  <c r="P17" i="16" s="1"/>
  <c r="P2232" i="16" s="1"/>
  <c r="S35" i="16"/>
  <c r="T33" i="16" s="1"/>
  <c r="T2234" i="16" s="1"/>
  <c r="T2246" i="16" s="1"/>
  <c r="S2258" i="16"/>
  <c r="S36" i="16" s="1"/>
  <c r="U385" i="20"/>
  <c r="V385" i="20" s="1"/>
  <c r="V472" i="20"/>
  <c r="V473" i="20" s="1"/>
  <c r="O941" i="16"/>
  <c r="O942" i="16" s="1"/>
  <c r="S1205" i="16"/>
  <c r="T1205" i="16" s="1"/>
  <c r="U1204" i="16"/>
  <c r="O946" i="16"/>
  <c r="O1225" i="16"/>
  <c r="O1228" i="16" s="1"/>
  <c r="O258" i="16" s="1"/>
  <c r="N1226" i="16"/>
  <c r="N1227" i="16" s="1"/>
  <c r="R1198" i="16"/>
  <c r="S1198" i="16" s="1"/>
  <c r="T1198" i="16" s="1"/>
  <c r="L442" i="20"/>
  <c r="N1232" i="16"/>
  <c r="R393" i="20"/>
  <c r="S392" i="20"/>
  <c r="N948" i="16"/>
  <c r="S1212" i="16"/>
  <c r="T1212" i="16" s="1"/>
  <c r="U1212" i="16" s="1"/>
  <c r="L1240" i="16"/>
  <c r="L1241" i="16"/>
  <c r="U1197" i="16"/>
  <c r="V1197" i="16" s="1"/>
  <c r="W1197" i="16" s="1"/>
  <c r="L1248" i="16"/>
  <c r="M1246" i="16"/>
  <c r="M1249" i="16" s="1"/>
  <c r="M261" i="16" s="1"/>
  <c r="L1247" i="16"/>
  <c r="M1233" i="16"/>
  <c r="M1234" i="16" s="1"/>
  <c r="O420" i="20"/>
  <c r="P420" i="20" s="1"/>
  <c r="T405" i="20"/>
  <c r="U405" i="20" s="1"/>
  <c r="N427" i="20"/>
  <c r="M958" i="16"/>
  <c r="O426" i="20"/>
  <c r="L1242" i="16"/>
  <c r="L260" i="16" s="1"/>
  <c r="M1239" i="16"/>
  <c r="P414" i="20"/>
  <c r="Q413" i="20"/>
  <c r="L447" i="20"/>
  <c r="L449" i="20" s="1"/>
  <c r="L1253" i="16"/>
  <c r="L1256" i="16" s="1"/>
  <c r="L262" i="16" s="1"/>
  <c r="M435" i="20"/>
  <c r="O433" i="20"/>
  <c r="P433" i="20" s="1"/>
  <c r="L960" i="16"/>
  <c r="R406" i="20"/>
  <c r="M440" i="20"/>
  <c r="M441" i="20" s="1"/>
  <c r="M434" i="20"/>
  <c r="N434" i="20" s="1"/>
  <c r="O421" i="20"/>
  <c r="Q419" i="20"/>
  <c r="R419" i="20" s="1"/>
  <c r="N1220" i="16"/>
  <c r="O1219" i="16"/>
  <c r="P1219" i="16" s="1"/>
  <c r="Q1218" i="16"/>
  <c r="R1218" i="16" s="1"/>
  <c r="Q917" i="16"/>
  <c r="P918" i="16"/>
  <c r="S911" i="16"/>
  <c r="Q57" i="10"/>
  <c r="R57" i="10"/>
  <c r="M954" i="16"/>
  <c r="F969" i="16"/>
  <c r="K970" i="16" s="1"/>
  <c r="K971" i="16" s="1"/>
  <c r="D975" i="16"/>
  <c r="Q940" i="16"/>
  <c r="E980" i="16"/>
  <c r="F980" i="16" s="1"/>
  <c r="D980" i="16"/>
  <c r="C982" i="16"/>
  <c r="B979" i="16"/>
  <c r="J984" i="16"/>
  <c r="E981" i="16"/>
  <c r="K1267" i="16"/>
  <c r="R414" i="20"/>
  <c r="O59" i="10"/>
  <c r="O54" i="10" s="1"/>
  <c r="O53" i="10" s="1"/>
  <c r="I211" i="16"/>
  <c r="G44" i="20" s="1"/>
  <c r="O259" i="16"/>
  <c r="I213" i="16"/>
  <c r="G46" i="20" s="1"/>
  <c r="K1254" i="16"/>
  <c r="K1256" i="16"/>
  <c r="K262" i="16" s="1"/>
  <c r="U1185" i="16"/>
  <c r="U412" i="20"/>
  <c r="D1259" i="16"/>
  <c r="D1260" i="16" s="1"/>
  <c r="V1211" i="16"/>
  <c r="W1211" i="16" s="1"/>
  <c r="K1260" i="16"/>
  <c r="W1183" i="16"/>
  <c r="V1184" i="16"/>
  <c r="E942" i="20"/>
  <c r="K943" i="20" s="1"/>
  <c r="L943" i="20" s="1"/>
  <c r="M817" i="20"/>
  <c r="K818" i="20"/>
  <c r="L818" i="20" s="1"/>
  <c r="K449" i="20"/>
  <c r="K454" i="20"/>
  <c r="K455" i="20" s="1"/>
  <c r="D585" i="20"/>
  <c r="U398" i="20"/>
  <c r="V391" i="20"/>
  <c r="E921" i="20"/>
  <c r="K922" i="20" s="1"/>
  <c r="L922" i="20" s="1"/>
  <c r="L924" i="20" s="1"/>
  <c r="U463" i="20"/>
  <c r="L617" i="20"/>
  <c r="M617" i="20" s="1"/>
  <c r="K619" i="20"/>
  <c r="V336" i="20"/>
  <c r="V337" i="20" s="1"/>
  <c r="U337" i="20"/>
  <c r="S2262" i="16"/>
  <c r="S68" i="16" s="1"/>
  <c r="S88" i="16" s="1"/>
  <c r="S184" i="16" s="1"/>
  <c r="R2257" i="16"/>
  <c r="S2233" i="16"/>
  <c r="S2245" i="16" s="1"/>
  <c r="S27" i="16" s="1"/>
  <c r="V329" i="20"/>
  <c r="V330" i="20" s="1"/>
  <c r="V500" i="20"/>
  <c r="V501" i="20" s="1"/>
  <c r="W499" i="20"/>
  <c r="V1562" i="16"/>
  <c r="V1563" i="16" s="1"/>
  <c r="W1561" i="16"/>
  <c r="W2160" i="16" s="1"/>
  <c r="U918" i="12"/>
  <c r="U1927" i="12"/>
  <c r="U1931" i="12" s="1"/>
  <c r="U1934" i="12" s="1"/>
  <c r="V913" i="12"/>
  <c r="V1928" i="12" s="1"/>
  <c r="T152" i="16"/>
  <c r="T543" i="20"/>
  <c r="V541" i="20"/>
  <c r="W541" i="20" s="1"/>
  <c r="W2059" i="16"/>
  <c r="W2087" i="16" s="1"/>
  <c r="P929" i="16"/>
  <c r="T542" i="20"/>
  <c r="U542" i="20" s="1"/>
  <c r="O930" i="16"/>
  <c r="R928" i="16"/>
  <c r="Q2169" i="16"/>
  <c r="T1624" i="16"/>
  <c r="U1624" i="16" s="1"/>
  <c r="V1624" i="16" s="1"/>
  <c r="Q1625" i="16"/>
  <c r="R1625" i="16" s="1"/>
  <c r="S1625" i="16" s="1"/>
  <c r="M2171" i="16"/>
  <c r="O1638" i="16"/>
  <c r="O2171" i="16" s="1"/>
  <c r="L285" i="16"/>
  <c r="M1639" i="16"/>
  <c r="N1639" i="16" s="1"/>
  <c r="T2213" i="16"/>
  <c r="T906" i="16"/>
  <c r="T2212" i="16"/>
  <c r="T146" i="16"/>
  <c r="T162" i="16" s="1"/>
  <c r="U521" i="20"/>
  <c r="T1936" i="16"/>
  <c r="U1936" i="16" s="1"/>
  <c r="T1617" i="16"/>
  <c r="U1617" i="16" s="1"/>
  <c r="V1617" i="16" s="1"/>
  <c r="W1617" i="16" s="1"/>
  <c r="V520" i="20"/>
  <c r="L957" i="20"/>
  <c r="L958" i="20" s="1"/>
  <c r="U522" i="20"/>
  <c r="M950" i="20"/>
  <c r="N950" i="20" s="1"/>
  <c r="S908" i="20"/>
  <c r="R910" i="20"/>
  <c r="Q1632" i="16"/>
  <c r="L951" i="20"/>
  <c r="N569" i="20"/>
  <c r="N571" i="20" s="1"/>
  <c r="O563" i="20"/>
  <c r="K959" i="20"/>
  <c r="P562" i="20"/>
  <c r="R909" i="20"/>
  <c r="M570" i="20"/>
  <c r="M571" i="20" s="1"/>
  <c r="U903" i="20"/>
  <c r="U917" i="20"/>
  <c r="U902" i="20"/>
  <c r="R1611" i="16"/>
  <c r="S917" i="20"/>
  <c r="V917" i="20"/>
  <c r="U528" i="20"/>
  <c r="V528" i="20" s="1"/>
  <c r="V529" i="20"/>
  <c r="V1928" i="16"/>
  <c r="U2212" i="16"/>
  <c r="V1350" i="16"/>
  <c r="W1350" i="16" s="1"/>
  <c r="R1631" i="16"/>
  <c r="L952" i="20"/>
  <c r="U896" i="20"/>
  <c r="T916" i="20"/>
  <c r="U916" i="20" s="1"/>
  <c r="V916" i="20" s="1"/>
  <c r="C975" i="20"/>
  <c r="C970" i="20"/>
  <c r="C971" i="20" s="1"/>
  <c r="D969" i="20"/>
  <c r="E969" i="20" s="1"/>
  <c r="D970" i="20"/>
  <c r="C969" i="20"/>
  <c r="O1645" i="16"/>
  <c r="P1645" i="16" s="1"/>
  <c r="Q1645" i="16" s="1"/>
  <c r="T2214" i="16"/>
  <c r="U1942" i="16"/>
  <c r="T1943" i="16"/>
  <c r="M1378" i="16"/>
  <c r="M285" i="16" s="1"/>
  <c r="L1652" i="16"/>
  <c r="M1652" i="16" s="1"/>
  <c r="N1371" i="16"/>
  <c r="N2131" i="16" s="1"/>
  <c r="R2167" i="16"/>
  <c r="S1610" i="16"/>
  <c r="U882" i="16"/>
  <c r="M50" i="10"/>
  <c r="L338" i="10"/>
  <c r="L48" i="10"/>
  <c r="L47" i="10" s="1"/>
  <c r="V881" i="16"/>
  <c r="V876" i="16"/>
  <c r="Q924" i="16"/>
  <c r="U900" i="16"/>
  <c r="V2075" i="16"/>
  <c r="W2075" i="16" s="1"/>
  <c r="V1590" i="16"/>
  <c r="U2151" i="16"/>
  <c r="T1495" i="16"/>
  <c r="S1604" i="16"/>
  <c r="P1618" i="16"/>
  <c r="P1619" i="16" s="1"/>
  <c r="S2166" i="16"/>
  <c r="M2172" i="16"/>
  <c r="U1481" i="16"/>
  <c r="V1481" i="16" s="1"/>
  <c r="V2149" i="16"/>
  <c r="L1380" i="16"/>
  <c r="U1597" i="16"/>
  <c r="K1654" i="16"/>
  <c r="T1929" i="16"/>
  <c r="U2213" i="16"/>
  <c r="U2165" i="16"/>
  <c r="K2173" i="16"/>
  <c r="K1653" i="16"/>
  <c r="R2169" i="16"/>
  <c r="U1669" i="16"/>
  <c r="D1670" i="16"/>
  <c r="P1669" i="16"/>
  <c r="Q1669" i="16"/>
  <c r="V1669" i="16"/>
  <c r="M1669" i="16"/>
  <c r="D1664" i="16"/>
  <c r="E2016" i="16" s="1"/>
  <c r="D2016" i="16" s="1"/>
  <c r="R1669" i="16"/>
  <c r="K1669" i="16"/>
  <c r="S1669" i="16"/>
  <c r="L1669" i="16"/>
  <c r="T1669" i="16"/>
  <c r="B1663" i="16"/>
  <c r="B2007" i="16" s="1"/>
  <c r="E1665" i="16"/>
  <c r="N1669" i="16"/>
  <c r="E1664" i="16"/>
  <c r="O1669" i="16"/>
  <c r="U2149" i="16"/>
  <c r="S2128" i="16"/>
  <c r="U2148" i="16"/>
  <c r="U1474" i="16"/>
  <c r="T2127" i="16"/>
  <c r="R2128" i="16"/>
  <c r="Q2128" i="16"/>
  <c r="U2150" i="16"/>
  <c r="U2124" i="16"/>
  <c r="T1344" i="16"/>
  <c r="U1323" i="16"/>
  <c r="M2131" i="16"/>
  <c r="K286" i="16"/>
  <c r="L1379" i="16"/>
  <c r="M1372" i="16"/>
  <c r="M1373" i="16" s="1"/>
  <c r="U1488" i="16"/>
  <c r="W2089" i="16"/>
  <c r="W2048" i="16"/>
  <c r="W234" i="10"/>
  <c r="W377" i="10" s="1"/>
  <c r="W32" i="11"/>
  <c r="W215" i="10"/>
  <c r="W359" i="10" s="1"/>
  <c r="T251" i="20"/>
  <c r="L69" i="25" s="1"/>
  <c r="W476" i="12"/>
  <c r="W609" i="12" s="1"/>
  <c r="U97" i="12"/>
  <c r="W50" i="11"/>
  <c r="W137" i="12"/>
  <c r="W605" i="12" s="1"/>
  <c r="K259" i="10"/>
  <c r="K402" i="10" s="1"/>
  <c r="K60" i="12"/>
  <c r="K105" i="12" s="1"/>
  <c r="K25" i="10" s="1"/>
  <c r="K29" i="12"/>
  <c r="K103" i="12" s="1"/>
  <c r="K23" i="10" s="1"/>
  <c r="K233" i="10"/>
  <c r="K221" i="10"/>
  <c r="K365" i="10" s="1"/>
  <c r="K50" i="11"/>
  <c r="K32" i="11"/>
  <c r="K114" i="11" s="1"/>
  <c r="K260" i="10"/>
  <c r="K403" i="10" s="1"/>
  <c r="K215" i="10"/>
  <c r="K359" i="10" s="1"/>
  <c r="K182" i="12"/>
  <c r="K606" i="12" s="1"/>
  <c r="K1939" i="12" s="1"/>
  <c r="K1897" i="12" s="1"/>
  <c r="K476" i="12"/>
  <c r="K609" i="12" s="1"/>
  <c r="K1942" i="12" s="1"/>
  <c r="K1900" i="12" s="1"/>
  <c r="K212" i="12"/>
  <c r="K607" i="12" s="1"/>
  <c r="K1940" i="12" s="1"/>
  <c r="K1898" i="12" s="1"/>
  <c r="K237" i="11"/>
  <c r="K248" i="11" s="1"/>
  <c r="K178" i="10" s="1"/>
  <c r="K367" i="10"/>
  <c r="K551" i="12"/>
  <c r="K610" i="12" s="1"/>
  <c r="K1943" i="12" s="1"/>
  <c r="K1901" i="12" s="1"/>
  <c r="K88" i="12"/>
  <c r="K110" i="12" s="1"/>
  <c r="K32" i="10" s="1"/>
  <c r="K70" i="12"/>
  <c r="K106" i="12" s="1"/>
  <c r="K26" i="10" s="1"/>
  <c r="K20" i="12"/>
  <c r="K102" i="12" s="1"/>
  <c r="K41" i="11"/>
  <c r="K168" i="11"/>
  <c r="K242" i="11" s="1"/>
  <c r="K161" i="10" s="1"/>
  <c r="K229" i="10"/>
  <c r="K79" i="12"/>
  <c r="K107" i="12" s="1"/>
  <c r="K27" i="10" s="1"/>
  <c r="K71" i="11"/>
  <c r="K101" i="11"/>
  <c r="K230" i="10"/>
  <c r="K373" i="10" s="1"/>
  <c r="K137" i="12"/>
  <c r="K605" i="12" s="1"/>
  <c r="K1938" i="12" s="1"/>
  <c r="K110" i="11"/>
  <c r="K92" i="11"/>
  <c r="K119" i="11" s="1"/>
  <c r="K262" i="10"/>
  <c r="K405" i="10" s="1"/>
  <c r="K234" i="10"/>
  <c r="K377" i="10" s="1"/>
  <c r="K177" i="11"/>
  <c r="K243" i="11" s="1"/>
  <c r="K162" i="10" s="1"/>
  <c r="K591" i="12"/>
  <c r="K613" i="12" s="1"/>
  <c r="K1946" i="12" s="1"/>
  <c r="K1904" i="12" s="1"/>
  <c r="K224" i="10"/>
  <c r="K595" i="12"/>
  <c r="K180" i="10" s="1"/>
  <c r="K324" i="10" s="1"/>
  <c r="K38" i="12"/>
  <c r="K104" i="12" s="1"/>
  <c r="K24" i="10" s="1"/>
  <c r="K431" i="12"/>
  <c r="K608" i="12" s="1"/>
  <c r="K1941" i="12" s="1"/>
  <c r="K1899" i="12" s="1"/>
  <c r="K195" i="11"/>
  <c r="K157" i="11"/>
  <c r="L60" i="12"/>
  <c r="L595" i="12"/>
  <c r="L180" i="10" s="1"/>
  <c r="L324" i="10" s="1"/>
  <c r="L230" i="10"/>
  <c r="L373" i="10" s="1"/>
  <c r="L177" i="11"/>
  <c r="L243" i="11" s="1"/>
  <c r="L162" i="10" s="1"/>
  <c r="L221" i="10"/>
  <c r="L365" i="10" s="1"/>
  <c r="L101" i="11"/>
  <c r="K217" i="11"/>
  <c r="K196" i="11"/>
  <c r="K149" i="11"/>
  <c r="L41" i="11"/>
  <c r="L551" i="12"/>
  <c r="L610" i="12" s="1"/>
  <c r="L1943" i="12" s="1"/>
  <c r="L1901" i="12" s="1"/>
  <c r="L212" i="12"/>
  <c r="L607" i="12" s="1"/>
  <c r="L1940" i="12" s="1"/>
  <c r="L1898" i="12" s="1"/>
  <c r="L233" i="10"/>
  <c r="L29" i="12"/>
  <c r="K214" i="11"/>
  <c r="K197" i="11"/>
  <c r="K158" i="11"/>
  <c r="L260" i="10"/>
  <c r="L403" i="10" s="1"/>
  <c r="L431" i="12"/>
  <c r="L608" i="12" s="1"/>
  <c r="L1941" i="12" s="1"/>
  <c r="L1899" i="12" s="1"/>
  <c r="L215" i="10"/>
  <c r="L359" i="10" s="1"/>
  <c r="K152" i="11"/>
  <c r="K193" i="11"/>
  <c r="K156" i="11"/>
  <c r="L137" i="12"/>
  <c r="L605" i="12" s="1"/>
  <c r="L1938" i="12" s="1"/>
  <c r="L229" i="10"/>
  <c r="L591" i="12"/>
  <c r="L613" i="12" s="1"/>
  <c r="L1946" i="12" s="1"/>
  <c r="L1904" i="12" s="1"/>
  <c r="L79" i="12"/>
  <c r="L476" i="12"/>
  <c r="L609" i="12" s="1"/>
  <c r="L1942" i="12" s="1"/>
  <c r="L1900" i="12" s="1"/>
  <c r="L32" i="11"/>
  <c r="L114" i="11" s="1"/>
  <c r="L20" i="12"/>
  <c r="L102" i="12" s="1"/>
  <c r="K153" i="11"/>
  <c r="K150" i="11"/>
  <c r="K215" i="11"/>
  <c r="L71" i="11"/>
  <c r="L38" i="12"/>
  <c r="L88" i="12"/>
  <c r="L259" i="10"/>
  <c r="L402" i="10" s="1"/>
  <c r="K218" i="11"/>
  <c r="K194" i="11"/>
  <c r="L50" i="11"/>
  <c r="L262" i="10"/>
  <c r="L405" i="10" s="1"/>
  <c r="K636" i="12"/>
  <c r="K154" i="11"/>
  <c r="K155" i="11"/>
  <c r="L234" i="10"/>
  <c r="L377" i="10" s="1"/>
  <c r="K216" i="11"/>
  <c r="K151" i="11"/>
  <c r="L92" i="11"/>
  <c r="L70" i="12"/>
  <c r="L168" i="11"/>
  <c r="L242" i="11" s="1"/>
  <c r="L161" i="10" s="1"/>
  <c r="L182" i="12"/>
  <c r="L606" i="12" s="1"/>
  <c r="L1939" i="12" s="1"/>
  <c r="L1897" i="12" s="1"/>
  <c r="K630" i="12"/>
  <c r="K637" i="12"/>
  <c r="M41" i="11"/>
  <c r="M260" i="10"/>
  <c r="M403" i="10" s="1"/>
  <c r="M234" i="10"/>
  <c r="M377" i="10" s="1"/>
  <c r="M101" i="11"/>
  <c r="M38" i="12"/>
  <c r="L195" i="11"/>
  <c r="L152" i="11"/>
  <c r="L193" i="11"/>
  <c r="K631" i="12"/>
  <c r="K204" i="10"/>
  <c r="K348" i="10" s="1"/>
  <c r="K97" i="12"/>
  <c r="K111" i="12" s="1"/>
  <c r="K35" i="10" s="1"/>
  <c r="M50" i="11"/>
  <c r="M262" i="10"/>
  <c r="M405" i="10" s="1"/>
  <c r="M168" i="11"/>
  <c r="M242" i="11" s="1"/>
  <c r="M161" i="10" s="1"/>
  <c r="M259" i="10"/>
  <c r="M402" i="10" s="1"/>
  <c r="L156" i="11"/>
  <c r="L158" i="11"/>
  <c r="L194" i="11"/>
  <c r="K632" i="12"/>
  <c r="M230" i="10"/>
  <c r="M373" i="10" s="1"/>
  <c r="M92" i="11"/>
  <c r="M212" i="12"/>
  <c r="M60" i="12"/>
  <c r="L196" i="11"/>
  <c r="L215" i="11"/>
  <c r="L151" i="11"/>
  <c r="M137" i="12"/>
  <c r="M605" i="12" s="1"/>
  <c r="M1938" i="12" s="1"/>
  <c r="M32" i="11"/>
  <c r="M114" i="11" s="1"/>
  <c r="M88" i="12"/>
  <c r="L217" i="11"/>
  <c r="L216" i="11"/>
  <c r="K633" i="12"/>
  <c r="M476" i="12"/>
  <c r="M609" i="12" s="1"/>
  <c r="M1942" i="12" s="1"/>
  <c r="M1900" i="12" s="1"/>
  <c r="L153" i="11"/>
  <c r="L149" i="11"/>
  <c r="M182" i="12"/>
  <c r="M606" i="12" s="1"/>
  <c r="M1939" i="12" s="1"/>
  <c r="M1897" i="12" s="1"/>
  <c r="M551" i="12"/>
  <c r="M610" i="12" s="1"/>
  <c r="M1943" i="12" s="1"/>
  <c r="M1901" i="12" s="1"/>
  <c r="M70" i="12"/>
  <c r="M221" i="10"/>
  <c r="M365" i="10" s="1"/>
  <c r="K635" i="12"/>
  <c r="K634" i="12"/>
  <c r="L154" i="11"/>
  <c r="L197" i="11"/>
  <c r="M29" i="12"/>
  <c r="M591" i="12"/>
  <c r="M613" i="12" s="1"/>
  <c r="M1946" i="12" s="1"/>
  <c r="M1904" i="12" s="1"/>
  <c r="M177" i="11"/>
  <c r="M243" i="11" s="1"/>
  <c r="M162" i="10" s="1"/>
  <c r="M71" i="11"/>
  <c r="M431" i="12"/>
  <c r="M608" i="12" s="1"/>
  <c r="M1941" i="12" s="1"/>
  <c r="M1899" i="12" s="1"/>
  <c r="M215" i="10"/>
  <c r="M359" i="10" s="1"/>
  <c r="M229" i="10"/>
  <c r="L150" i="11"/>
  <c r="L157" i="11"/>
  <c r="L636" i="12"/>
  <c r="M79" i="12"/>
  <c r="M595" i="12"/>
  <c r="M180" i="10" s="1"/>
  <c r="M324" i="10" s="1"/>
  <c r="M233" i="10"/>
  <c r="M20" i="12"/>
  <c r="M102" i="12" s="1"/>
  <c r="L218" i="11"/>
  <c r="L155" i="11"/>
  <c r="L214" i="11"/>
  <c r="K638" i="12"/>
  <c r="L633" i="12"/>
  <c r="M194" i="11"/>
  <c r="M214" i="11"/>
  <c r="N137" i="12"/>
  <c r="N605" i="12" s="1"/>
  <c r="N1938" i="12" s="1"/>
  <c r="N260" i="10"/>
  <c r="N403" i="10" s="1"/>
  <c r="N182" i="12"/>
  <c r="N606" i="12" s="1"/>
  <c r="N1939" i="12" s="1"/>
  <c r="N1897" i="12" s="1"/>
  <c r="N215" i="10"/>
  <c r="N359" i="10" s="1"/>
  <c r="N168" i="11"/>
  <c r="N242" i="11" s="1"/>
  <c r="N161" i="10" s="1"/>
  <c r="M636" i="12"/>
  <c r="C68" i="25"/>
  <c r="L631" i="12"/>
  <c r="L637" i="12"/>
  <c r="M218" i="11"/>
  <c r="M156" i="11"/>
  <c r="N262" i="10"/>
  <c r="N405" i="10" s="1"/>
  <c r="N88" i="12"/>
  <c r="N431" i="12"/>
  <c r="N608" i="12" s="1"/>
  <c r="N1941" i="12" s="1"/>
  <c r="N1899" i="12" s="1"/>
  <c r="L630" i="12"/>
  <c r="K199" i="10"/>
  <c r="K343" i="10" s="1"/>
  <c r="M151" i="11"/>
  <c r="M215" i="11"/>
  <c r="N177" i="11"/>
  <c r="N243" i="11" s="1"/>
  <c r="N162" i="10" s="1"/>
  <c r="N221" i="10"/>
  <c r="N365" i="10" s="1"/>
  <c r="N20" i="12"/>
  <c r="N102" i="12" s="1"/>
  <c r="N29" i="12"/>
  <c r="K202" i="10"/>
  <c r="K346" i="10" s="1"/>
  <c r="L634" i="12"/>
  <c r="M155" i="11"/>
  <c r="M152" i="11"/>
  <c r="M149" i="11"/>
  <c r="N38" i="12"/>
  <c r="N212" i="12"/>
  <c r="N607" i="12" s="1"/>
  <c r="N1940" i="12" s="1"/>
  <c r="N1898" i="12" s="1"/>
  <c r="N476" i="12"/>
  <c r="N609" i="12" s="1"/>
  <c r="N1942" i="12" s="1"/>
  <c r="N1900" i="12" s="1"/>
  <c r="N92" i="11"/>
  <c r="N32" i="11"/>
  <c r="N114" i="11" s="1"/>
  <c r="L635" i="12"/>
  <c r="M193" i="11"/>
  <c r="M216" i="11"/>
  <c r="M195" i="11"/>
  <c r="N591" i="12"/>
  <c r="N613" i="12" s="1"/>
  <c r="N1946" i="12" s="1"/>
  <c r="N1904" i="12" s="1"/>
  <c r="N60" i="12"/>
  <c r="N50" i="11"/>
  <c r="L638" i="12"/>
  <c r="M150" i="11"/>
  <c r="M217" i="11"/>
  <c r="M158" i="11"/>
  <c r="N230" i="10"/>
  <c r="N373" i="10" s="1"/>
  <c r="N70" i="12"/>
  <c r="N234" i="10"/>
  <c r="N377" i="10" s="1"/>
  <c r="L632" i="12"/>
  <c r="M153" i="11"/>
  <c r="M157" i="11"/>
  <c r="M154" i="11"/>
  <c r="N259" i="10"/>
  <c r="N402" i="10" s="1"/>
  <c r="N79" i="12"/>
  <c r="N551" i="12"/>
  <c r="N610" i="12" s="1"/>
  <c r="N1943" i="12" s="1"/>
  <c r="N1901" i="12" s="1"/>
  <c r="N229" i="10"/>
  <c r="N101" i="11"/>
  <c r="N41" i="11"/>
  <c r="K195" i="10"/>
  <c r="K339" i="10" s="1"/>
  <c r="L97" i="12"/>
  <c r="M197" i="11"/>
  <c r="M196" i="11"/>
  <c r="N71" i="11"/>
  <c r="N595" i="12"/>
  <c r="N180" i="10" s="1"/>
  <c r="N324" i="10" s="1"/>
  <c r="N233" i="10"/>
  <c r="M630" i="12"/>
  <c r="M634" i="12"/>
  <c r="N217" i="11"/>
  <c r="N152" i="11"/>
  <c r="N151" i="11"/>
  <c r="O229" i="10"/>
  <c r="O50" i="11"/>
  <c r="N218" i="11"/>
  <c r="O70" i="12"/>
  <c r="O591" i="12"/>
  <c r="O613" i="12" s="1"/>
  <c r="O1946" i="12" s="1"/>
  <c r="O1904" i="12" s="1"/>
  <c r="L204" i="10"/>
  <c r="L348" i="10" s="1"/>
  <c r="N194" i="11"/>
  <c r="N153" i="11"/>
  <c r="O177" i="11"/>
  <c r="O243" i="11" s="1"/>
  <c r="O162" i="10" s="1"/>
  <c r="O79" i="12"/>
  <c r="N156" i="11"/>
  <c r="L202" i="10"/>
  <c r="L346" i="10" s="1"/>
  <c r="D68" i="25"/>
  <c r="L199" i="10"/>
  <c r="L343" i="10" s="1"/>
  <c r="M633" i="12"/>
  <c r="N216" i="11"/>
  <c r="N150" i="11"/>
  <c r="O101" i="11"/>
  <c r="O259" i="10"/>
  <c r="O402" i="10" s="1"/>
  <c r="O92" i="11"/>
  <c r="O71" i="11"/>
  <c r="O595" i="12"/>
  <c r="O180" i="10" s="1"/>
  <c r="O324" i="10" s="1"/>
  <c r="M97" i="12"/>
  <c r="N215" i="11"/>
  <c r="N149" i="11"/>
  <c r="O38" i="12"/>
  <c r="O88" i="12"/>
  <c r="O29" i="12"/>
  <c r="O230" i="10"/>
  <c r="O373" i="10" s="1"/>
  <c r="O60" i="12"/>
  <c r="O234" i="10"/>
  <c r="O377" i="10" s="1"/>
  <c r="O221" i="10"/>
  <c r="O365" i="10" s="1"/>
  <c r="M204" i="10"/>
  <c r="M348" i="10" s="1"/>
  <c r="M638" i="12"/>
  <c r="M632" i="12"/>
  <c r="N154" i="11"/>
  <c r="N197" i="11"/>
  <c r="O212" i="12"/>
  <c r="O607" i="12" s="1"/>
  <c r="O1940" i="12" s="1"/>
  <c r="O1898" i="12" s="1"/>
  <c r="O215" i="10"/>
  <c r="O359" i="10" s="1"/>
  <c r="O476" i="12"/>
  <c r="O609" i="12" s="1"/>
  <c r="O1942" i="12" s="1"/>
  <c r="O1900" i="12" s="1"/>
  <c r="O431" i="12"/>
  <c r="O608" i="12" s="1"/>
  <c r="O1941" i="12" s="1"/>
  <c r="O1899" i="12" s="1"/>
  <c r="O168" i="11"/>
  <c r="O242" i="11" s="1"/>
  <c r="O161" i="10" s="1"/>
  <c r="N193" i="11"/>
  <c r="N157" i="11"/>
  <c r="N158" i="11"/>
  <c r="O41" i="11"/>
  <c r="O262" i="10"/>
  <c r="O405" i="10" s="1"/>
  <c r="O137" i="12"/>
  <c r="O605" i="12" s="1"/>
  <c r="O1938" i="12" s="1"/>
  <c r="O182" i="12"/>
  <c r="O606" i="12" s="1"/>
  <c r="O1939" i="12" s="1"/>
  <c r="O1897" i="12" s="1"/>
  <c r="O260" i="10"/>
  <c r="O403" i="10" s="1"/>
  <c r="M635" i="12"/>
  <c r="M637" i="12"/>
  <c r="N196" i="11"/>
  <c r="N155" i="11"/>
  <c r="N214" i="11"/>
  <c r="O551" i="12"/>
  <c r="O610" i="12" s="1"/>
  <c r="O1943" i="12" s="1"/>
  <c r="O1901" i="12" s="1"/>
  <c r="O32" i="11"/>
  <c r="O114" i="11" s="1"/>
  <c r="O233" i="10"/>
  <c r="K352" i="10"/>
  <c r="N636" i="12"/>
  <c r="M631" i="12"/>
  <c r="N195" i="11"/>
  <c r="O20" i="12"/>
  <c r="O102" i="12" s="1"/>
  <c r="O197" i="11"/>
  <c r="O149" i="11"/>
  <c r="O193" i="11"/>
  <c r="P431" i="12"/>
  <c r="P608" i="12" s="1"/>
  <c r="P1941" i="12" s="1"/>
  <c r="P1899" i="12" s="1"/>
  <c r="P230" i="10"/>
  <c r="P373" i="10" s="1"/>
  <c r="P234" i="10"/>
  <c r="P377" i="10" s="1"/>
  <c r="P41" i="11"/>
  <c r="P221" i="10"/>
  <c r="P365" i="10" s="1"/>
  <c r="O215" i="11"/>
  <c r="P177" i="11"/>
  <c r="P243" i="11" s="1"/>
  <c r="P162" i="10" s="1"/>
  <c r="P233" i="10"/>
  <c r="N637" i="12"/>
  <c r="O194" i="11"/>
  <c r="O155" i="11"/>
  <c r="O217" i="11"/>
  <c r="P259" i="10"/>
  <c r="P402" i="10" s="1"/>
  <c r="P476" i="12"/>
  <c r="P609" i="12" s="1"/>
  <c r="P1942" i="12" s="1"/>
  <c r="P1900" i="12" s="1"/>
  <c r="P60" i="12"/>
  <c r="L208" i="10"/>
  <c r="L352" i="10" s="1"/>
  <c r="O636" i="12"/>
  <c r="O216" i="11"/>
  <c r="O152" i="11"/>
  <c r="O154" i="11"/>
  <c r="P182" i="12"/>
  <c r="P606" i="12" s="1"/>
  <c r="P1939" i="12" s="1"/>
  <c r="P1897" i="12" s="1"/>
  <c r="P79" i="12"/>
  <c r="P215" i="10"/>
  <c r="P359" i="10" s="1"/>
  <c r="K250" i="20"/>
  <c r="K1215" i="20" s="1"/>
  <c r="N630" i="12"/>
  <c r="N638" i="12"/>
  <c r="N633" i="12"/>
  <c r="O151" i="11"/>
  <c r="O214" i="11"/>
  <c r="O150" i="11"/>
  <c r="P262" i="10"/>
  <c r="P405" i="10" s="1"/>
  <c r="P32" i="11"/>
  <c r="P114" i="11" s="1"/>
  <c r="P595" i="12"/>
  <c r="P180" i="10" s="1"/>
  <c r="P324" i="10" s="1"/>
  <c r="P88" i="12"/>
  <c r="P101" i="11"/>
  <c r="M199" i="10"/>
  <c r="M343" i="10" s="1"/>
  <c r="N97" i="12"/>
  <c r="N631" i="12"/>
  <c r="N632" i="12"/>
  <c r="O158" i="11"/>
  <c r="O153" i="11"/>
  <c r="P137" i="12"/>
  <c r="P605" i="12" s="1"/>
  <c r="P1938" i="12" s="1"/>
  <c r="P92" i="11"/>
  <c r="P229" i="10"/>
  <c r="P38" i="12"/>
  <c r="P20" i="12"/>
  <c r="P102" i="12" s="1"/>
  <c r="N635" i="12"/>
  <c r="O157" i="11"/>
  <c r="O156" i="11"/>
  <c r="P591" i="12"/>
  <c r="P613" i="12" s="1"/>
  <c r="P1946" i="12" s="1"/>
  <c r="P1904" i="12" s="1"/>
  <c r="P212" i="12"/>
  <c r="P607" i="12" s="1"/>
  <c r="P1940" i="12" s="1"/>
  <c r="P1898" i="12" s="1"/>
  <c r="P260" i="10"/>
  <c r="P403" i="10" s="1"/>
  <c r="E68" i="25"/>
  <c r="L250" i="20"/>
  <c r="N634" i="12"/>
  <c r="O218" i="11"/>
  <c r="O195" i="11"/>
  <c r="P50" i="11"/>
  <c r="P71" i="11"/>
  <c r="P29" i="12"/>
  <c r="P551" i="12"/>
  <c r="P610" i="12" s="1"/>
  <c r="P1943" i="12" s="1"/>
  <c r="P1901" i="12" s="1"/>
  <c r="P168" i="11"/>
  <c r="P242" i="11" s="1"/>
  <c r="P161" i="10" s="1"/>
  <c r="O196" i="11"/>
  <c r="P70" i="12"/>
  <c r="O630" i="12"/>
  <c r="P215" i="11"/>
  <c r="P195" i="11"/>
  <c r="P216" i="11"/>
  <c r="Q591" i="12"/>
  <c r="Q613" i="12" s="1"/>
  <c r="Q1946" i="12" s="1"/>
  <c r="Q1904" i="12" s="1"/>
  <c r="Q92" i="11"/>
  <c r="Q260" i="10"/>
  <c r="Q403" i="10" s="1"/>
  <c r="P636" i="12"/>
  <c r="P194" i="11"/>
  <c r="P218" i="11"/>
  <c r="P151" i="11"/>
  <c r="Q70" i="12"/>
  <c r="Q230" i="10"/>
  <c r="Q373" i="10" s="1"/>
  <c r="Q79" i="12"/>
  <c r="M208" i="10"/>
  <c r="M352" i="10" s="1"/>
  <c r="O631" i="12"/>
  <c r="P149" i="11"/>
  <c r="P193" i="11"/>
  <c r="P150" i="11"/>
  <c r="Q551" i="12"/>
  <c r="Q610" i="12" s="1"/>
  <c r="Q1943" i="12" s="1"/>
  <c r="Q1901" i="12" s="1"/>
  <c r="Q60" i="12"/>
  <c r="Q595" i="12"/>
  <c r="Q180" i="10" s="1"/>
  <c r="Q324" i="10" s="1"/>
  <c r="Q168" i="11"/>
  <c r="Q242" i="11" s="1"/>
  <c r="Q161" i="10" s="1"/>
  <c r="Q431" i="12"/>
  <c r="Q608" i="12" s="1"/>
  <c r="Q1941" i="12" s="1"/>
  <c r="Q1899" i="12" s="1"/>
  <c r="Q182" i="12"/>
  <c r="Q606" i="12" s="1"/>
  <c r="Q1939" i="12" s="1"/>
  <c r="Q1897" i="12" s="1"/>
  <c r="N199" i="10"/>
  <c r="N343" i="10" s="1"/>
  <c r="O633" i="12"/>
  <c r="P155" i="11"/>
  <c r="P196" i="11"/>
  <c r="Q215" i="10"/>
  <c r="Q359" i="10" s="1"/>
  <c r="Q29" i="12"/>
  <c r="Q71" i="11"/>
  <c r="Q50" i="11"/>
  <c r="Q88" i="12"/>
  <c r="Q101" i="11"/>
  <c r="O204" i="10"/>
  <c r="O348" i="10" s="1"/>
  <c r="O97" i="12"/>
  <c r="O632" i="12"/>
  <c r="P154" i="11"/>
  <c r="P217" i="11"/>
  <c r="Q234" i="10"/>
  <c r="Q377" i="10" s="1"/>
  <c r="Q177" i="11"/>
  <c r="Q243" i="11" s="1"/>
  <c r="Q162" i="10" s="1"/>
  <c r="N204" i="10"/>
  <c r="N348" i="10" s="1"/>
  <c r="O635" i="12"/>
  <c r="P214" i="11"/>
  <c r="P156" i="11"/>
  <c r="O638" i="12"/>
  <c r="Q137" i="12"/>
  <c r="Q605" i="12" s="1"/>
  <c r="Q1938" i="12" s="1"/>
  <c r="Q233" i="10"/>
  <c r="Q20" i="12"/>
  <c r="Q102" i="12" s="1"/>
  <c r="Q229" i="10"/>
  <c r="Q259" i="10"/>
  <c r="Q402" i="10" s="1"/>
  <c r="O637" i="12"/>
  <c r="P153" i="11"/>
  <c r="P197" i="11"/>
  <c r="Q221" i="10"/>
  <c r="Q365" i="10" s="1"/>
  <c r="Q476" i="12"/>
  <c r="Q609" i="12" s="1"/>
  <c r="Q1942" i="12" s="1"/>
  <c r="Q1900" i="12" s="1"/>
  <c r="Q38" i="12"/>
  <c r="O634" i="12"/>
  <c r="F68" i="25"/>
  <c r="P157" i="11"/>
  <c r="P152" i="11"/>
  <c r="P158" i="11"/>
  <c r="P634" i="12"/>
  <c r="Q212" i="12"/>
  <c r="Q607" i="12" s="1"/>
  <c r="Q1940" i="12" s="1"/>
  <c r="Q1898" i="12" s="1"/>
  <c r="Q32" i="11"/>
  <c r="Q114" i="11" s="1"/>
  <c r="Q41" i="11"/>
  <c r="Q262" i="10"/>
  <c r="Q405" i="10" s="1"/>
  <c r="P631" i="12"/>
  <c r="Q155" i="11"/>
  <c r="Q193" i="11"/>
  <c r="R137" i="12"/>
  <c r="R605" i="12" s="1"/>
  <c r="R1938" i="12" s="1"/>
  <c r="R71" i="11"/>
  <c r="R234" i="10"/>
  <c r="R377" i="10" s="1"/>
  <c r="R233" i="10"/>
  <c r="R229" i="10"/>
  <c r="R101" i="11"/>
  <c r="R431" i="12"/>
  <c r="R608" i="12" s="1"/>
  <c r="R1941" i="12" s="1"/>
  <c r="R1899" i="12" s="1"/>
  <c r="R595" i="12"/>
  <c r="R180" i="10" s="1"/>
  <c r="R324" i="10" s="1"/>
  <c r="R50" i="11"/>
  <c r="P637" i="12"/>
  <c r="Q158" i="11"/>
  <c r="Q157" i="11"/>
  <c r="R60" i="12"/>
  <c r="R168" i="11"/>
  <c r="R242" i="11" s="1"/>
  <c r="R161" i="10" s="1"/>
  <c r="R70" i="12"/>
  <c r="R88" i="12"/>
  <c r="R260" i="10"/>
  <c r="R403" i="10" s="1"/>
  <c r="P632" i="12"/>
  <c r="Q636" i="12"/>
  <c r="Q214" i="11"/>
  <c r="Q156" i="11"/>
  <c r="R20" i="12"/>
  <c r="R230" i="10"/>
  <c r="R373" i="10" s="1"/>
  <c r="N208" i="10"/>
  <c r="N352" i="10" s="1"/>
  <c r="G68" i="25"/>
  <c r="Q153" i="11"/>
  <c r="Q217" i="11"/>
  <c r="R92" i="11"/>
  <c r="N250" i="20"/>
  <c r="N1215" i="20" s="1"/>
  <c r="P635" i="12"/>
  <c r="P633" i="12"/>
  <c r="Q151" i="11"/>
  <c r="Q150" i="11"/>
  <c r="Q218" i="11"/>
  <c r="R262" i="10"/>
  <c r="R405" i="10" s="1"/>
  <c r="R29" i="12"/>
  <c r="R41" i="11"/>
  <c r="P204" i="10"/>
  <c r="P348" i="10" s="1"/>
  <c r="Q154" i="11"/>
  <c r="Q195" i="11"/>
  <c r="Q152" i="11"/>
  <c r="R177" i="11"/>
  <c r="R243" i="11" s="1"/>
  <c r="R162" i="10" s="1"/>
  <c r="R212" i="12"/>
  <c r="R607" i="12" s="1"/>
  <c r="R1940" i="12" s="1"/>
  <c r="R1898" i="12" s="1"/>
  <c r="R79" i="12"/>
  <c r="M250" i="20"/>
  <c r="P630" i="12"/>
  <c r="P97" i="12"/>
  <c r="Q215" i="11"/>
  <c r="Q216" i="11"/>
  <c r="Q196" i="11"/>
  <c r="R182" i="12"/>
  <c r="R606" i="12" s="1"/>
  <c r="R1939" i="12" s="1"/>
  <c r="R1897" i="12" s="1"/>
  <c r="R215" i="10"/>
  <c r="R359" i="10" s="1"/>
  <c r="R636" i="12"/>
  <c r="R221" i="10"/>
  <c r="R365" i="10" s="1"/>
  <c r="R32" i="11"/>
  <c r="R114" i="11" s="1"/>
  <c r="O199" i="10"/>
  <c r="O343" i="10" s="1"/>
  <c r="P638" i="12"/>
  <c r="Q149" i="11"/>
  <c r="Q194" i="11"/>
  <c r="Q197" i="11"/>
  <c r="R476" i="12"/>
  <c r="R609" i="12" s="1"/>
  <c r="R1942" i="12" s="1"/>
  <c r="R1900" i="12" s="1"/>
  <c r="R259" i="10"/>
  <c r="R402" i="10" s="1"/>
  <c r="R551" i="12"/>
  <c r="R610" i="12" s="1"/>
  <c r="R1943" i="12" s="1"/>
  <c r="R1901" i="12" s="1"/>
  <c r="R591" i="12"/>
  <c r="R613" i="12" s="1"/>
  <c r="R1946" i="12" s="1"/>
  <c r="R1904" i="12" s="1"/>
  <c r="R38" i="12"/>
  <c r="O208" i="10"/>
  <c r="O352" i="10" s="1"/>
  <c r="Q632" i="12"/>
  <c r="R155" i="11"/>
  <c r="R193" i="11"/>
  <c r="R216" i="11"/>
  <c r="Q638" i="12"/>
  <c r="S476" i="12"/>
  <c r="S609" i="12" s="1"/>
  <c r="S1942" i="12" s="1"/>
  <c r="S1900" i="12" s="1"/>
  <c r="S50" i="11"/>
  <c r="S431" i="12"/>
  <c r="S608" i="12" s="1"/>
  <c r="S1941" i="12" s="1"/>
  <c r="S1899" i="12" s="1"/>
  <c r="S79" i="12"/>
  <c r="S38" i="12"/>
  <c r="R208" i="10"/>
  <c r="R352" i="10" s="1"/>
  <c r="Q637" i="12"/>
  <c r="Q635" i="12"/>
  <c r="R631" i="12"/>
  <c r="R154" i="11"/>
  <c r="R149" i="11"/>
  <c r="R157" i="11"/>
  <c r="S233" i="10"/>
  <c r="S234" i="10"/>
  <c r="S377" i="10" s="1"/>
  <c r="S29" i="12"/>
  <c r="S70" i="12"/>
  <c r="S229" i="10"/>
  <c r="Q633" i="12"/>
  <c r="H68" i="25"/>
  <c r="R214" i="11"/>
  <c r="R196" i="11"/>
  <c r="S182" i="12"/>
  <c r="S606" i="12" s="1"/>
  <c r="S1939" i="12" s="1"/>
  <c r="S1897" i="12" s="1"/>
  <c r="S92" i="11"/>
  <c r="S32" i="11"/>
  <c r="S114" i="11" s="1"/>
  <c r="S20" i="12"/>
  <c r="S71" i="11"/>
  <c r="O250" i="20"/>
  <c r="O1215" i="20" s="1"/>
  <c r="Q631" i="12"/>
  <c r="R153" i="11"/>
  <c r="R150" i="11"/>
  <c r="S177" i="11"/>
  <c r="S243" i="11" s="1"/>
  <c r="S162" i="10" s="1"/>
  <c r="P199" i="10"/>
  <c r="P343" i="10" s="1"/>
  <c r="Q204" i="10"/>
  <c r="Q348" i="10" s="1"/>
  <c r="R635" i="12"/>
  <c r="R194" i="11"/>
  <c r="R158" i="11"/>
  <c r="S137" i="12"/>
  <c r="S605" i="12" s="1"/>
  <c r="S101" i="11"/>
  <c r="Q634" i="12"/>
  <c r="R634" i="12"/>
  <c r="R195" i="11"/>
  <c r="R217" i="11"/>
  <c r="S88" i="12"/>
  <c r="S212" i="12"/>
  <c r="S607" i="12" s="1"/>
  <c r="S1940" i="12" s="1"/>
  <c r="S1898" i="12" s="1"/>
  <c r="S262" i="10"/>
  <c r="S405" i="10" s="1"/>
  <c r="Q630" i="12"/>
  <c r="R637" i="12"/>
  <c r="R632" i="12"/>
  <c r="R151" i="11"/>
  <c r="R218" i="11"/>
  <c r="R197" i="11"/>
  <c r="R633" i="12"/>
  <c r="S230" i="10"/>
  <c r="S373" i="10" s="1"/>
  <c r="S591" i="12"/>
  <c r="S613" i="12" s="1"/>
  <c r="S1946" i="12" s="1"/>
  <c r="S1904" i="12" s="1"/>
  <c r="S221" i="10"/>
  <c r="S365" i="10" s="1"/>
  <c r="S215" i="10"/>
  <c r="S359" i="10" s="1"/>
  <c r="S259" i="10"/>
  <c r="S402" i="10" s="1"/>
  <c r="P251" i="20"/>
  <c r="H69" i="25" s="1"/>
  <c r="Q97" i="12"/>
  <c r="R152" i="11"/>
  <c r="R156" i="11"/>
  <c r="R215" i="11"/>
  <c r="S60" i="12"/>
  <c r="S260" i="10"/>
  <c r="S403" i="10" s="1"/>
  <c r="S41" i="11"/>
  <c r="S551" i="12"/>
  <c r="S610" i="12" s="1"/>
  <c r="S1943" i="12" s="1"/>
  <c r="S1901" i="12" s="1"/>
  <c r="S168" i="11"/>
  <c r="S242" i="11" s="1"/>
  <c r="S161" i="10" s="1"/>
  <c r="S595" i="12"/>
  <c r="S180" i="10" s="1"/>
  <c r="S324" i="10" s="1"/>
  <c r="I68" i="25"/>
  <c r="T137" i="12"/>
  <c r="T605" i="12" s="1"/>
  <c r="T1938" i="12" s="1"/>
  <c r="T1896" i="12" s="1"/>
  <c r="T591" i="12"/>
  <c r="T613" i="12" s="1"/>
  <c r="T1946" i="12" s="1"/>
  <c r="T1904" i="12" s="1"/>
  <c r="T234" i="10"/>
  <c r="T377" i="10" s="1"/>
  <c r="T595" i="12"/>
  <c r="T180" i="10" s="1"/>
  <c r="T324" i="10" s="1"/>
  <c r="T92" i="11"/>
  <c r="T101" i="11"/>
  <c r="S196" i="11"/>
  <c r="S214" i="11"/>
  <c r="S154" i="11"/>
  <c r="Q251" i="20"/>
  <c r="I69" i="25" s="1"/>
  <c r="S636" i="12"/>
  <c r="T551" i="12"/>
  <c r="T610" i="12" s="1"/>
  <c r="T1943" i="12" s="1"/>
  <c r="T1901" i="12" s="1"/>
  <c r="T259" i="10"/>
  <c r="T402" i="10" s="1"/>
  <c r="T476" i="12"/>
  <c r="T609" i="12" s="1"/>
  <c r="T1942" i="12" s="1"/>
  <c r="T1900" i="12" s="1"/>
  <c r="T260" i="10"/>
  <c r="T403" i="10" s="1"/>
  <c r="S194" i="11"/>
  <c r="S158" i="11"/>
  <c r="S218" i="11"/>
  <c r="S152" i="11"/>
  <c r="T177" i="11"/>
  <c r="T243" i="11" s="1"/>
  <c r="T162" i="10" s="1"/>
  <c r="T168" i="11"/>
  <c r="T242" i="11" s="1"/>
  <c r="T161" i="10" s="1"/>
  <c r="T212" i="12"/>
  <c r="T607" i="12" s="1"/>
  <c r="T1940" i="12" s="1"/>
  <c r="T1898" i="12" s="1"/>
  <c r="T70" i="12"/>
  <c r="S153" i="11"/>
  <c r="S216" i="11"/>
  <c r="S215" i="11"/>
  <c r="S149" i="11"/>
  <c r="S195" i="11"/>
  <c r="S197" i="11"/>
  <c r="S193" i="11"/>
  <c r="S631" i="12"/>
  <c r="Q199" i="10"/>
  <c r="S632" i="12"/>
  <c r="T32" i="11"/>
  <c r="T114" i="11" s="1"/>
  <c r="T29" i="12"/>
  <c r="S156" i="11"/>
  <c r="S637" i="12"/>
  <c r="S155" i="11"/>
  <c r="T431" i="12"/>
  <c r="T608" i="12" s="1"/>
  <c r="T1941" i="12" s="1"/>
  <c r="T1899" i="12" s="1"/>
  <c r="T20" i="12"/>
  <c r="P208" i="10"/>
  <c r="P352" i="10" s="1"/>
  <c r="P250" i="20"/>
  <c r="P1215" i="20" s="1"/>
  <c r="S634" i="12"/>
  <c r="T60" i="12"/>
  <c r="T215" i="10"/>
  <c r="T359" i="10" s="1"/>
  <c r="T71" i="11"/>
  <c r="T50" i="11"/>
  <c r="S157" i="11"/>
  <c r="S151" i="11"/>
  <c r="S208" i="10"/>
  <c r="S352" i="10" s="1"/>
  <c r="R630" i="12"/>
  <c r="R638" i="12"/>
  <c r="R97" i="12"/>
  <c r="S635" i="12"/>
  <c r="T230" i="10"/>
  <c r="T373" i="10" s="1"/>
  <c r="T262" i="10"/>
  <c r="T405" i="10" s="1"/>
  <c r="T182" i="12"/>
  <c r="T606" i="12" s="1"/>
  <c r="T1939" i="12" s="1"/>
  <c r="T1897" i="12" s="1"/>
  <c r="T88" i="12"/>
  <c r="T79" i="12"/>
  <c r="S633" i="12"/>
  <c r="T38" i="12"/>
  <c r="S250" i="20"/>
  <c r="S1215" i="20" s="1"/>
  <c r="S638" i="12"/>
  <c r="T229" i="10"/>
  <c r="T233" i="10"/>
  <c r="T41" i="11"/>
  <c r="T221" i="10"/>
  <c r="T365" i="10" s="1"/>
  <c r="S217" i="11"/>
  <c r="S150" i="11"/>
  <c r="S630" i="12"/>
  <c r="S204" i="10"/>
  <c r="T638" i="12"/>
  <c r="T155" i="11"/>
  <c r="T150" i="11"/>
  <c r="U431" i="12"/>
  <c r="U608" i="12" s="1"/>
  <c r="U595" i="12"/>
  <c r="U180" i="10" s="1"/>
  <c r="U324" i="10" s="1"/>
  <c r="U88" i="12"/>
  <c r="U230" i="10"/>
  <c r="U373" i="10" s="1"/>
  <c r="U20" i="12"/>
  <c r="U234" i="10"/>
  <c r="U377" i="10" s="1"/>
  <c r="R204" i="10"/>
  <c r="T633" i="12"/>
  <c r="T195" i="11"/>
  <c r="T216" i="11"/>
  <c r="U137" i="12"/>
  <c r="U605" i="12" s="1"/>
  <c r="U1938" i="12" s="1"/>
  <c r="U1896" i="12" s="1"/>
  <c r="U79" i="12"/>
  <c r="U260" i="10"/>
  <c r="U403" i="10" s="1"/>
  <c r="U177" i="11"/>
  <c r="U243" i="11" s="1"/>
  <c r="U162" i="10" s="1"/>
  <c r="U229" i="10"/>
  <c r="T630" i="12"/>
  <c r="T154" i="11"/>
  <c r="T635" i="12"/>
  <c r="T634" i="12"/>
  <c r="T151" i="11"/>
  <c r="T152" i="11"/>
  <c r="T196" i="11"/>
  <c r="U101" i="11"/>
  <c r="U60" i="12"/>
  <c r="R251" i="20"/>
  <c r="J69" i="25" s="1"/>
  <c r="T208" i="10"/>
  <c r="T352" i="10" s="1"/>
  <c r="T149" i="11"/>
  <c r="T153" i="11"/>
  <c r="T197" i="11"/>
  <c r="T636" i="12"/>
  <c r="U221" i="10"/>
  <c r="U365" i="10" s="1"/>
  <c r="U71" i="11"/>
  <c r="U70" i="12"/>
  <c r="T632" i="12"/>
  <c r="Q250" i="20"/>
  <c r="Q1215" i="20" s="1"/>
  <c r="J68" i="25"/>
  <c r="T631" i="12"/>
  <c r="T158" i="11"/>
  <c r="T193" i="11"/>
  <c r="T157" i="11"/>
  <c r="U212" i="12"/>
  <c r="U607" i="12" s="1"/>
  <c r="U1940" i="12" s="1"/>
  <c r="U1898" i="12" s="1"/>
  <c r="U32" i="11"/>
  <c r="U114" i="11" s="1"/>
  <c r="U262" i="10"/>
  <c r="U405" i="10" s="1"/>
  <c r="U476" i="12"/>
  <c r="U609" i="12" s="1"/>
  <c r="U1942" i="12" s="1"/>
  <c r="U1900" i="12" s="1"/>
  <c r="R199" i="10"/>
  <c r="S97" i="12"/>
  <c r="T637" i="12"/>
  <c r="T215" i="11"/>
  <c r="T218" i="11"/>
  <c r="T156" i="11"/>
  <c r="U259" i="10"/>
  <c r="U402" i="10" s="1"/>
  <c r="U591" i="12"/>
  <c r="U613" i="12" s="1"/>
  <c r="U1946" i="12" s="1"/>
  <c r="U1904" i="12" s="1"/>
  <c r="U41" i="11"/>
  <c r="U168" i="11"/>
  <c r="U242" i="11" s="1"/>
  <c r="U161" i="10" s="1"/>
  <c r="U29" i="12"/>
  <c r="T194" i="11"/>
  <c r="U50" i="11"/>
  <c r="Q208" i="10"/>
  <c r="Q352" i="10" s="1"/>
  <c r="T217" i="11"/>
  <c r="T214" i="11"/>
  <c r="U551" i="12"/>
  <c r="U610" i="12" s="1"/>
  <c r="U1943" i="12" s="1"/>
  <c r="U1901" i="12" s="1"/>
  <c r="U38" i="12"/>
  <c r="U92" i="11"/>
  <c r="U233" i="10"/>
  <c r="U215" i="10"/>
  <c r="U359" i="10" s="1"/>
  <c r="U182" i="12"/>
  <c r="U606" i="12" s="1"/>
  <c r="U1939" i="12" s="1"/>
  <c r="U1897" i="12" s="1"/>
  <c r="T97" i="12"/>
  <c r="K68" i="25"/>
  <c r="V262" i="10"/>
  <c r="V405" i="10" s="1"/>
  <c r="V92" i="11"/>
  <c r="V29" i="12"/>
  <c r="U193" i="11"/>
  <c r="U194" i="11"/>
  <c r="U158" i="11"/>
  <c r="U153" i="11"/>
  <c r="V97" i="12"/>
  <c r="V233" i="10"/>
  <c r="V376" i="10" s="1"/>
  <c r="V431" i="12"/>
  <c r="V608" i="12" s="1"/>
  <c r="V41" i="11"/>
  <c r="V50" i="11"/>
  <c r="U154" i="11"/>
  <c r="U157" i="11"/>
  <c r="U632" i="12"/>
  <c r="U152" i="11"/>
  <c r="R250" i="20"/>
  <c r="R1215" i="20" s="1"/>
  <c r="U630" i="12"/>
  <c r="V88" i="12"/>
  <c r="V230" i="10"/>
  <c r="V373" i="10" s="1"/>
  <c r="V168" i="11"/>
  <c r="V242" i="11" s="1"/>
  <c r="V161" i="10" s="1"/>
  <c r="V60" i="12"/>
  <c r="U197" i="11"/>
  <c r="U156" i="11"/>
  <c r="U214" i="11"/>
  <c r="V177" i="11"/>
  <c r="V243" i="11" s="1"/>
  <c r="V162" i="10" s="1"/>
  <c r="U155" i="11"/>
  <c r="V551" i="12"/>
  <c r="V610" i="12" s="1"/>
  <c r="V38" i="12"/>
  <c r="V20" i="12"/>
  <c r="V259" i="10"/>
  <c r="V402" i="10" s="1"/>
  <c r="V221" i="10"/>
  <c r="V365" i="10" s="1"/>
  <c r="U215" i="11"/>
  <c r="U149" i="11"/>
  <c r="V212" i="12"/>
  <c r="V607" i="12" s="1"/>
  <c r="V234" i="10"/>
  <c r="V377" i="10" s="1"/>
  <c r="U638" i="12"/>
  <c r="U633" i="12"/>
  <c r="U635" i="12"/>
  <c r="V229" i="10"/>
  <c r="V595" i="12"/>
  <c r="V70" i="12"/>
  <c r="U151" i="11"/>
  <c r="U150" i="11"/>
  <c r="U218" i="11"/>
  <c r="V260" i="10"/>
  <c r="V403" i="10" s="1"/>
  <c r="S199" i="10"/>
  <c r="U637" i="12"/>
  <c r="U631" i="12"/>
  <c r="U636" i="12"/>
  <c r="V137" i="12"/>
  <c r="V605" i="12" s="1"/>
  <c r="V182" i="12"/>
  <c r="V606" i="12" s="1"/>
  <c r="V32" i="11"/>
  <c r="V114" i="11" s="1"/>
  <c r="V71" i="11"/>
  <c r="V591" i="12"/>
  <c r="V613" i="12" s="1"/>
  <c r="U216" i="11"/>
  <c r="S251" i="20"/>
  <c r="K69" i="25" s="1"/>
  <c r="T204" i="10"/>
  <c r="U634" i="12"/>
  <c r="V215" i="10"/>
  <c r="V359" i="10" s="1"/>
  <c r="V101" i="11"/>
  <c r="V476" i="12"/>
  <c r="V609" i="12" s="1"/>
  <c r="V79" i="12"/>
  <c r="U196" i="11"/>
  <c r="U217" i="11"/>
  <c r="U195" i="11"/>
  <c r="X56" i="22"/>
  <c r="X85" i="10"/>
  <c r="X71" i="10"/>
  <c r="X38" i="22"/>
  <c r="X106" i="11" s="1"/>
  <c r="V113" i="10"/>
  <c r="W89" i="10"/>
  <c r="W113" i="10" s="1"/>
  <c r="W65" i="22"/>
  <c r="W92" i="12" s="1"/>
  <c r="W114" i="10"/>
  <c r="W84" i="10"/>
  <c r="W118" i="10" s="1"/>
  <c r="X65" i="22"/>
  <c r="X89" i="10"/>
  <c r="W2090" i="16"/>
  <c r="V2072" i="16"/>
  <c r="V2086" i="16"/>
  <c r="W2047" i="16"/>
  <c r="W2049" i="16"/>
  <c r="V2074" i="16"/>
  <c r="V2073" i="16"/>
  <c r="V2087" i="16"/>
  <c r="V2080" i="16"/>
  <c r="X200" i="18"/>
  <c r="W201" i="18"/>
  <c r="W199" i="18"/>
  <c r="D1834" i="16"/>
  <c r="D1500" i="16"/>
  <c r="D1833" i="16"/>
  <c r="D1504" i="16"/>
  <c r="D1503" i="16"/>
  <c r="D1836" i="16"/>
  <c r="D1837" i="16"/>
  <c r="D1501" i="16"/>
  <c r="D1502" i="16"/>
  <c r="D1835" i="16"/>
  <c r="V1192" i="16" l="1"/>
  <c r="W35" i="8"/>
  <c r="W11" i="22"/>
  <c r="W11" i="18"/>
  <c r="X27" i="8"/>
  <c r="X11" i="22" s="1"/>
  <c r="W11" i="10"/>
  <c r="W11" i="16"/>
  <c r="W11" i="12"/>
  <c r="W11" i="11"/>
  <c r="V1143" i="16"/>
  <c r="V1296" i="16"/>
  <c r="T923" i="12"/>
  <c r="T931" i="12" s="1"/>
  <c r="V1433" i="16"/>
  <c r="X126" i="8"/>
  <c r="W636" i="12"/>
  <c r="V888" i="16"/>
  <c r="V161" i="16" s="1"/>
  <c r="V1289" i="16"/>
  <c r="W1289" i="16" s="1"/>
  <c r="V1303" i="16"/>
  <c r="W2081" i="16"/>
  <c r="W2052" i="16"/>
  <c r="W2053" i="16"/>
  <c r="V638" i="12"/>
  <c r="V1440" i="16"/>
  <c r="V1282" i="16"/>
  <c r="Q1364" i="16"/>
  <c r="R1364" i="16" s="1"/>
  <c r="S1364" i="16" s="1"/>
  <c r="T1364" i="16" s="1"/>
  <c r="U1364" i="16" s="1"/>
  <c r="V1364" i="16" s="1"/>
  <c r="W1364" i="16" s="1"/>
  <c r="X1364" i="16" s="1"/>
  <c r="O2130" i="16"/>
  <c r="W2051" i="16"/>
  <c r="W2074" i="16"/>
  <c r="Q952" i="16"/>
  <c r="R952" i="16" s="1"/>
  <c r="O1365" i="16"/>
  <c r="P1365" i="16" s="1"/>
  <c r="W2045" i="16"/>
  <c r="V1164" i="16"/>
  <c r="M964" i="16"/>
  <c r="N964" i="16" s="1"/>
  <c r="V1150" i="16"/>
  <c r="L966" i="16"/>
  <c r="V1461" i="16"/>
  <c r="T934" i="16"/>
  <c r="U934" i="16" s="1"/>
  <c r="V1136" i="16"/>
  <c r="R935" i="16"/>
  <c r="S935" i="16" s="1"/>
  <c r="U1900" i="16"/>
  <c r="T2208" i="16"/>
  <c r="L970" i="16"/>
  <c r="L971" i="16" s="1"/>
  <c r="K972" i="16"/>
  <c r="P1949" i="16"/>
  <c r="Q1949" i="16" s="1"/>
  <c r="O2215" i="16"/>
  <c r="O585" i="16"/>
  <c r="U1412" i="12"/>
  <c r="U257" i="20" s="1"/>
  <c r="U928" i="12"/>
  <c r="U929" i="12" s="1"/>
  <c r="U208" i="10" s="1"/>
  <c r="U352" i="10" s="1"/>
  <c r="R2211" i="16"/>
  <c r="R1923" i="16"/>
  <c r="S1902" i="16"/>
  <c r="T1901" i="16"/>
  <c r="N1951" i="16"/>
  <c r="N587" i="16" s="1"/>
  <c r="N794" i="16" s="1"/>
  <c r="N202" i="10" s="1"/>
  <c r="N346" i="10" s="1"/>
  <c r="O1950" i="16"/>
  <c r="N586" i="16"/>
  <c r="R1922" i="16"/>
  <c r="S1921" i="16"/>
  <c r="V894" i="16"/>
  <c r="V164" i="16" s="1"/>
  <c r="W206" i="12"/>
  <c r="W228" i="10"/>
  <c r="W1233" i="12"/>
  <c r="W1237" i="12" s="1"/>
  <c r="W1394" i="12" s="1"/>
  <c r="X1146" i="12"/>
  <c r="X1143" i="12"/>
  <c r="X1145" i="12"/>
  <c r="X1142" i="12"/>
  <c r="X1144" i="12"/>
  <c r="X1137" i="12"/>
  <c r="X1134" i="12"/>
  <c r="X1136" i="12"/>
  <c r="X1135" i="12"/>
  <c r="X1133" i="12"/>
  <c r="W1228" i="12"/>
  <c r="W1393" i="12" s="1"/>
  <c r="W1281" i="16"/>
  <c r="X1094" i="12"/>
  <c r="X1102" i="12"/>
  <c r="X1110" i="12"/>
  <c r="X1118" i="12"/>
  <c r="X1091" i="12"/>
  <c r="X1099" i="12"/>
  <c r="X1107" i="12"/>
  <c r="X1115" i="12"/>
  <c r="X1092" i="12"/>
  <c r="X1096" i="12"/>
  <c r="X1104" i="12"/>
  <c r="X1112" i="12"/>
  <c r="X1116" i="12"/>
  <c r="X1093" i="12"/>
  <c r="X1101" i="12"/>
  <c r="X1109" i="12"/>
  <c r="X1117" i="12"/>
  <c r="X1108" i="12"/>
  <c r="X1090" i="12"/>
  <c r="X1098" i="12"/>
  <c r="X1106" i="12"/>
  <c r="X1114" i="12"/>
  <c r="X1100" i="12"/>
  <c r="X1095" i="12"/>
  <c r="X1103" i="12"/>
  <c r="X1111" i="12"/>
  <c r="X1119" i="12"/>
  <c r="X1097" i="12"/>
  <c r="X1105" i="12"/>
  <c r="X1113" i="12"/>
  <c r="X1050" i="12"/>
  <c r="X1058" i="12"/>
  <c r="X1066" i="12"/>
  <c r="X1074" i="12"/>
  <c r="X1082" i="12"/>
  <c r="X1062" i="12"/>
  <c r="X1047" i="12"/>
  <c r="X1055" i="12"/>
  <c r="X1063" i="12"/>
  <c r="X1071" i="12"/>
  <c r="X1079" i="12"/>
  <c r="X1046" i="12"/>
  <c r="X1054" i="12"/>
  <c r="X1070" i="12"/>
  <c r="X1052" i="12"/>
  <c r="X1060" i="12"/>
  <c r="X1068" i="12"/>
  <c r="X1076" i="12"/>
  <c r="X1084" i="12"/>
  <c r="X1049" i="12"/>
  <c r="X1057" i="12"/>
  <c r="X1065" i="12"/>
  <c r="X1073" i="12"/>
  <c r="X1081" i="12"/>
  <c r="X1051" i="12"/>
  <c r="X1059" i="12"/>
  <c r="X1067" i="12"/>
  <c r="X1075" i="12"/>
  <c r="X1083" i="12"/>
  <c r="X1053" i="12"/>
  <c r="X1048" i="12"/>
  <c r="X1056" i="12"/>
  <c r="X1064" i="12"/>
  <c r="X1072" i="12"/>
  <c r="X1080" i="12"/>
  <c r="X1061" i="12"/>
  <c r="X1069" i="12"/>
  <c r="X1077" i="12"/>
  <c r="X1085" i="12"/>
  <c r="X1078" i="12"/>
  <c r="X1005" i="12"/>
  <c r="X1013" i="12"/>
  <c r="X1021" i="12"/>
  <c r="X1029" i="12"/>
  <c r="X1037" i="12"/>
  <c r="X1002" i="12"/>
  <c r="X1010" i="12"/>
  <c r="X1018" i="12"/>
  <c r="X1026" i="12"/>
  <c r="X1034" i="12"/>
  <c r="X1007" i="12"/>
  <c r="X1015" i="12"/>
  <c r="X1023" i="12"/>
  <c r="X1031" i="12"/>
  <c r="X1039" i="12"/>
  <c r="X1004" i="12"/>
  <c r="X1012" i="12"/>
  <c r="X1020" i="12"/>
  <c r="X1028" i="12"/>
  <c r="X1036" i="12"/>
  <c r="X1001" i="12"/>
  <c r="X1009" i="12"/>
  <c r="X1017" i="12"/>
  <c r="X1025" i="12"/>
  <c r="X1033" i="12"/>
  <c r="X1019" i="12"/>
  <c r="X1006" i="12"/>
  <c r="X1014" i="12"/>
  <c r="X1022" i="12"/>
  <c r="X1030" i="12"/>
  <c r="X1038" i="12"/>
  <c r="X1003" i="12"/>
  <c r="X1011" i="12"/>
  <c r="X1008" i="12"/>
  <c r="X1016" i="12"/>
  <c r="X1024" i="12"/>
  <c r="X1032" i="12"/>
  <c r="X1040" i="12"/>
  <c r="X1035" i="12"/>
  <c r="X1027" i="12"/>
  <c r="X995" i="12"/>
  <c r="X992" i="12"/>
  <c r="X994" i="12"/>
  <c r="X991" i="12"/>
  <c r="X993" i="12"/>
  <c r="X971" i="12"/>
  <c r="X979" i="12"/>
  <c r="X969" i="12"/>
  <c r="X968" i="12"/>
  <c r="X976" i="12"/>
  <c r="X984" i="12"/>
  <c r="X973" i="12"/>
  <c r="X981" i="12"/>
  <c r="X970" i="12"/>
  <c r="X978" i="12"/>
  <c r="X986" i="12"/>
  <c r="X985" i="12"/>
  <c r="X967" i="12"/>
  <c r="X975" i="12"/>
  <c r="X983" i="12"/>
  <c r="X972" i="12"/>
  <c r="X980" i="12"/>
  <c r="X977" i="12"/>
  <c r="X974" i="12"/>
  <c r="X982" i="12"/>
  <c r="X904" i="12"/>
  <c r="X901" i="12"/>
  <c r="X903" i="12"/>
  <c r="X900" i="12"/>
  <c r="X902" i="12"/>
  <c r="M209" i="25"/>
  <c r="M247" i="25" s="1"/>
  <c r="X895" i="12"/>
  <c r="X892" i="12"/>
  <c r="X893" i="12"/>
  <c r="X894" i="12"/>
  <c r="X891" i="12"/>
  <c r="V1401" i="12"/>
  <c r="V1411" i="12" s="1"/>
  <c r="X852" i="12"/>
  <c r="X1335" i="12" s="1"/>
  <c r="X860" i="12"/>
  <c r="X868" i="12"/>
  <c r="X876" i="12"/>
  <c r="X849" i="12"/>
  <c r="X1332" i="12" s="1"/>
  <c r="X857" i="12"/>
  <c r="X865" i="12"/>
  <c r="X873" i="12"/>
  <c r="X853" i="12"/>
  <c r="X854" i="12"/>
  <c r="X862" i="12"/>
  <c r="X870" i="12"/>
  <c r="X850" i="12"/>
  <c r="X858" i="12"/>
  <c r="X851" i="12"/>
  <c r="X859" i="12"/>
  <c r="X867" i="12"/>
  <c r="X875" i="12"/>
  <c r="X861" i="12"/>
  <c r="X877" i="12"/>
  <c r="X866" i="12"/>
  <c r="X848" i="12"/>
  <c r="X856" i="12"/>
  <c r="X864" i="12"/>
  <c r="X872" i="12"/>
  <c r="X869" i="12"/>
  <c r="X855" i="12"/>
  <c r="X863" i="12"/>
  <c r="X871" i="12"/>
  <c r="X874" i="12"/>
  <c r="U1406" i="12"/>
  <c r="X808" i="12"/>
  <c r="X1291" i="12" s="1"/>
  <c r="X816" i="12"/>
  <c r="X824" i="12"/>
  <c r="X832" i="12"/>
  <c r="X840" i="12"/>
  <c r="X814" i="12"/>
  <c r="X838" i="12"/>
  <c r="X805" i="12"/>
  <c r="X1288" i="12" s="1"/>
  <c r="X813" i="12"/>
  <c r="X821" i="12"/>
  <c r="X829" i="12"/>
  <c r="X837" i="12"/>
  <c r="X810" i="12"/>
  <c r="X818" i="12"/>
  <c r="X826" i="12"/>
  <c r="X834" i="12"/>
  <c r="X842" i="12"/>
  <c r="X830" i="12"/>
  <c r="X807" i="12"/>
  <c r="X815" i="12"/>
  <c r="X823" i="12"/>
  <c r="X831" i="12"/>
  <c r="X839" i="12"/>
  <c r="X822" i="12"/>
  <c r="X804" i="12"/>
  <c r="X812" i="12"/>
  <c r="X820" i="12"/>
  <c r="X828" i="12"/>
  <c r="X836" i="12"/>
  <c r="X809" i="12"/>
  <c r="X817" i="12"/>
  <c r="X825" i="12"/>
  <c r="X833" i="12"/>
  <c r="X841" i="12"/>
  <c r="X806" i="12"/>
  <c r="X811" i="12"/>
  <c r="X819" i="12"/>
  <c r="X827" i="12"/>
  <c r="X835" i="12"/>
  <c r="X843" i="12"/>
  <c r="X763" i="12"/>
  <c r="X1246" i="12" s="1"/>
  <c r="X771" i="12"/>
  <c r="X779" i="12"/>
  <c r="X787" i="12"/>
  <c r="X795" i="12"/>
  <c r="X760" i="12"/>
  <c r="X1243" i="12" s="1"/>
  <c r="X768" i="12"/>
  <c r="X776" i="12"/>
  <c r="X784" i="12"/>
  <c r="X792" i="12"/>
  <c r="X765" i="12"/>
  <c r="X773" i="12"/>
  <c r="X781" i="12"/>
  <c r="X789" i="12"/>
  <c r="X797" i="12"/>
  <c r="X762" i="12"/>
  <c r="X770" i="12"/>
  <c r="X778" i="12"/>
  <c r="X786" i="12"/>
  <c r="X794" i="12"/>
  <c r="X759" i="12"/>
  <c r="X767" i="12"/>
  <c r="X775" i="12"/>
  <c r="X783" i="12"/>
  <c r="X791" i="12"/>
  <c r="X764" i="12"/>
  <c r="X772" i="12"/>
  <c r="X780" i="12"/>
  <c r="X788" i="12"/>
  <c r="X796" i="12"/>
  <c r="X761" i="12"/>
  <c r="X769" i="12"/>
  <c r="X777" i="12"/>
  <c r="X785" i="12"/>
  <c r="X793" i="12"/>
  <c r="X766" i="12"/>
  <c r="X774" i="12"/>
  <c r="X782" i="12"/>
  <c r="X790" i="12"/>
  <c r="X798" i="12"/>
  <c r="X749" i="12"/>
  <c r="X753" i="12"/>
  <c r="X752" i="12"/>
  <c r="X751" i="12"/>
  <c r="X750" i="12"/>
  <c r="W1282" i="12"/>
  <c r="W1395" i="12" s="1"/>
  <c r="W1361" i="12"/>
  <c r="W1397" i="12" s="1"/>
  <c r="W1327" i="12"/>
  <c r="W1396" i="12" s="1"/>
  <c r="X729" i="12"/>
  <c r="X1212" i="12" s="1"/>
  <c r="X737" i="12"/>
  <c r="X726" i="12"/>
  <c r="X1209" i="12" s="1"/>
  <c r="X734" i="12"/>
  <c r="X742" i="12"/>
  <c r="X741" i="12"/>
  <c r="X731" i="12"/>
  <c r="X739" i="12"/>
  <c r="X733" i="12"/>
  <c r="X728" i="12"/>
  <c r="X736" i="12"/>
  <c r="X744" i="12"/>
  <c r="X725" i="12"/>
  <c r="X730" i="12"/>
  <c r="X738" i="12"/>
  <c r="X732" i="12"/>
  <c r="X727" i="12"/>
  <c r="X735" i="12"/>
  <c r="X743" i="12"/>
  <c r="X740" i="12"/>
  <c r="W930" i="12"/>
  <c r="W216" i="10" s="1"/>
  <c r="W360" i="10" s="1"/>
  <c r="X943" i="12"/>
  <c r="X946" i="12"/>
  <c r="X950" i="12"/>
  <c r="X954" i="12"/>
  <c r="X958" i="12"/>
  <c r="X962" i="12"/>
  <c r="X945" i="12"/>
  <c r="X949" i="12"/>
  <c r="X953" i="12"/>
  <c r="X957" i="12"/>
  <c r="X961" i="12"/>
  <c r="X944" i="12"/>
  <c r="X948" i="12"/>
  <c r="X952" i="12"/>
  <c r="X956" i="12"/>
  <c r="X960" i="12"/>
  <c r="X947" i="12"/>
  <c r="X951" i="12"/>
  <c r="X955" i="12"/>
  <c r="X959" i="12"/>
  <c r="W899" i="16"/>
  <c r="X701" i="12"/>
  <c r="X704" i="12"/>
  <c r="X708" i="12"/>
  <c r="X712" i="12"/>
  <c r="X716" i="12"/>
  <c r="X720" i="12"/>
  <c r="X718" i="12"/>
  <c r="X703" i="12"/>
  <c r="X707" i="12"/>
  <c r="X711" i="12"/>
  <c r="X715" i="12"/>
  <c r="X719" i="12"/>
  <c r="X702" i="12"/>
  <c r="X1185" i="12" s="1"/>
  <c r="X706" i="12"/>
  <c r="X710" i="12"/>
  <c r="X714" i="12"/>
  <c r="X705" i="12"/>
  <c r="X1188" i="12" s="1"/>
  <c r="X709" i="12"/>
  <c r="X713" i="12"/>
  <c r="X717" i="12"/>
  <c r="W372" i="10"/>
  <c r="W371" i="10" s="1"/>
  <c r="W1135" i="16"/>
  <c r="W747" i="16"/>
  <c r="W209" i="20" s="1"/>
  <c r="W434" i="12"/>
  <c r="X1176" i="16"/>
  <c r="X1487" i="16"/>
  <c r="X1596" i="16"/>
  <c r="W197" i="11"/>
  <c r="W1460" i="12"/>
  <c r="W1550" i="12"/>
  <c r="W782" i="16"/>
  <c r="W244" i="20" s="1"/>
  <c r="W751" i="16"/>
  <c r="W213" i="20" s="1"/>
  <c r="W767" i="16"/>
  <c r="W229" i="20" s="1"/>
  <c r="W771" i="16"/>
  <c r="W233" i="20" s="1"/>
  <c r="W766" i="16"/>
  <c r="W228" i="20" s="1"/>
  <c r="W768" i="16"/>
  <c r="W230" i="20" s="1"/>
  <c r="X1802" i="12"/>
  <c r="X233" i="10"/>
  <c r="X257" i="10" s="1"/>
  <c r="W1170" i="16"/>
  <c r="X620" i="16"/>
  <c r="X436" i="16"/>
  <c r="W1204" i="12"/>
  <c r="W1392" i="12" s="1"/>
  <c r="X32" i="11"/>
  <c r="X114" i="11" s="1"/>
  <c r="X16" i="10" s="1"/>
  <c r="W773" i="16"/>
  <c r="W235" i="20" s="1"/>
  <c r="X2037" i="16"/>
  <c r="X2063" i="16" s="1"/>
  <c r="X2091" i="16" s="1"/>
  <c r="W1572" i="12"/>
  <c r="W783" i="16"/>
  <c r="W245" i="20" s="1"/>
  <c r="W1555" i="12"/>
  <c r="W775" i="16"/>
  <c r="W237" i="20" s="1"/>
  <c r="W754" i="16"/>
  <c r="W216" i="20" s="1"/>
  <c r="W745" i="16"/>
  <c r="W207" i="20" s="1"/>
  <c r="W765" i="16"/>
  <c r="W227" i="20" s="1"/>
  <c r="W756" i="16"/>
  <c r="W218" i="20" s="1"/>
  <c r="X1836" i="12"/>
  <c r="X1735" i="12"/>
  <c r="W1539" i="12"/>
  <c r="X1740" i="12"/>
  <c r="X1729" i="12"/>
  <c r="W774" i="16"/>
  <c r="W236" i="20" s="1"/>
  <c r="X124" i="11"/>
  <c r="W1481" i="16"/>
  <c r="W770" i="16"/>
  <c r="W232" i="20" s="1"/>
  <c r="W777" i="16"/>
  <c r="W239" i="20" s="1"/>
  <c r="W753" i="16"/>
  <c r="W215" i="20" s="1"/>
  <c r="W1503" i="12"/>
  <c r="W750" i="16"/>
  <c r="W212" i="20" s="1"/>
  <c r="W1595" i="12"/>
  <c r="W152" i="11"/>
  <c r="W763" i="16"/>
  <c r="W225" i="20" s="1"/>
  <c r="W757" i="16"/>
  <c r="W219" i="20" s="1"/>
  <c r="W760" i="16"/>
  <c r="W222" i="20" s="1"/>
  <c r="W781" i="16"/>
  <c r="W243" i="20" s="1"/>
  <c r="X1544" i="16"/>
  <c r="X591" i="12"/>
  <c r="X613" i="12" s="1"/>
  <c r="W1596" i="12"/>
  <c r="X195" i="20"/>
  <c r="W748" i="16"/>
  <c r="W210" i="20" s="1"/>
  <c r="W1548" i="12"/>
  <c r="X1767" i="12"/>
  <c r="W149" i="11"/>
  <c r="W755" i="16"/>
  <c r="W217" i="20" s="1"/>
  <c r="W762" i="16"/>
  <c r="W224" i="20" s="1"/>
  <c r="X573" i="16"/>
  <c r="W216" i="11"/>
  <c r="W764" i="16"/>
  <c r="W226" i="20" s="1"/>
  <c r="W769" i="16"/>
  <c r="W231" i="20" s="1"/>
  <c r="W772" i="16"/>
  <c r="W234" i="20" s="1"/>
  <c r="X12" i="12"/>
  <c r="X1813" i="12"/>
  <c r="W1549" i="12"/>
  <c r="N62" i="25"/>
  <c r="N48" i="25"/>
  <c r="X72" i="20"/>
  <c r="X176" i="20"/>
  <c r="W193" i="11"/>
  <c r="X1679" i="12"/>
  <c r="X1502" i="16"/>
  <c r="X365" i="16" s="1"/>
  <c r="X194" i="20"/>
  <c r="X127" i="10"/>
  <c r="X1776" i="12"/>
  <c r="X432" i="16"/>
  <c r="X12" i="18"/>
  <c r="X160" i="20"/>
  <c r="X437" i="16"/>
  <c r="X230" i="10"/>
  <c r="X373" i="10" s="1"/>
  <c r="X657" i="16"/>
  <c r="X1789" i="12"/>
  <c r="X1831" i="12"/>
  <c r="X117" i="20"/>
  <c r="X1964" i="16"/>
  <c r="X1801" i="12"/>
  <c r="X622" i="16"/>
  <c r="W1430" i="12"/>
  <c r="W1552" i="12"/>
  <c r="W1563" i="12"/>
  <c r="W1432" i="12"/>
  <c r="W1579" i="12"/>
  <c r="X141" i="16"/>
  <c r="X801" i="16"/>
  <c r="W746" i="16"/>
  <c r="W208" i="20" s="1"/>
  <c r="W779" i="16"/>
  <c r="W241" i="20" s="1"/>
  <c r="W778" i="16"/>
  <c r="W240" i="20" s="1"/>
  <c r="W744" i="16"/>
  <c r="W206" i="20" s="1"/>
  <c r="W758" i="16"/>
  <c r="W220" i="20" s="1"/>
  <c r="W761" i="16"/>
  <c r="W223" i="20" s="1"/>
  <c r="W752" i="16"/>
  <c r="W214" i="20" s="1"/>
  <c r="W749" i="16"/>
  <c r="W211" i="20" s="1"/>
  <c r="W759" i="16"/>
  <c r="W221" i="20" s="1"/>
  <c r="W780" i="16"/>
  <c r="W242" i="20" s="1"/>
  <c r="X1849" i="16"/>
  <c r="X426" i="16"/>
  <c r="X1945" i="16"/>
  <c r="X156" i="20"/>
  <c r="X435" i="16"/>
  <c r="X1827" i="12"/>
  <c r="X2057" i="16"/>
  <c r="X1707" i="12"/>
  <c r="X616" i="16"/>
  <c r="X413" i="10"/>
  <c r="X2033" i="16"/>
  <c r="X2059" i="16" s="1"/>
  <c r="X2087" i="16" s="1"/>
  <c r="J2087" i="16" s="1"/>
  <c r="X1678" i="12"/>
  <c r="X1731" i="12"/>
  <c r="X71" i="11"/>
  <c r="X117" i="11" s="1"/>
  <c r="X19" i="10" s="1"/>
  <c r="X152" i="20"/>
  <c r="X281" i="16"/>
  <c r="X1737" i="12"/>
  <c r="X1404" i="12"/>
  <c r="X1311" i="16"/>
  <c r="X132" i="20"/>
  <c r="X270" i="16"/>
  <c r="X1835" i="12"/>
  <c r="X44" i="11"/>
  <c r="X101" i="11"/>
  <c r="X120" i="11" s="1"/>
  <c r="X30" i="10" s="1"/>
  <c r="X124" i="20"/>
  <c r="X619" i="16"/>
  <c r="X1771" i="12"/>
  <c r="X1756" i="12"/>
  <c r="X201" i="11"/>
  <c r="X1448" i="16"/>
  <c r="X126" i="20"/>
  <c r="X577" i="16"/>
  <c r="X1730" i="12"/>
  <c r="X1792" i="12"/>
  <c r="X1837" i="16"/>
  <c r="X462" i="16" s="1"/>
  <c r="X79" i="12"/>
  <c r="X107" i="12" s="1"/>
  <c r="X27" i="10" s="1"/>
  <c r="X121" i="22"/>
  <c r="X130" i="20"/>
  <c r="X698" i="16"/>
  <c r="X1822" i="12"/>
  <c r="X1727" i="12"/>
  <c r="X35" i="11"/>
  <c r="X1712" i="12"/>
  <c r="X1697" i="12"/>
  <c r="X31" i="20"/>
  <c r="X424" i="16"/>
  <c r="X58" i="20"/>
  <c r="X98" i="10"/>
  <c r="X1701" i="12"/>
  <c r="X1497" i="16"/>
  <c r="X119" i="20"/>
  <c r="X361" i="16"/>
  <c r="X1723" i="12"/>
  <c r="X455" i="16"/>
  <c r="X1828" i="12"/>
  <c r="X81" i="20"/>
  <c r="X75" i="10"/>
  <c r="X447" i="16"/>
  <c r="X1806" i="12"/>
  <c r="X1768" i="12"/>
  <c r="X1137" i="16"/>
  <c r="I197" i="16" s="1"/>
  <c r="X97" i="20"/>
  <c r="X268" i="16"/>
  <c r="X1793" i="12"/>
  <c r="X1399" i="12"/>
  <c r="X82" i="22"/>
  <c r="X618" i="16"/>
  <c r="X1838" i="12"/>
  <c r="X1672" i="12"/>
  <c r="X63" i="12"/>
  <c r="X595" i="12"/>
  <c r="X180" i="10" s="1"/>
  <c r="X57" i="20"/>
  <c r="X453" i="16"/>
  <c r="X1834" i="12"/>
  <c r="X1819" i="12"/>
  <c r="X12" i="11"/>
  <c r="X211" i="16"/>
  <c r="X1571" i="16"/>
  <c r="X83" i="18"/>
  <c r="X1746" i="12"/>
  <c r="X1360" i="16"/>
  <c r="X63" i="20"/>
  <c r="X1682" i="12"/>
  <c r="X1469" i="16"/>
  <c r="X427" i="16"/>
  <c r="X1736" i="12"/>
  <c r="X29" i="12"/>
  <c r="X103" i="12" s="1"/>
  <c r="X23" i="10" s="1"/>
  <c r="X151" i="20"/>
  <c r="X1833" i="16"/>
  <c r="X458" i="16" s="1"/>
  <c r="X1704" i="12"/>
  <c r="X1670" i="12"/>
  <c r="X1283" i="16"/>
  <c r="X85" i="20"/>
  <c r="X329" i="16"/>
  <c r="X1699" i="12"/>
  <c r="X74" i="11"/>
  <c r="X26" i="22"/>
  <c r="X617" i="16"/>
  <c r="X1742" i="12"/>
  <c r="X1702" i="12"/>
  <c r="X73" i="12"/>
  <c r="X431" i="12"/>
  <c r="X608" i="12" s="1"/>
  <c r="X2085" i="16"/>
  <c r="X440" i="16"/>
  <c r="X1738" i="12"/>
  <c r="X1640" i="12"/>
  <c r="X32" i="12"/>
  <c r="X219" i="10"/>
  <c r="X101" i="20"/>
  <c r="X359" i="16"/>
  <c r="X1677" i="12"/>
  <c r="X1661" i="12"/>
  <c r="X1172" i="16"/>
  <c r="I202" i="16" s="1"/>
  <c r="G35" i="20" s="1"/>
  <c r="X1578" i="16"/>
  <c r="X60" i="20"/>
  <c r="X1745" i="12"/>
  <c r="X1290" i="16"/>
  <c r="X128" i="20"/>
  <c r="X1713" i="12"/>
  <c r="X1483" i="16"/>
  <c r="X422" i="16"/>
  <c r="X1780" i="12"/>
  <c r="X215" i="10"/>
  <c r="X359" i="10" s="1"/>
  <c r="X172" i="20"/>
  <c r="X456" i="16"/>
  <c r="X1741" i="12"/>
  <c r="X1421" i="12"/>
  <c r="X1559" i="12" s="1"/>
  <c r="X300" i="10"/>
  <c r="X2041" i="16"/>
  <c r="X2067" i="16" s="1"/>
  <c r="X278" i="16"/>
  <c r="X1724" i="12"/>
  <c r="X91" i="12"/>
  <c r="X178" i="20"/>
  <c r="X457" i="16"/>
  <c r="X1696" i="12"/>
  <c r="X1755" i="12"/>
  <c r="X1836" i="16"/>
  <c r="X461" i="16" s="1"/>
  <c r="X242" i="10"/>
  <c r="X121" i="20"/>
  <c r="X273" i="16"/>
  <c r="X1790" i="12"/>
  <c r="X1668" i="12"/>
  <c r="X95" i="11"/>
  <c r="X63" i="18"/>
  <c r="X67" i="20"/>
  <c r="X438" i="16"/>
  <c r="X1761" i="12"/>
  <c r="X1706" i="12"/>
  <c r="X1501" i="16"/>
  <c r="X364" i="16" s="1"/>
  <c r="X1669" i="16"/>
  <c r="X197" i="20"/>
  <c r="X59" i="20"/>
  <c r="X434" i="16"/>
  <c r="X1757" i="12"/>
  <c r="X1638" i="12"/>
  <c r="X1689" i="12"/>
  <c r="X575" i="16"/>
  <c r="X98" i="20"/>
  <c r="X38" i="16"/>
  <c r="X1839" i="12"/>
  <c r="X180" i="11"/>
  <c r="X154" i="11" s="1"/>
  <c r="X221" i="10"/>
  <c r="X365" i="10" s="1"/>
  <c r="X1394" i="16"/>
  <c r="X54" i="16"/>
  <c r="X168" i="11"/>
  <c r="X242" i="11" s="1"/>
  <c r="X161" i="10" s="1"/>
  <c r="X446" i="16"/>
  <c r="X1694" i="12"/>
  <c r="X1374" i="16"/>
  <c r="X1401" i="16"/>
  <c r="X69" i="20"/>
  <c r="X1824" i="12"/>
  <c r="X1304" i="16"/>
  <c r="X173" i="20"/>
  <c r="X12" i="16"/>
  <c r="X192" i="16" s="1"/>
  <c r="X187" i="20"/>
  <c r="X421" i="16"/>
  <c r="X1675" i="12"/>
  <c r="X177" i="11"/>
  <c r="X243" i="11" s="1"/>
  <c r="X162" i="10" s="1"/>
  <c r="X196" i="20"/>
  <c r="X276" i="16"/>
  <c r="X1797" i="12"/>
  <c r="X82" i="12"/>
  <c r="X112" i="22"/>
  <c r="X2044" i="16"/>
  <c r="X1783" i="12"/>
  <c r="X1673" i="12"/>
  <c r="X96" i="20"/>
  <c r="X127" i="20"/>
  <c r="X444" i="16"/>
  <c r="X1821" i="12"/>
  <c r="X1400" i="12"/>
  <c r="X1835" i="16"/>
  <c r="X460" i="16" s="1"/>
  <c r="X94" i="22"/>
  <c r="X193" i="20"/>
  <c r="X352" i="16"/>
  <c r="X1692" i="12"/>
  <c r="X1671" i="12"/>
  <c r="X161" i="20"/>
  <c r="X148" i="20"/>
  <c r="X65" i="20"/>
  <c r="X279" i="16"/>
  <c r="X356" i="16"/>
  <c r="X1772" i="12"/>
  <c r="X82" i="20"/>
  <c r="X1952" i="16"/>
  <c r="X141" i="20"/>
  <c r="X624" i="16"/>
  <c r="X275" i="16"/>
  <c r="X1690" i="12"/>
  <c r="X1799" i="12"/>
  <c r="X574" i="16"/>
  <c r="X159" i="20"/>
  <c r="X1585" i="16"/>
  <c r="X441" i="16"/>
  <c r="X1398" i="12"/>
  <c r="X190" i="10"/>
  <c r="X448" i="16"/>
  <c r="X1715" i="12"/>
  <c r="X123" i="20"/>
  <c r="X1805" i="12"/>
  <c r="X100" i="12"/>
  <c r="X1648" i="16"/>
  <c r="X118" i="20"/>
  <c r="X1787" i="12"/>
  <c r="X1676" i="12"/>
  <c r="X551" i="12"/>
  <c r="X610" i="12" s="1"/>
  <c r="X138" i="20"/>
  <c r="X452" i="16"/>
  <c r="X1829" i="12"/>
  <c r="X1666" i="12"/>
  <c r="X1627" i="16"/>
  <c r="X61" i="20"/>
  <c r="X216" i="16"/>
  <c r="X1760" i="12"/>
  <c r="X231" i="11"/>
  <c r="X92" i="11"/>
  <c r="X108" i="12" s="1"/>
  <c r="X28" i="10" s="1"/>
  <c r="X192" i="20"/>
  <c r="X582" i="16"/>
  <c r="X417" i="16"/>
  <c r="X360" i="16"/>
  <c r="X629" i="12"/>
  <c r="X1938" i="16"/>
  <c r="X116" i="20"/>
  <c r="X2038" i="16"/>
  <c r="X2051" i="16" s="1"/>
  <c r="X1714" i="12"/>
  <c r="X1743" i="12"/>
  <c r="X53" i="11"/>
  <c r="X234" i="10"/>
  <c r="X377" i="10" s="1"/>
  <c r="X156" i="10"/>
  <c r="X150" i="20"/>
  <c r="X454" i="16"/>
  <c r="X1705" i="12"/>
  <c r="X1748" i="12"/>
  <c r="X240" i="11"/>
  <c r="X50" i="11"/>
  <c r="X116" i="11" s="1"/>
  <c r="X18" i="10" s="1"/>
  <c r="X125" i="20"/>
  <c r="X60" i="12"/>
  <c r="X105" i="12" s="1"/>
  <c r="X25" i="10" s="1"/>
  <c r="X174" i="20"/>
  <c r="X580" i="16"/>
  <c r="X431" i="16"/>
  <c r="X425" i="16"/>
  <c r="X157" i="20"/>
  <c r="X1753" i="12"/>
  <c r="X1773" i="12"/>
  <c r="X354" i="16"/>
  <c r="W150" i="11"/>
  <c r="W155" i="11"/>
  <c r="W196" i="11"/>
  <c r="W157" i="11"/>
  <c r="W214" i="11"/>
  <c r="W158" i="11"/>
  <c r="W154" i="11"/>
  <c r="X32" i="8"/>
  <c r="X31" i="8" s="1"/>
  <c r="X101" i="18" s="1"/>
  <c r="X1774" i="12"/>
  <c r="X96" i="18"/>
  <c r="X83" i="20"/>
  <c r="X1782" i="12"/>
  <c r="X12" i="20"/>
  <c r="X25" i="20" s="1"/>
  <c r="X1188" i="20" s="1"/>
  <c r="X1811" i="12"/>
  <c r="X1664" i="12"/>
  <c r="X70" i="20"/>
  <c r="X1163" i="12"/>
  <c r="X116" i="18"/>
  <c r="X362" i="16"/>
  <c r="X1750" i="12"/>
  <c r="X1703" i="12"/>
  <c r="X1788" i="12"/>
  <c r="X621" i="16"/>
  <c r="X1462" i="16"/>
  <c r="W1449" i="12"/>
  <c r="W1588" i="12"/>
  <c r="W1441" i="12"/>
  <c r="W1438" i="12"/>
  <c r="W1591" i="12"/>
  <c r="X1814" i="12"/>
  <c r="X1804" i="12"/>
  <c r="X450" i="16"/>
  <c r="W195" i="11"/>
  <c r="W217" i="11"/>
  <c r="X353" i="16"/>
  <c r="X1800" i="12"/>
  <c r="X623" i="16"/>
  <c r="X1832" i="12"/>
  <c r="X269" i="16"/>
  <c r="X1726" i="12"/>
  <c r="X80" i="20"/>
  <c r="X38" i="12"/>
  <c r="X104" i="12" s="1"/>
  <c r="X24" i="10" s="1"/>
  <c r="X1840" i="12"/>
  <c r="X30" i="20"/>
  <c r="X1785" i="12"/>
  <c r="X182" i="12"/>
  <c r="X606" i="12" s="1"/>
  <c r="X136" i="20"/>
  <c r="X625" i="16"/>
  <c r="X282" i="16"/>
  <c r="X1770" i="12"/>
  <c r="X137" i="12"/>
  <c r="X605" i="12" s="1"/>
  <c r="W1486" i="12"/>
  <c r="W1537" i="12"/>
  <c r="W1431" i="12"/>
  <c r="X1613" i="16"/>
  <c r="X1820" i="12"/>
  <c r="W1559" i="12"/>
  <c r="W1499" i="12"/>
  <c r="W1598" i="12"/>
  <c r="W1500" i="12"/>
  <c r="W1599" i="12"/>
  <c r="W1489" i="12"/>
  <c r="W1436" i="12"/>
  <c r="W1557" i="12"/>
  <c r="W1472" i="12"/>
  <c r="W1458" i="12"/>
  <c r="W1505" i="12"/>
  <c r="W1435" i="12"/>
  <c r="W1424" i="12"/>
  <c r="W1585" i="12"/>
  <c r="W1502" i="12"/>
  <c r="W1576" i="12"/>
  <c r="W1465" i="12"/>
  <c r="W1456" i="12"/>
  <c r="W1463" i="12"/>
  <c r="W1451" i="12"/>
  <c r="W1474" i="12"/>
  <c r="W1551" i="12"/>
  <c r="W1562" i="12"/>
  <c r="W1490" i="12"/>
  <c r="W1515" i="12"/>
  <c r="W1541" i="12"/>
  <c r="W1532" i="12"/>
  <c r="W1459" i="12"/>
  <c r="W1487" i="12"/>
  <c r="W1494" i="12"/>
  <c r="W1545" i="12"/>
  <c r="W1543" i="12"/>
  <c r="W1442" i="12"/>
  <c r="W1493" i="12"/>
  <c r="W1450" i="12"/>
  <c r="W1484" i="12"/>
  <c r="W1538" i="12"/>
  <c r="W1455" i="12"/>
  <c r="W1516" i="12"/>
  <c r="W1578" i="12"/>
  <c r="W1461" i="12"/>
  <c r="W1530" i="12"/>
  <c r="W1437" i="12"/>
  <c r="W1483" i="12"/>
  <c r="W1600" i="12"/>
  <c r="W1427" i="12"/>
  <c r="W1512" i="12"/>
  <c r="W1582" i="12"/>
  <c r="W1564" i="12"/>
  <c r="W1592" i="12"/>
  <c r="W1558" i="12"/>
  <c r="W1498" i="12"/>
  <c r="W1533" i="12"/>
  <c r="W1575" i="12"/>
  <c r="W1457" i="12"/>
  <c r="W1573" i="12"/>
  <c r="W1475" i="12"/>
  <c r="W1536" i="12"/>
  <c r="W1542" i="12"/>
  <c r="W1566" i="12"/>
  <c r="W1581" i="12"/>
  <c r="W1426" i="12"/>
  <c r="W1535" i="12"/>
  <c r="W1520" i="12"/>
  <c r="W1482" i="12"/>
  <c r="W1506" i="12"/>
  <c r="W1597" i="12"/>
  <c r="W1425" i="12"/>
  <c r="W1504" i="12"/>
  <c r="W1589" i="12"/>
  <c r="W1518" i="12"/>
  <c r="W1584" i="12"/>
  <c r="W1531" i="12"/>
  <c r="W1560" i="12"/>
  <c r="W1565" i="12"/>
  <c r="W1448" i="12"/>
  <c r="W1511" i="12"/>
  <c r="W1587" i="12"/>
  <c r="W1534" i="12"/>
  <c r="W1501" i="12"/>
  <c r="W1514" i="12"/>
  <c r="W1586" i="12"/>
  <c r="W1488" i="12"/>
  <c r="W1491" i="12"/>
  <c r="W1556" i="12"/>
  <c r="W1509" i="12"/>
  <c r="W1544" i="12"/>
  <c r="W1440" i="12"/>
  <c r="W1497" i="12"/>
  <c r="W1443" i="12"/>
  <c r="W1492" i="12"/>
  <c r="W1546" i="12"/>
  <c r="W1428" i="12"/>
  <c r="W1476" i="12"/>
  <c r="W1517" i="12"/>
  <c r="W1429" i="12"/>
  <c r="W1507" i="12"/>
  <c r="W1583" i="12"/>
  <c r="W1547" i="12"/>
  <c r="W1580" i="12"/>
  <c r="W1527" i="12"/>
  <c r="W1521" i="12"/>
  <c r="W1452" i="12"/>
  <c r="W1513" i="12"/>
  <c r="W1454" i="12"/>
  <c r="W1508" i="12"/>
  <c r="W1593" i="12"/>
  <c r="W1540" i="12"/>
  <c r="W1496" i="12"/>
  <c r="W1554" i="12"/>
  <c r="W1466" i="12"/>
  <c r="W1529" i="12"/>
  <c r="W1519" i="12"/>
  <c r="W1453" i="12"/>
  <c r="W1571" i="12"/>
  <c r="W1473" i="12"/>
  <c r="W156" i="11"/>
  <c r="X94" i="20"/>
  <c r="X615" i="16"/>
  <c r="X229" i="10"/>
  <c r="X258" i="10" s="1"/>
  <c r="X50" i="22"/>
  <c r="X23" i="12"/>
  <c r="X1803" i="12"/>
  <c r="X122" i="20"/>
  <c r="X20" i="12"/>
  <c r="X102" i="12" s="1"/>
  <c r="X22" i="10" s="1"/>
  <c r="X1777" i="12"/>
  <c r="X149" i="20"/>
  <c r="X1817" i="12"/>
  <c r="X259" i="10"/>
  <c r="X402" i="10" s="1"/>
  <c r="X129" i="20"/>
  <c r="X2031" i="16"/>
  <c r="X357" i="16"/>
  <c r="X1795" i="12"/>
  <c r="X1367" i="16"/>
  <c r="W1439" i="12"/>
  <c r="W1485" i="12"/>
  <c r="W1528" i="12"/>
  <c r="W1464" i="12"/>
  <c r="W1467" i="12"/>
  <c r="X1722" i="12"/>
  <c r="X42" i="12"/>
  <c r="X1408" i="16"/>
  <c r="W153" i="11"/>
  <c r="W218" i="11"/>
  <c r="X326" i="16"/>
  <c r="X84" i="20"/>
  <c r="X222" i="11"/>
  <c r="X1716" i="12"/>
  <c r="X940" i="12"/>
  <c r="X433" i="16"/>
  <c r="X99" i="20"/>
  <c r="X260" i="10"/>
  <c r="X403" i="10" s="1"/>
  <c r="X1786" i="12"/>
  <c r="X74" i="18"/>
  <c r="X283" i="16"/>
  <c r="X698" i="12"/>
  <c r="X1688" i="12"/>
  <c r="X143" i="20"/>
  <c r="X93" i="20"/>
  <c r="X71" i="20"/>
  <c r="X1747" i="12"/>
  <c r="W1594" i="12"/>
  <c r="W1577" i="12"/>
  <c r="W1462" i="12"/>
  <c r="W1590" i="12"/>
  <c r="W1553" i="12"/>
  <c r="X158" i="20"/>
  <c r="X62" i="20"/>
  <c r="X171" i="11"/>
  <c r="W215" i="11"/>
  <c r="W194" i="11"/>
  <c r="X1434" i="16"/>
  <c r="X1796" i="12"/>
  <c r="X430" i="16"/>
  <c r="X120" i="20"/>
  <c r="X1644" i="12"/>
  <c r="X439" i="16"/>
  <c r="X140" i="20"/>
  <c r="X188" i="20"/>
  <c r="X1878" i="12"/>
  <c r="X1916" i="12" s="1"/>
  <c r="X1523" i="16"/>
  <c r="X330" i="16"/>
  <c r="X921" i="12"/>
  <c r="E1168" i="12" s="1"/>
  <c r="G1168" i="12" s="1"/>
  <c r="X328" i="16"/>
  <c r="X107" i="18"/>
  <c r="X175" i="20"/>
  <c r="X68" i="20"/>
  <c r="X1759" i="12"/>
  <c r="W1561" i="12"/>
  <c r="W1434" i="12"/>
  <c r="W1574" i="12"/>
  <c r="W1510" i="12"/>
  <c r="W1495" i="12"/>
  <c r="V1477" i="12"/>
  <c r="V1634" i="12" s="1"/>
  <c r="W923" i="16"/>
  <c r="W896" i="12"/>
  <c r="W916" i="20"/>
  <c r="W626" i="16"/>
  <c r="W810" i="16" s="1"/>
  <c r="W514" i="20"/>
  <c r="V1444" i="12"/>
  <c r="V1632" i="12" s="1"/>
  <c r="V1522" i="12"/>
  <c r="V1635" i="12" s="1"/>
  <c r="V1601" i="12"/>
  <c r="V1637" i="12" s="1"/>
  <c r="V1567" i="12"/>
  <c r="V1636" i="12" s="1"/>
  <c r="V1468" i="12"/>
  <c r="V1633" i="12" s="1"/>
  <c r="N465" i="25"/>
  <c r="W116" i="12"/>
  <c r="W2065" i="16"/>
  <c r="W2079" i="16" s="1"/>
  <c r="W2063" i="16"/>
  <c r="W2091" i="16" s="1"/>
  <c r="O73" i="25"/>
  <c r="O119" i="25" s="1"/>
  <c r="O127" i="25" s="1"/>
  <c r="O138" i="25" s="1"/>
  <c r="O146" i="25" s="1"/>
  <c r="W264" i="12"/>
  <c r="V2090" i="16"/>
  <c r="V2096" i="16" s="1"/>
  <c r="W520" i="12"/>
  <c r="W594" i="12"/>
  <c r="W306" i="12"/>
  <c r="V2076" i="16"/>
  <c r="W2076" i="16" s="1"/>
  <c r="W386" i="20"/>
  <c r="W180" i="10"/>
  <c r="O13" i="25"/>
  <c r="O62" i="25" s="1"/>
  <c r="W221" i="12"/>
  <c r="W585" i="12"/>
  <c r="W2042" i="16"/>
  <c r="W811" i="16" s="1"/>
  <c r="W119" i="11"/>
  <c r="W161" i="12"/>
  <c r="W331" i="16"/>
  <c r="W806" i="16" s="1"/>
  <c r="W1147" i="12"/>
  <c r="W1159" i="12" s="1"/>
  <c r="W875" i="16"/>
  <c r="W1717" i="12"/>
  <c r="W1874" i="12" s="1"/>
  <c r="W1912" i="12" s="1"/>
  <c r="W198" i="20"/>
  <c r="W1209" i="20" s="1"/>
  <c r="W1841" i="12"/>
  <c r="W1877" i="12" s="1"/>
  <c r="W1915" i="12" s="1"/>
  <c r="W463" i="16"/>
  <c r="W284" i="16"/>
  <c r="W804" i="16" s="1"/>
  <c r="W807" i="16"/>
  <c r="W180" i="20"/>
  <c r="W1208" i="20" s="1"/>
  <c r="W86" i="20"/>
  <c r="W1205" i="20" s="1"/>
  <c r="W584" i="16"/>
  <c r="W809" i="16" s="1"/>
  <c r="W893" i="16"/>
  <c r="W136" i="16"/>
  <c r="X215" i="16"/>
  <c r="X209" i="16"/>
  <c r="X130" i="16"/>
  <c r="X123" i="16"/>
  <c r="X113" i="16"/>
  <c r="X118" i="16"/>
  <c r="X32" i="20"/>
  <c r="X45" i="20"/>
  <c r="X1179" i="16"/>
  <c r="X1235" i="16"/>
  <c r="X915" i="12"/>
  <c r="X1930" i="12" s="1"/>
  <c r="X1603" i="16"/>
  <c r="X29" i="8"/>
  <c r="X127" i="8" s="1"/>
  <c r="X101" i="16"/>
  <c r="X1634" i="16"/>
  <c r="X1877" i="16"/>
  <c r="X1641" i="16"/>
  <c r="X2013" i="16"/>
  <c r="X334" i="10"/>
  <c r="X144" i="20"/>
  <c r="X147" i="20"/>
  <c r="X428" i="16"/>
  <c r="X1791" i="12"/>
  <c r="X1880" i="12"/>
  <c r="X1919" i="12" s="1"/>
  <c r="X46" i="16"/>
  <c r="X1346" i="16"/>
  <c r="X1144" i="16"/>
  <c r="I198" i="16" s="1"/>
  <c r="G31" i="20" s="1"/>
  <c r="X385" i="10"/>
  <c r="X489" i="10" s="1"/>
  <c r="X133" i="20"/>
  <c r="X139" i="20"/>
  <c r="X408" i="16"/>
  <c r="X1818" i="12"/>
  <c r="X1769" i="12"/>
  <c r="X1884" i="12"/>
  <c r="X29" i="18"/>
  <c r="X2040" i="16"/>
  <c r="X2066" i="16" s="1"/>
  <c r="X2094" i="16" s="1"/>
  <c r="J2094" i="16" s="1"/>
  <c r="X420" i="16"/>
  <c r="X157" i="16"/>
  <c r="X202" i="16"/>
  <c r="X213" i="16"/>
  <c r="X115" i="16"/>
  <c r="X117" i="16"/>
  <c r="X121" i="16"/>
  <c r="X108" i="16"/>
  <c r="X41" i="20"/>
  <c r="X37" i="20"/>
  <c r="X1193" i="16"/>
  <c r="X1249" i="16"/>
  <c r="X1480" i="16"/>
  <c r="X2149" i="16" s="1"/>
  <c r="X79" i="16"/>
  <c r="X98" i="16"/>
  <c r="X206" i="16"/>
  <c r="X208" i="16"/>
  <c r="X120" i="16"/>
  <c r="X126" i="16"/>
  <c r="X129" i="16"/>
  <c r="X109" i="16"/>
  <c r="X36" i="20"/>
  <c r="X44" i="20"/>
  <c r="X1186" i="16"/>
  <c r="I204" i="16" s="1"/>
  <c r="G37" i="20" s="1"/>
  <c r="X1242" i="16"/>
  <c r="X95" i="16"/>
  <c r="X135" i="16"/>
  <c r="X1381" i="16"/>
  <c r="X1455" i="16"/>
  <c r="X1332" i="16"/>
  <c r="X1339" i="16"/>
  <c r="X68" i="22"/>
  <c r="X102" i="20"/>
  <c r="X155" i="20"/>
  <c r="X1504" i="16"/>
  <c r="X367" i="16" s="1"/>
  <c r="X1830" i="12"/>
  <c r="X1695" i="12"/>
  <c r="X1815" i="12"/>
  <c r="X1620" i="16"/>
  <c r="X1564" i="16"/>
  <c r="X88" i="22"/>
  <c r="X145" i="20"/>
  <c r="X578" i="16"/>
  <c r="X358" i="16"/>
  <c r="X1798" i="12"/>
  <c r="X1812" i="12"/>
  <c r="X1639" i="12"/>
  <c r="X169" i="20"/>
  <c r="X576" i="16"/>
  <c r="X280" i="16"/>
  <c r="X1837" i="12"/>
  <c r="X210" i="16"/>
  <c r="X200" i="16"/>
  <c r="X134" i="16"/>
  <c r="X105" i="16"/>
  <c r="X132" i="16"/>
  <c r="X47" i="20"/>
  <c r="X38" i="20"/>
  <c r="X46" i="20"/>
  <c r="X1200" i="16"/>
  <c r="I206" i="16" s="1"/>
  <c r="G39" i="20" s="1"/>
  <c r="X1256" i="16"/>
  <c r="X104" i="16"/>
  <c r="X97" i="16"/>
  <c r="X199" i="16"/>
  <c r="X214" i="16"/>
  <c r="X204" i="16"/>
  <c r="X119" i="16"/>
  <c r="X128" i="16"/>
  <c r="X114" i="16"/>
  <c r="X48" i="20"/>
  <c r="X43" i="20"/>
  <c r="X1151" i="16"/>
  <c r="I199" i="16" s="1"/>
  <c r="G32" i="20" s="1"/>
  <c r="X1207" i="16"/>
  <c r="X1280" i="16"/>
  <c r="X96" i="16"/>
  <c r="X100" i="16"/>
  <c r="X203" i="16"/>
  <c r="X212" i="16"/>
  <c r="X125" i="16"/>
  <c r="X107" i="16"/>
  <c r="X110" i="16"/>
  <c r="X131" i="16"/>
  <c r="X33" i="20"/>
  <c r="X42" i="20"/>
  <c r="X1158" i="16"/>
  <c r="I200" i="16" s="1"/>
  <c r="G33" i="20" s="1"/>
  <c r="X1214" i="16"/>
  <c r="I208" i="16" s="1"/>
  <c r="G41" i="20" s="1"/>
  <c r="X922" i="16"/>
  <c r="X102" i="16"/>
  <c r="X1606" i="16"/>
  <c r="X1476" i="16"/>
  <c r="X1353" i="16"/>
  <c r="X1599" i="16"/>
  <c r="X171" i="20"/>
  <c r="X103" i="20"/>
  <c r="X1834" i="16"/>
  <c r="X459" i="16" s="1"/>
  <c r="X271" i="16"/>
  <c r="X1263" i="16"/>
  <c r="X207" i="16"/>
  <c r="X201" i="16"/>
  <c r="X133" i="16"/>
  <c r="X124" i="16"/>
  <c r="X127" i="16"/>
  <c r="X122" i="16"/>
  <c r="X40" i="20"/>
  <c r="X35" i="20"/>
  <c r="X1165" i="16"/>
  <c r="I201" i="16" s="1"/>
  <c r="G34" i="20" s="1"/>
  <c r="X1221" i="16"/>
  <c r="X174" i="16"/>
  <c r="X103" i="16"/>
  <c r="X1903" i="16"/>
  <c r="X1557" i="16"/>
  <c r="X1896" i="16"/>
  <c r="X1297" i="16"/>
  <c r="X189" i="20"/>
  <c r="X41" i="22"/>
  <c r="X579" i="16"/>
  <c r="X197" i="16"/>
  <c r="X1825" i="12"/>
  <c r="X1669" i="12"/>
  <c r="X1917" i="16"/>
  <c r="X1516" i="16"/>
  <c r="X1530" i="16"/>
  <c r="X135" i="20"/>
  <c r="X134" i="20"/>
  <c r="X449" i="16"/>
  <c r="X1779" i="12"/>
  <c r="X1733" i="12"/>
  <c r="X1680" i="12"/>
  <c r="X46" i="10"/>
  <c r="X100" i="20"/>
  <c r="X442" i="16"/>
  <c r="X1693" i="12"/>
  <c r="W162" i="20"/>
  <c r="W1207" i="20" s="1"/>
  <c r="W48" i="18"/>
  <c r="W53" i="18" s="1"/>
  <c r="W110" i="18"/>
  <c r="W68" i="18"/>
  <c r="W33" i="18"/>
  <c r="W38" i="18" s="1"/>
  <c r="W119" i="18"/>
  <c r="W86" i="18"/>
  <c r="W101" i="18"/>
  <c r="W73" i="20"/>
  <c r="W1203" i="20" s="1"/>
  <c r="X423" i="16"/>
  <c r="X2036" i="16"/>
  <c r="X2062" i="16" s="1"/>
  <c r="X2090" i="16" s="1"/>
  <c r="X44" i="18"/>
  <c r="X88" i="12"/>
  <c r="X110" i="12" s="1"/>
  <c r="X32" i="10" s="1"/>
  <c r="X355" i="16"/>
  <c r="X1823" i="12"/>
  <c r="X1879" i="12"/>
  <c r="X1918" i="12" s="1"/>
  <c r="X2035" i="16"/>
  <c r="X2048" i="16" s="1"/>
  <c r="J2048" i="16" s="1"/>
  <c r="X12" i="22"/>
  <c r="X1732" i="12"/>
  <c r="X22" i="16"/>
  <c r="X786" i="16"/>
  <c r="X20" i="22"/>
  <c r="X603" i="12"/>
  <c r="X1674" i="12"/>
  <c r="X1681" i="12"/>
  <c r="X583" i="16"/>
  <c r="X179" i="20"/>
  <c r="X1910" i="16"/>
  <c r="X1931" i="16"/>
  <c r="X99" i="16"/>
  <c r="X39" i="20"/>
  <c r="X1301" i="16"/>
  <c r="X2121" i="16" s="1"/>
  <c r="X12" i="10"/>
  <c r="X476" i="12"/>
  <c r="X609" i="12" s="1"/>
  <c r="X418" i="16"/>
  <c r="X1181" i="12"/>
  <c r="X1691" i="12"/>
  <c r="X1775" i="12"/>
  <c r="X2071" i="16"/>
  <c r="X205" i="20"/>
  <c r="X212" i="12"/>
  <c r="X607" i="12" s="1"/>
  <c r="X1157" i="12"/>
  <c r="X1816" i="12"/>
  <c r="X62" i="16"/>
  <c r="X443" i="16"/>
  <c r="X190" i="20"/>
  <c r="X1662" i="16"/>
  <c r="X113" i="11"/>
  <c r="X1728" i="12"/>
  <c r="X1754" i="12"/>
  <c r="X325" i="16"/>
  <c r="X64" i="20"/>
  <c r="X59" i="22"/>
  <c r="X41" i="11"/>
  <c r="X115" i="11" s="1"/>
  <c r="X17" i="10" s="1"/>
  <c r="X162" i="11"/>
  <c r="X1683" i="12"/>
  <c r="X1758" i="12"/>
  <c r="X2034" i="16"/>
  <c r="X2060" i="16" s="1"/>
  <c r="X2088" i="16" s="1"/>
  <c r="J2088" i="16" s="1"/>
  <c r="X363" i="10"/>
  <c r="X30" i="16"/>
  <c r="X429" i="16"/>
  <c r="X2039" i="16"/>
  <c r="X2065" i="16" s="1"/>
  <c r="X2093" i="16" s="1"/>
  <c r="X103" i="22"/>
  <c r="X1490" i="16"/>
  <c r="X1667" i="12"/>
  <c r="X1778" i="12"/>
  <c r="X2032" i="16"/>
  <c r="X2058" i="16" s="1"/>
  <c r="X2086" i="16" s="1"/>
  <c r="J2086" i="16" s="1"/>
  <c r="X191" i="20"/>
  <c r="X1655" i="16"/>
  <c r="X1592" i="16"/>
  <c r="X34" i="20"/>
  <c r="X1431" i="16"/>
  <c r="X2142" i="16" s="1"/>
  <c r="W1807" i="12"/>
  <c r="W1876" i="12" s="1"/>
  <c r="W1914" i="12" s="1"/>
  <c r="X1318" i="16"/>
  <c r="X112" i="16"/>
  <c r="W77" i="18"/>
  <c r="X111" i="16"/>
  <c r="X1422" i="16"/>
  <c r="X1744" i="12"/>
  <c r="X274" i="16"/>
  <c r="X153" i="20"/>
  <c r="X1537" i="16"/>
  <c r="X1889" i="16"/>
  <c r="X1978" i="16"/>
  <c r="W18" i="18"/>
  <c r="W23" i="18" s="1"/>
  <c r="X106" i="16"/>
  <c r="X116" i="16"/>
  <c r="X114" i="12"/>
  <c r="X1752" i="12"/>
  <c r="X1826" i="12"/>
  <c r="X445" i="16"/>
  <c r="X137" i="20"/>
  <c r="X130" i="22"/>
  <c r="X327" i="16"/>
  <c r="X1739" i="12"/>
  <c r="X1725" i="12"/>
  <c r="X198" i="16"/>
  <c r="X581" i="16"/>
  <c r="X131" i="20"/>
  <c r="X1924" i="16"/>
  <c r="X1503" i="16"/>
  <c r="X366" i="16" s="1"/>
  <c r="X617" i="12"/>
  <c r="X1665" i="12"/>
  <c r="X1794" i="12"/>
  <c r="X277" i="16"/>
  <c r="X66" i="20"/>
  <c r="X271" i="10"/>
  <c r="X104" i="11"/>
  <c r="X1698" i="12"/>
  <c r="X1700" i="12"/>
  <c r="X419" i="16"/>
  <c r="X142" i="20"/>
  <c r="X32" i="22"/>
  <c r="X70" i="12"/>
  <c r="X106" i="12" s="1"/>
  <c r="X26" i="10" s="1"/>
  <c r="X1751" i="12"/>
  <c r="X1833" i="12"/>
  <c r="X1500" i="16"/>
  <c r="X363" i="16" s="1"/>
  <c r="X95" i="20"/>
  <c r="X146" i="20"/>
  <c r="X262" i="10"/>
  <c r="X170" i="20"/>
  <c r="X1784" i="12"/>
  <c r="X1749" i="12"/>
  <c r="X564" i="16"/>
  <c r="X177" i="20"/>
  <c r="X70" i="16"/>
  <c r="X1734" i="12"/>
  <c r="X451" i="16"/>
  <c r="X154" i="20"/>
  <c r="X1441" i="16"/>
  <c r="X1971" i="16"/>
  <c r="X1781" i="12"/>
  <c r="X272" i="16"/>
  <c r="X49" i="20"/>
  <c r="X1415" i="16"/>
  <c r="X1325" i="16"/>
  <c r="X1228" i="16"/>
  <c r="I210" i="16" s="1"/>
  <c r="G43" i="20" s="1"/>
  <c r="X205" i="16"/>
  <c r="W405" i="10"/>
  <c r="X1350" i="16"/>
  <c r="X370" i="20"/>
  <c r="X1494" i="16"/>
  <c r="X2151" i="16" s="1"/>
  <c r="W305" i="10"/>
  <c r="X1473" i="16"/>
  <c r="X1617" i="16"/>
  <c r="X461" i="20"/>
  <c r="X915" i="20"/>
  <c r="X917" i="20" s="1"/>
  <c r="X1294" i="16"/>
  <c r="X2113" i="16" s="1"/>
  <c r="X892" i="16"/>
  <c r="X527" i="20"/>
  <c r="X874" i="16"/>
  <c r="X492" i="20"/>
  <c r="X886" i="16"/>
  <c r="X894" i="20"/>
  <c r="X1190" i="16"/>
  <c r="X356" i="20"/>
  <c r="X910" i="16"/>
  <c r="X1162" i="16"/>
  <c r="X335" i="20"/>
  <c r="X328" i="20"/>
  <c r="X904" i="16"/>
  <c r="X471" i="20"/>
  <c r="X880" i="16"/>
  <c r="X1155" i="16"/>
  <c r="X363" i="20"/>
  <c r="X1148" i="16"/>
  <c r="X1141" i="16"/>
  <c r="X1935" i="16"/>
  <c r="X1322" i="16"/>
  <c r="W963" i="12"/>
  <c r="W1151" i="12" s="1"/>
  <c r="X901" i="20"/>
  <c r="X1907" i="16"/>
  <c r="X2209" i="16" s="1"/>
  <c r="W1908" i="16"/>
  <c r="W385" i="20"/>
  <c r="X534" i="20"/>
  <c r="X536" i="20" s="1"/>
  <c r="X384" i="20"/>
  <c r="W535" i="20"/>
  <c r="W1041" i="12"/>
  <c r="W1154" i="12" s="1"/>
  <c r="W1708" i="12"/>
  <c r="W1873" i="12" s="1"/>
  <c r="W1911" i="12" s="1"/>
  <c r="W745" i="12"/>
  <c r="W910" i="12" s="1"/>
  <c r="W1925" i="12" s="1"/>
  <c r="W1762" i="12"/>
  <c r="W1875" i="12" s="1"/>
  <c r="W1913" i="12" s="1"/>
  <c r="W368" i="16"/>
  <c r="W808" i="16"/>
  <c r="W1838" i="16"/>
  <c r="W1505" i="16"/>
  <c r="W878" i="12"/>
  <c r="W914" i="12" s="1"/>
  <c r="W1929" i="12" s="1"/>
  <c r="W987" i="12"/>
  <c r="W1152" i="12" s="1"/>
  <c r="W996" i="12"/>
  <c r="W1153" i="12" s="1"/>
  <c r="W754" i="12"/>
  <c r="W911" i="12" s="1"/>
  <c r="W1926" i="12" s="1"/>
  <c r="W1086" i="12"/>
  <c r="W1155" i="12" s="1"/>
  <c r="W799" i="12"/>
  <c r="W912" i="12" s="1"/>
  <c r="W633" i="12" s="1"/>
  <c r="W621" i="12" s="1"/>
  <c r="W169" i="10" s="1"/>
  <c r="W313" i="10" s="1"/>
  <c r="W905" i="12"/>
  <c r="W917" i="12" s="1"/>
  <c r="W1933" i="12" s="1"/>
  <c r="W1947" i="12" s="1"/>
  <c r="W1905" i="12" s="1"/>
  <c r="W844" i="12"/>
  <c r="W913" i="12" s="1"/>
  <c r="W1928" i="12" s="1"/>
  <c r="W721" i="12"/>
  <c r="W909" i="12" s="1"/>
  <c r="W630" i="12" s="1"/>
  <c r="W618" i="12" s="1"/>
  <c r="W166" i="10" s="1"/>
  <c r="W310" i="10" s="1"/>
  <c r="W1684" i="12"/>
  <c r="W1872" i="12" s="1"/>
  <c r="W1910" i="12" s="1"/>
  <c r="W1138" i="12"/>
  <c r="W1158" i="12" s="1"/>
  <c r="W1295" i="16"/>
  <c r="W917" i="20"/>
  <c r="X506" i="20"/>
  <c r="X508" i="20" s="1"/>
  <c r="X1575" i="16"/>
  <c r="X2162" i="16" s="1"/>
  <c r="W2113" i="16"/>
  <c r="W1576" i="16"/>
  <c r="X1412" i="16"/>
  <c r="X2138" i="16" s="1"/>
  <c r="W1330" i="16"/>
  <c r="X898" i="16"/>
  <c r="X1169" i="16"/>
  <c r="X513" i="20"/>
  <c r="X515" i="20" s="1"/>
  <c r="X1391" i="16"/>
  <c r="X2135" i="16" s="1"/>
  <c r="X1914" i="16"/>
  <c r="X2210" i="16" s="1"/>
  <c r="W507" i="20"/>
  <c r="W1887" i="16"/>
  <c r="X1886" i="16"/>
  <c r="X2206" i="16" s="1"/>
  <c r="W1191" i="16"/>
  <c r="W1192" i="16" s="1"/>
  <c r="X1329" i="16"/>
  <c r="X2125" i="16" s="1"/>
  <c r="W1413" i="16"/>
  <c r="W1163" i="16"/>
  <c r="W364" i="20"/>
  <c r="W905" i="16"/>
  <c r="X1287" i="16"/>
  <c r="X2112" i="16" s="1"/>
  <c r="X349" i="20"/>
  <c r="X1459" i="16"/>
  <c r="X2146" i="16" s="1"/>
  <c r="W2112" i="16"/>
  <c r="X1445" i="16"/>
  <c r="X2144" i="16" s="1"/>
  <c r="W365" i="20"/>
  <c r="W462" i="20"/>
  <c r="W463" i="20" s="1"/>
  <c r="W1156" i="16"/>
  <c r="W1157" i="16" s="1"/>
  <c r="W1177" i="16"/>
  <c r="W1178" i="16" s="1"/>
  <c r="E1519" i="16"/>
  <c r="D1519" i="16" s="1"/>
  <c r="D364" i="16"/>
  <c r="C105" i="20" s="1"/>
  <c r="F105" i="20" s="1"/>
  <c r="X105" i="20" s="1"/>
  <c r="E1526" i="16"/>
  <c r="D1526" i="16" s="1"/>
  <c r="D365" i="16"/>
  <c r="C106" i="20" s="1"/>
  <c r="F106" i="20" s="1"/>
  <c r="R106" i="20" s="1"/>
  <c r="E1533" i="16"/>
  <c r="D1533" i="16" s="1"/>
  <c r="D366" i="16"/>
  <c r="C107" i="20" s="1"/>
  <c r="F107" i="20" s="1"/>
  <c r="X107" i="20" s="1"/>
  <c r="D1838" i="16"/>
  <c r="H1844" i="16" s="1"/>
  <c r="I1844" i="16" s="1"/>
  <c r="D367" i="16"/>
  <c r="C108" i="20" s="1"/>
  <c r="D714" i="20" s="1"/>
  <c r="E1540" i="16"/>
  <c r="D1540" i="16" s="1"/>
  <c r="D1541" i="16" s="1"/>
  <c r="E1512" i="16"/>
  <c r="D1512" i="16" s="1"/>
  <c r="D1513" i="16" s="1"/>
  <c r="D363" i="16"/>
  <c r="C104" i="20" s="1"/>
  <c r="F104" i="20" s="1"/>
  <c r="I363" i="16" s="1"/>
  <c r="D1505" i="16"/>
  <c r="H1511" i="16" s="1"/>
  <c r="I1511" i="16" s="1"/>
  <c r="W350" i="20"/>
  <c r="W351" i="20" s="1"/>
  <c r="W357" i="20"/>
  <c r="W358" i="20" s="1"/>
  <c r="V159" i="11"/>
  <c r="V241" i="11" s="1"/>
  <c r="V219" i="11"/>
  <c r="V246" i="11" s="1"/>
  <c r="V611" i="12" s="1"/>
  <c r="V1944" i="12" s="1"/>
  <c r="W1120" i="12"/>
  <c r="W1156" i="12" s="1"/>
  <c r="W1288" i="16"/>
  <c r="W1460" i="16"/>
  <c r="W486" i="20"/>
  <c r="W487" i="20" s="1"/>
  <c r="X1582" i="16"/>
  <c r="X2163" i="16" s="1"/>
  <c r="X485" i="20"/>
  <c r="X1419" i="16"/>
  <c r="X2139" i="16" s="1"/>
  <c r="X1315" i="16"/>
  <c r="X2123" i="16" s="1"/>
  <c r="X1589" i="16"/>
  <c r="X2164" i="16" s="1"/>
  <c r="X1134" i="16"/>
  <c r="N277" i="25"/>
  <c r="V2055" i="16"/>
  <c r="V796" i="16" s="1"/>
  <c r="V204" i="10" s="1"/>
  <c r="N324" i="25"/>
  <c r="W1583" i="16"/>
  <c r="V805" i="16"/>
  <c r="N418" i="25"/>
  <c r="X478" i="20"/>
  <c r="X480" i="20" s="1"/>
  <c r="W372" i="20"/>
  <c r="W371" i="20"/>
  <c r="N371" i="25"/>
  <c r="N155" i="25"/>
  <c r="N209" i="25" s="1"/>
  <c r="N247" i="25" s="1"/>
  <c r="W1142" i="16"/>
  <c r="W1316" i="16"/>
  <c r="W2054" i="16"/>
  <c r="V198" i="11"/>
  <c r="V244" i="11" s="1"/>
  <c r="V163" i="10" s="1"/>
  <c r="V1160" i="12"/>
  <c r="V1170" i="12" s="1"/>
  <c r="V1171" i="12" s="1"/>
  <c r="V1917" i="12"/>
  <c r="V1920" i="12" s="1"/>
  <c r="U1641" i="12"/>
  <c r="U1651" i="12" s="1"/>
  <c r="U250" i="20" s="1"/>
  <c r="U1215" i="20" s="1"/>
  <c r="W1149" i="16"/>
  <c r="W1392" i="16"/>
  <c r="W1915" i="16"/>
  <c r="V1881" i="12"/>
  <c r="V1891" i="12" s="1"/>
  <c r="W887" i="16"/>
  <c r="W1446" i="16"/>
  <c r="V699" i="16"/>
  <c r="V206" i="20"/>
  <c r="V246" i="20" s="1"/>
  <c r="V251" i="20" s="1"/>
  <c r="W1420" i="16"/>
  <c r="X1554" i="16"/>
  <c r="X2159" i="16" s="1"/>
  <c r="W1555" i="16"/>
  <c r="W1556" i="16" s="1"/>
  <c r="X1438" i="16"/>
  <c r="X2143" i="16" s="1"/>
  <c r="W1439" i="16"/>
  <c r="W378" i="20"/>
  <c r="T1646" i="12"/>
  <c r="X377" i="20"/>
  <c r="W379" i="20"/>
  <c r="U1886" i="12"/>
  <c r="W1309" i="16"/>
  <c r="W1310" i="16" s="1"/>
  <c r="X1308" i="16"/>
  <c r="X2115" i="16" s="1"/>
  <c r="U1165" i="12"/>
  <c r="U1172" i="12" s="1"/>
  <c r="L220" i="25"/>
  <c r="L228" i="25" s="1"/>
  <c r="W1302" i="16"/>
  <c r="W2121" i="16"/>
  <c r="W2114" i="16"/>
  <c r="W1399" i="16"/>
  <c r="X1398" i="16"/>
  <c r="X2136" i="16" s="1"/>
  <c r="W846" i="20"/>
  <c r="X845" i="20"/>
  <c r="X847" i="20" s="1"/>
  <c r="W2122" i="16"/>
  <c r="W2115" i="16"/>
  <c r="W493" i="20"/>
  <c r="W494" i="20" s="1"/>
  <c r="W1569" i="16"/>
  <c r="X1568" i="16"/>
  <c r="X2161" i="16" s="1"/>
  <c r="W1467" i="16"/>
  <c r="X1466" i="16"/>
  <c r="X2147" i="16" s="1"/>
  <c r="W2142" i="16"/>
  <c r="W1432" i="16"/>
  <c r="H1263" i="16"/>
  <c r="I1256" i="16" a="1"/>
  <c r="I1256" i="16" s="1"/>
  <c r="H1683" i="16"/>
  <c r="I1676" i="16" a="1"/>
  <c r="I1676" i="16" s="1"/>
  <c r="K1270" i="16"/>
  <c r="K264" i="16" s="1"/>
  <c r="J964" i="20" a="1"/>
  <c r="J964" i="20" s="1"/>
  <c r="D968" i="20"/>
  <c r="W332" i="16"/>
  <c r="W1406" i="16"/>
  <c r="X1405" i="16"/>
  <c r="X2137" i="16" s="1"/>
  <c r="V333" i="16"/>
  <c r="U333" i="16"/>
  <c r="W1888" i="16"/>
  <c r="R348" i="10"/>
  <c r="N49" i="10"/>
  <c r="W1453" i="16"/>
  <c r="X1452" i="16"/>
  <c r="X2145" i="16" s="1"/>
  <c r="V120" i="11"/>
  <c r="V30" i="10" s="1"/>
  <c r="T111" i="12"/>
  <c r="T35" i="10" s="1"/>
  <c r="S105" i="12"/>
  <c r="S25" i="10" s="1"/>
  <c r="S102" i="12"/>
  <c r="S22" i="10" s="1"/>
  <c r="R104" i="12"/>
  <c r="R24" i="10" s="1"/>
  <c r="Q115" i="11"/>
  <c r="Q17" i="10" s="1"/>
  <c r="Q305" i="10" s="1"/>
  <c r="Q107" i="12"/>
  <c r="Q27" i="10" s="1"/>
  <c r="Q108" i="12"/>
  <c r="Q28" i="10" s="1"/>
  <c r="Q119" i="11"/>
  <c r="O103" i="12"/>
  <c r="O23" i="10" s="1"/>
  <c r="O117" i="11"/>
  <c r="O19" i="10" s="1"/>
  <c r="M116" i="11"/>
  <c r="M18" i="10" s="1"/>
  <c r="M306" i="10" s="1"/>
  <c r="M120" i="11"/>
  <c r="M30" i="10" s="1"/>
  <c r="L106" i="12"/>
  <c r="L26" i="10" s="1"/>
  <c r="L115" i="11"/>
  <c r="L17" i="10" s="1"/>
  <c r="L305" i="10" s="1"/>
  <c r="K120" i="11"/>
  <c r="K30" i="10" s="1"/>
  <c r="V117" i="11"/>
  <c r="V19" i="10" s="1"/>
  <c r="V102" i="12"/>
  <c r="V105" i="12"/>
  <c r="V25" i="10" s="1"/>
  <c r="U102" i="12"/>
  <c r="U22" i="10" s="1"/>
  <c r="T102" i="12"/>
  <c r="T22" i="10" s="1"/>
  <c r="S106" i="12"/>
  <c r="S26" i="10" s="1"/>
  <c r="Q104" i="12"/>
  <c r="Q24" i="10" s="1"/>
  <c r="Q120" i="11"/>
  <c r="Q30" i="10" s="1"/>
  <c r="P107" i="12"/>
  <c r="P27" i="10" s="1"/>
  <c r="P105" i="12"/>
  <c r="P25" i="10" s="1"/>
  <c r="O110" i="12"/>
  <c r="O32" i="10" s="1"/>
  <c r="O108" i="12"/>
  <c r="O28" i="10" s="1"/>
  <c r="O119" i="11"/>
  <c r="O106" i="12"/>
  <c r="O26" i="10" s="1"/>
  <c r="L108" i="12"/>
  <c r="L28" i="10" s="1"/>
  <c r="L119" i="11"/>
  <c r="L116" i="11"/>
  <c r="L18" i="10" s="1"/>
  <c r="L306" i="10" s="1"/>
  <c r="L105" i="12"/>
  <c r="L25" i="10" s="1"/>
  <c r="K117" i="11"/>
  <c r="K19" i="10" s="1"/>
  <c r="W114" i="11"/>
  <c r="V104" i="12"/>
  <c r="V24" i="10" s="1"/>
  <c r="U116" i="11"/>
  <c r="U18" i="10" s="1"/>
  <c r="U306" i="10" s="1"/>
  <c r="U107" i="12"/>
  <c r="U27" i="10" s="1"/>
  <c r="T116" i="11"/>
  <c r="T18" i="10" s="1"/>
  <c r="T306" i="10" s="1"/>
  <c r="S108" i="12"/>
  <c r="S28" i="10" s="1"/>
  <c r="S119" i="11"/>
  <c r="S103" i="12"/>
  <c r="S23" i="10" s="1"/>
  <c r="P111" i="12"/>
  <c r="P35" i="10" s="1"/>
  <c r="R117" i="11"/>
  <c r="R19" i="10" s="1"/>
  <c r="Q110" i="12"/>
  <c r="Q32" i="10" s="1"/>
  <c r="Q106" i="12"/>
  <c r="Q26" i="10" s="1"/>
  <c r="P103" i="12"/>
  <c r="P104" i="12"/>
  <c r="P24" i="10" s="1"/>
  <c r="N111" i="12"/>
  <c r="N35" i="10" s="1"/>
  <c r="O104" i="12"/>
  <c r="O24" i="10" s="1"/>
  <c r="N115" i="11"/>
  <c r="N17" i="10" s="1"/>
  <c r="N305" i="10" s="1"/>
  <c r="W116" i="11"/>
  <c r="W18" i="10" s="1"/>
  <c r="W306" i="10" s="1"/>
  <c r="V116" i="11"/>
  <c r="V18" i="10" s="1"/>
  <c r="V306" i="10" s="1"/>
  <c r="U110" i="12"/>
  <c r="U32" i="10" s="1"/>
  <c r="T104" i="12"/>
  <c r="R111" i="12"/>
  <c r="R35" i="10" s="1"/>
  <c r="T117" i="11"/>
  <c r="T106" i="12"/>
  <c r="T26" i="10" s="1"/>
  <c r="S120" i="11"/>
  <c r="S30" i="10" s="1"/>
  <c r="R116" i="11"/>
  <c r="R18" i="10" s="1"/>
  <c r="R306" i="10" s="1"/>
  <c r="Q116" i="11"/>
  <c r="P117" i="11"/>
  <c r="P19" i="10" s="1"/>
  <c r="O120" i="11"/>
  <c r="O30" i="10" s="1"/>
  <c r="O107" i="12"/>
  <c r="O27" i="10" s="1"/>
  <c r="O116" i="11"/>
  <c r="O18" i="10" s="1"/>
  <c r="O306" i="10" s="1"/>
  <c r="N120" i="11"/>
  <c r="N30" i="10" s="1"/>
  <c r="N116" i="11"/>
  <c r="N18" i="10" s="1"/>
  <c r="N306" i="10" s="1"/>
  <c r="N108" i="12"/>
  <c r="N28" i="10" s="1"/>
  <c r="N119" i="11"/>
  <c r="M115" i="11"/>
  <c r="K116" i="11"/>
  <c r="K18" i="10" s="1"/>
  <c r="K306" i="10" s="1"/>
  <c r="U111" i="12"/>
  <c r="U35" i="10" s="1"/>
  <c r="T179" i="16"/>
  <c r="T52" i="10" s="1"/>
  <c r="T340" i="10" s="1"/>
  <c r="T158" i="16"/>
  <c r="V110" i="12"/>
  <c r="V32" i="10" s="1"/>
  <c r="V115" i="11"/>
  <c r="V103" i="12"/>
  <c r="V23" i="10" s="1"/>
  <c r="U108" i="12"/>
  <c r="U28" i="10" s="1"/>
  <c r="U119" i="11"/>
  <c r="U103" i="12"/>
  <c r="U23" i="10" s="1"/>
  <c r="U106" i="12"/>
  <c r="U26" i="10" s="1"/>
  <c r="T120" i="11"/>
  <c r="T30" i="10" s="1"/>
  <c r="Q111" i="12"/>
  <c r="Q35" i="10" s="1"/>
  <c r="S110" i="12"/>
  <c r="S32" i="10" s="1"/>
  <c r="S104" i="12"/>
  <c r="S24" i="10" s="1"/>
  <c r="R115" i="11"/>
  <c r="R102" i="12"/>
  <c r="R22" i="10" s="1"/>
  <c r="R110" i="12"/>
  <c r="R32" i="10" s="1"/>
  <c r="Q117" i="11"/>
  <c r="Q19" i="10" s="1"/>
  <c r="P116" i="11"/>
  <c r="P108" i="12"/>
  <c r="P28" i="10" s="1"/>
  <c r="P119" i="11"/>
  <c r="P120" i="11"/>
  <c r="P30" i="10" s="1"/>
  <c r="N117" i="11"/>
  <c r="N19" i="10" s="1"/>
  <c r="N105" i="12"/>
  <c r="N25" i="10" s="1"/>
  <c r="N103" i="12"/>
  <c r="M117" i="11"/>
  <c r="M19" i="10" s="1"/>
  <c r="L103" i="12"/>
  <c r="L23" i="10" s="1"/>
  <c r="L120" i="11"/>
  <c r="L30" i="10" s="1"/>
  <c r="V106" i="12"/>
  <c r="V26" i="10" s="1"/>
  <c r="V108" i="12"/>
  <c r="V28" i="10" s="1"/>
  <c r="V119" i="11"/>
  <c r="U104" i="12"/>
  <c r="U24" i="10" s="1"/>
  <c r="S111" i="12"/>
  <c r="S35" i="10" s="1"/>
  <c r="U117" i="11"/>
  <c r="U19" i="10" s="1"/>
  <c r="T107" i="12"/>
  <c r="T27" i="10" s="1"/>
  <c r="T105" i="12"/>
  <c r="T25" i="10" s="1"/>
  <c r="T108" i="12"/>
  <c r="T28" i="10" s="1"/>
  <c r="T119" i="11"/>
  <c r="S107" i="12"/>
  <c r="S27" i="10" s="1"/>
  <c r="R107" i="12"/>
  <c r="R27" i="10" s="1"/>
  <c r="R103" i="12"/>
  <c r="R23" i="10" s="1"/>
  <c r="R106" i="12"/>
  <c r="R26" i="10" s="1"/>
  <c r="Q103" i="12"/>
  <c r="Q23" i="10" s="1"/>
  <c r="P110" i="12"/>
  <c r="P32" i="10" s="1"/>
  <c r="P115" i="11"/>
  <c r="P17" i="10" s="1"/>
  <c r="P305" i="10" s="1"/>
  <c r="O115" i="11"/>
  <c r="O17" i="10" s="1"/>
  <c r="O305" i="10" s="1"/>
  <c r="M111" i="12"/>
  <c r="M35" i="10" s="1"/>
  <c r="N106" i="12"/>
  <c r="N26" i="10" s="1"/>
  <c r="N110" i="12"/>
  <c r="N32" i="10" s="1"/>
  <c r="M107" i="12"/>
  <c r="M27" i="10" s="1"/>
  <c r="M106" i="12"/>
  <c r="M26" i="10" s="1"/>
  <c r="M105" i="12"/>
  <c r="M25" i="10" s="1"/>
  <c r="L110" i="12"/>
  <c r="L32" i="10" s="1"/>
  <c r="K121" i="11"/>
  <c r="K34" i="10" s="1"/>
  <c r="K322" i="10" s="1"/>
  <c r="K115" i="11"/>
  <c r="V107" i="12"/>
  <c r="V27" i="10" s="1"/>
  <c r="U115" i="11"/>
  <c r="U17" i="10" s="1"/>
  <c r="U305" i="10" s="1"/>
  <c r="U105" i="12"/>
  <c r="U25" i="10" s="1"/>
  <c r="T115" i="11"/>
  <c r="T17" i="10" s="1"/>
  <c r="T305" i="10" s="1"/>
  <c r="T110" i="12"/>
  <c r="T32" i="10" s="1"/>
  <c r="T103" i="12"/>
  <c r="T23" i="10" s="1"/>
  <c r="S115" i="11"/>
  <c r="S17" i="10" s="1"/>
  <c r="S305" i="10" s="1"/>
  <c r="R108" i="12"/>
  <c r="R28" i="10" s="1"/>
  <c r="R119" i="11"/>
  <c r="R120" i="11"/>
  <c r="R30" i="10" s="1"/>
  <c r="P106" i="12"/>
  <c r="P26" i="10" s="1"/>
  <c r="O105" i="12"/>
  <c r="O25" i="10" s="1"/>
  <c r="N107" i="12"/>
  <c r="N27" i="10" s="1"/>
  <c r="N104" i="12"/>
  <c r="N24" i="10" s="1"/>
  <c r="M607" i="12"/>
  <c r="M1940" i="12" s="1"/>
  <c r="M1898" i="12" s="1"/>
  <c r="L104" i="12"/>
  <c r="L24" i="10" s="1"/>
  <c r="L107" i="12"/>
  <c r="L27" i="10" s="1"/>
  <c r="T169" i="16"/>
  <c r="V111" i="12"/>
  <c r="V35" i="10" s="1"/>
  <c r="U120" i="11"/>
  <c r="U30" i="10" s="1"/>
  <c r="S117" i="11"/>
  <c r="S19" i="10" s="1"/>
  <c r="S116" i="11"/>
  <c r="S18" i="10" s="1"/>
  <c r="S306" i="10" s="1"/>
  <c r="R105" i="12"/>
  <c r="R25" i="10" s="1"/>
  <c r="O111" i="12"/>
  <c r="O35" i="10" s="1"/>
  <c r="Q105" i="12"/>
  <c r="Q25" i="10" s="1"/>
  <c r="L111" i="12"/>
  <c r="L35" i="10" s="1"/>
  <c r="M103" i="12"/>
  <c r="M23" i="10" s="1"/>
  <c r="M110" i="12"/>
  <c r="M32" i="10" s="1"/>
  <c r="M108" i="12"/>
  <c r="M28" i="10" s="1"/>
  <c r="M119" i="11"/>
  <c r="M104" i="12"/>
  <c r="M24" i="10" s="1"/>
  <c r="L117" i="11"/>
  <c r="S186" i="16"/>
  <c r="S60" i="10" s="1"/>
  <c r="S348" i="10" s="1"/>
  <c r="S163" i="16"/>
  <c r="Q56" i="10"/>
  <c r="R182" i="16"/>
  <c r="R180" i="16" s="1"/>
  <c r="R178" i="16"/>
  <c r="R51" i="10" s="1"/>
  <c r="R84" i="16"/>
  <c r="Q343" i="10"/>
  <c r="T916" i="16"/>
  <c r="O947" i="16"/>
  <c r="R917" i="16"/>
  <c r="S917" i="16" s="1"/>
  <c r="M959" i="16"/>
  <c r="S83" i="16"/>
  <c r="S86" i="16"/>
  <c r="R55" i="10"/>
  <c r="R343" i="10" s="1"/>
  <c r="S85" i="16"/>
  <c r="S181" i="16" s="1"/>
  <c r="X1893" i="16"/>
  <c r="X2207" i="16" s="1"/>
  <c r="W1894" i="16"/>
  <c r="W1895" i="16" s="1"/>
  <c r="W479" i="20"/>
  <c r="W480" i="20" s="1"/>
  <c r="Q1357" i="16"/>
  <c r="R1357" i="16" s="1"/>
  <c r="S1357" i="16" s="1"/>
  <c r="T1357" i="16" s="1"/>
  <c r="U1357" i="16" s="1"/>
  <c r="V1357" i="16" s="1"/>
  <c r="W1357" i="16" s="1"/>
  <c r="X1357" i="16" s="1"/>
  <c r="O2129" i="16"/>
  <c r="S1337" i="16"/>
  <c r="O1358" i="16"/>
  <c r="P1358" i="16" s="1"/>
  <c r="S2126" i="16"/>
  <c r="T1336" i="16"/>
  <c r="U1336" i="16" s="1"/>
  <c r="U1475" i="16"/>
  <c r="T1930" i="16"/>
  <c r="W1447" i="16"/>
  <c r="W1584" i="16"/>
  <c r="W1414" i="16"/>
  <c r="W1468" i="16"/>
  <c r="Q579" i="20"/>
  <c r="Q581" i="20" s="1"/>
  <c r="L681" i="20"/>
  <c r="M631" i="20"/>
  <c r="N631" i="20" s="1"/>
  <c r="O631" i="20" s="1"/>
  <c r="O633" i="20" s="1"/>
  <c r="W1454" i="16"/>
  <c r="U1598" i="16"/>
  <c r="M581" i="20"/>
  <c r="N580" i="20"/>
  <c r="O580" i="20" s="1"/>
  <c r="L667" i="20"/>
  <c r="M667" i="20" s="1"/>
  <c r="M668" i="20" s="1"/>
  <c r="N666" i="20"/>
  <c r="N668" i="20" s="1"/>
  <c r="L668" i="20"/>
  <c r="L674" i="20"/>
  <c r="L661" i="20"/>
  <c r="M673" i="20"/>
  <c r="N673" i="20" s="1"/>
  <c r="N675" i="20" s="1"/>
  <c r="L660" i="20"/>
  <c r="M660" i="20" s="1"/>
  <c r="M661" i="20" s="1"/>
  <c r="V633" i="12"/>
  <c r="V621" i="12" s="1"/>
  <c r="V169" i="10" s="1"/>
  <c r="L632" i="20"/>
  <c r="M680" i="20"/>
  <c r="N680" i="20" s="1"/>
  <c r="N682" i="20" s="1"/>
  <c r="N624" i="20"/>
  <c r="O624" i="20" s="1"/>
  <c r="P624" i="20" s="1"/>
  <c r="M652" i="20"/>
  <c r="N652" i="20" s="1"/>
  <c r="L653" i="20"/>
  <c r="L625" i="20"/>
  <c r="M625" i="20" s="1"/>
  <c r="M626" i="20" s="1"/>
  <c r="M638" i="20"/>
  <c r="N638" i="20" s="1"/>
  <c r="O638" i="20" s="1"/>
  <c r="O640" i="20" s="1"/>
  <c r="L639" i="20"/>
  <c r="W1393" i="16"/>
  <c r="K923" i="20"/>
  <c r="L923" i="20" s="1"/>
  <c r="K819" i="20"/>
  <c r="W1407" i="16"/>
  <c r="V1591" i="16"/>
  <c r="W1916" i="16"/>
  <c r="X1343" i="16"/>
  <c r="U1324" i="16"/>
  <c r="W1400" i="16"/>
  <c r="R1612" i="16"/>
  <c r="V334" i="16"/>
  <c r="V791" i="16" s="1"/>
  <c r="V199" i="10" s="1"/>
  <c r="S912" i="16"/>
  <c r="W1570" i="16"/>
  <c r="V2069" i="16"/>
  <c r="W1171" i="16"/>
  <c r="W1577" i="16"/>
  <c r="S1605" i="16"/>
  <c r="T1944" i="16"/>
  <c r="C160" i="20"/>
  <c r="I568" i="16"/>
  <c r="I2040" i="16" s="1"/>
  <c r="C159" i="20"/>
  <c r="I567" i="16"/>
  <c r="I2039" i="16" s="1"/>
  <c r="C161" i="20"/>
  <c r="I569" i="16"/>
  <c r="I2041" i="16" s="1"/>
  <c r="C158" i="20"/>
  <c r="I566" i="16"/>
  <c r="I2038" i="16" s="1"/>
  <c r="C157" i="20"/>
  <c r="I565" i="16"/>
  <c r="D463" i="16"/>
  <c r="S1338" i="16"/>
  <c r="Q918" i="16"/>
  <c r="P59" i="10"/>
  <c r="P54" i="10" s="1"/>
  <c r="P53" i="10" s="1"/>
  <c r="V1909" i="16"/>
  <c r="W1909" i="16" s="1"/>
  <c r="T1496" i="16"/>
  <c r="W1317" i="16"/>
  <c r="M1647" i="16"/>
  <c r="U1482" i="16"/>
  <c r="V1482" i="16" s="1"/>
  <c r="W1482" i="16" s="1"/>
  <c r="Q1633" i="16"/>
  <c r="Q1626" i="16"/>
  <c r="R1626" i="16" s="1"/>
  <c r="S1626" i="16" s="1"/>
  <c r="T1937" i="16"/>
  <c r="U1937" i="16" s="1"/>
  <c r="W1331" i="16"/>
  <c r="T1345" i="16"/>
  <c r="O1366" i="16"/>
  <c r="M1640" i="16"/>
  <c r="N1640" i="16" s="1"/>
  <c r="M2096" i="16"/>
  <c r="U1489" i="16"/>
  <c r="I365" i="16"/>
  <c r="S106" i="20"/>
  <c r="C707" i="20"/>
  <c r="I366" i="16"/>
  <c r="K107" i="20"/>
  <c r="L107" i="20"/>
  <c r="M107" i="20"/>
  <c r="N107" i="20"/>
  <c r="O107" i="20"/>
  <c r="P107" i="20"/>
  <c r="Q107" i="20"/>
  <c r="S107" i="20"/>
  <c r="T107" i="20"/>
  <c r="U107" i="20"/>
  <c r="V107" i="20"/>
  <c r="W107" i="20"/>
  <c r="D879" i="20"/>
  <c r="F108" i="20"/>
  <c r="I364" i="16"/>
  <c r="O105" i="20"/>
  <c r="W105" i="20"/>
  <c r="U334" i="16"/>
  <c r="U791" i="16" s="1"/>
  <c r="U199" i="10" s="1"/>
  <c r="W1421" i="16"/>
  <c r="Q1352" i="16"/>
  <c r="R1352" i="16" s="1"/>
  <c r="S1206" i="16"/>
  <c r="T1206" i="16" s="1"/>
  <c r="O1220" i="16"/>
  <c r="P1220" i="16" s="1"/>
  <c r="S1213" i="16"/>
  <c r="T1213" i="16" s="1"/>
  <c r="U1213" i="16" s="1"/>
  <c r="R1199" i="16"/>
  <c r="S1199" i="16" s="1"/>
  <c r="T1199" i="16" s="1"/>
  <c r="O1359" i="16"/>
  <c r="P1359" i="16" s="1"/>
  <c r="M1838" i="16"/>
  <c r="M458" i="16"/>
  <c r="M463" i="16" s="1"/>
  <c r="M1505" i="16"/>
  <c r="M363" i="16"/>
  <c r="M368" i="16" s="1"/>
  <c r="F1259" i="16"/>
  <c r="E1967" i="16"/>
  <c r="D1967" i="16" s="1"/>
  <c r="D1968" i="16" s="1"/>
  <c r="K1964" i="16"/>
  <c r="L1964" i="16"/>
  <c r="N1964" i="16"/>
  <c r="M1964" i="16"/>
  <c r="O1964" i="16"/>
  <c r="P1964" i="16"/>
  <c r="Q1964" i="16"/>
  <c r="R1964" i="16"/>
  <c r="S1964" i="16"/>
  <c r="T1964" i="16"/>
  <c r="U1964" i="16"/>
  <c r="V1964" i="16"/>
  <c r="W1964" i="16"/>
  <c r="O2013" i="16"/>
  <c r="N2013" i="16"/>
  <c r="L2013" i="16"/>
  <c r="K2013" i="16"/>
  <c r="M2013" i="16"/>
  <c r="P2013" i="16"/>
  <c r="Q2013" i="16"/>
  <c r="R2013" i="16"/>
  <c r="S2013" i="16"/>
  <c r="T2013" i="16"/>
  <c r="U2013" i="16"/>
  <c r="V2013" i="16"/>
  <c r="W2013" i="16"/>
  <c r="D1659" i="16"/>
  <c r="K1978" i="16"/>
  <c r="L1978" i="16"/>
  <c r="M1978" i="16"/>
  <c r="N1978" i="16"/>
  <c r="O1978" i="16"/>
  <c r="P1978" i="16"/>
  <c r="Q1978" i="16"/>
  <c r="R1978" i="16"/>
  <c r="S1978" i="16"/>
  <c r="T1978" i="16"/>
  <c r="U1978" i="16"/>
  <c r="V1978" i="16"/>
  <c r="W1978" i="16"/>
  <c r="F1664" i="16"/>
  <c r="D2015" i="16"/>
  <c r="D2017" i="16"/>
  <c r="E2015" i="16"/>
  <c r="F2015" i="16" s="1"/>
  <c r="D1665" i="16"/>
  <c r="D1666" i="16" s="1"/>
  <c r="D2022" i="16"/>
  <c r="E2022" i="16"/>
  <c r="F2022" i="16" s="1"/>
  <c r="K1971" i="16"/>
  <c r="L1971" i="16"/>
  <c r="M1971" i="16"/>
  <c r="O1971" i="16"/>
  <c r="N1971" i="16"/>
  <c r="P1971" i="16"/>
  <c r="Q1971" i="16"/>
  <c r="R1971" i="16"/>
  <c r="S1971" i="16"/>
  <c r="T1971" i="16"/>
  <c r="U1971" i="16"/>
  <c r="V1971" i="16"/>
  <c r="W1971" i="16"/>
  <c r="X1676" i="16"/>
  <c r="E1974" i="16"/>
  <c r="S399" i="20"/>
  <c r="S400" i="20" s="1"/>
  <c r="V637" i="12"/>
  <c r="V625" i="12" s="1"/>
  <c r="V176" i="10" s="1"/>
  <c r="W2077" i="16"/>
  <c r="W2073" i="16"/>
  <c r="X2073" i="16" s="1"/>
  <c r="X2074" i="16"/>
  <c r="W472" i="20"/>
  <c r="W473" i="20" s="1"/>
  <c r="V634" i="12"/>
  <c r="V622" i="12" s="1"/>
  <c r="V170" i="10" s="1"/>
  <c r="T75" i="16"/>
  <c r="U73" i="16" s="1"/>
  <c r="U2239" i="16" s="1"/>
  <c r="U2251" i="16" s="1"/>
  <c r="T2263" i="16"/>
  <c r="T76" i="16" s="1"/>
  <c r="T89" i="16" s="1"/>
  <c r="T185" i="16" s="1"/>
  <c r="T51" i="16"/>
  <c r="U49" i="16" s="1"/>
  <c r="U2236" i="16" s="1"/>
  <c r="U2248" i="16" s="1"/>
  <c r="T2260" i="16"/>
  <c r="T52" i="16" s="1"/>
  <c r="T43" i="16"/>
  <c r="U41" i="16" s="1"/>
  <c r="U2235" i="16" s="1"/>
  <c r="U2247" i="16" s="1"/>
  <c r="U43" i="16" s="1"/>
  <c r="V41" i="16" s="1"/>
  <c r="V2235" i="16" s="1"/>
  <c r="T2259" i="16"/>
  <c r="T44" i="16" s="1"/>
  <c r="T59" i="16"/>
  <c r="U57" i="16" s="1"/>
  <c r="U2237" i="16" s="1"/>
  <c r="U2249" i="16" s="1"/>
  <c r="T2261" i="16"/>
  <c r="T60" i="16" s="1"/>
  <c r="T87" i="16" s="1"/>
  <c r="T183" i="16" s="1"/>
  <c r="T35" i="16"/>
  <c r="U33" i="16" s="1"/>
  <c r="U2234" i="16" s="1"/>
  <c r="U2246" i="16" s="1"/>
  <c r="T2258" i="16"/>
  <c r="T36" i="16" s="1"/>
  <c r="P2244" i="16"/>
  <c r="P2240" i="16"/>
  <c r="P91" i="16" s="1"/>
  <c r="P101" i="12" s="1"/>
  <c r="O2264" i="16"/>
  <c r="O20" i="16"/>
  <c r="O81" i="16" s="1"/>
  <c r="U1205" i="16"/>
  <c r="U923" i="12"/>
  <c r="U931" i="12" s="1"/>
  <c r="V1204" i="16"/>
  <c r="W1204" i="16" s="1"/>
  <c r="P941" i="16"/>
  <c r="P942" i="16" s="1"/>
  <c r="P946" i="16"/>
  <c r="P1225" i="16"/>
  <c r="Q1225" i="16" s="1"/>
  <c r="R1225" i="16" s="1"/>
  <c r="S1225" i="16" s="1"/>
  <c r="Q421" i="20"/>
  <c r="O1226" i="16"/>
  <c r="O1227" i="16" s="1"/>
  <c r="O948" i="16"/>
  <c r="N440" i="20"/>
  <c r="N442" i="20" s="1"/>
  <c r="M960" i="16"/>
  <c r="O427" i="20"/>
  <c r="N958" i="16"/>
  <c r="O434" i="20"/>
  <c r="O435" i="20" s="1"/>
  <c r="N1233" i="16"/>
  <c r="N1234" i="16" s="1"/>
  <c r="L1267" i="16"/>
  <c r="L1270" i="16" s="1"/>
  <c r="L264" i="16" s="1"/>
  <c r="M1247" i="16"/>
  <c r="M1248" i="16" s="1"/>
  <c r="Q433" i="20"/>
  <c r="R433" i="20" s="1"/>
  <c r="U1198" i="16"/>
  <c r="V1198" i="16" s="1"/>
  <c r="W1198" i="16" s="1"/>
  <c r="S393" i="20"/>
  <c r="T392" i="20"/>
  <c r="N1246" i="16"/>
  <c r="N1249" i="16" s="1"/>
  <c r="N261" i="16" s="1"/>
  <c r="N1235" i="16"/>
  <c r="N259" i="16" s="1"/>
  <c r="O1232" i="16"/>
  <c r="L454" i="20"/>
  <c r="M454" i="20" s="1"/>
  <c r="N454" i="20" s="1"/>
  <c r="N456" i="20" s="1"/>
  <c r="X1197" i="16"/>
  <c r="P426" i="20"/>
  <c r="Q426" i="20" s="1"/>
  <c r="R426" i="20" s="1"/>
  <c r="S426" i="20" s="1"/>
  <c r="T426" i="20" s="1"/>
  <c r="O428" i="20"/>
  <c r="L448" i="20"/>
  <c r="Q414" i="20"/>
  <c r="R413" i="20"/>
  <c r="S413" i="20" s="1"/>
  <c r="M1242" i="16"/>
  <c r="N1239" i="16"/>
  <c r="L1260" i="16"/>
  <c r="L1263" i="16" s="1"/>
  <c r="L263" i="16" s="1"/>
  <c r="M1240" i="16"/>
  <c r="M1241" i="16" s="1"/>
  <c r="L1255" i="16"/>
  <c r="L1254" i="16"/>
  <c r="Q1219" i="16"/>
  <c r="R1219" i="16" s="1"/>
  <c r="M442" i="20"/>
  <c r="R407" i="20"/>
  <c r="S406" i="20"/>
  <c r="P421" i="20"/>
  <c r="Q420" i="20"/>
  <c r="R420" i="20" s="1"/>
  <c r="M1253" i="16"/>
  <c r="S1218" i="16"/>
  <c r="T1218" i="16" s="1"/>
  <c r="U1218" i="16" s="1"/>
  <c r="M447" i="20"/>
  <c r="S419" i="20"/>
  <c r="T419" i="20" s="1"/>
  <c r="R936" i="16"/>
  <c r="S936" i="16" s="1"/>
  <c r="N954" i="16"/>
  <c r="S57" i="10"/>
  <c r="O953" i="16"/>
  <c r="T911" i="16"/>
  <c r="D976" i="16"/>
  <c r="F975" i="16" s="1"/>
  <c r="K976" i="16" s="1"/>
  <c r="K977" i="16" s="1"/>
  <c r="D991" i="16"/>
  <c r="J990" i="16"/>
  <c r="E987" i="16"/>
  <c r="E986" i="16"/>
  <c r="F986" i="16" s="1"/>
  <c r="D986" i="16"/>
  <c r="C988" i="16"/>
  <c r="B985" i="16"/>
  <c r="R940" i="16"/>
  <c r="D981" i="16"/>
  <c r="K1268" i="16"/>
  <c r="K1269" i="16" s="1"/>
  <c r="V412" i="20"/>
  <c r="K1261" i="16"/>
  <c r="K1263" i="16"/>
  <c r="K263" i="16" s="1"/>
  <c r="V1185" i="16"/>
  <c r="V1212" i="16"/>
  <c r="W1212" i="16" s="1"/>
  <c r="K1262" i="16"/>
  <c r="X1211" i="16"/>
  <c r="W1184" i="16"/>
  <c r="X1183" i="16"/>
  <c r="K456" i="20"/>
  <c r="L945" i="20"/>
  <c r="N817" i="20"/>
  <c r="N819" i="20" s="1"/>
  <c r="D872" i="20"/>
  <c r="C873" i="20"/>
  <c r="D865" i="20"/>
  <c r="C866" i="20"/>
  <c r="M818" i="20"/>
  <c r="M819" i="20" s="1"/>
  <c r="K944" i="20"/>
  <c r="L944" i="20" s="1"/>
  <c r="D858" i="20"/>
  <c r="C859" i="20"/>
  <c r="M943" i="20"/>
  <c r="V405" i="20"/>
  <c r="V398" i="20"/>
  <c r="C584" i="20"/>
  <c r="D584" i="20"/>
  <c r="E584" i="20" s="1"/>
  <c r="C586" i="20"/>
  <c r="M922" i="20"/>
  <c r="W391" i="20"/>
  <c r="L618" i="20"/>
  <c r="M618" i="20" s="1"/>
  <c r="M619" i="20" s="1"/>
  <c r="N617" i="20"/>
  <c r="N659" i="20"/>
  <c r="W336" i="20"/>
  <c r="W337" i="20" s="1"/>
  <c r="R28" i="16"/>
  <c r="R82" i="16" s="1"/>
  <c r="R177" i="16" s="1"/>
  <c r="S2257" i="16"/>
  <c r="W329" i="20"/>
  <c r="W330" i="20" s="1"/>
  <c r="W500" i="20"/>
  <c r="W501" i="20" s="1"/>
  <c r="T25" i="16"/>
  <c r="T65" i="16"/>
  <c r="T2238" i="16" s="1"/>
  <c r="T2250" i="16" s="1"/>
  <c r="T67" i="16" s="1"/>
  <c r="X499" i="20"/>
  <c r="W1562" i="16"/>
  <c r="W1563" i="16" s="1"/>
  <c r="U1941" i="12"/>
  <c r="U1899" i="12" s="1"/>
  <c r="X1561" i="16"/>
  <c r="X2160" i="16" s="1"/>
  <c r="V632" i="12"/>
  <c r="V620" i="12" s="1"/>
  <c r="V168" i="10" s="1"/>
  <c r="V918" i="12"/>
  <c r="V630" i="12"/>
  <c r="V618" i="12" s="1"/>
  <c r="V166" i="10" s="1"/>
  <c r="V1929" i="12"/>
  <c r="V1943" i="12" s="1"/>
  <c r="V1901" i="12" s="1"/>
  <c r="V1925" i="12"/>
  <c r="V1939" i="12" s="1"/>
  <c r="V1897" i="12" s="1"/>
  <c r="V631" i="12"/>
  <c r="V619" i="12" s="1"/>
  <c r="V167" i="10" s="1"/>
  <c r="V1938" i="12"/>
  <c r="V1896" i="12" s="1"/>
  <c r="V1942" i="12"/>
  <c r="V1900" i="12" s="1"/>
  <c r="W916" i="12"/>
  <c r="W1932" i="12" s="1"/>
  <c r="W1946" i="12" s="1"/>
  <c r="W1904" i="12" s="1"/>
  <c r="V1946" i="12"/>
  <c r="V1904" i="12" s="1"/>
  <c r="X541" i="20"/>
  <c r="X543" i="20" s="1"/>
  <c r="U152" i="16"/>
  <c r="Q929" i="16"/>
  <c r="P930" i="16"/>
  <c r="S928" i="16"/>
  <c r="T928" i="16" s="1"/>
  <c r="W1624" i="16"/>
  <c r="X1624" i="16" s="1"/>
  <c r="U2169" i="16"/>
  <c r="P1638" i="16"/>
  <c r="P2171" i="16" s="1"/>
  <c r="U906" i="16"/>
  <c r="O1639" i="16"/>
  <c r="R1632" i="16"/>
  <c r="T625" i="12"/>
  <c r="T176" i="10" s="1"/>
  <c r="S909" i="20"/>
  <c r="M957" i="20"/>
  <c r="N957" i="20" s="1"/>
  <c r="N959" i="20" s="1"/>
  <c r="V521" i="20"/>
  <c r="U146" i="16"/>
  <c r="U162" i="16" s="1"/>
  <c r="W520" i="20"/>
  <c r="V522" i="20"/>
  <c r="L2173" i="16"/>
  <c r="V882" i="16"/>
  <c r="L1653" i="16"/>
  <c r="M1653" i="16" s="1"/>
  <c r="L1654" i="16"/>
  <c r="P564" i="20"/>
  <c r="Q562" i="20"/>
  <c r="N1372" i="16"/>
  <c r="N1373" i="16" s="1"/>
  <c r="O569" i="20"/>
  <c r="M951" i="20"/>
  <c r="N951" i="20" s="1"/>
  <c r="P563" i="20"/>
  <c r="O950" i="20"/>
  <c r="T908" i="20"/>
  <c r="S910" i="20"/>
  <c r="E970" i="20"/>
  <c r="K971" i="20" s="1"/>
  <c r="K972" i="20" s="1"/>
  <c r="V903" i="20"/>
  <c r="W1928" i="16"/>
  <c r="V2212" i="16"/>
  <c r="C982" i="20"/>
  <c r="C977" i="20"/>
  <c r="D977" i="20"/>
  <c r="S1631" i="16"/>
  <c r="R2170" i="16"/>
  <c r="N570" i="20"/>
  <c r="V543" i="20"/>
  <c r="V542" i="20"/>
  <c r="W542" i="20" s="1"/>
  <c r="W543" i="20"/>
  <c r="N1652" i="16"/>
  <c r="O1652" i="16" s="1"/>
  <c r="P1652" i="16" s="1"/>
  <c r="V896" i="20"/>
  <c r="V895" i="20"/>
  <c r="W895" i="20" s="1"/>
  <c r="N952" i="20"/>
  <c r="V902" i="20"/>
  <c r="W902" i="20" s="1"/>
  <c r="L959" i="20"/>
  <c r="U2214" i="16"/>
  <c r="V1942" i="16"/>
  <c r="U1943" i="16"/>
  <c r="R1645" i="16"/>
  <c r="S1645" i="16" s="1"/>
  <c r="T1645" i="16" s="1"/>
  <c r="M2132" i="16"/>
  <c r="N1378" i="16"/>
  <c r="O1378" i="16" s="1"/>
  <c r="T1610" i="16"/>
  <c r="S2167" i="16"/>
  <c r="S1611" i="16"/>
  <c r="O1371" i="16"/>
  <c r="R58" i="10"/>
  <c r="Q58" i="10"/>
  <c r="N50" i="10"/>
  <c r="W881" i="16"/>
  <c r="M338" i="10"/>
  <c r="M48" i="10"/>
  <c r="M47" i="10" s="1"/>
  <c r="W876" i="16"/>
  <c r="R924" i="16"/>
  <c r="V900" i="16"/>
  <c r="W2080" i="16"/>
  <c r="X2045" i="16"/>
  <c r="W1590" i="16"/>
  <c r="N621" i="12"/>
  <c r="N169" i="10" s="1"/>
  <c r="W2078" i="16"/>
  <c r="N620" i="12"/>
  <c r="N168" i="10" s="1"/>
  <c r="U1495" i="16"/>
  <c r="V1488" i="16"/>
  <c r="Q2168" i="16"/>
  <c r="Q1618" i="16"/>
  <c r="R1618" i="16" s="1"/>
  <c r="V1936" i="16"/>
  <c r="T2166" i="16"/>
  <c r="O2172" i="16"/>
  <c r="T1604" i="16"/>
  <c r="L287" i="16"/>
  <c r="L789" i="16" s="1"/>
  <c r="L195" i="10" s="1"/>
  <c r="L339" i="10" s="1"/>
  <c r="S1351" i="16"/>
  <c r="V2169" i="16"/>
  <c r="R2168" i="16"/>
  <c r="T1625" i="16"/>
  <c r="U1625" i="16" s="1"/>
  <c r="T2169" i="16"/>
  <c r="N1646" i="16"/>
  <c r="O1646" i="16" s="1"/>
  <c r="P1646" i="16" s="1"/>
  <c r="N2172" i="16"/>
  <c r="M2173" i="16"/>
  <c r="V1676" i="16"/>
  <c r="L1676" i="16"/>
  <c r="T1676" i="16"/>
  <c r="E1671" i="16"/>
  <c r="M1676" i="16"/>
  <c r="U1676" i="16"/>
  <c r="D1671" i="16"/>
  <c r="E1981" i="16" s="1"/>
  <c r="D1981" i="16" s="1"/>
  <c r="N1676" i="16"/>
  <c r="W1676" i="16"/>
  <c r="E1672" i="16"/>
  <c r="O1676" i="16"/>
  <c r="P1676" i="16"/>
  <c r="Q1676" i="16"/>
  <c r="B1670" i="16"/>
  <c r="B1972" i="16" s="1"/>
  <c r="R1676" i="16"/>
  <c r="D1677" i="16"/>
  <c r="E2023" i="16" s="1"/>
  <c r="K1676" i="16"/>
  <c r="S1676" i="16"/>
  <c r="V2213" i="16"/>
  <c r="U2128" i="16"/>
  <c r="V2165" i="16"/>
  <c r="V1597" i="16"/>
  <c r="U1929" i="16"/>
  <c r="U1344" i="16"/>
  <c r="V1323" i="16"/>
  <c r="V1474" i="16"/>
  <c r="L286" i="16"/>
  <c r="M1379" i="16"/>
  <c r="M1380" i="16" s="1"/>
  <c r="M287" i="16" s="1"/>
  <c r="M789" i="16" s="1"/>
  <c r="M195" i="10" s="1"/>
  <c r="M339" i="10" s="1"/>
  <c r="U2127" i="16"/>
  <c r="P2172" i="16"/>
  <c r="V2124" i="16"/>
  <c r="P2130" i="16"/>
  <c r="V2148" i="16"/>
  <c r="V2150" i="16"/>
  <c r="N625" i="12"/>
  <c r="N176" i="10" s="1"/>
  <c r="M600" i="12"/>
  <c r="M614" i="12" s="1"/>
  <c r="M1947" i="12" s="1"/>
  <c r="M1905" i="12" s="1"/>
  <c r="O623" i="12"/>
  <c r="O171" i="10" s="1"/>
  <c r="O619" i="12"/>
  <c r="O167" i="10" s="1"/>
  <c r="N623" i="12"/>
  <c r="N171" i="10" s="1"/>
  <c r="N618" i="12"/>
  <c r="N166" i="10" s="1"/>
  <c r="Q625" i="12"/>
  <c r="Q176" i="10" s="1"/>
  <c r="O625" i="12"/>
  <c r="O176" i="10" s="1"/>
  <c r="X2054" i="16"/>
  <c r="O621" i="12"/>
  <c r="O169" i="10" s="1"/>
  <c r="P600" i="12"/>
  <c r="P614" i="12" s="1"/>
  <c r="P1947" i="12" s="1"/>
  <c r="P1905" i="12" s="1"/>
  <c r="X2049" i="16"/>
  <c r="J2049" i="16" s="1"/>
  <c r="X2046" i="16"/>
  <c r="J2046" i="16" s="1"/>
  <c r="L618" i="12"/>
  <c r="L166" i="10" s="1"/>
  <c r="S618" i="12"/>
  <c r="S166" i="10" s="1"/>
  <c r="S623" i="12"/>
  <c r="S171" i="10" s="1"/>
  <c r="L623" i="12"/>
  <c r="L171" i="10" s="1"/>
  <c r="L625" i="12"/>
  <c r="L176" i="10" s="1"/>
  <c r="K619" i="12"/>
  <c r="K167" i="10" s="1"/>
  <c r="K311" i="10" s="1"/>
  <c r="T600" i="12"/>
  <c r="T614" i="12" s="1"/>
  <c r="T1947" i="12" s="1"/>
  <c r="T1905" i="12" s="1"/>
  <c r="Q619" i="12"/>
  <c r="Q167" i="10" s="1"/>
  <c r="K620" i="12"/>
  <c r="K168" i="10" s="1"/>
  <c r="K312" i="10" s="1"/>
  <c r="R625" i="12"/>
  <c r="R176" i="10" s="1"/>
  <c r="R623" i="12"/>
  <c r="R171" i="10" s="1"/>
  <c r="Q621" i="12"/>
  <c r="Q169" i="10" s="1"/>
  <c r="L622" i="12"/>
  <c r="L170" i="10" s="1"/>
  <c r="P622" i="12"/>
  <c r="P170" i="10" s="1"/>
  <c r="Q623" i="12"/>
  <c r="Q171" i="10" s="1"/>
  <c r="P619" i="12"/>
  <c r="P167" i="10" s="1"/>
  <c r="O600" i="12"/>
  <c r="O614" i="12" s="1"/>
  <c r="O1947" i="12" s="1"/>
  <c r="O1905" i="12" s="1"/>
  <c r="N619" i="12"/>
  <c r="N167" i="10" s="1"/>
  <c r="M625" i="12"/>
  <c r="M176" i="10" s="1"/>
  <c r="M623" i="12"/>
  <c r="M171" i="10" s="1"/>
  <c r="U618" i="12"/>
  <c r="U166" i="10" s="1"/>
  <c r="T621" i="12"/>
  <c r="T169" i="10" s="1"/>
  <c r="U621" i="12"/>
  <c r="U169" i="10" s="1"/>
  <c r="S198" i="11"/>
  <c r="S244" i="11" s="1"/>
  <c r="S163" i="10" s="1"/>
  <c r="Q198" i="11"/>
  <c r="Q244" i="11" s="1"/>
  <c r="Q163" i="10" s="1"/>
  <c r="L620" i="12"/>
  <c r="L168" i="10" s="1"/>
  <c r="K622" i="12"/>
  <c r="K170" i="10" s="1"/>
  <c r="K314" i="10" s="1"/>
  <c r="U620" i="12"/>
  <c r="U168" i="10" s="1"/>
  <c r="R600" i="12"/>
  <c r="R614" i="12" s="1"/>
  <c r="R1947" i="12" s="1"/>
  <c r="R1905" i="12" s="1"/>
  <c r="P621" i="12"/>
  <c r="P169" i="10" s="1"/>
  <c r="P620" i="12"/>
  <c r="P168" i="10" s="1"/>
  <c r="O620" i="12"/>
  <c r="O168" i="10" s="1"/>
  <c r="U619" i="12"/>
  <c r="U167" i="10" s="1"/>
  <c r="P618" i="12"/>
  <c r="P166" i="10" s="1"/>
  <c r="M159" i="11"/>
  <c r="M241" i="11" s="1"/>
  <c r="M160" i="10" s="1"/>
  <c r="L621" i="12"/>
  <c r="L169" i="10" s="1"/>
  <c r="L600" i="12"/>
  <c r="L614" i="12" s="1"/>
  <c r="L1947" i="12" s="1"/>
  <c r="L1905" i="12" s="1"/>
  <c r="K625" i="12"/>
  <c r="K176" i="10" s="1"/>
  <c r="K320" i="10" s="1"/>
  <c r="U625" i="12"/>
  <c r="U176" i="10" s="1"/>
  <c r="M619" i="12"/>
  <c r="M167" i="10" s="1"/>
  <c r="K67" i="25"/>
  <c r="R619" i="12"/>
  <c r="R167" i="10" s="1"/>
  <c r="N198" i="11"/>
  <c r="N244" i="11" s="1"/>
  <c r="N163" i="10" s="1"/>
  <c r="R620" i="12"/>
  <c r="R168" i="10" s="1"/>
  <c r="N219" i="11"/>
  <c r="N246" i="11" s="1"/>
  <c r="N611" i="12" s="1"/>
  <c r="N624" i="12" s="1"/>
  <c r="N172" i="10" s="1"/>
  <c r="M198" i="11"/>
  <c r="M244" i="11" s="1"/>
  <c r="M163" i="10" s="1"/>
  <c r="M219" i="11"/>
  <c r="M246" i="11" s="1"/>
  <c r="M611" i="12" s="1"/>
  <c r="M624" i="12" s="1"/>
  <c r="M172" i="10" s="1"/>
  <c r="K219" i="11"/>
  <c r="K246" i="11" s="1"/>
  <c r="K611" i="12" s="1"/>
  <c r="K624" i="12" s="1"/>
  <c r="K172" i="10" s="1"/>
  <c r="R621" i="12"/>
  <c r="R169" i="10" s="1"/>
  <c r="S621" i="12"/>
  <c r="S169" i="10" s="1"/>
  <c r="S625" i="12"/>
  <c r="S176" i="10" s="1"/>
  <c r="K621" i="12"/>
  <c r="K169" i="10" s="1"/>
  <c r="K313" i="10" s="1"/>
  <c r="W36" i="10"/>
  <c r="W97" i="12"/>
  <c r="T620" i="12"/>
  <c r="T168" i="10" s="1"/>
  <c r="O219" i="11"/>
  <c r="O246" i="11" s="1"/>
  <c r="O611" i="12" s="1"/>
  <c r="O624" i="12" s="1"/>
  <c r="O172" i="10" s="1"/>
  <c r="Q600" i="12"/>
  <c r="Q614" i="12" s="1"/>
  <c r="Q1947" i="12" s="1"/>
  <c r="Q1905" i="12" s="1"/>
  <c r="T623" i="12"/>
  <c r="T171" i="10" s="1"/>
  <c r="O618" i="12"/>
  <c r="O166" i="10" s="1"/>
  <c r="O159" i="11"/>
  <c r="O241" i="11" s="1"/>
  <c r="O160" i="10" s="1"/>
  <c r="S619" i="12"/>
  <c r="S167" i="10" s="1"/>
  <c r="R198" i="11"/>
  <c r="R244" i="11" s="1"/>
  <c r="R163" i="10" s="1"/>
  <c r="P623" i="12"/>
  <c r="P171" i="10" s="1"/>
  <c r="P159" i="11"/>
  <c r="P241" i="11" s="1"/>
  <c r="P160" i="10" s="1"/>
  <c r="Q622" i="12"/>
  <c r="Q170" i="10" s="1"/>
  <c r="L219" i="11"/>
  <c r="L246" i="11" s="1"/>
  <c r="L611" i="12" s="1"/>
  <c r="L624" i="12" s="1"/>
  <c r="L172" i="10" s="1"/>
  <c r="R618" i="12"/>
  <c r="R166" i="10" s="1"/>
  <c r="Q620" i="12"/>
  <c r="Q168" i="10" s="1"/>
  <c r="L159" i="11"/>
  <c r="L241" i="11" s="1"/>
  <c r="L160" i="10" s="1"/>
  <c r="U623" i="12"/>
  <c r="U171" i="10" s="1"/>
  <c r="T159" i="11"/>
  <c r="T241" i="11" s="1"/>
  <c r="T160" i="10" s="1"/>
  <c r="T622" i="12"/>
  <c r="T170" i="10" s="1"/>
  <c r="N159" i="11"/>
  <c r="N241" i="11" s="1"/>
  <c r="N160" i="10" s="1"/>
  <c r="M622" i="12"/>
  <c r="M170" i="10" s="1"/>
  <c r="K198" i="11"/>
  <c r="K244" i="11" s="1"/>
  <c r="K163" i="10" s="1"/>
  <c r="O622" i="12"/>
  <c r="O170" i="10" s="1"/>
  <c r="P219" i="11"/>
  <c r="P246" i="11" s="1"/>
  <c r="P611" i="12" s="1"/>
  <c r="P624" i="12" s="1"/>
  <c r="P172" i="10" s="1"/>
  <c r="L198" i="11"/>
  <c r="L244" i="11" s="1"/>
  <c r="L163" i="10" s="1"/>
  <c r="S159" i="11"/>
  <c r="S241" i="11" s="1"/>
  <c r="P625" i="12"/>
  <c r="P176" i="10" s="1"/>
  <c r="P198" i="11"/>
  <c r="P244" i="11" s="1"/>
  <c r="P163" i="10" s="1"/>
  <c r="N622" i="12"/>
  <c r="N170" i="10" s="1"/>
  <c r="R159" i="11"/>
  <c r="R241" i="11" s="1"/>
  <c r="R160" i="10" s="1"/>
  <c r="Q219" i="11"/>
  <c r="Q246" i="11" s="1"/>
  <c r="Q611" i="12" s="1"/>
  <c r="Q624" i="12" s="1"/>
  <c r="Q172" i="10" s="1"/>
  <c r="M621" i="12"/>
  <c r="M169" i="10" s="1"/>
  <c r="K159" i="11"/>
  <c r="K241" i="11" s="1"/>
  <c r="R622" i="12"/>
  <c r="R170" i="10" s="1"/>
  <c r="S622" i="12"/>
  <c r="S170" i="10" s="1"/>
  <c r="R219" i="11"/>
  <c r="R246" i="11" s="1"/>
  <c r="R611" i="12" s="1"/>
  <c r="R624" i="12" s="1"/>
  <c r="R172" i="10" s="1"/>
  <c r="Q618" i="12"/>
  <c r="Q166" i="10" s="1"/>
  <c r="O198" i="11"/>
  <c r="O244" i="11" s="1"/>
  <c r="O163" i="10" s="1"/>
  <c r="K623" i="12"/>
  <c r="K171" i="10" s="1"/>
  <c r="K315" i="10" s="1"/>
  <c r="S620" i="12"/>
  <c r="S168" i="10" s="1"/>
  <c r="L619" i="12"/>
  <c r="L167" i="10" s="1"/>
  <c r="K618" i="12"/>
  <c r="K166" i="10" s="1"/>
  <c r="T618" i="12"/>
  <c r="T166" i="10" s="1"/>
  <c r="S219" i="11"/>
  <c r="S246" i="11" s="1"/>
  <c r="S611" i="12" s="1"/>
  <c r="S1944" i="12" s="1"/>
  <c r="S1902" i="12" s="1"/>
  <c r="M618" i="12"/>
  <c r="M166" i="10" s="1"/>
  <c r="K600" i="12"/>
  <c r="K614" i="12" s="1"/>
  <c r="K1947" i="12" s="1"/>
  <c r="K1905" i="12" s="1"/>
  <c r="V257" i="10"/>
  <c r="V400" i="10" s="1"/>
  <c r="U600" i="12"/>
  <c r="U614" i="12" s="1"/>
  <c r="U1947" i="12" s="1"/>
  <c r="U1905" i="12" s="1"/>
  <c r="T219" i="11"/>
  <c r="T246" i="11" s="1"/>
  <c r="T611" i="12" s="1"/>
  <c r="T624" i="12" s="1"/>
  <c r="T172" i="10" s="1"/>
  <c r="T198" i="11"/>
  <c r="T244" i="11" s="1"/>
  <c r="T163" i="10" s="1"/>
  <c r="G67" i="25"/>
  <c r="S600" i="12"/>
  <c r="S614" i="12" s="1"/>
  <c r="Q159" i="11"/>
  <c r="Q241" i="11" s="1"/>
  <c r="J67" i="25"/>
  <c r="H67" i="25"/>
  <c r="F67" i="25"/>
  <c r="U219" i="11"/>
  <c r="U246" i="11" s="1"/>
  <c r="U611" i="12" s="1"/>
  <c r="U198" i="11"/>
  <c r="U244" i="11" s="1"/>
  <c r="U163" i="10" s="1"/>
  <c r="V1940" i="12"/>
  <c r="V1898" i="12" s="1"/>
  <c r="V180" i="10"/>
  <c r="V324" i="10" s="1"/>
  <c r="V600" i="12"/>
  <c r="V614" i="12" s="1"/>
  <c r="I67" i="25"/>
  <c r="U159" i="11"/>
  <c r="U241" i="11" s="1"/>
  <c r="V1941" i="12"/>
  <c r="V1899" i="12" s="1"/>
  <c r="T619" i="12"/>
  <c r="T167" i="10" s="1"/>
  <c r="C67" i="25"/>
  <c r="N600" i="12"/>
  <c r="N614" i="12" s="1"/>
  <c r="N1947" i="12" s="1"/>
  <c r="N1905" i="12" s="1"/>
  <c r="U622" i="12"/>
  <c r="U170" i="10" s="1"/>
  <c r="V623" i="12"/>
  <c r="V171" i="10" s="1"/>
  <c r="T1215" i="20"/>
  <c r="L67" i="25"/>
  <c r="P22" i="10"/>
  <c r="Q1896" i="12"/>
  <c r="M1896" i="12"/>
  <c r="L228" i="10"/>
  <c r="L372" i="10"/>
  <c r="L371" i="10" s="1"/>
  <c r="L258" i="10"/>
  <c r="L401" i="10" s="1"/>
  <c r="V372" i="10"/>
  <c r="V371" i="10" s="1"/>
  <c r="V258" i="10"/>
  <c r="V401" i="10" s="1"/>
  <c r="V228" i="10"/>
  <c r="U258" i="10"/>
  <c r="U401" i="10" s="1"/>
  <c r="U228" i="10"/>
  <c r="U372" i="10"/>
  <c r="U371" i="10" s="1"/>
  <c r="S16" i="10"/>
  <c r="R228" i="10"/>
  <c r="R258" i="10"/>
  <c r="R401" i="10" s="1"/>
  <c r="R372" i="10"/>
  <c r="R371" i="10" s="1"/>
  <c r="P16" i="10"/>
  <c r="O257" i="10"/>
  <c r="O400" i="10" s="1"/>
  <c r="O376" i="10"/>
  <c r="L1896" i="12"/>
  <c r="W257" i="10"/>
  <c r="W400" i="10" s="1"/>
  <c r="N16" i="10"/>
  <c r="T16" i="10"/>
  <c r="S1938" i="12"/>
  <c r="R257" i="10"/>
  <c r="R400" i="10" s="1"/>
  <c r="R376" i="10"/>
  <c r="P228" i="10"/>
  <c r="P258" i="10"/>
  <c r="P401" i="10" s="1"/>
  <c r="P372" i="10"/>
  <c r="P371" i="10" s="1"/>
  <c r="O16" i="10"/>
  <c r="K16" i="10"/>
  <c r="Q257" i="10"/>
  <c r="Q400" i="10" s="1"/>
  <c r="Q376" i="10"/>
  <c r="D67" i="25"/>
  <c r="L1215" i="20"/>
  <c r="U257" i="10"/>
  <c r="U400" i="10" s="1"/>
  <c r="U376" i="10"/>
  <c r="U16" i="10"/>
  <c r="S258" i="10"/>
  <c r="S401" i="10" s="1"/>
  <c r="S228" i="10"/>
  <c r="S372" i="10"/>
  <c r="S371" i="10" s="1"/>
  <c r="R16" i="10"/>
  <c r="N1896" i="12"/>
  <c r="L22" i="10"/>
  <c r="K258" i="10"/>
  <c r="K401" i="10" s="1"/>
  <c r="K228" i="10"/>
  <c r="K372" i="10"/>
  <c r="K371" i="10" s="1"/>
  <c r="S257" i="10"/>
  <c r="S400" i="10" s="1"/>
  <c r="S376" i="10"/>
  <c r="M16" i="10"/>
  <c r="V16" i="10"/>
  <c r="Q16" i="10"/>
  <c r="P1896" i="12"/>
  <c r="O22" i="10"/>
  <c r="O1896" i="12"/>
  <c r="N22" i="10"/>
  <c r="L16" i="10"/>
  <c r="K108" i="12"/>
  <c r="K28" i="10" s="1"/>
  <c r="N258" i="10"/>
  <c r="N401" i="10" s="1"/>
  <c r="N228" i="10"/>
  <c r="N372" i="10"/>
  <c r="N371" i="10" s="1"/>
  <c r="T257" i="10"/>
  <c r="T400" i="10" s="1"/>
  <c r="T376" i="10"/>
  <c r="E67" i="25"/>
  <c r="M1215" i="20"/>
  <c r="R1896" i="12"/>
  <c r="Q228" i="10"/>
  <c r="Q258" i="10"/>
  <c r="Q401" i="10" s="1"/>
  <c r="Q372" i="10"/>
  <c r="Q371" i="10" s="1"/>
  <c r="O228" i="10"/>
  <c r="O258" i="10"/>
  <c r="O401" i="10" s="1"/>
  <c r="O372" i="10"/>
  <c r="O371" i="10" s="1"/>
  <c r="N257" i="10"/>
  <c r="N400" i="10" s="1"/>
  <c r="N376" i="10"/>
  <c r="M22" i="10"/>
  <c r="M258" i="10"/>
  <c r="M401" i="10" s="1"/>
  <c r="M228" i="10"/>
  <c r="M372" i="10"/>
  <c r="M371" i="10" s="1"/>
  <c r="L257" i="10"/>
  <c r="L400" i="10" s="1"/>
  <c r="L376" i="10"/>
  <c r="K257" i="10"/>
  <c r="K400" i="10" s="1"/>
  <c r="K376" i="10"/>
  <c r="T372" i="10"/>
  <c r="T371" i="10" s="1"/>
  <c r="T258" i="10"/>
  <c r="T401" i="10" s="1"/>
  <c r="T228" i="10"/>
  <c r="Q22" i="10"/>
  <c r="P257" i="10"/>
  <c r="P400" i="10" s="1"/>
  <c r="P376" i="10"/>
  <c r="M257" i="10"/>
  <c r="M400" i="10" s="1"/>
  <c r="M376" i="10"/>
  <c r="K1896" i="12"/>
  <c r="K22" i="10"/>
  <c r="W258" i="10"/>
  <c r="W401" i="10" s="1"/>
  <c r="W112" i="10"/>
  <c r="W376" i="10"/>
  <c r="V112" i="10"/>
  <c r="X113" i="10"/>
  <c r="X84" i="10"/>
  <c r="X118" i="10" s="1"/>
  <c r="X114" i="10"/>
  <c r="X92" i="12"/>
  <c r="X2081" i="16"/>
  <c r="X2095" i="16"/>
  <c r="J2095" i="16" s="1"/>
  <c r="W2072" i="16"/>
  <c r="X199" i="18"/>
  <c r="X201" i="18"/>
  <c r="M260" i="16" l="1"/>
  <c r="X35" i="8"/>
  <c r="X11" i="16"/>
  <c r="X11" i="10"/>
  <c r="X11" i="20"/>
  <c r="W1296" i="16"/>
  <c r="X1296" i="16" s="1"/>
  <c r="X11" i="12"/>
  <c r="X11" i="11"/>
  <c r="X11" i="18"/>
  <c r="W1143" i="16"/>
  <c r="W1433" i="16"/>
  <c r="X1433" i="16" s="1"/>
  <c r="J2045" i="16"/>
  <c r="W888" i="16"/>
  <c r="W161" i="16" s="1"/>
  <c r="X2053" i="16"/>
  <c r="J2053" i="16" s="1"/>
  <c r="V1412" i="12"/>
  <c r="V257" i="20" s="1"/>
  <c r="V626" i="12"/>
  <c r="V179" i="10" s="1"/>
  <c r="V323" i="10" s="1"/>
  <c r="V624" i="12"/>
  <c r="V172" i="10" s="1"/>
  <c r="V316" i="10" s="1"/>
  <c r="W1440" i="16"/>
  <c r="W1303" i="16"/>
  <c r="X2076" i="16"/>
  <c r="X2080" i="16"/>
  <c r="J2051" i="16"/>
  <c r="W2055" i="16"/>
  <c r="W796" i="16" s="1"/>
  <c r="W204" i="10" s="1"/>
  <c r="W1282" i="16"/>
  <c r="X1282" i="16" s="1"/>
  <c r="W2093" i="16"/>
  <c r="J2093" i="16" s="1"/>
  <c r="X2047" i="16"/>
  <c r="J2047" i="16" s="1"/>
  <c r="S952" i="16"/>
  <c r="T952" i="16" s="1"/>
  <c r="U952" i="16" s="1"/>
  <c r="V952" i="16" s="1"/>
  <c r="E1888" i="12"/>
  <c r="G1888" i="12" s="1"/>
  <c r="E1167" i="12"/>
  <c r="G1167" i="12" s="1"/>
  <c r="E1409" i="12"/>
  <c r="G1409" i="12" s="1"/>
  <c r="W1164" i="16"/>
  <c r="X2050" i="16"/>
  <c r="J2050" i="16" s="1"/>
  <c r="X2064" i="16"/>
  <c r="X2078" i="16" s="1"/>
  <c r="X2079" i="16"/>
  <c r="X2077" i="16"/>
  <c r="W219" i="11"/>
  <c r="W246" i="11" s="1"/>
  <c r="W611" i="12" s="1"/>
  <c r="W1944" i="12" s="1"/>
  <c r="W198" i="11"/>
  <c r="W244" i="11" s="1"/>
  <c r="W163" i="10" s="1"/>
  <c r="W307" i="10" s="1"/>
  <c r="X2052" i="16"/>
  <c r="J2052" i="16" s="1"/>
  <c r="W1150" i="16"/>
  <c r="E925" i="12"/>
  <c r="G925" i="12" s="1"/>
  <c r="E926" i="12"/>
  <c r="G926" i="12" s="1"/>
  <c r="E1408" i="12"/>
  <c r="G1408" i="12" s="1"/>
  <c r="E1889" i="12"/>
  <c r="G1889" i="12" s="1"/>
  <c r="E1648" i="12"/>
  <c r="G1648" i="12" s="1"/>
  <c r="E1649" i="12"/>
  <c r="G1649" i="12" s="1"/>
  <c r="L626" i="20"/>
  <c r="W1461" i="16"/>
  <c r="X600" i="12"/>
  <c r="X614" i="12" s="1"/>
  <c r="W159" i="11"/>
  <c r="W241" i="11" s="1"/>
  <c r="M965" i="16"/>
  <c r="N965" i="16" s="1"/>
  <c r="O964" i="16"/>
  <c r="P964" i="16" s="1"/>
  <c r="W1136" i="16"/>
  <c r="V934" i="16"/>
  <c r="W934" i="16" s="1"/>
  <c r="T935" i="16"/>
  <c r="U935" i="16" s="1"/>
  <c r="W894" i="16"/>
  <c r="W164" i="16" s="1"/>
  <c r="L972" i="16"/>
  <c r="M970" i="16"/>
  <c r="N970" i="16" s="1"/>
  <c r="U2208" i="16"/>
  <c r="V1900" i="16"/>
  <c r="S1922" i="16"/>
  <c r="K978" i="16"/>
  <c r="R1949" i="16"/>
  <c r="S1949" i="16" s="1"/>
  <c r="S585" i="16" s="1"/>
  <c r="O1951" i="16"/>
  <c r="O587" i="16" s="1"/>
  <c r="O794" i="16" s="1"/>
  <c r="O202" i="10" s="1"/>
  <c r="O346" i="10" s="1"/>
  <c r="P1950" i="16"/>
  <c r="O586" i="16"/>
  <c r="V928" i="12"/>
  <c r="V929" i="12" s="1"/>
  <c r="V208" i="10" s="1"/>
  <c r="V352" i="10" s="1"/>
  <c r="T1902" i="16"/>
  <c r="U1901" i="16"/>
  <c r="Q2215" i="16"/>
  <c r="Q585" i="16"/>
  <c r="T1921" i="16"/>
  <c r="S2211" i="16"/>
  <c r="S1923" i="16"/>
  <c r="P585" i="16"/>
  <c r="P2215" i="16"/>
  <c r="L619" i="20"/>
  <c r="K196" i="25" a="1"/>
  <c r="K196" i="25" s="1"/>
  <c r="E660" i="16"/>
  <c r="C208" i="20" s="1"/>
  <c r="E663" i="16"/>
  <c r="C211" i="20" s="1"/>
  <c r="E662" i="16"/>
  <c r="C210" i="20" s="1"/>
  <c r="E661" i="16"/>
  <c r="C209" i="20" s="1"/>
  <c r="X761" i="16"/>
  <c r="X223" i="20" s="1"/>
  <c r="E658" i="16"/>
  <c r="E659" i="16"/>
  <c r="C207" i="20" s="1"/>
  <c r="W106" i="20"/>
  <c r="V106" i="20"/>
  <c r="M106" i="20"/>
  <c r="O106" i="20"/>
  <c r="U106" i="20"/>
  <c r="L106" i="20"/>
  <c r="X106" i="20"/>
  <c r="T106" i="20"/>
  <c r="K106" i="20"/>
  <c r="Q106" i="20"/>
  <c r="C700" i="20"/>
  <c r="C701" i="20" s="1"/>
  <c r="R107" i="20"/>
  <c r="P106" i="20"/>
  <c r="N106" i="20"/>
  <c r="N193" i="25" a="1"/>
  <c r="N193" i="25" s="1"/>
  <c r="X1233" i="12"/>
  <c r="X1237" i="12" s="1"/>
  <c r="X1394" i="12" s="1"/>
  <c r="W1401" i="12"/>
  <c r="W1411" i="12" s="1"/>
  <c r="X1281" i="16"/>
  <c r="M220" i="25"/>
  <c r="M228" i="25" s="1"/>
  <c r="X1228" i="12"/>
  <c r="X1393" i="12" s="1"/>
  <c r="V1406" i="12"/>
  <c r="X1327" i="12"/>
  <c r="X1396" i="12" s="1"/>
  <c r="X1282" i="12"/>
  <c r="X1395" i="12" s="1"/>
  <c r="X1361" i="12"/>
  <c r="X1397" i="12" s="1"/>
  <c r="X899" i="16"/>
  <c r="X1156" i="16"/>
  <c r="X1157" i="16" s="1"/>
  <c r="X930" i="12"/>
  <c r="X216" i="10" s="1"/>
  <c r="X360" i="10" s="1"/>
  <c r="X1177" i="16"/>
  <c r="X1178" i="16" s="1"/>
  <c r="X376" i="10"/>
  <c r="X1135" i="16"/>
  <c r="J508" i="25" a="1"/>
  <c r="J508" i="25" s="1"/>
  <c r="X77" i="18"/>
  <c r="X110" i="18"/>
  <c r="X119" i="18"/>
  <c r="X1170" i="16"/>
  <c r="X1171" i="16" s="1"/>
  <c r="X33" i="18"/>
  <c r="X38" i="18" s="1"/>
  <c r="X68" i="18"/>
  <c r="X48" i="18"/>
  <c r="X53" i="18" s="1"/>
  <c r="X86" i="18"/>
  <c r="X18" i="18"/>
  <c r="X23" i="18" s="1"/>
  <c r="X1541" i="12"/>
  <c r="X1556" i="12"/>
  <c r="X1534" i="12"/>
  <c r="X1455" i="12"/>
  <c r="N256" i="25"/>
  <c r="X1542" i="12"/>
  <c r="X1443" i="12"/>
  <c r="N194" i="25" a="1"/>
  <c r="N194" i="25" s="1"/>
  <c r="X1428" i="12"/>
  <c r="N114" i="25" a="1"/>
  <c r="N114" i="25" s="1"/>
  <c r="N217" i="25"/>
  <c r="N115" i="25" a="1"/>
  <c r="N115" i="25" s="1"/>
  <c r="N69" i="25"/>
  <c r="X1204" i="12"/>
  <c r="X1392" i="12" s="1"/>
  <c r="X1591" i="12"/>
  <c r="X1496" i="12"/>
  <c r="X1598" i="12"/>
  <c r="X1595" i="12"/>
  <c r="X1501" i="12"/>
  <c r="X1594" i="12"/>
  <c r="X1518" i="12"/>
  <c r="X1435" i="12"/>
  <c r="X1472" i="12"/>
  <c r="X1453" i="12"/>
  <c r="X1489" i="12"/>
  <c r="X1581" i="12"/>
  <c r="X1543" i="12"/>
  <c r="X1433" i="12"/>
  <c r="X1424" i="12"/>
  <c r="X1507" i="12"/>
  <c r="X1426" i="12"/>
  <c r="X1521" i="12"/>
  <c r="X1574" i="12"/>
  <c r="X1438" i="12"/>
  <c r="X1495" i="12"/>
  <c r="X1590" i="12"/>
  <c r="X1490" i="12"/>
  <c r="X1473" i="12"/>
  <c r="X1464" i="12"/>
  <c r="X1483" i="12"/>
  <c r="X1536" i="12"/>
  <c r="X1459" i="12"/>
  <c r="X1548" i="12"/>
  <c r="X1484" i="12"/>
  <c r="X1511" i="12"/>
  <c r="X1499" i="12"/>
  <c r="X1576" i="12"/>
  <c r="X1514" i="12"/>
  <c r="X1437" i="12"/>
  <c r="X1588" i="12"/>
  <c r="X1597" i="12"/>
  <c r="X1493" i="12"/>
  <c r="X1450" i="12"/>
  <c r="X1508" i="12"/>
  <c r="X1462" i="12"/>
  <c r="X1566" i="12"/>
  <c r="X1549" i="12"/>
  <c r="X1547" i="12"/>
  <c r="X1553" i="12"/>
  <c r="X1529" i="12"/>
  <c r="X1486" i="12"/>
  <c r="X1439" i="12"/>
  <c r="X1545" i="12"/>
  <c r="X1440" i="12"/>
  <c r="P105" i="20"/>
  <c r="X386" i="20"/>
  <c r="X330" i="20"/>
  <c r="X1463" i="12"/>
  <c r="X1475" i="12"/>
  <c r="X1442" i="12"/>
  <c r="X1487" i="12"/>
  <c r="X1465" i="12"/>
  <c r="X1577" i="12"/>
  <c r="X1584" i="12"/>
  <c r="X1491" i="12"/>
  <c r="X1425" i="12"/>
  <c r="X1555" i="12"/>
  <c r="X1466" i="12"/>
  <c r="X1554" i="12"/>
  <c r="X1431" i="12"/>
  <c r="X1561" i="12"/>
  <c r="X1454" i="12"/>
  <c r="X1516" i="12"/>
  <c r="X1461" i="12"/>
  <c r="X1587" i="12"/>
  <c r="X1573" i="12"/>
  <c r="V105" i="20"/>
  <c r="N105" i="20"/>
  <c r="X1532" i="12"/>
  <c r="X1449" i="12"/>
  <c r="X1498" i="12"/>
  <c r="X1557" i="12"/>
  <c r="X1564" i="12"/>
  <c r="X1456" i="12"/>
  <c r="X1527" i="12"/>
  <c r="X1552" i="12"/>
  <c r="X1502" i="12"/>
  <c r="X1434" i="12"/>
  <c r="X1509" i="12"/>
  <c r="X1530" i="12"/>
  <c r="X1596" i="12"/>
  <c r="X1551" i="12"/>
  <c r="X1458" i="12"/>
  <c r="X1546" i="12"/>
  <c r="U105" i="20"/>
  <c r="M105" i="20"/>
  <c r="X365" i="20"/>
  <c r="X1504" i="12"/>
  <c r="X1538" i="12"/>
  <c r="X1427" i="12"/>
  <c r="X1586" i="12"/>
  <c r="X1589" i="12"/>
  <c r="X1537" i="12"/>
  <c r="X1571" i="12"/>
  <c r="X1544" i="12"/>
  <c r="X1494" i="12"/>
  <c r="T105" i="20"/>
  <c r="L105" i="20"/>
  <c r="X1476" i="12"/>
  <c r="X1519" i="12"/>
  <c r="X1592" i="12"/>
  <c r="X1457" i="12"/>
  <c r="X1505" i="12"/>
  <c r="X1436" i="12"/>
  <c r="X1565" i="12"/>
  <c r="X1580" i="12"/>
  <c r="X1562" i="12"/>
  <c r="X1485" i="12"/>
  <c r="X1578" i="12"/>
  <c r="S105" i="20"/>
  <c r="K105" i="20"/>
  <c r="X372" i="20"/>
  <c r="X1497" i="12"/>
  <c r="X1599" i="12"/>
  <c r="X1550" i="12"/>
  <c r="X1512" i="12"/>
  <c r="X1531" i="12"/>
  <c r="X1585" i="12"/>
  <c r="X1583" i="12"/>
  <c r="X1500" i="12"/>
  <c r="X1515" i="12"/>
  <c r="X1432" i="12"/>
  <c r="X1582" i="12"/>
  <c r="X1533" i="12"/>
  <c r="X1540" i="12"/>
  <c r="X1482" i="12"/>
  <c r="X1506" i="12"/>
  <c r="X1488" i="12"/>
  <c r="X1575" i="12"/>
  <c r="X1535" i="12"/>
  <c r="X1528" i="12"/>
  <c r="X1452" i="12"/>
  <c r="X1579" i="12"/>
  <c r="X1492" i="12"/>
  <c r="X1441" i="12"/>
  <c r="X1563" i="12"/>
  <c r="X1558" i="12"/>
  <c r="X1513" i="12"/>
  <c r="X1520" i="12"/>
  <c r="X1429" i="12"/>
  <c r="X1430" i="12"/>
  <c r="X1539" i="12"/>
  <c r="X1593" i="12"/>
  <c r="X1600" i="12"/>
  <c r="X1451" i="12"/>
  <c r="X1467" i="12"/>
  <c r="X1448" i="12"/>
  <c r="X1560" i="12"/>
  <c r="X1510" i="12"/>
  <c r="X1460" i="12"/>
  <c r="X1517" i="12"/>
  <c r="X1503" i="12"/>
  <c r="X1572" i="12"/>
  <c r="X1474" i="12"/>
  <c r="R105" i="20"/>
  <c r="C693" i="20"/>
  <c r="C694" i="20" s="1"/>
  <c r="Q105" i="20"/>
  <c r="X379" i="20"/>
  <c r="N196" i="25" a="1"/>
  <c r="N196" i="25" s="1"/>
  <c r="N111" i="25" a="1"/>
  <c r="N111" i="25" s="1"/>
  <c r="N255" i="25"/>
  <c r="N116" i="25" a="1"/>
  <c r="N116" i="25" s="1"/>
  <c r="N195" i="25" a="1"/>
  <c r="N195" i="25" s="1"/>
  <c r="X2114" i="16"/>
  <c r="N113" i="25" a="1"/>
  <c r="N113" i="25" s="1"/>
  <c r="N198" i="25" a="1"/>
  <c r="N198" i="25" s="1"/>
  <c r="N135" i="25"/>
  <c r="X893" i="16"/>
  <c r="N112" i="25" a="1"/>
  <c r="N112" i="25" s="1"/>
  <c r="N218" i="25"/>
  <c r="N197" i="25" a="1"/>
  <c r="N197" i="25" s="1"/>
  <c r="N136" i="25"/>
  <c r="N68" i="25"/>
  <c r="X372" i="10"/>
  <c r="X371" i="10" s="1"/>
  <c r="L459" i="25" a="1"/>
  <c r="L459" i="25" s="1"/>
  <c r="V2082" i="16"/>
  <c r="V256" i="20" s="1"/>
  <c r="N460" i="25" a="1"/>
  <c r="N460" i="25" s="1"/>
  <c r="L316" i="25" a="1"/>
  <c r="L316" i="25" s="1"/>
  <c r="L504" i="25" a="1"/>
  <c r="L504" i="25" s="1"/>
  <c r="J365" i="25" a="1"/>
  <c r="J365" i="25" s="1"/>
  <c r="N409" i="25" a="1"/>
  <c r="N409" i="25" s="1"/>
  <c r="G459" i="25" a="1"/>
  <c r="G459" i="25" s="1"/>
  <c r="J362" i="25" a="1"/>
  <c r="J362" i="25" s="1"/>
  <c r="X156" i="11"/>
  <c r="L505" i="25" a="1"/>
  <c r="L505" i="25" s="1"/>
  <c r="D412" i="25" a="1"/>
  <c r="D412" i="25" s="1"/>
  <c r="I456" i="25" a="1"/>
  <c r="I456" i="25" s="1"/>
  <c r="X194" i="11"/>
  <c r="I457" i="25" a="1"/>
  <c r="I457" i="25" s="1"/>
  <c r="N507" i="25" a="1"/>
  <c r="N507" i="25" s="1"/>
  <c r="X157" i="11"/>
  <c r="X905" i="12"/>
  <c r="X917" i="12" s="1"/>
  <c r="X1933" i="12" s="1"/>
  <c r="X1947" i="12" s="1"/>
  <c r="X1905" i="12" s="1"/>
  <c r="H316" i="25" a="1"/>
  <c r="H316" i="25" s="1"/>
  <c r="L318" i="25" a="1"/>
  <c r="L318" i="25" s="1"/>
  <c r="L410" i="25" a="1"/>
  <c r="L410" i="25" s="1"/>
  <c r="N505" i="25" a="1"/>
  <c r="N505" i="25" s="1"/>
  <c r="H365" i="25" a="1"/>
  <c r="H365" i="25" s="1"/>
  <c r="J412" i="25" a="1"/>
  <c r="J412" i="25" s="1"/>
  <c r="I318" i="25" a="1"/>
  <c r="I318" i="25" s="1"/>
  <c r="J315" i="25" a="1"/>
  <c r="J315" i="25" s="1"/>
  <c r="K414" i="25" a="1"/>
  <c r="K414" i="25" s="1"/>
  <c r="N508" i="25" a="1"/>
  <c r="N508" i="25" s="1"/>
  <c r="J318" i="25" a="1"/>
  <c r="J318" i="25" s="1"/>
  <c r="J461" i="25" a="1"/>
  <c r="J461" i="25" s="1"/>
  <c r="J504" i="25" a="1"/>
  <c r="J504" i="25" s="1"/>
  <c r="K320" i="25" a="1"/>
  <c r="K320" i="25" s="1"/>
  <c r="D316" i="25" a="1"/>
  <c r="D316" i="25" s="1"/>
  <c r="X216" i="11"/>
  <c r="X195" i="11"/>
  <c r="X215" i="11"/>
  <c r="L461" i="25" a="1"/>
  <c r="L461" i="25" s="1"/>
  <c r="L315" i="25" a="1"/>
  <c r="L315" i="25" s="1"/>
  <c r="H364" i="25" a="1"/>
  <c r="H364" i="25" s="1"/>
  <c r="X197" i="11"/>
  <c r="X153" i="11"/>
  <c r="I508" i="25" a="1"/>
  <c r="I508" i="25" s="1"/>
  <c r="N319" i="25" a="1"/>
  <c r="N319" i="25" s="1"/>
  <c r="L362" i="25" a="1"/>
  <c r="L362" i="25" s="1"/>
  <c r="K461" i="25" a="1"/>
  <c r="K461" i="25" s="1"/>
  <c r="I316" i="25" a="1"/>
  <c r="I316" i="25" s="1"/>
  <c r="N315" i="25" a="1"/>
  <c r="N315" i="25" s="1"/>
  <c r="L458" i="25" a="1"/>
  <c r="L458" i="25" s="1"/>
  <c r="N459" i="25" a="1"/>
  <c r="N459" i="25" s="1"/>
  <c r="J414" i="25" a="1"/>
  <c r="J414" i="25" s="1"/>
  <c r="M505" i="25" a="1"/>
  <c r="M505" i="25" s="1"/>
  <c r="H367" i="25" a="1"/>
  <c r="H367" i="25" s="1"/>
  <c r="C411" i="25" a="1"/>
  <c r="C411" i="25" s="1"/>
  <c r="X150" i="11"/>
  <c r="X214" i="11"/>
  <c r="L367" i="25" a="1"/>
  <c r="L367" i="25" s="1"/>
  <c r="K319" i="25" a="1"/>
  <c r="K319" i="25" s="1"/>
  <c r="D409" i="25" a="1"/>
  <c r="D409" i="25" s="1"/>
  <c r="L411" i="25" a="1"/>
  <c r="L411" i="25" s="1"/>
  <c r="J364" i="25" a="1"/>
  <c r="J364" i="25" s="1"/>
  <c r="I317" i="25" a="1"/>
  <c r="I317" i="25" s="1"/>
  <c r="J413" i="25" a="1"/>
  <c r="J413" i="25" s="1"/>
  <c r="N413" i="25" a="1"/>
  <c r="N413" i="25" s="1"/>
  <c r="L317" i="25" a="1"/>
  <c r="L317" i="25" s="1"/>
  <c r="J317" i="25" a="1"/>
  <c r="J317" i="25" s="1"/>
  <c r="N414" i="25" a="1"/>
  <c r="N414" i="25" s="1"/>
  <c r="I363" i="25" a="1"/>
  <c r="I363" i="25" s="1"/>
  <c r="J366" i="25" a="1"/>
  <c r="J366" i="25" s="1"/>
  <c r="J457" i="25" a="1"/>
  <c r="J457" i="25" s="1"/>
  <c r="I506" i="25" a="1"/>
  <c r="I506" i="25" s="1"/>
  <c r="F411" i="25" a="1"/>
  <c r="F411" i="25" s="1"/>
  <c r="C316" i="25" a="1"/>
  <c r="C316" i="25" s="1"/>
  <c r="X217" i="11"/>
  <c r="X158" i="11"/>
  <c r="K194" i="25" a="1"/>
  <c r="K194" i="25" s="1"/>
  <c r="N457" i="25" a="1"/>
  <c r="N457" i="25" s="1"/>
  <c r="N316" i="25" a="1"/>
  <c r="N316" i="25" s="1"/>
  <c r="N367" i="25" a="1"/>
  <c r="N367" i="25" s="1"/>
  <c r="N320" i="25" a="1"/>
  <c r="N320" i="25" s="1"/>
  <c r="N365" i="25" a="1"/>
  <c r="N365" i="25" s="1"/>
  <c r="I507" i="25" a="1"/>
  <c r="I507" i="25" s="1"/>
  <c r="K363" i="25" a="1"/>
  <c r="K363" i="25" s="1"/>
  <c r="J316" i="25" a="1"/>
  <c r="J316" i="25" s="1"/>
  <c r="I414" i="25" a="1"/>
  <c r="I414" i="25" s="1"/>
  <c r="I413" i="25" a="1"/>
  <c r="I413" i="25" s="1"/>
  <c r="G410" i="25" a="1"/>
  <c r="G410" i="25" s="1"/>
  <c r="C508" i="25" a="1"/>
  <c r="C508" i="25" s="1"/>
  <c r="X196" i="11"/>
  <c r="X155" i="11"/>
  <c r="L195" i="25" a="1"/>
  <c r="L195" i="25" s="1"/>
  <c r="K367" i="25" a="1"/>
  <c r="K367" i="25" s="1"/>
  <c r="N411" i="25" a="1"/>
  <c r="N411" i="25" s="1"/>
  <c r="L456" i="25" a="1"/>
  <c r="L456" i="25" s="1"/>
  <c r="N456" i="25" a="1"/>
  <c r="N456" i="25" s="1"/>
  <c r="K366" i="25" a="1"/>
  <c r="K366" i="25" s="1"/>
  <c r="N363" i="25" a="1"/>
  <c r="N363" i="25" s="1"/>
  <c r="I412" i="25" a="1"/>
  <c r="I412" i="25" s="1"/>
  <c r="J458" i="25" a="1"/>
  <c r="J458" i="25" s="1"/>
  <c r="N362" i="25" a="1"/>
  <c r="N362" i="25" s="1"/>
  <c r="I503" i="25" a="1"/>
  <c r="I503" i="25" s="1"/>
  <c r="X1838" i="16"/>
  <c r="K411" i="25" a="1"/>
  <c r="K411" i="25" s="1"/>
  <c r="N364" i="25" a="1"/>
  <c r="N364" i="25" s="1"/>
  <c r="I320" i="25" a="1"/>
  <c r="I320" i="25" s="1"/>
  <c r="J456" i="25" a="1"/>
  <c r="J456" i="25" s="1"/>
  <c r="I505" i="25" a="1"/>
  <c r="I505" i="25" s="1"/>
  <c r="N412" i="25" a="1"/>
  <c r="N412" i="25" s="1"/>
  <c r="K317" i="25" a="1"/>
  <c r="K317" i="25" s="1"/>
  <c r="I460" i="25" a="1"/>
  <c r="I460" i="25" s="1"/>
  <c r="I362" i="25" a="1"/>
  <c r="I362" i="25" s="1"/>
  <c r="K508" i="25" a="1"/>
  <c r="K508" i="25" s="1"/>
  <c r="L363" i="25" a="1"/>
  <c r="L363" i="25" s="1"/>
  <c r="L320" i="25" a="1"/>
  <c r="L320" i="25" s="1"/>
  <c r="M506" i="25" a="1"/>
  <c r="M506" i="25" s="1"/>
  <c r="F456" i="25" a="1"/>
  <c r="F456" i="25" s="1"/>
  <c r="P73" i="25"/>
  <c r="P119" i="25" s="1"/>
  <c r="P127" i="25" s="1"/>
  <c r="P138" i="25" s="1"/>
  <c r="P146" i="25" s="1"/>
  <c r="X152" i="11"/>
  <c r="X193" i="11"/>
  <c r="X149" i="11"/>
  <c r="L366" i="25" a="1"/>
  <c r="L366" i="25" s="1"/>
  <c r="J320" i="25" a="1"/>
  <c r="J320" i="25" s="1"/>
  <c r="N410" i="25" a="1"/>
  <c r="N410" i="25" s="1"/>
  <c r="J367" i="25" a="1"/>
  <c r="J367" i="25" s="1"/>
  <c r="K505" i="25" a="1"/>
  <c r="K505" i="25" s="1"/>
  <c r="J503" i="25" a="1"/>
  <c r="J503" i="25" s="1"/>
  <c r="J410" i="25" a="1"/>
  <c r="J410" i="25" s="1"/>
  <c r="N504" i="25" a="1"/>
  <c r="N504" i="25" s="1"/>
  <c r="L460" i="25" a="1"/>
  <c r="L460" i="25" s="1"/>
  <c r="K315" i="25" a="1"/>
  <c r="K315" i="25" s="1"/>
  <c r="J507" i="25" a="1"/>
  <c r="J507" i="25" s="1"/>
  <c r="J505" i="25" a="1"/>
  <c r="J505" i="25" s="1"/>
  <c r="K458" i="25" a="1"/>
  <c r="K458" i="25" s="1"/>
  <c r="K409" i="25" a="1"/>
  <c r="K409" i="25" s="1"/>
  <c r="K456" i="25" a="1"/>
  <c r="K456" i="25" s="1"/>
  <c r="F362" i="25" a="1"/>
  <c r="F362" i="25" s="1"/>
  <c r="X151" i="11"/>
  <c r="X218" i="11"/>
  <c r="K197" i="25" a="1"/>
  <c r="K197" i="25" s="1"/>
  <c r="J459" i="25" a="1"/>
  <c r="J459" i="25" s="1"/>
  <c r="M316" i="25" a="1"/>
  <c r="M316" i="25" s="1"/>
  <c r="G412" i="25" a="1"/>
  <c r="G412" i="25" s="1"/>
  <c r="F316" i="25" a="1"/>
  <c r="F316" i="25" s="1"/>
  <c r="F505" i="25" a="1"/>
  <c r="F505" i="25" s="1"/>
  <c r="G318" i="25" a="1"/>
  <c r="G318" i="25" s="1"/>
  <c r="D364" i="25" a="1"/>
  <c r="D364" i="25" s="1"/>
  <c r="C458" i="25" a="1"/>
  <c r="C458" i="25" s="1"/>
  <c r="P13" i="25"/>
  <c r="P62" i="25" s="1"/>
  <c r="M196" i="25" a="1"/>
  <c r="M196" i="25" s="1"/>
  <c r="M111" i="25" a="1"/>
  <c r="M111" i="25" s="1"/>
  <c r="L364" i="25" a="1"/>
  <c r="L364" i="25" s="1"/>
  <c r="M414" i="25" a="1"/>
  <c r="M414" i="25" s="1"/>
  <c r="M458" i="25" a="1"/>
  <c r="M458" i="25" s="1"/>
  <c r="I461" i="25" a="1"/>
  <c r="I461" i="25" s="1"/>
  <c r="F508" i="25" a="1"/>
  <c r="F508" i="25" s="1"/>
  <c r="G411" i="25" a="1"/>
  <c r="G411" i="25" s="1"/>
  <c r="D460" i="25" a="1"/>
  <c r="D460" i="25" s="1"/>
  <c r="C318" i="25" a="1"/>
  <c r="C318" i="25" s="1"/>
  <c r="C504" i="25" a="1"/>
  <c r="C504" i="25" s="1"/>
  <c r="X264" i="12"/>
  <c r="M193" i="25" a="1"/>
  <c r="M193" i="25" s="1"/>
  <c r="E113" i="25" a="1"/>
  <c r="E113" i="25" s="1"/>
  <c r="M411" i="25" a="1"/>
  <c r="M411" i="25" s="1"/>
  <c r="I366" i="25" a="1"/>
  <c r="I366" i="25" s="1"/>
  <c r="G316" i="25" a="1"/>
  <c r="G316" i="25" s="1"/>
  <c r="F320" i="25" a="1"/>
  <c r="F320" i="25" s="1"/>
  <c r="D362" i="25" a="1"/>
  <c r="D362" i="25" s="1"/>
  <c r="D508" i="25" a="1"/>
  <c r="D508" i="25" s="1"/>
  <c r="C413" i="25" a="1"/>
  <c r="C413" i="25" s="1"/>
  <c r="X520" i="12"/>
  <c r="L409" i="25" a="1"/>
  <c r="L409" i="25" s="1"/>
  <c r="J114" i="25" a="1"/>
  <c r="J114" i="25" s="1"/>
  <c r="H412" i="25" a="1"/>
  <c r="H412" i="25" s="1"/>
  <c r="G367" i="25" a="1"/>
  <c r="G367" i="25" s="1"/>
  <c r="G505" i="25" a="1"/>
  <c r="G505" i="25" s="1"/>
  <c r="C366" i="25" a="1"/>
  <c r="C366" i="25" s="1"/>
  <c r="D411" i="25" a="1"/>
  <c r="D411" i="25" s="1"/>
  <c r="C412" i="25" a="1"/>
  <c r="C412" i="25" s="1"/>
  <c r="L507" i="25" a="1"/>
  <c r="L507" i="25" s="1"/>
  <c r="I459" i="25" a="1"/>
  <c r="I459" i="25" s="1"/>
  <c r="H115" i="25" a="1"/>
  <c r="H115" i="25" s="1"/>
  <c r="M460" i="25" a="1"/>
  <c r="M460" i="25" s="1"/>
  <c r="H504" i="25" a="1"/>
  <c r="H504" i="25" s="1"/>
  <c r="H458" i="25" a="1"/>
  <c r="H458" i="25" s="1"/>
  <c r="E414" i="25" a="1"/>
  <c r="E414" i="25" s="1"/>
  <c r="F414" i="25" a="1"/>
  <c r="F414" i="25" s="1"/>
  <c r="E456" i="25" a="1"/>
  <c r="E456" i="25" s="1"/>
  <c r="E505" i="25" a="1"/>
  <c r="E505" i="25" s="1"/>
  <c r="C315" i="25" a="1"/>
  <c r="C315" i="25" s="1"/>
  <c r="L503" i="25" a="1"/>
  <c r="L503" i="25" s="1"/>
  <c r="E112" i="25" a="1"/>
  <c r="E112" i="25" s="1"/>
  <c r="M367" i="25" a="1"/>
  <c r="M367" i="25" s="1"/>
  <c r="G365" i="25" a="1"/>
  <c r="G365" i="25" s="1"/>
  <c r="H317" i="25" a="1"/>
  <c r="H317" i="25" s="1"/>
  <c r="F317" i="25" a="1"/>
  <c r="F317" i="25" s="1"/>
  <c r="F315" i="25" a="1"/>
  <c r="F315" i="25" s="1"/>
  <c r="E457" i="25" a="1"/>
  <c r="E457" i="25" s="1"/>
  <c r="D413" i="25" a="1"/>
  <c r="D413" i="25" s="1"/>
  <c r="C506" i="25" a="1"/>
  <c r="C506" i="25" s="1"/>
  <c r="D194" i="25" a="1"/>
  <c r="D194" i="25" s="1"/>
  <c r="I187" i="25" a="1"/>
  <c r="I187" i="25" s="1"/>
  <c r="X2118" i="16"/>
  <c r="N186" i="25" a="1"/>
  <c r="N186" i="25" s="1"/>
  <c r="I403" i="25" a="1"/>
  <c r="I403" i="25" s="1"/>
  <c r="K496" i="25" a="1"/>
  <c r="K496" i="25" s="1"/>
  <c r="J497" i="25" a="1"/>
  <c r="J497" i="25" s="1"/>
  <c r="J356" i="25" a="1"/>
  <c r="J356" i="25" s="1"/>
  <c r="I450" i="25" a="1"/>
  <c r="I450" i="25" s="1"/>
  <c r="L402" i="25" a="1"/>
  <c r="L402" i="25" s="1"/>
  <c r="K450" i="25" a="1"/>
  <c r="K450" i="25" s="1"/>
  <c r="N105" i="25" a="1"/>
  <c r="N105" i="25" s="1"/>
  <c r="J308" i="25" a="1"/>
  <c r="J308" i="25" s="1"/>
  <c r="J449" i="25" a="1"/>
  <c r="J449" i="25" s="1"/>
  <c r="M113" i="25" a="1"/>
  <c r="M113" i="25" s="1"/>
  <c r="D195" i="25" a="1"/>
  <c r="D195" i="25" s="1"/>
  <c r="X1717" i="12"/>
  <c r="X1874" i="12" s="1"/>
  <c r="X1912" i="12" s="1"/>
  <c r="F356" i="25" a="1"/>
  <c r="F356" i="25" s="1"/>
  <c r="X385" i="20"/>
  <c r="N496" i="25" a="1"/>
  <c r="N496" i="25" s="1"/>
  <c r="K88" i="25" a="1"/>
  <c r="K88" i="25" s="1"/>
  <c r="J186" i="25" a="1"/>
  <c r="J186" i="25" s="1"/>
  <c r="H497" i="25" a="1"/>
  <c r="H497" i="25" s="1"/>
  <c r="O362" i="25" a="1"/>
  <c r="O362" i="25" s="1"/>
  <c r="K402" i="25" a="1"/>
  <c r="K402" i="25" s="1"/>
  <c r="O317" i="25" a="1"/>
  <c r="O317" i="25" s="1"/>
  <c r="N309" i="25" a="1"/>
  <c r="N309" i="25" s="1"/>
  <c r="N355" i="25" a="1"/>
  <c r="N355" i="25" s="1"/>
  <c r="K403" i="25" a="1"/>
  <c r="K403" i="25" s="1"/>
  <c r="L497" i="25" a="1"/>
  <c r="L497" i="25" s="1"/>
  <c r="K497" i="25" a="1"/>
  <c r="K497" i="25" s="1"/>
  <c r="X626" i="16"/>
  <c r="X810" i="16" s="1"/>
  <c r="O506" i="25" a="1"/>
  <c r="O506" i="25" s="1"/>
  <c r="M496" i="25" a="1"/>
  <c r="M496" i="25" s="1"/>
  <c r="O371" i="25"/>
  <c r="K105" i="25" a="1"/>
  <c r="K105" i="25" s="1"/>
  <c r="L403" i="25" a="1"/>
  <c r="L403" i="25" s="1"/>
  <c r="O277" i="25"/>
  <c r="E402" i="25" a="1"/>
  <c r="E402" i="25" s="1"/>
  <c r="X753" i="16"/>
  <c r="X215" i="20" s="1"/>
  <c r="D105" i="25" a="1"/>
  <c r="D105" i="25" s="1"/>
  <c r="C308" i="25" a="1"/>
  <c r="C308" i="25" s="1"/>
  <c r="O187" i="25" a="1"/>
  <c r="O187" i="25" s="1"/>
  <c r="J2091" i="16"/>
  <c r="W2096" i="16"/>
  <c r="M403" i="25" a="1"/>
  <c r="M403" i="25" s="1"/>
  <c r="I497" i="25" a="1"/>
  <c r="I497" i="25" s="1"/>
  <c r="D450" i="25" a="1"/>
  <c r="D450" i="25" s="1"/>
  <c r="X306" i="10"/>
  <c r="K449" i="25" a="1"/>
  <c r="K449" i="25" s="1"/>
  <c r="H355" i="25" a="1"/>
  <c r="H355" i="25" s="1"/>
  <c r="C309" i="25" a="1"/>
  <c r="C309" i="25" s="1"/>
  <c r="L450" i="25" a="1"/>
  <c r="L450" i="25" s="1"/>
  <c r="M497" i="25" a="1"/>
  <c r="M497" i="25" s="1"/>
  <c r="X807" i="16"/>
  <c r="J480" i="25" a="1"/>
  <c r="J480" i="25" s="1"/>
  <c r="K100" i="25" a="1"/>
  <c r="K100" i="25" s="1"/>
  <c r="K170" i="25" a="1"/>
  <c r="K170" i="25" s="1"/>
  <c r="N339" i="25" a="1"/>
  <c r="N339" i="25" s="1"/>
  <c r="L292" i="25" a="1"/>
  <c r="L292" i="25" s="1"/>
  <c r="X744" i="16"/>
  <c r="I658" i="16" s="1"/>
  <c r="G206" i="20" s="1"/>
  <c r="X749" i="16"/>
  <c r="X211" i="20" s="1"/>
  <c r="N433" i="25" a="1"/>
  <c r="N433" i="25" s="1"/>
  <c r="X746" i="16"/>
  <c r="X208" i="20" s="1"/>
  <c r="X759" i="16"/>
  <c r="X221" i="20" s="1"/>
  <c r="K289" i="25" a="1"/>
  <c r="K289" i="25" s="1"/>
  <c r="X1138" i="12"/>
  <c r="X1158" i="12" s="1"/>
  <c r="H89" i="25" a="1"/>
  <c r="H89" i="25" s="1"/>
  <c r="W1477" i="12"/>
  <c r="W1634" i="12" s="1"/>
  <c r="M492" i="25" a="1"/>
  <c r="M492" i="25" s="1"/>
  <c r="E355" i="25" a="1"/>
  <c r="E355" i="25" s="1"/>
  <c r="I101" i="25" a="1"/>
  <c r="I101" i="25" s="1"/>
  <c r="W805" i="16"/>
  <c r="H398" i="25" a="1"/>
  <c r="H398" i="25" s="1"/>
  <c r="J305" i="25" a="1"/>
  <c r="J305" i="25" s="1"/>
  <c r="J100" i="25" a="1"/>
  <c r="J100" i="25" s="1"/>
  <c r="J399" i="25" a="1"/>
  <c r="J399" i="25" s="1"/>
  <c r="D355" i="25" a="1"/>
  <c r="D355" i="25" s="1"/>
  <c r="N187" i="25" a="1"/>
  <c r="N187" i="25" s="1"/>
  <c r="O365" i="25" a="1"/>
  <c r="O365" i="25" s="1"/>
  <c r="O418" i="25"/>
  <c r="J309" i="25" a="1"/>
  <c r="J309" i="25" s="1"/>
  <c r="J104" i="25" a="1"/>
  <c r="J104" i="25" s="1"/>
  <c r="N308" i="25" a="1"/>
  <c r="N308" i="25" s="1"/>
  <c r="K355" i="25" a="1"/>
  <c r="K355" i="25" s="1"/>
  <c r="I402" i="25" a="1"/>
  <c r="I402" i="25" s="1"/>
  <c r="I105" i="25" a="1"/>
  <c r="I105" i="25" s="1"/>
  <c r="M104" i="25" a="1"/>
  <c r="M104" i="25" s="1"/>
  <c r="G450" i="25" a="1"/>
  <c r="G450" i="25" s="1"/>
  <c r="F351" i="25" a="1"/>
  <c r="F351" i="25" s="1"/>
  <c r="G496" i="25" a="1"/>
  <c r="G496" i="25" s="1"/>
  <c r="G356" i="25" a="1"/>
  <c r="G356" i="25" s="1"/>
  <c r="F104" i="25" a="1"/>
  <c r="F104" i="25" s="1"/>
  <c r="L105" i="25" a="1"/>
  <c r="L105" i="25" s="1"/>
  <c r="N449" i="25" a="1"/>
  <c r="N449" i="25" s="1"/>
  <c r="O105" i="25" a="1"/>
  <c r="O105" i="25" s="1"/>
  <c r="O465" i="25"/>
  <c r="X493" i="20"/>
  <c r="X494" i="20" s="1"/>
  <c r="E398" i="25" a="1"/>
  <c r="E398" i="25" s="1"/>
  <c r="N434" i="25" a="1"/>
  <c r="N434" i="25" s="1"/>
  <c r="I186" i="25" a="1"/>
  <c r="I186" i="25" s="1"/>
  <c r="X331" i="16"/>
  <c r="X806" i="16" s="1"/>
  <c r="N340" i="25" a="1"/>
  <c r="N340" i="25" s="1"/>
  <c r="H450" i="25" a="1"/>
  <c r="H450" i="25" s="1"/>
  <c r="L355" i="25" a="1"/>
  <c r="L355" i="25" s="1"/>
  <c r="X228" i="10"/>
  <c r="L496" i="25" a="1"/>
  <c r="L496" i="25" s="1"/>
  <c r="J402" i="25" a="1"/>
  <c r="J402" i="25" s="1"/>
  <c r="L186" i="25" a="1"/>
  <c r="L186" i="25" s="1"/>
  <c r="K104" i="25" a="1"/>
  <c r="K104" i="25" s="1"/>
  <c r="M430" i="25" a="1"/>
  <c r="M430" i="25" s="1"/>
  <c r="M355" i="25" a="1"/>
  <c r="M355" i="25" s="1"/>
  <c r="I356" i="25" a="1"/>
  <c r="I356" i="25" s="1"/>
  <c r="O315" i="25" a="1"/>
  <c r="O315" i="25" s="1"/>
  <c r="O461" i="25" a="1"/>
  <c r="O461" i="25" s="1"/>
  <c r="O155" i="25"/>
  <c r="O209" i="25" s="1"/>
  <c r="O247" i="25" s="1"/>
  <c r="N497" i="25" a="1"/>
  <c r="N497" i="25" s="1"/>
  <c r="N398" i="25" a="1"/>
  <c r="N398" i="25" s="1"/>
  <c r="K186" i="25" a="1"/>
  <c r="K186" i="25" s="1"/>
  <c r="N171" i="25" a="1"/>
  <c r="N171" i="25" s="1"/>
  <c r="L387" i="25" a="1"/>
  <c r="L387" i="25" s="1"/>
  <c r="J105" i="25" a="1"/>
  <c r="J105" i="25" s="1"/>
  <c r="L398" i="25" a="1"/>
  <c r="L398" i="25" s="1"/>
  <c r="N450" i="25" a="1"/>
  <c r="N450" i="25" s="1"/>
  <c r="J355" i="25" a="1"/>
  <c r="J355" i="25" s="1"/>
  <c r="H449" i="25" a="1"/>
  <c r="H449" i="25" s="1"/>
  <c r="D402" i="25" a="1"/>
  <c r="D402" i="25" s="1"/>
  <c r="D356" i="25" a="1"/>
  <c r="D356" i="25" s="1"/>
  <c r="O364" i="25" a="1"/>
  <c r="O364" i="25" s="1"/>
  <c r="O457" i="25" a="1"/>
  <c r="O457" i="25" s="1"/>
  <c r="W324" i="10"/>
  <c r="L89" i="25" a="1"/>
  <c r="L89" i="25" s="1"/>
  <c r="N352" i="25" a="1"/>
  <c r="N352" i="25" s="1"/>
  <c r="I104" i="25" a="1"/>
  <c r="I104" i="25" s="1"/>
  <c r="L399" i="25" a="1"/>
  <c r="L399" i="25" s="1"/>
  <c r="N104" i="25" a="1"/>
  <c r="N104" i="25" s="1"/>
  <c r="L187" i="25" a="1"/>
  <c r="L187" i="25" s="1"/>
  <c r="N356" i="25" a="1"/>
  <c r="N356" i="25" s="1"/>
  <c r="J403" i="25" a="1"/>
  <c r="J403" i="25" s="1"/>
  <c r="K308" i="25" a="1"/>
  <c r="K308" i="25" s="1"/>
  <c r="O497" i="25" a="1"/>
  <c r="O497" i="25" s="1"/>
  <c r="O324" i="25"/>
  <c r="X329" i="20"/>
  <c r="W1444" i="12"/>
  <c r="W1632" i="12" s="1"/>
  <c r="X86" i="20"/>
  <c r="X1205" i="20" s="1"/>
  <c r="X754" i="12"/>
  <c r="X911" i="12" s="1"/>
  <c r="X1926" i="12" s="1"/>
  <c r="W1601" i="12"/>
  <c r="W1637" i="12" s="1"/>
  <c r="W1522" i="12"/>
  <c r="W1635" i="12" s="1"/>
  <c r="W1468" i="12"/>
  <c r="W1633" i="12" s="1"/>
  <c r="W1567" i="12"/>
  <c r="W1636" i="12" s="1"/>
  <c r="X368" i="16"/>
  <c r="I351" i="25" a="1"/>
  <c r="I351" i="25" s="1"/>
  <c r="H88" i="25" a="1"/>
  <c r="H88" i="25" s="1"/>
  <c r="H476" i="25" a="1"/>
  <c r="H476" i="25" s="1"/>
  <c r="L340" i="25" a="1"/>
  <c r="L340" i="25" s="1"/>
  <c r="J101" i="25" a="1"/>
  <c r="J101" i="25" s="1"/>
  <c r="H340" i="25" a="1"/>
  <c r="H340" i="25" s="1"/>
  <c r="L386" i="25" a="1"/>
  <c r="L386" i="25" s="1"/>
  <c r="K171" i="25" a="1"/>
  <c r="K171" i="25" s="1"/>
  <c r="J89" i="25" a="1"/>
  <c r="J89" i="25" s="1"/>
  <c r="I289" i="25" a="1"/>
  <c r="I289" i="25" s="1"/>
  <c r="K339" i="25" a="1"/>
  <c r="K339" i="25" s="1"/>
  <c r="N305" i="25" a="1"/>
  <c r="N305" i="25" s="1"/>
  <c r="L480" i="25" a="1"/>
  <c r="L480" i="25" s="1"/>
  <c r="L88" i="25" a="1"/>
  <c r="L88" i="25" s="1"/>
  <c r="J398" i="25" a="1"/>
  <c r="J398" i="25" s="1"/>
  <c r="J293" i="25" a="1"/>
  <c r="J293" i="25" s="1"/>
  <c r="I340" i="25" a="1"/>
  <c r="I340" i="25" s="1"/>
  <c r="W699" i="16"/>
  <c r="X765" i="16"/>
  <c r="X227" i="20" s="1"/>
  <c r="X767" i="16"/>
  <c r="X229" i="20" s="1"/>
  <c r="X772" i="16"/>
  <c r="X234" i="20" s="1"/>
  <c r="X773" i="16"/>
  <c r="X235" i="20" s="1"/>
  <c r="X776" i="16"/>
  <c r="X238" i="20" s="1"/>
  <c r="M351" i="25" a="1"/>
  <c r="M351" i="25" s="1"/>
  <c r="M170" i="25" a="1"/>
  <c r="M170" i="25" s="1"/>
  <c r="M429" i="25" a="1"/>
  <c r="M429" i="25" s="1"/>
  <c r="K305" i="25" a="1"/>
  <c r="K305" i="25" s="1"/>
  <c r="X305" i="10"/>
  <c r="J2090" i="16"/>
  <c r="N351" i="25" a="1"/>
  <c r="N351" i="25" s="1"/>
  <c r="N350" i="25" s="1"/>
  <c r="I293" i="25" a="1"/>
  <c r="I293" i="25" s="1"/>
  <c r="J386" i="25" a="1"/>
  <c r="J386" i="25" s="1"/>
  <c r="K492" i="25" a="1"/>
  <c r="K492" i="25" s="1"/>
  <c r="N101" i="25" a="1"/>
  <c r="N101" i="25" s="1"/>
  <c r="I398" i="25" a="1"/>
  <c r="I398" i="25" s="1"/>
  <c r="W246" i="20"/>
  <c r="W251" i="20" s="1"/>
  <c r="O69" i="25" s="1"/>
  <c r="N446" i="25" a="1"/>
  <c r="N446" i="25" s="1"/>
  <c r="X752" i="16"/>
  <c r="X214" i="20" s="1"/>
  <c r="X754" i="16"/>
  <c r="X216" i="20" s="1"/>
  <c r="X783" i="16"/>
  <c r="X245" i="20" s="1"/>
  <c r="X760" i="16"/>
  <c r="X222" i="20" s="1"/>
  <c r="X778" i="16"/>
  <c r="X240" i="20" s="1"/>
  <c r="M101" i="25" a="1"/>
  <c r="M101" i="25" s="1"/>
  <c r="M434" i="25" a="1"/>
  <c r="M434" i="25" s="1"/>
  <c r="H433" i="25" a="1"/>
  <c r="H433" i="25" s="1"/>
  <c r="H446" i="25" a="1"/>
  <c r="H446" i="25" s="1"/>
  <c r="I433" i="25" a="1"/>
  <c r="I433" i="25" s="1"/>
  <c r="J434" i="25" a="1"/>
  <c r="J434" i="25" s="1"/>
  <c r="J492" i="25" a="1"/>
  <c r="J492" i="25" s="1"/>
  <c r="L304" i="25" a="1"/>
  <c r="L304" i="25" s="1"/>
  <c r="J351" i="25" a="1"/>
  <c r="J351" i="25" s="1"/>
  <c r="N293" i="25" a="1"/>
  <c r="N293" i="25" s="1"/>
  <c r="J387" i="25" a="1"/>
  <c r="J387" i="25" s="1"/>
  <c r="N100" i="25" a="1"/>
  <c r="N100" i="25" s="1"/>
  <c r="N304" i="25" a="1"/>
  <c r="N304" i="25" s="1"/>
  <c r="L493" i="25" a="1"/>
  <c r="L493" i="25" s="1"/>
  <c r="N166" i="25" a="1"/>
  <c r="N166" i="25" s="1"/>
  <c r="J446" i="25" a="1"/>
  <c r="J446" i="25" s="1"/>
  <c r="N88" i="25" a="1"/>
  <c r="N88" i="25" s="1"/>
  <c r="L339" i="25" a="1"/>
  <c r="L339" i="25" s="1"/>
  <c r="L338" i="25" s="1"/>
  <c r="X781" i="16"/>
  <c r="X243" i="20" s="1"/>
  <c r="X763" i="16"/>
  <c r="X225" i="20" s="1"/>
  <c r="X758" i="16"/>
  <c r="X220" i="20" s="1"/>
  <c r="X745" i="16"/>
  <c r="I659" i="16" s="1"/>
  <c r="G207" i="20" s="1"/>
  <c r="X762" i="16"/>
  <c r="X224" i="20" s="1"/>
  <c r="M89" i="25" a="1"/>
  <c r="M89" i="25" s="1"/>
  <c r="K433" i="25" a="1"/>
  <c r="K433" i="25" s="1"/>
  <c r="G183" i="25" a="1"/>
  <c r="G183" i="25" s="1"/>
  <c r="E292" i="25" a="1"/>
  <c r="E292" i="25" s="1"/>
  <c r="K481" i="25" a="1"/>
  <c r="K481" i="25" s="1"/>
  <c r="X119" i="11"/>
  <c r="X364" i="20"/>
  <c r="H493" i="25" a="1"/>
  <c r="H493" i="25" s="1"/>
  <c r="X1505" i="16"/>
  <c r="N89" i="25" a="1"/>
  <c r="N89" i="25" s="1"/>
  <c r="K293" i="25" a="1"/>
  <c r="K293" i="25" s="1"/>
  <c r="K182" i="25" a="1"/>
  <c r="K182" i="25" s="1"/>
  <c r="H292" i="25" a="1"/>
  <c r="H292" i="25" s="1"/>
  <c r="L100" i="25" a="1"/>
  <c r="L100" i="25" s="1"/>
  <c r="L351" i="25" a="1"/>
  <c r="L351" i="25" s="1"/>
  <c r="N182" i="25" a="1"/>
  <c r="N182" i="25" s="1"/>
  <c r="J182" i="25" a="1"/>
  <c r="J182" i="25" s="1"/>
  <c r="L305" i="25" a="1"/>
  <c r="L305" i="25" s="1"/>
  <c r="X751" i="16"/>
  <c r="X213" i="20" s="1"/>
  <c r="X756" i="16"/>
  <c r="X218" i="20" s="1"/>
  <c r="X769" i="16"/>
  <c r="X231" i="20" s="1"/>
  <c r="X764" i="16"/>
  <c r="X226" i="20" s="1"/>
  <c r="X768" i="16"/>
  <c r="X230" i="20" s="1"/>
  <c r="M493" i="25" a="1"/>
  <c r="M493" i="25" s="1"/>
  <c r="K183" i="25" a="1"/>
  <c r="K183" i="25" s="1"/>
  <c r="X923" i="16"/>
  <c r="I182" i="25" a="1"/>
  <c r="I182" i="25" s="1"/>
  <c r="J433" i="25" a="1"/>
  <c r="J433" i="25" s="1"/>
  <c r="J88" i="25" a="1"/>
  <c r="J88" i="25" s="1"/>
  <c r="N292" i="25" a="1"/>
  <c r="N292" i="25" s="1"/>
  <c r="L492" i="25" a="1"/>
  <c r="L492" i="25" s="1"/>
  <c r="K434" i="25" a="1"/>
  <c r="K434" i="25" s="1"/>
  <c r="H171" i="25" a="1"/>
  <c r="H171" i="25" s="1"/>
  <c r="I434" i="25" a="1"/>
  <c r="I434" i="25" s="1"/>
  <c r="J304" i="25" a="1"/>
  <c r="J304" i="25" s="1"/>
  <c r="L352" i="25" a="1"/>
  <c r="L352" i="25" s="1"/>
  <c r="K101" i="25" a="1"/>
  <c r="K101" i="25" s="1"/>
  <c r="J352" i="25" a="1"/>
  <c r="J352" i="25" s="1"/>
  <c r="X775" i="16"/>
  <c r="X237" i="20" s="1"/>
  <c r="X766" i="16"/>
  <c r="X228" i="20" s="1"/>
  <c r="X747" i="16"/>
  <c r="X209" i="20" s="1"/>
  <c r="X777" i="16"/>
  <c r="X239" i="20" s="1"/>
  <c r="X771" i="16"/>
  <c r="X233" i="20" s="1"/>
  <c r="K493" i="25" a="1"/>
  <c r="K493" i="25" s="1"/>
  <c r="M445" i="25" a="1"/>
  <c r="M445" i="25" s="1"/>
  <c r="K352" i="25" a="1"/>
  <c r="K352" i="25" s="1"/>
  <c r="L433" i="25" a="1"/>
  <c r="L433" i="25" s="1"/>
  <c r="I292" i="25" a="1"/>
  <c r="I292" i="25" s="1"/>
  <c r="J445" i="25" a="1"/>
  <c r="J445" i="25" s="1"/>
  <c r="N492" i="25" a="1"/>
  <c r="N492" i="25" s="1"/>
  <c r="L434" i="25" a="1"/>
  <c r="L434" i="25" s="1"/>
  <c r="K89" i="25" a="1"/>
  <c r="K89" i="25" s="1"/>
  <c r="N386" i="25" a="1"/>
  <c r="N386" i="25" s="1"/>
  <c r="L170" i="25" a="1"/>
  <c r="L170" i="25" s="1"/>
  <c r="X782" i="16"/>
  <c r="X244" i="20" s="1"/>
  <c r="X774" i="16"/>
  <c r="X236" i="20" s="1"/>
  <c r="X780" i="16"/>
  <c r="X242" i="20" s="1"/>
  <c r="X779" i="16"/>
  <c r="X241" i="20" s="1"/>
  <c r="X755" i="16"/>
  <c r="X217" i="20" s="1"/>
  <c r="M398" i="25" a="1"/>
  <c r="M398" i="25" s="1"/>
  <c r="G293" i="25" a="1"/>
  <c r="G293" i="25" s="1"/>
  <c r="G101" i="25" a="1"/>
  <c r="G101" i="25" s="1"/>
  <c r="G170" i="25" a="1"/>
  <c r="G170" i="25" s="1"/>
  <c r="J2054" i="16"/>
  <c r="J170" i="25" a="1"/>
  <c r="J170" i="25" s="1"/>
  <c r="K445" i="25" a="1"/>
  <c r="K445" i="25" s="1"/>
  <c r="N170" i="25" a="1"/>
  <c r="N170" i="25" s="1"/>
  <c r="J340" i="25" a="1"/>
  <c r="J340" i="25" s="1"/>
  <c r="J481" i="25" a="1"/>
  <c r="J481" i="25" s="1"/>
  <c r="L481" i="25" a="1"/>
  <c r="L481" i="25" s="1"/>
  <c r="X750" i="16"/>
  <c r="X212" i="20" s="1"/>
  <c r="X757" i="16"/>
  <c r="X219" i="20" s="1"/>
  <c r="X770" i="16"/>
  <c r="X232" i="20" s="1"/>
  <c r="X748" i="16"/>
  <c r="X210" i="20" s="1"/>
  <c r="M386" i="25" a="1"/>
  <c r="M386" i="25" s="1"/>
  <c r="W1940" i="12"/>
  <c r="W1898" i="12" s="1"/>
  <c r="V245" i="11"/>
  <c r="X1708" i="12"/>
  <c r="X1873" i="12" s="1"/>
  <c r="X1911" i="12" s="1"/>
  <c r="W2068" i="16"/>
  <c r="W2069" i="16" s="1"/>
  <c r="N506" i="25" a="1"/>
  <c r="N506" i="25" s="1"/>
  <c r="L104" i="25" a="1"/>
  <c r="L104" i="25" s="1"/>
  <c r="I386" i="25" a="1"/>
  <c r="I386" i="25" s="1"/>
  <c r="I458" i="25" a="1"/>
  <c r="I458" i="25" s="1"/>
  <c r="M187" i="25" a="1"/>
  <c r="M187" i="25" s="1"/>
  <c r="I449" i="25" a="1"/>
  <c r="I449" i="25" s="1"/>
  <c r="M105" i="25" a="1"/>
  <c r="M105" i="25" s="1"/>
  <c r="M186" i="25" a="1"/>
  <c r="M186" i="25" s="1"/>
  <c r="M305" i="25" a="1"/>
  <c r="M305" i="25" s="1"/>
  <c r="M461" i="25" a="1"/>
  <c r="M461" i="25" s="1"/>
  <c r="M356" i="25" a="1"/>
  <c r="M356" i="25" s="1"/>
  <c r="M340" i="25" a="1"/>
  <c r="M340" i="25" s="1"/>
  <c r="M85" i="25" a="1"/>
  <c r="M85" i="25" s="1"/>
  <c r="M317" i="25" a="1"/>
  <c r="M317" i="25" s="1"/>
  <c r="K504" i="25" a="1"/>
  <c r="K504" i="25" s="1"/>
  <c r="M480" i="25" a="1"/>
  <c r="M480" i="25" s="1"/>
  <c r="M412" i="25" a="1"/>
  <c r="M412" i="25" s="1"/>
  <c r="K362" i="25" a="1"/>
  <c r="K362" i="25" s="1"/>
  <c r="H411" i="25" a="1"/>
  <c r="H411" i="25" s="1"/>
  <c r="I364" i="25" a="1"/>
  <c r="I364" i="25" s="1"/>
  <c r="H409" i="25" a="1"/>
  <c r="H409" i="25" s="1"/>
  <c r="H309" i="25" a="1"/>
  <c r="H309" i="25" s="1"/>
  <c r="H104" i="25" a="1"/>
  <c r="H104" i="25" s="1"/>
  <c r="I183" i="25" a="1"/>
  <c r="I183" i="25" s="1"/>
  <c r="F383" i="25" a="1"/>
  <c r="F383" i="25" s="1"/>
  <c r="H445" i="25" a="1"/>
  <c r="H445" i="25" s="1"/>
  <c r="H410" i="25" a="1"/>
  <c r="H410" i="25" s="1"/>
  <c r="H503" i="25" a="1"/>
  <c r="H503" i="25" s="1"/>
  <c r="H186" i="25" a="1"/>
  <c r="H186" i="25" s="1"/>
  <c r="H318" i="25" a="1"/>
  <c r="H318" i="25" s="1"/>
  <c r="G460" i="25" a="1"/>
  <c r="G460" i="25" s="1"/>
  <c r="G317" i="25" a="1"/>
  <c r="G317" i="25" s="1"/>
  <c r="F434" i="25" a="1"/>
  <c r="F434" i="25" s="1"/>
  <c r="F293" i="25" a="1"/>
  <c r="F293" i="25" s="1"/>
  <c r="F457" i="25" a="1"/>
  <c r="F457" i="25" s="1"/>
  <c r="E356" i="25" a="1"/>
  <c r="E356" i="25" s="1"/>
  <c r="F187" i="25" a="1"/>
  <c r="F187" i="25" s="1"/>
  <c r="D319" i="25" a="1"/>
  <c r="D319" i="25" s="1"/>
  <c r="G319" i="25" a="1"/>
  <c r="G319" i="25" s="1"/>
  <c r="G409" i="25" a="1"/>
  <c r="G409" i="25" s="1"/>
  <c r="F340" i="25" a="1"/>
  <c r="F340" i="25" s="1"/>
  <c r="E450" i="25" a="1"/>
  <c r="E450" i="25" s="1"/>
  <c r="E461" i="25" a="1"/>
  <c r="E461" i="25" s="1"/>
  <c r="E412" i="25" a="1"/>
  <c r="E412" i="25" s="1"/>
  <c r="D363" i="25" a="1"/>
  <c r="D363" i="25" s="1"/>
  <c r="E409" i="25" a="1"/>
  <c r="E409" i="25" s="1"/>
  <c r="D458" i="25" a="1"/>
  <c r="D458" i="25" s="1"/>
  <c r="D496" i="25" a="1"/>
  <c r="D496" i="25" s="1"/>
  <c r="D315" i="25" a="1"/>
  <c r="D315" i="25" s="1"/>
  <c r="D403" i="25" a="1"/>
  <c r="D403" i="25" s="1"/>
  <c r="E445" i="25" a="1"/>
  <c r="E445" i="25" s="1"/>
  <c r="C459" i="25" a="1"/>
  <c r="C459" i="25" s="1"/>
  <c r="C362" i="25" a="1"/>
  <c r="C362" i="25" s="1"/>
  <c r="C457" i="25" a="1"/>
  <c r="C457" i="25" s="1"/>
  <c r="E460" i="25" a="1"/>
  <c r="E460" i="25" s="1"/>
  <c r="C355" i="25" a="1"/>
  <c r="C355" i="25" s="1"/>
  <c r="C104" i="25" a="1"/>
  <c r="C104" i="25" s="1"/>
  <c r="C187" i="25" a="1"/>
  <c r="C187" i="25" s="1"/>
  <c r="X116" i="12"/>
  <c r="X434" i="12"/>
  <c r="J493" i="25" a="1"/>
  <c r="J493" i="25" s="1"/>
  <c r="J319" i="25" a="1"/>
  <c r="J319" i="25" s="1"/>
  <c r="L414" i="25" a="1"/>
  <c r="L414" i="25" s="1"/>
  <c r="O318" i="25" a="1"/>
  <c r="O318" i="25" s="1"/>
  <c r="O403" i="25" a="1"/>
  <c r="O403" i="25" s="1"/>
  <c r="O460" i="25" a="1"/>
  <c r="O460" i="25" s="1"/>
  <c r="O503" i="25" a="1"/>
  <c r="O503" i="25" s="1"/>
  <c r="O410" i="25" a="1"/>
  <c r="O410" i="25" s="1"/>
  <c r="O356" i="25" a="1"/>
  <c r="O356" i="25" s="1"/>
  <c r="L319" i="25" a="1"/>
  <c r="L319" i="25" s="1"/>
  <c r="J411" i="25" a="1"/>
  <c r="J411" i="25" s="1"/>
  <c r="I504" i="25" a="1"/>
  <c r="I504" i="25" s="1"/>
  <c r="F194" i="25" a="1"/>
  <c r="F194" i="25" s="1"/>
  <c r="J115" i="25" a="1"/>
  <c r="J115" i="25" s="1"/>
  <c r="M194" i="25" a="1"/>
  <c r="M194" i="25" s="1"/>
  <c r="I113" i="25" a="1"/>
  <c r="I113" i="25" s="1"/>
  <c r="H113" i="25" a="1"/>
  <c r="H113" i="25" s="1"/>
  <c r="F197" i="25" a="1"/>
  <c r="F197" i="25" s="1"/>
  <c r="L308" i="25" a="1"/>
  <c r="L308" i="25" s="1"/>
  <c r="M100" i="25" a="1"/>
  <c r="M100" i="25" s="1"/>
  <c r="M320" i="25" a="1"/>
  <c r="M320" i="25" s="1"/>
  <c r="M88" i="25" a="1"/>
  <c r="M88" i="25" s="1"/>
  <c r="M87" i="25" s="1"/>
  <c r="M171" i="25" a="1"/>
  <c r="M171" i="25" s="1"/>
  <c r="M292" i="25" a="1"/>
  <c r="M292" i="25" s="1"/>
  <c r="M362" i="25" a="1"/>
  <c r="M362" i="25" s="1"/>
  <c r="M183" i="25" a="1"/>
  <c r="M183" i="25" s="1"/>
  <c r="M503" i="25" a="1"/>
  <c r="M503" i="25" s="1"/>
  <c r="K316" i="25" a="1"/>
  <c r="K316" i="25" s="1"/>
  <c r="M457" i="25" a="1"/>
  <c r="M457" i="25" s="1"/>
  <c r="I409" i="25" a="1"/>
  <c r="I409" i="25" s="1"/>
  <c r="M446" i="25" a="1"/>
  <c r="M446" i="25" s="1"/>
  <c r="M309" i="25" a="1"/>
  <c r="M309" i="25" s="1"/>
  <c r="H105" i="25" a="1"/>
  <c r="H105" i="25" s="1"/>
  <c r="H460" i="25" a="1"/>
  <c r="H460" i="25" s="1"/>
  <c r="H456" i="25" a="1"/>
  <c r="H456" i="25" s="1"/>
  <c r="I308" i="25" a="1"/>
  <c r="I308" i="25" s="1"/>
  <c r="H187" i="25" a="1"/>
  <c r="H187" i="25" s="1"/>
  <c r="F410" i="25" a="1"/>
  <c r="F410" i="25" s="1"/>
  <c r="I304" i="25" a="1"/>
  <c r="I304" i="25" s="1"/>
  <c r="I365" i="25" a="1"/>
  <c r="I365" i="25" s="1"/>
  <c r="F460" i="25" a="1"/>
  <c r="F460" i="25" s="1"/>
  <c r="I496" i="25" a="1"/>
  <c r="I496" i="25" s="1"/>
  <c r="H505" i="25" a="1"/>
  <c r="H505" i="25" s="1"/>
  <c r="H459" i="25" a="1"/>
  <c r="H459" i="25" s="1"/>
  <c r="F446" i="25" a="1"/>
  <c r="F446" i="25" s="1"/>
  <c r="F365" i="25" a="1"/>
  <c r="F365" i="25" s="1"/>
  <c r="F507" i="25" a="1"/>
  <c r="F507" i="25" s="1"/>
  <c r="F364" i="25" a="1"/>
  <c r="F364" i="25" s="1"/>
  <c r="F503" i="25" a="1"/>
  <c r="F503" i="25" s="1"/>
  <c r="G403" i="25" a="1"/>
  <c r="G403" i="25" s="1"/>
  <c r="D410" i="25" a="1"/>
  <c r="D410" i="25" s="1"/>
  <c r="G457" i="25" a="1"/>
  <c r="G457" i="25" s="1"/>
  <c r="G387" i="25" a="1"/>
  <c r="G387" i="25" s="1"/>
  <c r="G386" i="25" a="1"/>
  <c r="G386" i="25" s="1"/>
  <c r="G508" i="25" a="1"/>
  <c r="G508" i="25" s="1"/>
  <c r="F402" i="25" a="1"/>
  <c r="F402" i="25" s="1"/>
  <c r="G104" i="25" a="1"/>
  <c r="G104" i="25" s="1"/>
  <c r="D186" i="25" a="1"/>
  <c r="D186" i="25" s="1"/>
  <c r="D449" i="25" a="1"/>
  <c r="D449" i="25" s="1"/>
  <c r="D497" i="25" a="1"/>
  <c r="D497" i="25" s="1"/>
  <c r="E364" i="25" a="1"/>
  <c r="E364" i="25" s="1"/>
  <c r="D503" i="25" a="1"/>
  <c r="D503" i="25" s="1"/>
  <c r="E496" i="25" a="1"/>
  <c r="E496" i="25" s="1"/>
  <c r="E367" i="25" a="1"/>
  <c r="E367" i="25" s="1"/>
  <c r="D505" i="25" a="1"/>
  <c r="D505" i="25" s="1"/>
  <c r="E319" i="25" a="1"/>
  <c r="E319" i="25" s="1"/>
  <c r="E315" i="25" a="1"/>
  <c r="E315" i="25" s="1"/>
  <c r="C410" i="25" a="1"/>
  <c r="C410" i="25" s="1"/>
  <c r="C460" i="25" a="1"/>
  <c r="C460" i="25" s="1"/>
  <c r="C367" i="25" a="1"/>
  <c r="C367" i="25" s="1"/>
  <c r="C461" i="25" a="1"/>
  <c r="C461" i="25" s="1"/>
  <c r="E507" i="25" a="1"/>
  <c r="E507" i="25" s="1"/>
  <c r="C317" i="25" a="1"/>
  <c r="C317" i="25" s="1"/>
  <c r="X594" i="12"/>
  <c r="X221" i="12"/>
  <c r="J460" i="25" a="1"/>
  <c r="J460" i="25" s="1"/>
  <c r="I367" i="25" a="1"/>
  <c r="I367" i="25" s="1"/>
  <c r="K506" i="25" a="1"/>
  <c r="K506" i="25" s="1"/>
  <c r="O496" i="25" a="1"/>
  <c r="O496" i="25" s="1"/>
  <c r="O450" i="25" a="1"/>
  <c r="O450" i="25" s="1"/>
  <c r="O402" i="25" a="1"/>
  <c r="O402" i="25" s="1"/>
  <c r="O319" i="25" a="1"/>
  <c r="O319" i="25" s="1"/>
  <c r="O412" i="25" a="1"/>
  <c r="O412" i="25" s="1"/>
  <c r="O458" i="25" a="1"/>
  <c r="O458" i="25" s="1"/>
  <c r="L508" i="25" a="1"/>
  <c r="L508" i="25" s="1"/>
  <c r="I309" i="25" a="1"/>
  <c r="I309" i="25" s="1"/>
  <c r="J292" i="25" a="1"/>
  <c r="J292" i="25" s="1"/>
  <c r="M195" i="25" a="1"/>
  <c r="M195" i="25" s="1"/>
  <c r="J194" i="25" a="1"/>
  <c r="J194" i="25" s="1"/>
  <c r="K114" i="25" a="1"/>
  <c r="K114" i="25" s="1"/>
  <c r="L196" i="25" a="1"/>
  <c r="L196" i="25" s="1"/>
  <c r="G198" i="25" a="1"/>
  <c r="G198" i="25" s="1"/>
  <c r="H116" i="25" a="1"/>
  <c r="H116" i="25" s="1"/>
  <c r="C193" i="25" a="1"/>
  <c r="C193" i="25" s="1"/>
  <c r="M352" i="25" a="1"/>
  <c r="M352" i="25" s="1"/>
  <c r="M450" i="25" a="1"/>
  <c r="M450" i="25" s="1"/>
  <c r="K460" i="25" a="1"/>
  <c r="K460" i="25" s="1"/>
  <c r="M402" i="25" a="1"/>
  <c r="M402" i="25" s="1"/>
  <c r="K507" i="25" a="1"/>
  <c r="K507" i="25" s="1"/>
  <c r="M288" i="25" a="1"/>
  <c r="M288" i="25" s="1"/>
  <c r="K318" i="25" a="1"/>
  <c r="K318" i="25" s="1"/>
  <c r="M366" i="25" a="1"/>
  <c r="M366" i="25" s="1"/>
  <c r="K480" i="25" a="1"/>
  <c r="K480" i="25" s="1"/>
  <c r="M365" i="25" a="1"/>
  <c r="M365" i="25" s="1"/>
  <c r="K386" i="25" a="1"/>
  <c r="K386" i="25" s="1"/>
  <c r="M304" i="25" a="1"/>
  <c r="M304" i="25" s="1"/>
  <c r="M182" i="25" a="1"/>
  <c r="M182" i="25" s="1"/>
  <c r="I410" i="25" a="1"/>
  <c r="I410" i="25" s="1"/>
  <c r="H461" i="25" a="1"/>
  <c r="H461" i="25" s="1"/>
  <c r="H356" i="25" a="1"/>
  <c r="H356" i="25" s="1"/>
  <c r="F433" i="25" a="1"/>
  <c r="F433" i="25" s="1"/>
  <c r="H508" i="25" a="1"/>
  <c r="H508" i="25" s="1"/>
  <c r="H339" i="25" a="1"/>
  <c r="H339" i="25" s="1"/>
  <c r="H101" i="25" a="1"/>
  <c r="H101" i="25" s="1"/>
  <c r="G308" i="25" a="1"/>
  <c r="G308" i="25" s="1"/>
  <c r="G352" i="25" a="1"/>
  <c r="G352" i="25" s="1"/>
  <c r="G458" i="25" a="1"/>
  <c r="G458" i="25" s="1"/>
  <c r="H304" i="25" a="1"/>
  <c r="H304" i="25" s="1"/>
  <c r="H319" i="25" a="1"/>
  <c r="H319" i="25" s="1"/>
  <c r="H366" i="25" a="1"/>
  <c r="H366" i="25" s="1"/>
  <c r="G456" i="25" a="1"/>
  <c r="G456" i="25" s="1"/>
  <c r="E480" i="25" a="1"/>
  <c r="E480" i="25" s="1"/>
  <c r="G449" i="25" a="1"/>
  <c r="G449" i="25" s="1"/>
  <c r="E316" i="25" a="1"/>
  <c r="E316" i="25" s="1"/>
  <c r="G315" i="25" a="1"/>
  <c r="G315" i="25" s="1"/>
  <c r="G320" i="25" a="1"/>
  <c r="G320" i="25" s="1"/>
  <c r="G364" i="25" a="1"/>
  <c r="G364" i="25" s="1"/>
  <c r="F309" i="25" a="1"/>
  <c r="F309" i="25" s="1"/>
  <c r="E186" i="25" a="1"/>
  <c r="E186" i="25" s="1"/>
  <c r="G351" i="25" a="1"/>
  <c r="G351" i="25" s="1"/>
  <c r="F308" i="25" a="1"/>
  <c r="F308" i="25" s="1"/>
  <c r="F504" i="25" a="1"/>
  <c r="F504" i="25" s="1"/>
  <c r="E104" i="25" a="1"/>
  <c r="E104" i="25" s="1"/>
  <c r="E506" i="25" a="1"/>
  <c r="E506" i="25" s="1"/>
  <c r="E308" i="25" a="1"/>
  <c r="E308" i="25" s="1"/>
  <c r="D461" i="25" a="1"/>
  <c r="D461" i="25" s="1"/>
  <c r="E410" i="25" a="1"/>
  <c r="E410" i="25" s="1"/>
  <c r="E318" i="25" a="1"/>
  <c r="E318" i="25" s="1"/>
  <c r="E503" i="25" a="1"/>
  <c r="E503" i="25" s="1"/>
  <c r="D365" i="25" a="1"/>
  <c r="D365" i="25" s="1"/>
  <c r="C497" i="25" a="1"/>
  <c r="C497" i="25" s="1"/>
  <c r="E363" i="25" a="1"/>
  <c r="E363" i="25" s="1"/>
  <c r="C403" i="25" a="1"/>
  <c r="C403" i="25" s="1"/>
  <c r="C450" i="25" a="1"/>
  <c r="C450" i="25" s="1"/>
  <c r="C320" i="25" a="1"/>
  <c r="C320" i="25" s="1"/>
  <c r="C414" i="25" a="1"/>
  <c r="C414" i="25" s="1"/>
  <c r="C364" i="25" a="1"/>
  <c r="C364" i="25" s="1"/>
  <c r="C449" i="25" a="1"/>
  <c r="C449" i="25" s="1"/>
  <c r="X306" i="12"/>
  <c r="N458" i="25" a="1"/>
  <c r="N458" i="25" s="1"/>
  <c r="L457" i="25" a="1"/>
  <c r="L457" i="25" s="1"/>
  <c r="K412" i="25" a="1"/>
  <c r="K412" i="25" s="1"/>
  <c r="L365" i="25" a="1"/>
  <c r="L365" i="25" s="1"/>
  <c r="N402" i="25" a="1"/>
  <c r="N402" i="25" s="1"/>
  <c r="O355" i="25" a="1"/>
  <c r="O355" i="25" s="1"/>
  <c r="O308" i="25" a="1"/>
  <c r="O308" i="25" s="1"/>
  <c r="O366" i="25" a="1"/>
  <c r="O366" i="25" s="1"/>
  <c r="O104" i="25" a="1"/>
  <c r="O104" i="25" s="1"/>
  <c r="O507" i="25" a="1"/>
  <c r="O507" i="25" s="1"/>
  <c r="O504" i="25" a="1"/>
  <c r="O504" i="25" s="1"/>
  <c r="L356" i="25" a="1"/>
  <c r="L356" i="25" s="1"/>
  <c r="K503" i="25" a="1"/>
  <c r="K503" i="25" s="1"/>
  <c r="G197" i="25" a="1"/>
  <c r="G197" i="25" s="1"/>
  <c r="J196" i="25" a="1"/>
  <c r="J196" i="25" s="1"/>
  <c r="L194" i="25" a="1"/>
  <c r="L194" i="25" s="1"/>
  <c r="K195" i="25" a="1"/>
  <c r="K195" i="25" s="1"/>
  <c r="E198" i="25" a="1"/>
  <c r="E198" i="25" s="1"/>
  <c r="C196" i="25" a="1"/>
  <c r="C196" i="25" s="1"/>
  <c r="X1908" i="16"/>
  <c r="M308" i="25" a="1"/>
  <c r="M308" i="25" s="1"/>
  <c r="K304" i="25" a="1"/>
  <c r="K304" i="25" s="1"/>
  <c r="M449" i="25" a="1"/>
  <c r="M449" i="25" s="1"/>
  <c r="K356" i="25" a="1"/>
  <c r="K356" i="25" s="1"/>
  <c r="M293" i="25" a="1"/>
  <c r="M293" i="25" s="1"/>
  <c r="I446" i="25" a="1"/>
  <c r="I446" i="25" s="1"/>
  <c r="M339" i="25" a="1"/>
  <c r="M339" i="25" s="1"/>
  <c r="M338" i="25" s="1"/>
  <c r="K387" i="25" a="1"/>
  <c r="K387" i="25" s="1"/>
  <c r="M433" i="25" a="1"/>
  <c r="M433" i="25" s="1"/>
  <c r="I493" i="25" a="1"/>
  <c r="I493" i="25" s="1"/>
  <c r="M319" i="25" a="1"/>
  <c r="M319" i="25" s="1"/>
  <c r="K187" i="25" a="1"/>
  <c r="K187" i="25" s="1"/>
  <c r="M289" i="25" a="1"/>
  <c r="M289" i="25" s="1"/>
  <c r="M413" i="25" a="1"/>
  <c r="M413" i="25" s="1"/>
  <c r="I492" i="25" a="1"/>
  <c r="I492" i="25" s="1"/>
  <c r="H84" i="25" a="1"/>
  <c r="H84" i="25" s="1"/>
  <c r="H362" i="25" a="1"/>
  <c r="H362" i="25" s="1"/>
  <c r="H305" i="25" a="1"/>
  <c r="H305" i="25" s="1"/>
  <c r="H399" i="25" a="1"/>
  <c r="H399" i="25" s="1"/>
  <c r="G362" i="25" a="1"/>
  <c r="G362" i="25" s="1"/>
  <c r="H496" i="25" a="1"/>
  <c r="H496" i="25" s="1"/>
  <c r="F409" i="25" a="1"/>
  <c r="F409" i="25" s="1"/>
  <c r="H481" i="25" a="1"/>
  <c r="H481" i="25" s="1"/>
  <c r="G187" i="25" a="1"/>
  <c r="G187" i="25" s="1"/>
  <c r="H351" i="25" a="1"/>
  <c r="H351" i="25" s="1"/>
  <c r="H402" i="25" a="1"/>
  <c r="H402" i="25" s="1"/>
  <c r="F458" i="25" a="1"/>
  <c r="F458" i="25" s="1"/>
  <c r="F461" i="25" a="1"/>
  <c r="F461" i="25" s="1"/>
  <c r="D187" i="25" a="1"/>
  <c r="D187" i="25" s="1"/>
  <c r="F304" i="25" a="1"/>
  <c r="F304" i="25" s="1"/>
  <c r="G336" i="25" a="1"/>
  <c r="G336" i="25" s="1"/>
  <c r="G339" i="25" a="1"/>
  <c r="G339" i="25" s="1"/>
  <c r="G363" i="25" a="1"/>
  <c r="G363" i="25" s="1"/>
  <c r="F186" i="25" a="1"/>
  <c r="F186" i="25" s="1"/>
  <c r="G507" i="25" a="1"/>
  <c r="G507" i="25" s="1"/>
  <c r="G186" i="25" a="1"/>
  <c r="G186" i="25" s="1"/>
  <c r="F459" i="25" a="1"/>
  <c r="F459" i="25" s="1"/>
  <c r="F105" i="25" a="1"/>
  <c r="F105" i="25" s="1"/>
  <c r="F399" i="25" a="1"/>
  <c r="F399" i="25" s="1"/>
  <c r="E508" i="25" a="1"/>
  <c r="E508" i="25" s="1"/>
  <c r="D367" i="25" a="1"/>
  <c r="D367" i="25" s="1"/>
  <c r="D414" i="25" a="1"/>
  <c r="D414" i="25" s="1"/>
  <c r="D504" i="25" a="1"/>
  <c r="D504" i="25" s="1"/>
  <c r="D104" i="25" a="1"/>
  <c r="D104" i="25" s="1"/>
  <c r="D459" i="25" a="1"/>
  <c r="D459" i="25" s="1"/>
  <c r="D507" i="25" a="1"/>
  <c r="D507" i="25" s="1"/>
  <c r="D457" i="25" a="1"/>
  <c r="D457" i="25" s="1"/>
  <c r="E366" i="25" a="1"/>
  <c r="E366" i="25" s="1"/>
  <c r="E403" i="25" a="1"/>
  <c r="E403" i="25" s="1"/>
  <c r="C105" i="25" a="1"/>
  <c r="C105" i="25" s="1"/>
  <c r="C433" i="25" a="1"/>
  <c r="C433" i="25" s="1"/>
  <c r="E362" i="25" a="1"/>
  <c r="E362" i="25" s="1"/>
  <c r="C356" i="25" a="1"/>
  <c r="C356" i="25" s="1"/>
  <c r="C186" i="25" a="1"/>
  <c r="C186" i="25" s="1"/>
  <c r="C409" i="25" a="1"/>
  <c r="C409" i="25" s="1"/>
  <c r="X585" i="12"/>
  <c r="N366" i="25" a="1"/>
  <c r="N366" i="25" s="1"/>
  <c r="J409" i="25" a="1"/>
  <c r="J409" i="25" s="1"/>
  <c r="J363" i="25" a="1"/>
  <c r="J363" i="25" s="1"/>
  <c r="N403" i="25" a="1"/>
  <c r="N403" i="25" s="1"/>
  <c r="O316" i="25" a="1"/>
  <c r="O316" i="25" s="1"/>
  <c r="O339" i="25" a="1"/>
  <c r="O339" i="25" s="1"/>
  <c r="O505" i="25" a="1"/>
  <c r="O505" i="25" s="1"/>
  <c r="O459" i="25" a="1"/>
  <c r="O459" i="25" s="1"/>
  <c r="O409" i="25" a="1"/>
  <c r="O409" i="25" s="1"/>
  <c r="O171" i="25" a="1"/>
  <c r="O171" i="25" s="1"/>
  <c r="I339" i="25" a="1"/>
  <c r="I339" i="25" s="1"/>
  <c r="L413" i="25" a="1"/>
  <c r="L413" i="25" s="1"/>
  <c r="J112" i="25" a="1"/>
  <c r="J112" i="25" s="1"/>
  <c r="M198" i="25" a="1"/>
  <c r="M198" i="25" s="1"/>
  <c r="L197" i="25" a="1"/>
  <c r="L197" i="25" s="1"/>
  <c r="H196" i="25" a="1"/>
  <c r="H196" i="25" s="1"/>
  <c r="F113" i="25" a="1"/>
  <c r="F113" i="25" s="1"/>
  <c r="C116" i="25" a="1"/>
  <c r="C116" i="25" s="1"/>
  <c r="M481" i="25" a="1"/>
  <c r="M481" i="25" s="1"/>
  <c r="K340" i="25" a="1"/>
  <c r="K340" i="25" s="1"/>
  <c r="M456" i="25" a="1"/>
  <c r="M456" i="25" s="1"/>
  <c r="K292" i="25" a="1"/>
  <c r="K292" i="25" s="1"/>
  <c r="M399" i="25" a="1"/>
  <c r="M399" i="25" s="1"/>
  <c r="K413" i="25" a="1"/>
  <c r="K413" i="25" s="1"/>
  <c r="M364" i="25" a="1"/>
  <c r="M364" i="25" s="1"/>
  <c r="K309" i="25" a="1"/>
  <c r="K309" i="25" s="1"/>
  <c r="M318" i="25" a="1"/>
  <c r="M318" i="25" s="1"/>
  <c r="K365" i="25" a="1"/>
  <c r="K365" i="25" s="1"/>
  <c r="M504" i="25" a="1"/>
  <c r="M504" i="25" s="1"/>
  <c r="M315" i="25" a="1"/>
  <c r="M315" i="25" s="1"/>
  <c r="K459" i="25" a="1"/>
  <c r="K459" i="25" s="1"/>
  <c r="M459" i="25" a="1"/>
  <c r="M459" i="25" s="1"/>
  <c r="G506" i="25" a="1"/>
  <c r="G506" i="25" s="1"/>
  <c r="H386" i="25" a="1"/>
  <c r="H386" i="25" s="1"/>
  <c r="H352" i="25" a="1"/>
  <c r="H352" i="25" s="1"/>
  <c r="G434" i="25" a="1"/>
  <c r="G434" i="25" s="1"/>
  <c r="H308" i="25" a="1"/>
  <c r="H308" i="25" s="1"/>
  <c r="I411" i="25" a="1"/>
  <c r="I411" i="25" s="1"/>
  <c r="H182" i="25" a="1"/>
  <c r="H182" i="25" s="1"/>
  <c r="H403" i="25" a="1"/>
  <c r="H403" i="25" s="1"/>
  <c r="H457" i="25" a="1"/>
  <c r="H457" i="25" s="1"/>
  <c r="H506" i="25" a="1"/>
  <c r="H506" i="25" s="1"/>
  <c r="H413" i="25" a="1"/>
  <c r="H413" i="25" s="1"/>
  <c r="H315" i="25" a="1"/>
  <c r="H315" i="25" s="1"/>
  <c r="F496" i="25" a="1"/>
  <c r="F496" i="25" s="1"/>
  <c r="G414" i="25" a="1"/>
  <c r="G414" i="25" s="1"/>
  <c r="D456" i="25" a="1"/>
  <c r="D456" i="25" s="1"/>
  <c r="F445" i="25" a="1"/>
  <c r="F445" i="25" s="1"/>
  <c r="G366" i="25" a="1"/>
  <c r="G366" i="25" s="1"/>
  <c r="F100" i="25" a="1"/>
  <c r="F100" i="25" s="1"/>
  <c r="G461" i="25" a="1"/>
  <c r="G461" i="25" s="1"/>
  <c r="G480" i="25" a="1"/>
  <c r="G480" i="25" s="1"/>
  <c r="F367" i="25" a="1"/>
  <c r="F367" i="25" s="1"/>
  <c r="F497" i="25" a="1"/>
  <c r="F497" i="25" s="1"/>
  <c r="G309" i="25" a="1"/>
  <c r="G309" i="25" s="1"/>
  <c r="F318" i="25" a="1"/>
  <c r="F318" i="25" s="1"/>
  <c r="F506" i="25" a="1"/>
  <c r="F506" i="25" s="1"/>
  <c r="E458" i="25" a="1"/>
  <c r="E458" i="25" s="1"/>
  <c r="E352" i="25" a="1"/>
  <c r="E352" i="25" s="1"/>
  <c r="E411" i="25" a="1"/>
  <c r="E411" i="25" s="1"/>
  <c r="D309" i="25" a="1"/>
  <c r="D309" i="25" s="1"/>
  <c r="E317" i="25" a="1"/>
  <c r="E317" i="25" s="1"/>
  <c r="E459" i="25" a="1"/>
  <c r="E459" i="25" s="1"/>
  <c r="D506" i="25" a="1"/>
  <c r="D506" i="25" s="1"/>
  <c r="E413" i="25" a="1"/>
  <c r="E413" i="25" s="1"/>
  <c r="D308" i="25" a="1"/>
  <c r="D308" i="25" s="1"/>
  <c r="E497" i="25" a="1"/>
  <c r="E497" i="25" s="1"/>
  <c r="C505" i="25" a="1"/>
  <c r="C505" i="25" s="1"/>
  <c r="C507" i="25" a="1"/>
  <c r="C507" i="25" s="1"/>
  <c r="C503" i="25" a="1"/>
  <c r="C503" i="25" s="1"/>
  <c r="C496" i="25" a="1"/>
  <c r="C496" i="25" s="1"/>
  <c r="C402" i="25" a="1"/>
  <c r="C402" i="25" s="1"/>
  <c r="C399" i="25" a="1"/>
  <c r="C399" i="25" s="1"/>
  <c r="X161" i="12"/>
  <c r="N503" i="25" a="1"/>
  <c r="N503" i="25" s="1"/>
  <c r="J496" i="25" a="1"/>
  <c r="J496" i="25" s="1"/>
  <c r="I315" i="25" a="1"/>
  <c r="I315" i="25" s="1"/>
  <c r="N461" i="25" a="1"/>
  <c r="N461" i="25" s="1"/>
  <c r="O363" i="25" a="1"/>
  <c r="O363" i="25" s="1"/>
  <c r="O456" i="25" a="1"/>
  <c r="O456" i="25" s="1"/>
  <c r="O186" i="25" a="1"/>
  <c r="O186" i="25" s="1"/>
  <c r="O413" i="25" a="1"/>
  <c r="O413" i="25" s="1"/>
  <c r="O411" i="25" a="1"/>
  <c r="O411" i="25" s="1"/>
  <c r="O449" i="25" a="1"/>
  <c r="O449" i="25" s="1"/>
  <c r="I355" i="25" a="1"/>
  <c r="I355" i="25" s="1"/>
  <c r="I354" i="25" s="1"/>
  <c r="L449" i="25" a="1"/>
  <c r="L449" i="25" s="1"/>
  <c r="J450" i="25" a="1"/>
  <c r="J450" i="25" s="1"/>
  <c r="I112" i="25" a="1"/>
  <c r="I112" i="25" s="1"/>
  <c r="L116" i="25" a="1"/>
  <c r="L116" i="25" s="1"/>
  <c r="M112" i="25" a="1"/>
  <c r="M112" i="25" s="1"/>
  <c r="H198" i="25" a="1"/>
  <c r="H198" i="25" s="1"/>
  <c r="E195" i="25" a="1"/>
  <c r="E195" i="25" s="1"/>
  <c r="C113" i="25" a="1"/>
  <c r="C113" i="25" s="1"/>
  <c r="M387" i="25" a="1"/>
  <c r="M387" i="25" s="1"/>
  <c r="M409" i="25" a="1"/>
  <c r="M409" i="25" s="1"/>
  <c r="K457" i="25" a="1"/>
  <c r="K457" i="25" s="1"/>
  <c r="M410" i="25" a="1"/>
  <c r="M410" i="25" s="1"/>
  <c r="K364" i="25" a="1"/>
  <c r="K364" i="25" s="1"/>
  <c r="M363" i="25" a="1"/>
  <c r="M363" i="25" s="1"/>
  <c r="M507" i="25" a="1"/>
  <c r="M507" i="25" s="1"/>
  <c r="K446" i="25" a="1"/>
  <c r="K446" i="25" s="1"/>
  <c r="M508" i="25" a="1"/>
  <c r="M508" i="25" s="1"/>
  <c r="F450" i="25" a="1"/>
  <c r="F450" i="25" s="1"/>
  <c r="H480" i="25" a="1"/>
  <c r="H480" i="25" s="1"/>
  <c r="F403" i="25" a="1"/>
  <c r="F403" i="25" s="1"/>
  <c r="H492" i="25" a="1"/>
  <c r="H492" i="25" s="1"/>
  <c r="H507" i="25" a="1"/>
  <c r="H507" i="25" s="1"/>
  <c r="I319" i="25" a="1"/>
  <c r="I319" i="25" s="1"/>
  <c r="G182" i="25" a="1"/>
  <c r="G182" i="25" s="1"/>
  <c r="H414" i="25" a="1"/>
  <c r="H414" i="25" s="1"/>
  <c r="F319" i="25" a="1"/>
  <c r="F319" i="25" s="1"/>
  <c r="F363" i="25" a="1"/>
  <c r="F363" i="25" s="1"/>
  <c r="H363" i="25" a="1"/>
  <c r="H363" i="25" s="1"/>
  <c r="H320" i="25" a="1"/>
  <c r="H320" i="25" s="1"/>
  <c r="G355" i="25" a="1"/>
  <c r="G355" i="25" s="1"/>
  <c r="G504" i="25" a="1"/>
  <c r="G504" i="25" s="1"/>
  <c r="F449" i="25" a="1"/>
  <c r="F449" i="25" s="1"/>
  <c r="G503" i="25" a="1"/>
  <c r="G503" i="25" s="1"/>
  <c r="G413" i="25" a="1"/>
  <c r="G413" i="25" s="1"/>
  <c r="F355" i="25" a="1"/>
  <c r="F355" i="25" s="1"/>
  <c r="G402" i="25" a="1"/>
  <c r="G402" i="25" s="1"/>
  <c r="G401" i="25" s="1"/>
  <c r="F413" i="25" a="1"/>
  <c r="F413" i="25" s="1"/>
  <c r="F366" i="25" a="1"/>
  <c r="F366" i="25" s="1"/>
  <c r="G497" i="25" a="1"/>
  <c r="G497" i="25" s="1"/>
  <c r="F412" i="25" a="1"/>
  <c r="F412" i="25" s="1"/>
  <c r="G105" i="25" a="1"/>
  <c r="G105" i="25" s="1"/>
  <c r="E309" i="25" a="1"/>
  <c r="E309" i="25" s="1"/>
  <c r="E365" i="25" a="1"/>
  <c r="E365" i="25" s="1"/>
  <c r="E187" i="25" a="1"/>
  <c r="E187" i="25" s="1"/>
  <c r="D320" i="25" a="1"/>
  <c r="D320" i="25" s="1"/>
  <c r="E504" i="25" a="1"/>
  <c r="E504" i="25" s="1"/>
  <c r="E105" i="25" a="1"/>
  <c r="E105" i="25" s="1"/>
  <c r="D366" i="25" a="1"/>
  <c r="D366" i="25" s="1"/>
  <c r="D317" i="25" a="1"/>
  <c r="D317" i="25" s="1"/>
  <c r="E335" i="25" a="1"/>
  <c r="E335" i="25" s="1"/>
  <c r="D318" i="25" a="1"/>
  <c r="D318" i="25" s="1"/>
  <c r="E481" i="25" a="1"/>
  <c r="E481" i="25" s="1"/>
  <c r="C319" i="25" a="1"/>
  <c r="C319" i="25" s="1"/>
  <c r="E320" i="25" a="1"/>
  <c r="E320" i="25" s="1"/>
  <c r="C456" i="25" a="1"/>
  <c r="C456" i="25" s="1"/>
  <c r="E449" i="25" a="1"/>
  <c r="E449" i="25" s="1"/>
  <c r="E448" i="25" s="1"/>
  <c r="C365" i="25" a="1"/>
  <c r="C365" i="25" s="1"/>
  <c r="C363" i="25" a="1"/>
  <c r="C363" i="25" s="1"/>
  <c r="X206" i="12"/>
  <c r="N318" i="25" a="1"/>
  <c r="N318" i="25" s="1"/>
  <c r="L309" i="25" a="1"/>
  <c r="L309" i="25" s="1"/>
  <c r="L307" i="25" s="1"/>
  <c r="L412" i="25" a="1"/>
  <c r="L412" i="25" s="1"/>
  <c r="N317" i="25" a="1"/>
  <c r="N317" i="25" s="1"/>
  <c r="O89" i="25" a="1"/>
  <c r="O89" i="25" s="1"/>
  <c r="O414" i="25" a="1"/>
  <c r="O414" i="25" s="1"/>
  <c r="O309" i="25" a="1"/>
  <c r="O309" i="25" s="1"/>
  <c r="O367" i="25" a="1"/>
  <c r="O367" i="25" s="1"/>
  <c r="O320" i="25" a="1"/>
  <c r="O320" i="25" s="1"/>
  <c r="O508" i="25" a="1"/>
  <c r="O508" i="25" s="1"/>
  <c r="J187" i="25" a="1"/>
  <c r="J187" i="25" s="1"/>
  <c r="L506" i="25" a="1"/>
  <c r="L506" i="25" s="1"/>
  <c r="J506" i="25" a="1"/>
  <c r="J506" i="25" s="1"/>
  <c r="M115" i="25" a="1"/>
  <c r="M115" i="25" s="1"/>
  <c r="L198" i="25" a="1"/>
  <c r="L198" i="25" s="1"/>
  <c r="H111" i="25" a="1"/>
  <c r="H111" i="25" s="1"/>
  <c r="F195" i="25" a="1"/>
  <c r="F195" i="25" s="1"/>
  <c r="E197" i="25" a="1"/>
  <c r="E197" i="25" s="1"/>
  <c r="I194" i="25" a="1"/>
  <c r="I194" i="25" s="1"/>
  <c r="X463" i="16"/>
  <c r="X987" i="12"/>
  <c r="X1152" i="12" s="1"/>
  <c r="G115" i="25" a="1"/>
  <c r="G115" i="25" s="1"/>
  <c r="E194" i="25" a="1"/>
  <c r="E194" i="25" s="1"/>
  <c r="D198" i="25" a="1"/>
  <c r="D198" i="25" s="1"/>
  <c r="C197" i="25" a="1"/>
  <c r="C197" i="25" s="1"/>
  <c r="K410" i="25" a="1"/>
  <c r="K410" i="25" s="1"/>
  <c r="X905" i="16"/>
  <c r="J113" i="25" a="1"/>
  <c r="J113" i="25" s="1"/>
  <c r="M197" i="25" a="1"/>
  <c r="M197" i="25" s="1"/>
  <c r="K112" i="25" a="1"/>
  <c r="K112" i="25" s="1"/>
  <c r="J195" i="25" a="1"/>
  <c r="J195" i="25" s="1"/>
  <c r="G114" i="25" a="1"/>
  <c r="G114" i="25" s="1"/>
  <c r="I197" i="25" a="1"/>
  <c r="I197" i="25" s="1"/>
  <c r="K198" i="25" a="1"/>
  <c r="K198" i="25" s="1"/>
  <c r="K115" i="25" a="1"/>
  <c r="K115" i="25" s="1"/>
  <c r="K116" i="25" a="1"/>
  <c r="K116" i="25" s="1"/>
  <c r="F112" i="25" a="1"/>
  <c r="F112" i="25" s="1"/>
  <c r="G193" i="25" a="1"/>
  <c r="G193" i="25" s="1"/>
  <c r="E111" i="25" a="1"/>
  <c r="E111" i="25" s="1"/>
  <c r="E193" i="25" a="1"/>
  <c r="E193" i="25" s="1"/>
  <c r="D196" i="25" a="1"/>
  <c r="D196" i="25" s="1"/>
  <c r="D193" i="25" a="1"/>
  <c r="D193" i="25" s="1"/>
  <c r="C114" i="25" a="1"/>
  <c r="C114" i="25" s="1"/>
  <c r="M116" i="25" a="1"/>
  <c r="M116" i="25" s="1"/>
  <c r="X162" i="20"/>
  <c r="X1207" i="20" s="1"/>
  <c r="D336" i="25" a="1"/>
  <c r="D336" i="25" s="1"/>
  <c r="L331" i="25" a="1"/>
  <c r="L331" i="25" s="1"/>
  <c r="L111" i="25" a="1"/>
  <c r="L111" i="25" s="1"/>
  <c r="J198" i="25" a="1"/>
  <c r="J198" i="25" s="1"/>
  <c r="H195" i="25" a="1"/>
  <c r="H195" i="25" s="1"/>
  <c r="J197" i="25" a="1"/>
  <c r="J197" i="25" s="1"/>
  <c r="L112" i="25" a="1"/>
  <c r="L112" i="25" s="1"/>
  <c r="L193" i="25" a="1"/>
  <c r="L193" i="25" s="1"/>
  <c r="M114" i="25" a="1"/>
  <c r="M114" i="25" s="1"/>
  <c r="G116" i="25" a="1"/>
  <c r="G116" i="25" s="1"/>
  <c r="H193" i="25" a="1"/>
  <c r="H193" i="25" s="1"/>
  <c r="G111" i="25" a="1"/>
  <c r="G111" i="25" s="1"/>
  <c r="F193" i="25" a="1"/>
  <c r="F193" i="25" s="1"/>
  <c r="E196" i="25" a="1"/>
  <c r="E196" i="25" s="1"/>
  <c r="D111" i="25" a="1"/>
  <c r="D111" i="25" s="1"/>
  <c r="D114" i="25" a="1"/>
  <c r="D114" i="25" s="1"/>
  <c r="C111" i="25" a="1"/>
  <c r="C111" i="25" s="1"/>
  <c r="I198" i="25" a="1"/>
  <c r="I198" i="25" s="1"/>
  <c r="G112" i="25" a="1"/>
  <c r="G112" i="25" s="1"/>
  <c r="G196" i="25" a="1"/>
  <c r="G196" i="25" s="1"/>
  <c r="J111" i="25" a="1"/>
  <c r="J111" i="25" s="1"/>
  <c r="K113" i="25" a="1"/>
  <c r="K113" i="25" s="1"/>
  <c r="I193" i="25" a="1"/>
  <c r="I193" i="25" s="1"/>
  <c r="L113" i="25" a="1"/>
  <c r="L113" i="25" s="1"/>
  <c r="L114" i="25" a="1"/>
  <c r="L114" i="25" s="1"/>
  <c r="F111" i="25" a="1"/>
  <c r="F111" i="25" s="1"/>
  <c r="G195" i="25" a="1"/>
  <c r="G195" i="25" s="1"/>
  <c r="H197" i="25" a="1"/>
  <c r="H197" i="25" s="1"/>
  <c r="F115" i="25" a="1"/>
  <c r="F115" i="25" s="1"/>
  <c r="D115" i="25" a="1"/>
  <c r="D115" i="25" s="1"/>
  <c r="D112" i="25" a="1"/>
  <c r="D112" i="25" s="1"/>
  <c r="C198" i="25" a="1"/>
  <c r="C198" i="25" s="1"/>
  <c r="C115" i="25" a="1"/>
  <c r="C115" i="25" s="1"/>
  <c r="I195" i="25" a="1"/>
  <c r="I195" i="25" s="1"/>
  <c r="O386" i="25" a="1"/>
  <c r="O386" i="25" s="1"/>
  <c r="H114" i="25" a="1"/>
  <c r="H114" i="25" s="1"/>
  <c r="J193" i="25" a="1"/>
  <c r="J193" i="25" s="1"/>
  <c r="G113" i="25" a="1"/>
  <c r="G113" i="25" s="1"/>
  <c r="H194" i="25" a="1"/>
  <c r="H194" i="25" s="1"/>
  <c r="F196" i="25" a="1"/>
  <c r="F196" i="25" s="1"/>
  <c r="E114" i="25" a="1"/>
  <c r="E114" i="25" s="1"/>
  <c r="E115" i="25" a="1"/>
  <c r="E115" i="25" s="1"/>
  <c r="D113" i="25" a="1"/>
  <c r="D113" i="25" s="1"/>
  <c r="C112" i="25" a="1"/>
  <c r="C112" i="25" s="1"/>
  <c r="C195" i="25" a="1"/>
  <c r="C195" i="25" s="1"/>
  <c r="G194" i="25" a="1"/>
  <c r="G194" i="25" s="1"/>
  <c r="X887" i="16"/>
  <c r="I196" i="25" a="1"/>
  <c r="I196" i="25" s="1"/>
  <c r="K193" i="25" a="1"/>
  <c r="K193" i="25" s="1"/>
  <c r="I111" i="25" a="1"/>
  <c r="I111" i="25" s="1"/>
  <c r="I115" i="25" a="1"/>
  <c r="I115" i="25" s="1"/>
  <c r="I114" i="25" a="1"/>
  <c r="I114" i="25" s="1"/>
  <c r="J116" i="25" a="1"/>
  <c r="J116" i="25" s="1"/>
  <c r="L115" i="25" a="1"/>
  <c r="L115" i="25" s="1"/>
  <c r="K111" i="25" a="1"/>
  <c r="K111" i="25" s="1"/>
  <c r="I116" i="25" a="1"/>
  <c r="I116" i="25" s="1"/>
  <c r="H112" i="25" a="1"/>
  <c r="H112" i="25" s="1"/>
  <c r="F114" i="25" a="1"/>
  <c r="F114" i="25" s="1"/>
  <c r="F198" i="25" a="1"/>
  <c r="F198" i="25" s="1"/>
  <c r="F116" i="25" a="1"/>
  <c r="F116" i="25" s="1"/>
  <c r="E116" i="25" a="1"/>
  <c r="E116" i="25" s="1"/>
  <c r="D116" i="25" a="1"/>
  <c r="D116" i="25" s="1"/>
  <c r="C194" i="25" a="1"/>
  <c r="C194" i="25" s="1"/>
  <c r="D197" i="25" a="1"/>
  <c r="D197" i="25" s="1"/>
  <c r="X198" i="20"/>
  <c r="X1209" i="20" s="1"/>
  <c r="X896" i="12"/>
  <c r="X916" i="12" s="1"/>
  <c r="X1932" i="12" s="1"/>
  <c r="X1946" i="12" s="1"/>
  <c r="X1904" i="12" s="1"/>
  <c r="X1147" i="12"/>
  <c r="X1159" i="12" s="1"/>
  <c r="X284" i="16"/>
  <c r="X804" i="16" s="1"/>
  <c r="J335" i="25" a="1"/>
  <c r="J335" i="25" s="1"/>
  <c r="K472" i="25" a="1"/>
  <c r="K472" i="25" s="1"/>
  <c r="I429" i="25" a="1"/>
  <c r="I429" i="25" s="1"/>
  <c r="J477" i="25" a="1"/>
  <c r="J477" i="25" s="1"/>
  <c r="M167" i="25" a="1"/>
  <c r="M167" i="25" s="1"/>
  <c r="I166" i="25" a="1"/>
  <c r="I166" i="25" s="1"/>
  <c r="G429" i="25" a="1"/>
  <c r="G429" i="25" s="1"/>
  <c r="F378" i="25" a="1"/>
  <c r="F378" i="25" s="1"/>
  <c r="C288" i="25" a="1"/>
  <c r="C288" i="25" s="1"/>
  <c r="I85" i="25" a="1"/>
  <c r="I85" i="25" s="1"/>
  <c r="N84" i="25" a="1"/>
  <c r="N84" i="25" s="1"/>
  <c r="I383" i="25" a="1"/>
  <c r="I383" i="25" s="1"/>
  <c r="N336" i="25" a="1"/>
  <c r="N336" i="25" s="1"/>
  <c r="K382" i="25" a="1"/>
  <c r="K382" i="25" s="1"/>
  <c r="N477" i="25" a="1"/>
  <c r="N477" i="25" s="1"/>
  <c r="J167" i="25" a="1"/>
  <c r="J167" i="25" s="1"/>
  <c r="J166" i="25" a="1"/>
  <c r="J166" i="25" s="1"/>
  <c r="K476" i="25" a="1"/>
  <c r="K476" i="25" s="1"/>
  <c r="K429" i="25" a="1"/>
  <c r="K429" i="25" s="1"/>
  <c r="M84" i="25" a="1"/>
  <c r="M84" i="25" s="1"/>
  <c r="K430" i="25" a="1"/>
  <c r="K430" i="25" s="1"/>
  <c r="F382" i="25" a="1"/>
  <c r="F382" i="25" s="1"/>
  <c r="H430" i="25" a="1"/>
  <c r="H430" i="25" s="1"/>
  <c r="H167" i="25" a="1"/>
  <c r="H167" i="25" s="1"/>
  <c r="X808" i="16"/>
  <c r="W1917" i="12"/>
  <c r="W1920" i="12" s="1"/>
  <c r="X1807" i="12"/>
  <c r="X1876" i="12" s="1"/>
  <c r="X1914" i="12" s="1"/>
  <c r="X1684" i="12"/>
  <c r="X1872" i="12" s="1"/>
  <c r="X1910" i="12" s="1"/>
  <c r="X799" i="12"/>
  <c r="X912" i="12" s="1"/>
  <c r="X1927" i="12" s="1"/>
  <c r="X1086" i="12"/>
  <c r="X1155" i="12" s="1"/>
  <c r="E80" i="25" a="1"/>
  <c r="E80" i="25" s="1"/>
  <c r="X1841" i="12"/>
  <c r="X1877" i="12" s="1"/>
  <c r="X1915" i="12" s="1"/>
  <c r="X963" i="12"/>
  <c r="X1151" i="12" s="1"/>
  <c r="X1120" i="12"/>
  <c r="X1156" i="12" s="1"/>
  <c r="X745" i="12"/>
  <c r="X1041" i="12"/>
  <c r="X1154" i="12" s="1"/>
  <c r="X844" i="12"/>
  <c r="X913" i="12" s="1"/>
  <c r="X1928" i="12" s="1"/>
  <c r="V1641" i="12"/>
  <c r="V1651" i="12" s="1"/>
  <c r="V250" i="20" s="1"/>
  <c r="V1215" i="20" s="1"/>
  <c r="N383" i="25" a="1"/>
  <c r="N383" i="25" s="1"/>
  <c r="J336" i="25" a="1"/>
  <c r="J336" i="25" s="1"/>
  <c r="K81" i="25" a="1"/>
  <c r="K81" i="25" s="1"/>
  <c r="L84" i="25" a="1"/>
  <c r="L84" i="25" s="1"/>
  <c r="N167" i="25" a="1"/>
  <c r="N167" i="25" s="1"/>
  <c r="N165" i="25" s="1"/>
  <c r="N81" i="25" a="1"/>
  <c r="N81" i="25" s="1"/>
  <c r="J382" i="25" a="1"/>
  <c r="J382" i="25" s="1"/>
  <c r="H429" i="25" a="1"/>
  <c r="H429" i="25" s="1"/>
  <c r="J84" i="25" a="1"/>
  <c r="J84" i="25" s="1"/>
  <c r="K336" i="25" a="1"/>
  <c r="K336" i="25" s="1"/>
  <c r="M383" i="25" a="1"/>
  <c r="M383" i="25" s="1"/>
  <c r="I335" i="25" a="1"/>
  <c r="I335" i="25" s="1"/>
  <c r="H335" i="25" a="1"/>
  <c r="H335" i="25" s="1"/>
  <c r="K288" i="25" a="1"/>
  <c r="K288" i="25" s="1"/>
  <c r="L477" i="25" a="1"/>
  <c r="L477" i="25" s="1"/>
  <c r="K331" i="25" a="1"/>
  <c r="K331" i="25" s="1"/>
  <c r="I167" i="25" a="1"/>
  <c r="I167" i="25" s="1"/>
  <c r="G476" i="25" a="1"/>
  <c r="G476" i="25" s="1"/>
  <c r="I477" i="25" a="1"/>
  <c r="I477" i="25" s="1"/>
  <c r="L383" i="25" a="1"/>
  <c r="L383" i="25" s="1"/>
  <c r="N429" i="25" a="1"/>
  <c r="N429" i="25" s="1"/>
  <c r="J430" i="25" a="1"/>
  <c r="J430" i="25" s="1"/>
  <c r="L429" i="25" a="1"/>
  <c r="L429" i="25" s="1"/>
  <c r="M166" i="25" a="1"/>
  <c r="M166" i="25" s="1"/>
  <c r="K84" i="25" a="1"/>
  <c r="K84" i="25" s="1"/>
  <c r="M382" i="25" a="1"/>
  <c r="M382" i="25" s="1"/>
  <c r="M284" i="25" a="1"/>
  <c r="M284" i="25" s="1"/>
  <c r="H289" i="25" a="1"/>
  <c r="H289" i="25" s="1"/>
  <c r="G288" i="25" a="1"/>
  <c r="G288" i="25" s="1"/>
  <c r="F430" i="25" a="1"/>
  <c r="F430" i="25" s="1"/>
  <c r="E382" i="25" a="1"/>
  <c r="E382" i="25" s="1"/>
  <c r="J383" i="25" a="1"/>
  <c r="J383" i="25" s="1"/>
  <c r="L382" i="25" a="1"/>
  <c r="L382" i="25" s="1"/>
  <c r="N382" i="25" a="1"/>
  <c r="N382" i="25" s="1"/>
  <c r="L285" i="25" a="1"/>
  <c r="L285" i="25" s="1"/>
  <c r="I288" i="25" a="1"/>
  <c r="I288" i="25" s="1"/>
  <c r="K166" i="25" a="1"/>
  <c r="K166" i="25" s="1"/>
  <c r="J288" i="25" a="1"/>
  <c r="J288" i="25" s="1"/>
  <c r="L476" i="25" a="1"/>
  <c r="L476" i="25" s="1"/>
  <c r="I336" i="25" a="1"/>
  <c r="I336" i="25" s="1"/>
  <c r="I476" i="25" a="1"/>
  <c r="I476" i="25" s="1"/>
  <c r="I382" i="25" a="1"/>
  <c r="I382" i="25" s="1"/>
  <c r="L430" i="25" a="1"/>
  <c r="L430" i="25" s="1"/>
  <c r="J332" i="25" a="1"/>
  <c r="J332" i="25" s="1"/>
  <c r="K167" i="25" a="1"/>
  <c r="K167" i="25" s="1"/>
  <c r="M336" i="25" a="1"/>
  <c r="M336" i="25" s="1"/>
  <c r="M476" i="25" a="1"/>
  <c r="M476" i="25" s="1"/>
  <c r="K335" i="25" a="1"/>
  <c r="K335" i="25" s="1"/>
  <c r="M335" i="25" a="1"/>
  <c r="M335" i="25" s="1"/>
  <c r="G382" i="25" a="1"/>
  <c r="G382" i="25" s="1"/>
  <c r="K85" i="25" a="1"/>
  <c r="K85" i="25" s="1"/>
  <c r="L335" i="25" a="1"/>
  <c r="L335" i="25" s="1"/>
  <c r="J476" i="25" a="1"/>
  <c r="J476" i="25" s="1"/>
  <c r="L289" i="25" a="1"/>
  <c r="L289" i="25" s="1"/>
  <c r="J85" i="25" a="1"/>
  <c r="J85" i="25" s="1"/>
  <c r="L288" i="25" a="1"/>
  <c r="L288" i="25" s="1"/>
  <c r="K477" i="25" a="1"/>
  <c r="K477" i="25" s="1"/>
  <c r="I430" i="25" a="1"/>
  <c r="I430" i="25" s="1"/>
  <c r="M477" i="25" a="1"/>
  <c r="M477" i="25" s="1"/>
  <c r="D288" i="25" a="1"/>
  <c r="D288" i="25" s="1"/>
  <c r="J285" i="25" a="1"/>
  <c r="J285" i="25" s="1"/>
  <c r="J284" i="25" a="1"/>
  <c r="J284" i="25" s="1"/>
  <c r="L473" i="25" a="1"/>
  <c r="L473" i="25" s="1"/>
  <c r="N284" i="25" a="1"/>
  <c r="N284" i="25" s="1"/>
  <c r="J162" i="25" a="1"/>
  <c r="J162" i="25" s="1"/>
  <c r="H426" i="25" a="1"/>
  <c r="H426" i="25" s="1"/>
  <c r="K332" i="25" a="1"/>
  <c r="K332" i="25" s="1"/>
  <c r="X2120" i="16"/>
  <c r="M332" i="25" a="1"/>
  <c r="M332" i="25" s="1"/>
  <c r="M426" i="25" a="1"/>
  <c r="M426" i="25" s="1"/>
  <c r="I426" i="25" a="1"/>
  <c r="I426" i="25" s="1"/>
  <c r="I285" i="25" a="1"/>
  <c r="I285" i="25" s="1"/>
  <c r="H80" i="25" a="1"/>
  <c r="H80" i="25" s="1"/>
  <c r="D80" i="25" a="1"/>
  <c r="D80" i="25" s="1"/>
  <c r="X1295" i="16"/>
  <c r="I163" i="25" a="1"/>
  <c r="I163" i="25" s="1"/>
  <c r="N426" i="25" a="1"/>
  <c r="N426" i="25" s="1"/>
  <c r="K426" i="25" a="1"/>
  <c r="K426" i="25" s="1"/>
  <c r="K284" i="25" a="1"/>
  <c r="K284" i="25" s="1"/>
  <c r="I332" i="25" a="1"/>
  <c r="I332" i="25" s="1"/>
  <c r="E379" i="25" a="1"/>
  <c r="E379" i="25" s="1"/>
  <c r="N472" i="25" a="1"/>
  <c r="N472" i="25" s="1"/>
  <c r="O48" i="25"/>
  <c r="I472" i="25" a="1"/>
  <c r="I472" i="25" s="1"/>
  <c r="J378" i="25" a="1"/>
  <c r="J378" i="25" s="1"/>
  <c r="N162" i="25" a="1"/>
  <c r="N162" i="25" s="1"/>
  <c r="L162" i="25" a="1"/>
  <c r="L162" i="25" s="1"/>
  <c r="M473" i="25" a="1"/>
  <c r="M473" i="25" s="1"/>
  <c r="M472" i="25" a="1"/>
  <c r="M472" i="25" s="1"/>
  <c r="G378" i="25" a="1"/>
  <c r="G378" i="25" s="1"/>
  <c r="H379" i="25" a="1"/>
  <c r="H379" i="25" s="1"/>
  <c r="G472" i="25" a="1"/>
  <c r="G472" i="25" s="1"/>
  <c r="N285" i="25" a="1"/>
  <c r="N285" i="25" s="1"/>
  <c r="I425" i="25" a="1"/>
  <c r="I425" i="25" s="1"/>
  <c r="I473" i="25" a="1"/>
  <c r="I473" i="25" s="1"/>
  <c r="N379" i="25" a="1"/>
  <c r="N379" i="25" s="1"/>
  <c r="J81" i="25" a="1"/>
  <c r="J81" i="25" s="1"/>
  <c r="M162" i="25" a="1"/>
  <c r="M162" i="25" s="1"/>
  <c r="M331" i="25" a="1"/>
  <c r="M331" i="25" s="1"/>
  <c r="M81" i="25" a="1"/>
  <c r="M81" i="25" s="1"/>
  <c r="E426" i="25" a="1"/>
  <c r="E426" i="25" s="1"/>
  <c r="H473" i="25" a="1"/>
  <c r="H473" i="25" s="1"/>
  <c r="X357" i="20"/>
  <c r="X358" i="20" s="1"/>
  <c r="L81" i="25" a="1"/>
  <c r="L81" i="25" s="1"/>
  <c r="J473" i="25" a="1"/>
  <c r="J473" i="25" s="1"/>
  <c r="N332" i="25" a="1"/>
  <c r="N332" i="25" s="1"/>
  <c r="L80" i="25" a="1"/>
  <c r="L80" i="25" s="1"/>
  <c r="K162" i="25" a="1"/>
  <c r="K162" i="25" s="1"/>
  <c r="X2042" i="16"/>
  <c r="X811" i="16" s="1"/>
  <c r="N163" i="25" a="1"/>
  <c r="N163" i="25" s="1"/>
  <c r="N80" i="25" a="1"/>
  <c r="N80" i="25" s="1"/>
  <c r="J425" i="25" a="1"/>
  <c r="J425" i="25" s="1"/>
  <c r="K285" i="25" a="1"/>
  <c r="K285" i="25" s="1"/>
  <c r="M285" i="25" a="1"/>
  <c r="M285" i="25" s="1"/>
  <c r="M378" i="25" a="1"/>
  <c r="M378" i="25" s="1"/>
  <c r="H285" i="25" a="1"/>
  <c r="H285" i="25" s="1"/>
  <c r="F472" i="25" a="1"/>
  <c r="F472" i="25" s="1"/>
  <c r="W1942" i="12"/>
  <c r="W1900" i="12" s="1"/>
  <c r="L332" i="25" a="1"/>
  <c r="L332" i="25" s="1"/>
  <c r="V160" i="10"/>
  <c r="V159" i="10" s="1"/>
  <c r="V78" i="18" s="1"/>
  <c r="H378" i="25" a="1"/>
  <c r="H378" i="25" s="1"/>
  <c r="J331" i="25" a="1"/>
  <c r="J331" i="25" s="1"/>
  <c r="K163" i="25" a="1"/>
  <c r="K163" i="25" s="1"/>
  <c r="N473" i="25" a="1"/>
  <c r="N473" i="25" s="1"/>
  <c r="K378" i="25" a="1"/>
  <c r="K378" i="25" s="1"/>
  <c r="K425" i="25" a="1"/>
  <c r="K425" i="25" s="1"/>
  <c r="M379" i="25" a="1"/>
  <c r="M379" i="25" s="1"/>
  <c r="H284" i="25" a="1"/>
  <c r="H284" i="25" s="1"/>
  <c r="F425" i="25" a="1"/>
  <c r="F425" i="25" s="1"/>
  <c r="X875" i="16"/>
  <c r="L284" i="25" a="1"/>
  <c r="L284" i="25" s="1"/>
  <c r="L283" i="25" s="1"/>
  <c r="L378" i="25" a="1"/>
  <c r="L378" i="25" s="1"/>
  <c r="N378" i="25" a="1"/>
  <c r="N378" i="25" s="1"/>
  <c r="L425" i="25" a="1"/>
  <c r="L425" i="25" s="1"/>
  <c r="M163" i="25" a="1"/>
  <c r="M163" i="25" s="1"/>
  <c r="I378" i="25" a="1"/>
  <c r="I378" i="25" s="1"/>
  <c r="K379" i="25" a="1"/>
  <c r="K379" i="25" s="1"/>
  <c r="M80" i="25" a="1"/>
  <c r="M80" i="25" s="1"/>
  <c r="M425" i="25" a="1"/>
  <c r="M425" i="25" s="1"/>
  <c r="H162" i="25" a="1"/>
  <c r="H162" i="25" s="1"/>
  <c r="H472" i="25" a="1"/>
  <c r="H472" i="25" s="1"/>
  <c r="F332" i="25" a="1"/>
  <c r="F332" i="25" s="1"/>
  <c r="O288" i="25" a="1"/>
  <c r="O288" i="25" s="1"/>
  <c r="J426" i="25" a="1"/>
  <c r="J426" i="25" s="1"/>
  <c r="X180" i="20"/>
  <c r="X1208" i="20" s="1"/>
  <c r="K351" i="25" a="1"/>
  <c r="K351" i="25" s="1"/>
  <c r="F284" i="25" a="1"/>
  <c r="F284" i="25" s="1"/>
  <c r="G289" i="25" a="1"/>
  <c r="G289" i="25" s="1"/>
  <c r="E167" i="25" a="1"/>
  <c r="E167" i="25" s="1"/>
  <c r="E183" i="25" a="1"/>
  <c r="E183" i="25" s="1"/>
  <c r="D166" i="25" a="1"/>
  <c r="D166" i="25" s="1"/>
  <c r="D492" i="25" a="1"/>
  <c r="D492" i="25" s="1"/>
  <c r="E399" i="25" a="1"/>
  <c r="E399" i="25" s="1"/>
  <c r="E477" i="25" a="1"/>
  <c r="E477" i="25" s="1"/>
  <c r="E331" i="25" a="1"/>
  <c r="E331" i="25" s="1"/>
  <c r="D167" i="25" a="1"/>
  <c r="D167" i="25" s="1"/>
  <c r="E101" i="25" a="1"/>
  <c r="E101" i="25" s="1"/>
  <c r="E493" i="25" a="1"/>
  <c r="E493" i="25" s="1"/>
  <c r="D398" i="25" a="1"/>
  <c r="D398" i="25" s="1"/>
  <c r="D339" i="25" a="1"/>
  <c r="D339" i="25" s="1"/>
  <c r="E305" i="25" a="1"/>
  <c r="E305" i="25" s="1"/>
  <c r="D284" i="25" a="1"/>
  <c r="D284" i="25" s="1"/>
  <c r="C293" i="25" a="1"/>
  <c r="C293" i="25" s="1"/>
  <c r="C305" i="25" a="1"/>
  <c r="C305" i="25" s="1"/>
  <c r="C292" i="25" a="1"/>
  <c r="C292" i="25" s="1"/>
  <c r="C89" i="25" a="1"/>
  <c r="C89" i="25" s="1"/>
  <c r="C100" i="25" a="1"/>
  <c r="C100" i="25" s="1"/>
  <c r="N387" i="25" a="1"/>
  <c r="N387" i="25" s="1"/>
  <c r="I481" i="25" a="1"/>
  <c r="I481" i="25" s="1"/>
  <c r="O304" i="25" a="1"/>
  <c r="O304" i="25" s="1"/>
  <c r="O378" i="25" a="1"/>
  <c r="O378" i="25" s="1"/>
  <c r="O100" i="25" a="1"/>
  <c r="O100" i="25" s="1"/>
  <c r="O292" i="25" a="1"/>
  <c r="O292" i="25" s="1"/>
  <c r="L293" i="25" a="1"/>
  <c r="L293" i="25" s="1"/>
  <c r="X584" i="16"/>
  <c r="X809" i="16" s="1"/>
  <c r="I387" i="25" a="1"/>
  <c r="I387" i="25" s="1"/>
  <c r="H477" i="25" a="1"/>
  <c r="H477" i="25" s="1"/>
  <c r="H293" i="25" a="1"/>
  <c r="H293" i="25" s="1"/>
  <c r="F163" i="25" a="1"/>
  <c r="F163" i="25" s="1"/>
  <c r="F288" i="25" a="1"/>
  <c r="F288" i="25" s="1"/>
  <c r="F81" i="25" a="1"/>
  <c r="F81" i="25" s="1"/>
  <c r="F171" i="25" a="1"/>
  <c r="F171" i="25" s="1"/>
  <c r="F476" i="25" a="1"/>
  <c r="F476" i="25" s="1"/>
  <c r="F492" i="25" a="1"/>
  <c r="F492" i="25" s="1"/>
  <c r="F426" i="25" a="1"/>
  <c r="F426" i="25" s="1"/>
  <c r="G305" i="25" a="1"/>
  <c r="G305" i="25" s="1"/>
  <c r="G399" i="25" a="1"/>
  <c r="G399" i="25" s="1"/>
  <c r="F285" i="25" a="1"/>
  <c r="F285" i="25" s="1"/>
  <c r="D383" i="25" a="1"/>
  <c r="D383" i="25" s="1"/>
  <c r="D477" i="25" a="1"/>
  <c r="D477" i="25" s="1"/>
  <c r="D293" i="25" a="1"/>
  <c r="D293" i="25" s="1"/>
  <c r="D399" i="25" a="1"/>
  <c r="D399" i="25" s="1"/>
  <c r="D340" i="25" a="1"/>
  <c r="D340" i="25" s="1"/>
  <c r="D430" i="25" a="1"/>
  <c r="D430" i="25" s="1"/>
  <c r="C81" i="25" a="1"/>
  <c r="C81" i="25" s="1"/>
  <c r="C170" i="25" a="1"/>
  <c r="C170" i="25" s="1"/>
  <c r="C182" i="25" a="1"/>
  <c r="C182" i="25" s="1"/>
  <c r="C171" i="25" a="1"/>
  <c r="C171" i="25" s="1"/>
  <c r="C101" i="25" a="1"/>
  <c r="C101" i="25" s="1"/>
  <c r="C84" i="25" a="1"/>
  <c r="C84" i="25" s="1"/>
  <c r="L182" i="25" a="1"/>
  <c r="L182" i="25" s="1"/>
  <c r="N481" i="25" a="1"/>
  <c r="N481" i="25" s="1"/>
  <c r="O331" i="25" a="1"/>
  <c r="O331" i="25" s="1"/>
  <c r="O430" i="25" a="1"/>
  <c r="O430" i="25" s="1"/>
  <c r="O293" i="25" a="1"/>
  <c r="O293" i="25" s="1"/>
  <c r="O182" i="25" a="1"/>
  <c r="O182" i="25" s="1"/>
  <c r="O387" i="25" a="1"/>
  <c r="O387" i="25" s="1"/>
  <c r="I84" i="25" a="1"/>
  <c r="I84" i="25" s="1"/>
  <c r="G477" i="25" a="1"/>
  <c r="G477" i="25" s="1"/>
  <c r="H331" i="25" a="1"/>
  <c r="H331" i="25" s="1"/>
  <c r="H81" i="25" a="1"/>
  <c r="H81" i="25" s="1"/>
  <c r="H100" i="25" a="1"/>
  <c r="H100" i="25" s="1"/>
  <c r="H166" i="25" a="1"/>
  <c r="H166" i="25" s="1"/>
  <c r="G171" i="25" a="1"/>
  <c r="G171" i="25" s="1"/>
  <c r="F352" i="25" a="1"/>
  <c r="F352" i="25" s="1"/>
  <c r="F350" i="25" s="1"/>
  <c r="G340" i="25" a="1"/>
  <c r="G340" i="25" s="1"/>
  <c r="F429" i="25" a="1"/>
  <c r="F429" i="25" s="1"/>
  <c r="F387" i="25" a="1"/>
  <c r="F387" i="25" s="1"/>
  <c r="G433" i="25" a="1"/>
  <c r="G433" i="25" s="1"/>
  <c r="F183" i="25" a="1"/>
  <c r="F183" i="25" s="1"/>
  <c r="F101" i="25" a="1"/>
  <c r="F101" i="25" s="1"/>
  <c r="F170" i="25" a="1"/>
  <c r="F170" i="25" s="1"/>
  <c r="D335" i="25" a="1"/>
  <c r="D335" i="25" s="1"/>
  <c r="D334" i="25" s="1"/>
  <c r="E88" i="25" a="1"/>
  <c r="E88" i="25" s="1"/>
  <c r="C331" i="25" a="1"/>
  <c r="C331" i="25" s="1"/>
  <c r="E429" i="25" a="1"/>
  <c r="E429" i="25" s="1"/>
  <c r="D445" i="25" a="1"/>
  <c r="D445" i="25" s="1"/>
  <c r="D101" i="25" a="1"/>
  <c r="D101" i="25" s="1"/>
  <c r="E171" i="25" a="1"/>
  <c r="E171" i="25" s="1"/>
  <c r="D100" i="25" a="1"/>
  <c r="D100" i="25" s="1"/>
  <c r="D285" i="25" a="1"/>
  <c r="D285" i="25" s="1"/>
  <c r="D85" i="25" a="1"/>
  <c r="D85" i="25" s="1"/>
  <c r="C445" i="25" a="1"/>
  <c r="C445" i="25" s="1"/>
  <c r="C446" i="25" a="1"/>
  <c r="C446" i="25" s="1"/>
  <c r="C284" i="25" a="1"/>
  <c r="C284" i="25" s="1"/>
  <c r="C335" i="25" a="1"/>
  <c r="C335" i="25" s="1"/>
  <c r="C481" i="25" a="1"/>
  <c r="C481" i="25" s="1"/>
  <c r="C387" i="25" a="1"/>
  <c r="C387" i="25" s="1"/>
  <c r="N480" i="25" a="1"/>
  <c r="N480" i="25" s="1"/>
  <c r="I81" i="25" a="1"/>
  <c r="I81" i="25" s="1"/>
  <c r="I89" i="25" a="1"/>
  <c r="I89" i="25" s="1"/>
  <c r="N493" i="25" a="1"/>
  <c r="N493" i="25" s="1"/>
  <c r="O340" i="25" a="1"/>
  <c r="O340" i="25" s="1"/>
  <c r="O425" i="25" a="1"/>
  <c r="O425" i="25" s="1"/>
  <c r="J339" i="25" a="1"/>
  <c r="J339" i="25" s="1"/>
  <c r="X535" i="20"/>
  <c r="G88" i="25" a="1"/>
  <c r="G88" i="25" s="1"/>
  <c r="G84" i="25" a="1"/>
  <c r="G84" i="25" s="1"/>
  <c r="E434" i="25" a="1"/>
  <c r="E434" i="25" s="1"/>
  <c r="F80" i="25" a="1"/>
  <c r="F80" i="25" s="1"/>
  <c r="G89" i="25" a="1"/>
  <c r="G89" i="25" s="1"/>
  <c r="E89" i="25" a="1"/>
  <c r="E89" i="25" s="1"/>
  <c r="F398" i="25" a="1"/>
  <c r="F398" i="25" s="1"/>
  <c r="F88" i="25" a="1"/>
  <c r="F88" i="25" s="1"/>
  <c r="D379" i="25" a="1"/>
  <c r="D379" i="25" s="1"/>
  <c r="G473" i="25" a="1"/>
  <c r="G473" i="25" s="1"/>
  <c r="F167" i="25" a="1"/>
  <c r="F167" i="25" s="1"/>
  <c r="F473" i="25" a="1"/>
  <c r="F473" i="25" s="1"/>
  <c r="G292" i="25" a="1"/>
  <c r="G292" i="25" s="1"/>
  <c r="G100" i="25" a="1"/>
  <c r="G100" i="25" s="1"/>
  <c r="G332" i="25" a="1"/>
  <c r="G332" i="25" s="1"/>
  <c r="E166" i="25" a="1"/>
  <c r="E166" i="25" s="1"/>
  <c r="D305" i="25" a="1"/>
  <c r="D305" i="25" s="1"/>
  <c r="D434" i="25" a="1"/>
  <c r="D434" i="25" s="1"/>
  <c r="E472" i="25" a="1"/>
  <c r="E472" i="25" s="1"/>
  <c r="D332" i="25" a="1"/>
  <c r="D332" i="25" s="1"/>
  <c r="D171" i="25" a="1"/>
  <c r="D171" i="25" s="1"/>
  <c r="E170" i="25" a="1"/>
  <c r="E170" i="25" s="1"/>
  <c r="E387" i="25" a="1"/>
  <c r="E387" i="25" s="1"/>
  <c r="D182" i="25" a="1"/>
  <c r="D182" i="25" s="1"/>
  <c r="E182" i="25" a="1"/>
  <c r="E182" i="25" s="1"/>
  <c r="E476" i="25" a="1"/>
  <c r="E476" i="25" s="1"/>
  <c r="D472" i="25" a="1"/>
  <c r="D472" i="25" s="1"/>
  <c r="D425" i="25" a="1"/>
  <c r="D425" i="25" s="1"/>
  <c r="D81" i="25" a="1"/>
  <c r="D81" i="25" s="1"/>
  <c r="D386" i="25" a="1"/>
  <c r="D386" i="25" s="1"/>
  <c r="C163" i="25" a="1"/>
  <c r="C163" i="25" s="1"/>
  <c r="C332" i="25" a="1"/>
  <c r="C332" i="25" s="1"/>
  <c r="C183" i="25" a="1"/>
  <c r="C183" i="25" s="1"/>
  <c r="H288" i="25" a="1"/>
  <c r="H288" i="25" s="1"/>
  <c r="N445" i="25" a="1"/>
  <c r="N445" i="25" s="1"/>
  <c r="O88" i="25" a="1"/>
  <c r="O88" i="25" s="1"/>
  <c r="O434" i="25" a="1"/>
  <c r="O434" i="25" s="1"/>
  <c r="O426" i="25" a="1"/>
  <c r="O426" i="25" s="1"/>
  <c r="W1881" i="12"/>
  <c r="W1891" i="12" s="1"/>
  <c r="V307" i="10"/>
  <c r="V1886" i="12"/>
  <c r="X1142" i="16"/>
  <c r="X507" i="20"/>
  <c r="L183" i="25" a="1"/>
  <c r="L183" i="25" s="1"/>
  <c r="G335" i="25" a="1"/>
  <c r="G335" i="25" s="1"/>
  <c r="G80" i="25" a="1"/>
  <c r="G80" i="25" s="1"/>
  <c r="G85" i="25" a="1"/>
  <c r="G85" i="25" s="1"/>
  <c r="G163" i="25" a="1"/>
  <c r="G163" i="25" s="1"/>
  <c r="G284" i="25" a="1"/>
  <c r="G284" i="25" s="1"/>
  <c r="I80" i="25" a="1"/>
  <c r="I80" i="25" s="1"/>
  <c r="I79" i="25" s="1"/>
  <c r="I399" i="25" a="1"/>
  <c r="I399" i="25" s="1"/>
  <c r="G430" i="25" a="1"/>
  <c r="G430" i="25" s="1"/>
  <c r="H387" i="25" a="1"/>
  <c r="H387" i="25" s="1"/>
  <c r="G425" i="25" a="1"/>
  <c r="G425" i="25" s="1"/>
  <c r="H170" i="25" a="1"/>
  <c r="H170" i="25" s="1"/>
  <c r="F305" i="25" a="1"/>
  <c r="F305" i="25" s="1"/>
  <c r="G493" i="25" a="1"/>
  <c r="G493" i="25" s="1"/>
  <c r="F335" i="25" a="1"/>
  <c r="F335" i="25" s="1"/>
  <c r="F331" i="25" a="1"/>
  <c r="F331" i="25" s="1"/>
  <c r="F292" i="25" a="1"/>
  <c r="F292" i="25" s="1"/>
  <c r="F386" i="25" a="1"/>
  <c r="F386" i="25" s="1"/>
  <c r="G285" i="25" a="1"/>
  <c r="G285" i="25" s="1"/>
  <c r="F89" i="25" a="1"/>
  <c r="F89" i="25" s="1"/>
  <c r="E446" i="25" a="1"/>
  <c r="E446" i="25" s="1"/>
  <c r="D163" i="25" a="1"/>
  <c r="D163" i="25" s="1"/>
  <c r="E473" i="25" a="1"/>
  <c r="E473" i="25" s="1"/>
  <c r="E386" i="25" a="1"/>
  <c r="E386" i="25" s="1"/>
  <c r="E162" i="25" a="1"/>
  <c r="E162" i="25" s="1"/>
  <c r="E81" i="25" a="1"/>
  <c r="E81" i="25" s="1"/>
  <c r="C425" i="25" a="1"/>
  <c r="C425" i="25" s="1"/>
  <c r="D476" i="25" a="1"/>
  <c r="D476" i="25" s="1"/>
  <c r="D183" i="25" a="1"/>
  <c r="D183" i="25" s="1"/>
  <c r="E84" i="25" a="1"/>
  <c r="E84" i="25" s="1"/>
  <c r="C352" i="25" a="1"/>
  <c r="C352" i="25" s="1"/>
  <c r="D162" i="25" a="1"/>
  <c r="D162" i="25" s="1"/>
  <c r="C386" i="25" a="1"/>
  <c r="C386" i="25" s="1"/>
  <c r="E430" i="25" a="1"/>
  <c r="E430" i="25" s="1"/>
  <c r="C339" i="25" a="1"/>
  <c r="C339" i="25" s="1"/>
  <c r="C351" i="25" a="1"/>
  <c r="C351" i="25" s="1"/>
  <c r="C167" i="25" a="1"/>
  <c r="C167" i="25" s="1"/>
  <c r="N425" i="25" a="1"/>
  <c r="N425" i="25" s="1"/>
  <c r="L171" i="25" a="1"/>
  <c r="L171" i="25" s="1"/>
  <c r="L445" i="25" a="1"/>
  <c r="L445" i="25" s="1"/>
  <c r="L101" i="25" a="1"/>
  <c r="L101" i="25" s="1"/>
  <c r="O85" i="25" a="1"/>
  <c r="O85" i="25" s="1"/>
  <c r="O480" i="25" a="1"/>
  <c r="O480" i="25" s="1"/>
  <c r="O481" i="25" a="1"/>
  <c r="O481" i="25" s="1"/>
  <c r="O433" i="25" a="1"/>
  <c r="O433" i="25" s="1"/>
  <c r="X1432" i="16"/>
  <c r="X1149" i="16"/>
  <c r="W1943" i="12"/>
  <c r="W1901" i="12" s="1"/>
  <c r="D84" i="25" a="1"/>
  <c r="D84" i="25" s="1"/>
  <c r="C472" i="25" a="1"/>
  <c r="C472" i="25" s="1"/>
  <c r="X1762" i="12"/>
  <c r="X1875" i="12" s="1"/>
  <c r="X1913" i="12" s="1"/>
  <c r="X73" i="20"/>
  <c r="X1203" i="20" s="1"/>
  <c r="H336" i="25" a="1"/>
  <c r="H336" i="25" s="1"/>
  <c r="H332" i="25" a="1"/>
  <c r="H332" i="25" s="1"/>
  <c r="H382" i="25" a="1"/>
  <c r="H382" i="25" s="1"/>
  <c r="I162" i="25" a="1"/>
  <c r="I162" i="25" s="1"/>
  <c r="G383" i="25" a="1"/>
  <c r="G383" i="25" s="1"/>
  <c r="I352" i="25" a="1"/>
  <c r="I352" i="25" s="1"/>
  <c r="G446" i="25" a="1"/>
  <c r="G446" i="25" s="1"/>
  <c r="G379" i="25" a="1"/>
  <c r="G379" i="25" s="1"/>
  <c r="H434" i="25" a="1"/>
  <c r="H434" i="25" s="1"/>
  <c r="F84" i="25" a="1"/>
  <c r="F84" i="25" s="1"/>
  <c r="I171" i="25" a="1"/>
  <c r="I171" i="25" s="1"/>
  <c r="F289" i="25" a="1"/>
  <c r="F289" i="25" s="1"/>
  <c r="I445" i="25" a="1"/>
  <c r="I445" i="25" s="1"/>
  <c r="H383" i="25" a="1"/>
  <c r="H383" i="25" s="1"/>
  <c r="H183" i="25" a="1"/>
  <c r="H183" i="25" s="1"/>
  <c r="G426" i="25" a="1"/>
  <c r="G426" i="25" s="1"/>
  <c r="F339" i="25" a="1"/>
  <c r="F339" i="25" s="1"/>
  <c r="F166" i="25" a="1"/>
  <c r="F166" i="25" s="1"/>
  <c r="F480" i="25" a="1"/>
  <c r="F480" i="25" s="1"/>
  <c r="G492" i="25" a="1"/>
  <c r="G492" i="25" s="1"/>
  <c r="F379" i="25" a="1"/>
  <c r="F379" i="25" s="1"/>
  <c r="G398" i="25" a="1"/>
  <c r="G398" i="25" s="1"/>
  <c r="G397" i="25" s="1"/>
  <c r="F481" i="25" a="1"/>
  <c r="F481" i="25" s="1"/>
  <c r="E340" i="25" a="1"/>
  <c r="E340" i="25" s="1"/>
  <c r="F182" i="25" a="1"/>
  <c r="F182" i="25" s="1"/>
  <c r="D289" i="25" a="1"/>
  <c r="D289" i="25" s="1"/>
  <c r="F477" i="25" a="1"/>
  <c r="F477" i="25" s="1"/>
  <c r="D331" i="25" a="1"/>
  <c r="D331" i="25" s="1"/>
  <c r="F162" i="25" a="1"/>
  <c r="F162" i="25" s="1"/>
  <c r="D170" i="25" a="1"/>
  <c r="D170" i="25" s="1"/>
  <c r="D169" i="25" s="1"/>
  <c r="D88" i="25" a="1"/>
  <c r="D88" i="25" s="1"/>
  <c r="D481" i="25" a="1"/>
  <c r="D481" i="25" s="1"/>
  <c r="E284" i="25" a="1"/>
  <c r="E284" i="25" s="1"/>
  <c r="D292" i="25" a="1"/>
  <c r="D292" i="25" s="1"/>
  <c r="D291" i="25" s="1"/>
  <c r="D351" i="25" a="1"/>
  <c r="D351" i="25" s="1"/>
  <c r="D433" i="25" a="1"/>
  <c r="D433" i="25" s="1"/>
  <c r="D387" i="25" a="1"/>
  <c r="D387" i="25" s="1"/>
  <c r="E304" i="25" a="1"/>
  <c r="E304" i="25" s="1"/>
  <c r="E339" i="25" a="1"/>
  <c r="E339" i="25" s="1"/>
  <c r="D426" i="25" a="1"/>
  <c r="D426" i="25" s="1"/>
  <c r="D89" i="25" a="1"/>
  <c r="D89" i="25" s="1"/>
  <c r="D352" i="25" a="1"/>
  <c r="D352" i="25" s="1"/>
  <c r="D304" i="25" a="1"/>
  <c r="D304" i="25" s="1"/>
  <c r="C383" i="25" a="1"/>
  <c r="C383" i="25" s="1"/>
  <c r="C80" i="25" a="1"/>
  <c r="C80" i="25" s="1"/>
  <c r="C493" i="25" a="1"/>
  <c r="C493" i="25" s="1"/>
  <c r="C434" i="25" a="1"/>
  <c r="C434" i="25" s="1"/>
  <c r="C480" i="25" a="1"/>
  <c r="C480" i="25" s="1"/>
  <c r="C479" i="25" s="1"/>
  <c r="N85" i="25" a="1"/>
  <c r="N85" i="25" s="1"/>
  <c r="L472" i="25" a="1"/>
  <c r="L472" i="25" s="1"/>
  <c r="L471" i="25" s="1"/>
  <c r="J171" i="25" a="1"/>
  <c r="J171" i="25" s="1"/>
  <c r="N183" i="25" a="1"/>
  <c r="N183" i="25" s="1"/>
  <c r="O305" i="25" a="1"/>
  <c r="O305" i="25" s="1"/>
  <c r="O332" i="25" a="1"/>
  <c r="O332" i="25" s="1"/>
  <c r="O170" i="25" a="1"/>
  <c r="O170" i="25" s="1"/>
  <c r="O399" i="25" a="1"/>
  <c r="O399" i="25" s="1"/>
  <c r="I480" i="25" a="1"/>
  <c r="I480" i="25" s="1"/>
  <c r="I170" i="25" a="1"/>
  <c r="I170" i="25" s="1"/>
  <c r="K473" i="25" a="1"/>
  <c r="K473" i="25" s="1"/>
  <c r="H425" i="25" a="1"/>
  <c r="H425" i="25" s="1"/>
  <c r="I88" i="25" a="1"/>
  <c r="I88" i="25" s="1"/>
  <c r="G331" i="25" a="1"/>
  <c r="G331" i="25" s="1"/>
  <c r="H163" i="25" a="1"/>
  <c r="H163" i="25" s="1"/>
  <c r="H85" i="25" a="1"/>
  <c r="H85" i="25" s="1"/>
  <c r="G304" i="25" a="1"/>
  <c r="G304" i="25" s="1"/>
  <c r="G445" i="25" a="1"/>
  <c r="G445" i="25" s="1"/>
  <c r="F85" i="25" a="1"/>
  <c r="F85" i="25" s="1"/>
  <c r="G167" i="25" a="1"/>
  <c r="G167" i="25" s="1"/>
  <c r="G162" i="25" a="1"/>
  <c r="G162" i="25" s="1"/>
  <c r="G166" i="25" a="1"/>
  <c r="G166" i="25" s="1"/>
  <c r="F493" i="25" a="1"/>
  <c r="F493" i="25" s="1"/>
  <c r="F336" i="25" a="1"/>
  <c r="F336" i="25" s="1"/>
  <c r="G481" i="25" a="1"/>
  <c r="G481" i="25" s="1"/>
  <c r="D473" i="25" a="1"/>
  <c r="D473" i="25" s="1"/>
  <c r="G81" i="25" a="1"/>
  <c r="G81" i="25" s="1"/>
  <c r="D446" i="25" a="1"/>
  <c r="D446" i="25" s="1"/>
  <c r="E85" i="25" a="1"/>
  <c r="E85" i="25" s="1"/>
  <c r="E433" i="25" a="1"/>
  <c r="E433" i="25" s="1"/>
  <c r="C88" i="25" a="1"/>
  <c r="C88" i="25" s="1"/>
  <c r="E293" i="25" a="1"/>
  <c r="E293" i="25" s="1"/>
  <c r="E492" i="25" a="1"/>
  <c r="E492" i="25" s="1"/>
  <c r="E491" i="25" s="1"/>
  <c r="D480" i="25" a="1"/>
  <c r="D480" i="25" s="1"/>
  <c r="E100" i="25" a="1"/>
  <c r="E100" i="25" s="1"/>
  <c r="D378" i="25" a="1"/>
  <c r="D378" i="25" s="1"/>
  <c r="D429" i="25" a="1"/>
  <c r="D429" i="25" s="1"/>
  <c r="E351" i="25" a="1"/>
  <c r="E351" i="25" s="1"/>
  <c r="D493" i="25" a="1"/>
  <c r="D493" i="25" s="1"/>
  <c r="E425" i="25" a="1"/>
  <c r="E425" i="25" s="1"/>
  <c r="E424" i="25" s="1"/>
  <c r="C398" i="25" a="1"/>
  <c r="C398" i="25" s="1"/>
  <c r="C492" i="25" a="1"/>
  <c r="C492" i="25" s="1"/>
  <c r="C166" i="25" a="1"/>
  <c r="C166" i="25" s="1"/>
  <c r="C304" i="25" a="1"/>
  <c r="C304" i="25" s="1"/>
  <c r="C340" i="25" a="1"/>
  <c r="C340" i="25" s="1"/>
  <c r="C429" i="25" a="1"/>
  <c r="C429" i="25" s="1"/>
  <c r="L379" i="25" a="1"/>
  <c r="L379" i="25" s="1"/>
  <c r="O445" i="25" a="1"/>
  <c r="O445" i="25" s="1"/>
  <c r="O352" i="25" a="1"/>
  <c r="O352" i="25" s="1"/>
  <c r="X1302" i="16"/>
  <c r="X996" i="12"/>
  <c r="X1153" i="12" s="1"/>
  <c r="X136" i="16"/>
  <c r="W1160" i="12"/>
  <c r="W1170" i="12" s="1"/>
  <c r="W1171" i="12" s="1"/>
  <c r="L163" i="25" a="1"/>
  <c r="L163" i="25" s="1"/>
  <c r="X878" i="12"/>
  <c r="X914" i="12" s="1"/>
  <c r="X1929" i="12" s="1"/>
  <c r="J429" i="25" a="1"/>
  <c r="J429" i="25" s="1"/>
  <c r="E285" i="25" a="1"/>
  <c r="E285" i="25" s="1"/>
  <c r="C336" i="25" a="1"/>
  <c r="C336" i="25" s="1"/>
  <c r="C162" i="25" a="1"/>
  <c r="C162" i="25" s="1"/>
  <c r="N476" i="25" a="1"/>
  <c r="N476" i="25" s="1"/>
  <c r="N475" i="25" s="1"/>
  <c r="N430" i="25" a="1"/>
  <c r="N430" i="25" s="1"/>
  <c r="L167" i="25" a="1"/>
  <c r="L167" i="25" s="1"/>
  <c r="J163" i="25" a="1"/>
  <c r="J163" i="25" s="1"/>
  <c r="O163" i="25" a="1"/>
  <c r="O163" i="25" s="1"/>
  <c r="O379" i="25" a="1"/>
  <c r="O379" i="25" s="1"/>
  <c r="O84" i="25" a="1"/>
  <c r="O84" i="25" s="1"/>
  <c r="O183" i="25" a="1"/>
  <c r="O183" i="25" s="1"/>
  <c r="J183" i="25" a="1"/>
  <c r="J183" i="25" s="1"/>
  <c r="X2061" i="16"/>
  <c r="X2068" i="16" s="1"/>
  <c r="W1939" i="12"/>
  <c r="W1897" i="12" s="1"/>
  <c r="E289" i="25" a="1"/>
  <c r="E289" i="25" s="1"/>
  <c r="D382" i="25" a="1"/>
  <c r="D382" i="25" s="1"/>
  <c r="D381" i="25" s="1"/>
  <c r="E288" i="25" a="1"/>
  <c r="E288" i="25" s="1"/>
  <c r="E163" i="25" a="1"/>
  <c r="E163" i="25" s="1"/>
  <c r="C473" i="25" a="1"/>
  <c r="C473" i="25" s="1"/>
  <c r="C477" i="25" a="1"/>
  <c r="C477" i="25" s="1"/>
  <c r="N331" i="25" a="1"/>
  <c r="N331" i="25" s="1"/>
  <c r="J80" i="25" a="1"/>
  <c r="J80" i="25" s="1"/>
  <c r="L336" i="25" a="1"/>
  <c r="L336" i="25" s="1"/>
  <c r="L334" i="25" s="1"/>
  <c r="L85" i="25" a="1"/>
  <c r="L85" i="25" s="1"/>
  <c r="N289" i="25" a="1"/>
  <c r="N289" i="25" s="1"/>
  <c r="O398" i="25" a="1"/>
  <c r="O398" i="25" s="1"/>
  <c r="O167" i="25" a="1"/>
  <c r="O167" i="25" s="1"/>
  <c r="O166" i="25" a="1"/>
  <c r="O166" i="25" s="1"/>
  <c r="O429" i="25" a="1"/>
  <c r="O429" i="25" s="1"/>
  <c r="X636" i="12"/>
  <c r="X371" i="20"/>
  <c r="C382" i="25" a="1"/>
  <c r="C382" i="25" s="1"/>
  <c r="E383" i="25" a="1"/>
  <c r="E383" i="25" s="1"/>
  <c r="E378" i="25" a="1"/>
  <c r="E378" i="25" s="1"/>
  <c r="C426" i="25" a="1"/>
  <c r="C426" i="25" s="1"/>
  <c r="N288" i="25" a="1"/>
  <c r="N288" i="25" s="1"/>
  <c r="J472" i="25" a="1"/>
  <c r="J472" i="25" s="1"/>
  <c r="N399" i="25" a="1"/>
  <c r="N399" i="25" s="1"/>
  <c r="N397" i="25" s="1"/>
  <c r="X1481" i="16"/>
  <c r="O81" i="25" a="1"/>
  <c r="O81" i="25" s="1"/>
  <c r="O492" i="25" a="1"/>
  <c r="O492" i="25" s="1"/>
  <c r="O351" i="25" a="1"/>
  <c r="O351" i="25" s="1"/>
  <c r="K398" i="25" a="1"/>
  <c r="K398" i="25" s="1"/>
  <c r="K80" i="25" a="1"/>
  <c r="K80" i="25" s="1"/>
  <c r="L426" i="25" a="1"/>
  <c r="L426" i="25" s="1"/>
  <c r="E332" i="25" a="1"/>
  <c r="E332" i="25" s="1"/>
  <c r="C430" i="25" a="1"/>
  <c r="C430" i="25" s="1"/>
  <c r="C289" i="25" a="1"/>
  <c r="C289" i="25" s="1"/>
  <c r="C378" i="25" a="1"/>
  <c r="C378" i="25" s="1"/>
  <c r="C285" i="25" a="1"/>
  <c r="C285" i="25" s="1"/>
  <c r="E336" i="25" a="1"/>
  <c r="E336" i="25" s="1"/>
  <c r="I379" i="25" a="1"/>
  <c r="I379" i="25" s="1"/>
  <c r="I100" i="25" a="1"/>
  <c r="I100" i="25" s="1"/>
  <c r="O493" i="25" a="1"/>
  <c r="O493" i="25" s="1"/>
  <c r="O336" i="25" a="1"/>
  <c r="O336" i="25" s="1"/>
  <c r="O446" i="25" a="1"/>
  <c r="O446" i="25" s="1"/>
  <c r="O162" i="25" a="1"/>
  <c r="O162" i="25" s="1"/>
  <c r="O382" i="25" a="1"/>
  <c r="O382" i="25" s="1"/>
  <c r="O477" i="25" a="1"/>
  <c r="O477" i="25" s="1"/>
  <c r="O476" i="25" a="1"/>
  <c r="O476" i="25" s="1"/>
  <c r="O383" i="25" a="1"/>
  <c r="O383" i="25" s="1"/>
  <c r="J379" i="25" a="1"/>
  <c r="J379" i="25" s="1"/>
  <c r="L166" i="25" a="1"/>
  <c r="L166" i="25" s="1"/>
  <c r="J289" i="25" a="1"/>
  <c r="J289" i="25" s="1"/>
  <c r="I305" i="25" a="1"/>
  <c r="I305" i="25" s="1"/>
  <c r="X1191" i="16"/>
  <c r="X1192" i="16" s="1"/>
  <c r="C476" i="25" a="1"/>
  <c r="C476" i="25" s="1"/>
  <c r="I331" i="25" a="1"/>
  <c r="I331" i="25" s="1"/>
  <c r="I284" i="25" a="1"/>
  <c r="I284" i="25" s="1"/>
  <c r="X721" i="12"/>
  <c r="X909" i="12" s="1"/>
  <c r="X1924" i="12" s="1"/>
  <c r="N335" i="25" a="1"/>
  <c r="N335" i="25" s="1"/>
  <c r="O472" i="25" a="1"/>
  <c r="O472" i="25" s="1"/>
  <c r="O473" i="25" a="1"/>
  <c r="O473" i="25" s="1"/>
  <c r="O284" i="25" a="1"/>
  <c r="O284" i="25" s="1"/>
  <c r="O101" i="25" a="1"/>
  <c r="O101" i="25" s="1"/>
  <c r="K399" i="25" a="1"/>
  <c r="K399" i="25" s="1"/>
  <c r="C85" i="25" a="1"/>
  <c r="C85" i="25" s="1"/>
  <c r="C379" i="25" a="1"/>
  <c r="C379" i="25" s="1"/>
  <c r="K383" i="25" a="1"/>
  <c r="K383" i="25" s="1"/>
  <c r="O80" i="25" a="1"/>
  <c r="O80" i="25" s="1"/>
  <c r="O79" i="25" s="1"/>
  <c r="O335" i="25" a="1"/>
  <c r="O335" i="25" s="1"/>
  <c r="O285" i="25" a="1"/>
  <c r="O285" i="25" s="1"/>
  <c r="O289" i="25" a="1"/>
  <c r="O289" i="25" s="1"/>
  <c r="L446" i="25" a="1"/>
  <c r="L446" i="25" s="1"/>
  <c r="X916" i="20"/>
  <c r="N201" i="25"/>
  <c r="N239" i="25" s="1"/>
  <c r="N258" i="25" s="1"/>
  <c r="N266" i="25" s="1"/>
  <c r="X1163" i="16"/>
  <c r="X1576" i="16"/>
  <c r="X1460" i="16"/>
  <c r="X1413" i="16"/>
  <c r="X514" i="20"/>
  <c r="X1915" i="16"/>
  <c r="X1887" i="16"/>
  <c r="X1392" i="16"/>
  <c r="X1330" i="16"/>
  <c r="X486" i="20"/>
  <c r="X487" i="20" s="1"/>
  <c r="D693" i="20"/>
  <c r="X1583" i="16"/>
  <c r="X479" i="20"/>
  <c r="X1316" i="16"/>
  <c r="X1446" i="16"/>
  <c r="X350" i="20"/>
  <c r="X351" i="20" s="1"/>
  <c r="X1399" i="16"/>
  <c r="X1288" i="16"/>
  <c r="X2119" i="16"/>
  <c r="D707" i="20"/>
  <c r="E707" i="20" s="1"/>
  <c r="K708" i="20" s="1"/>
  <c r="K709" i="20" s="1"/>
  <c r="X462" i="20"/>
  <c r="X463" i="20" s="1"/>
  <c r="X2122" i="16"/>
  <c r="X1309" i="16"/>
  <c r="X1310" i="16" s="1"/>
  <c r="D368" i="16"/>
  <c r="C708" i="20"/>
  <c r="X1439" i="16"/>
  <c r="X1555" i="16"/>
  <c r="X1556" i="16" s="1"/>
  <c r="X1420" i="16"/>
  <c r="M67" i="25"/>
  <c r="U1646" i="12"/>
  <c r="W333" i="16"/>
  <c r="X378" i="20"/>
  <c r="X846" i="20"/>
  <c r="V1165" i="12"/>
  <c r="V1172" i="12" s="1"/>
  <c r="X1467" i="16"/>
  <c r="X1569" i="16"/>
  <c r="O256" i="25"/>
  <c r="O255" i="25"/>
  <c r="O136" i="25"/>
  <c r="O218" i="25"/>
  <c r="O135" i="25"/>
  <c r="O217" i="25"/>
  <c r="N220" i="25"/>
  <c r="N228" i="25" s="1"/>
  <c r="K265" i="16"/>
  <c r="K53" i="20" s="1"/>
  <c r="K251" i="20" s="1"/>
  <c r="C69" i="25" s="1"/>
  <c r="H1690" i="16"/>
  <c r="I1683" i="16" a="1"/>
  <c r="I1683" i="16" s="1"/>
  <c r="H1270" i="16"/>
  <c r="I1270" i="16" s="1" a="1"/>
  <c r="I1270" i="16" s="1"/>
  <c r="I1263" i="16" a="1"/>
  <c r="I1263" i="16" s="1"/>
  <c r="O193" i="25" a="1"/>
  <c r="O193" i="25" s="1"/>
  <c r="O198" i="25" a="1"/>
  <c r="O198" i="25" s="1"/>
  <c r="O115" i="25" a="1"/>
  <c r="O115" i="25" s="1"/>
  <c r="O195" i="25" a="1"/>
  <c r="O195" i="25" s="1"/>
  <c r="O196" i="25" a="1"/>
  <c r="O196" i="25" s="1"/>
  <c r="O114" i="25" a="1"/>
  <c r="O114" i="25" s="1"/>
  <c r="O197" i="25" a="1"/>
  <c r="O197" i="25" s="1"/>
  <c r="O111" i="25" a="1"/>
  <c r="O111" i="25" s="1"/>
  <c r="O112" i="25" a="1"/>
  <c r="O112" i="25" s="1"/>
  <c r="O113" i="25" a="1"/>
  <c r="O113" i="25" s="1"/>
  <c r="O194" i="25" a="1"/>
  <c r="O194" i="25" s="1"/>
  <c r="O116" i="25" a="1"/>
  <c r="O116" i="25" s="1"/>
  <c r="X332" i="16"/>
  <c r="J971" i="20" a="1"/>
  <c r="J971" i="20" s="1"/>
  <c r="D975" i="20"/>
  <c r="X1406" i="16"/>
  <c r="X1888" i="16"/>
  <c r="X1453" i="16"/>
  <c r="M620" i="12"/>
  <c r="M168" i="10" s="1"/>
  <c r="M312" i="10" s="1"/>
  <c r="K945" i="20"/>
  <c r="K924" i="20"/>
  <c r="R312" i="10"/>
  <c r="W118" i="11"/>
  <c r="T315" i="10"/>
  <c r="R315" i="10"/>
  <c r="R118" i="11"/>
  <c r="S310" i="10"/>
  <c r="M315" i="10"/>
  <c r="L314" i="10"/>
  <c r="L118" i="11"/>
  <c r="U312" i="10"/>
  <c r="K118" i="11"/>
  <c r="L312" i="10"/>
  <c r="V314" i="10"/>
  <c r="V315" i="10"/>
  <c r="S314" i="10"/>
  <c r="P320" i="10"/>
  <c r="S315" i="10"/>
  <c r="O320" i="10"/>
  <c r="N312" i="10"/>
  <c r="Q118" i="11"/>
  <c r="W16" i="10"/>
  <c r="W15" i="10" s="1"/>
  <c r="W34" i="18" s="1"/>
  <c r="U15" i="10"/>
  <c r="U34" i="18" s="1"/>
  <c r="U31" i="18" s="1"/>
  <c r="U41" i="18" s="1"/>
  <c r="U68" i="10" s="1"/>
  <c r="U67" i="10" s="1"/>
  <c r="R314" i="10"/>
  <c r="S118" i="11"/>
  <c r="U118" i="11"/>
  <c r="P313" i="10"/>
  <c r="U313" i="10"/>
  <c r="P118" i="11"/>
  <c r="S311" i="10"/>
  <c r="Q311" i="10"/>
  <c r="O313" i="10"/>
  <c r="T320" i="10"/>
  <c r="O118" i="11"/>
  <c r="Q312" i="10"/>
  <c r="L313" i="10"/>
  <c r="N109" i="12"/>
  <c r="U307" i="10"/>
  <c r="O307" i="10"/>
  <c r="T313" i="10"/>
  <c r="V312" i="10"/>
  <c r="N314" i="10"/>
  <c r="U310" i="10"/>
  <c r="O311" i="10"/>
  <c r="T311" i="10"/>
  <c r="M311" i="10"/>
  <c r="O312" i="10"/>
  <c r="Q307" i="10"/>
  <c r="M320" i="10"/>
  <c r="K17" i="10"/>
  <c r="K305" i="10" s="1"/>
  <c r="U315" i="10"/>
  <c r="P315" i="10"/>
  <c r="U320" i="10"/>
  <c r="P312" i="10"/>
  <c r="S307" i="10"/>
  <c r="R320" i="10"/>
  <c r="Q320" i="10"/>
  <c r="O315" i="10"/>
  <c r="U169" i="16"/>
  <c r="V320" i="10"/>
  <c r="V313" i="10"/>
  <c r="T186" i="16"/>
  <c r="T60" i="10" s="1"/>
  <c r="T348" i="10" s="1"/>
  <c r="T163" i="16"/>
  <c r="M118" i="11"/>
  <c r="T118" i="11"/>
  <c r="M109" i="12"/>
  <c r="M313" i="10"/>
  <c r="R307" i="10"/>
  <c r="W111" i="12"/>
  <c r="W35" i="10" s="1"/>
  <c r="M307" i="10"/>
  <c r="N313" i="10"/>
  <c r="X1894" i="16"/>
  <c r="X1895" i="16" s="1"/>
  <c r="N23" i="10"/>
  <c r="N311" i="10" s="1"/>
  <c r="M17" i="10"/>
  <c r="M305" i="10" s="1"/>
  <c r="Q18" i="10"/>
  <c r="Q306" i="10" s="1"/>
  <c r="T19" i="10"/>
  <c r="T307" i="10" s="1"/>
  <c r="N118" i="11"/>
  <c r="T310" i="10"/>
  <c r="O314" i="10"/>
  <c r="N315" i="10"/>
  <c r="N320" i="10"/>
  <c r="K109" i="12"/>
  <c r="P109" i="12"/>
  <c r="U314" i="10"/>
  <c r="K307" i="10"/>
  <c r="Q315" i="10"/>
  <c r="P18" i="10"/>
  <c r="P306" i="10" s="1"/>
  <c r="R17" i="10"/>
  <c r="R305" i="10" s="1"/>
  <c r="P23" i="10"/>
  <c r="P311" i="10" s="1"/>
  <c r="X15" i="10"/>
  <c r="X34" i="18" s="1"/>
  <c r="L311" i="10"/>
  <c r="M314" i="10"/>
  <c r="R310" i="10"/>
  <c r="S320" i="10"/>
  <c r="N307" i="10"/>
  <c r="P314" i="10"/>
  <c r="V118" i="11"/>
  <c r="V22" i="10"/>
  <c r="V310" i="10" s="1"/>
  <c r="N15" i="10"/>
  <c r="N34" i="18" s="1"/>
  <c r="S312" i="10"/>
  <c r="P307" i="10"/>
  <c r="S313" i="10"/>
  <c r="R311" i="10"/>
  <c r="L320" i="10"/>
  <c r="U179" i="16"/>
  <c r="U52" i="10" s="1"/>
  <c r="U340" i="10" s="1"/>
  <c r="U158" i="16"/>
  <c r="L19" i="10"/>
  <c r="L307" i="10" s="1"/>
  <c r="L109" i="12"/>
  <c r="O109" i="12"/>
  <c r="V17" i="10"/>
  <c r="V305" i="10" s="1"/>
  <c r="T24" i="10"/>
  <c r="T312" i="10" s="1"/>
  <c r="X118" i="11"/>
  <c r="T314" i="10"/>
  <c r="Q314" i="10"/>
  <c r="R313" i="10"/>
  <c r="U311" i="10"/>
  <c r="Q313" i="10"/>
  <c r="L315" i="10"/>
  <c r="V311" i="10"/>
  <c r="S182" i="16"/>
  <c r="S180" i="16" s="1"/>
  <c r="S178" i="16"/>
  <c r="S51" i="10" s="1"/>
  <c r="R56" i="10"/>
  <c r="O80" i="16"/>
  <c r="O176" i="16"/>
  <c r="O175" i="16" s="1"/>
  <c r="S84" i="16"/>
  <c r="N959" i="16"/>
  <c r="Q946" i="16"/>
  <c r="T912" i="16"/>
  <c r="R918" i="16"/>
  <c r="S918" i="16" s="1"/>
  <c r="U916" i="16"/>
  <c r="T85" i="16"/>
  <c r="T181" i="16" s="1"/>
  <c r="S55" i="10"/>
  <c r="S343" i="10" s="1"/>
  <c r="T86" i="16"/>
  <c r="T83" i="16"/>
  <c r="Q2129" i="16"/>
  <c r="O680" i="20"/>
  <c r="O682" i="20" s="1"/>
  <c r="S2129" i="16"/>
  <c r="T2126" i="16"/>
  <c r="Q1358" i="16"/>
  <c r="R1358" i="16" s="1"/>
  <c r="S1358" i="16" s="1"/>
  <c r="X1414" i="16"/>
  <c r="T1337" i="16"/>
  <c r="U1337" i="16" s="1"/>
  <c r="V1475" i="16"/>
  <c r="U1930" i="16"/>
  <c r="X1584" i="16"/>
  <c r="X1447" i="16"/>
  <c r="X1468" i="16"/>
  <c r="R579" i="20"/>
  <c r="S579" i="20" s="1"/>
  <c r="S581" i="20" s="1"/>
  <c r="O666" i="20"/>
  <c r="O668" i="20" s="1"/>
  <c r="M681" i="20"/>
  <c r="N681" i="20" s="1"/>
  <c r="V1598" i="16"/>
  <c r="X1454" i="16"/>
  <c r="M632" i="20"/>
  <c r="M633" i="20" s="1"/>
  <c r="X1400" i="16"/>
  <c r="M674" i="20"/>
  <c r="M675" i="20" s="1"/>
  <c r="M639" i="20"/>
  <c r="M640" i="20" s="1"/>
  <c r="N667" i="20"/>
  <c r="X1393" i="16"/>
  <c r="N625" i="20"/>
  <c r="O625" i="20" s="1"/>
  <c r="P625" i="20" s="1"/>
  <c r="P626" i="20" s="1"/>
  <c r="X1407" i="16"/>
  <c r="M653" i="20"/>
  <c r="M654" i="20" s="1"/>
  <c r="X1916" i="16"/>
  <c r="W1591" i="16"/>
  <c r="V1324" i="16"/>
  <c r="S1612" i="16"/>
  <c r="X1570" i="16"/>
  <c r="W334" i="16"/>
  <c r="W791" i="16" s="1"/>
  <c r="W199" i="10" s="1"/>
  <c r="X1577" i="16"/>
  <c r="Q59" i="10"/>
  <c r="Q54" i="10" s="1"/>
  <c r="Q53" i="10" s="1"/>
  <c r="U1944" i="16"/>
  <c r="T1605" i="16"/>
  <c r="V1937" i="16"/>
  <c r="X1482" i="16"/>
  <c r="C162" i="20"/>
  <c r="G724" i="20" s="1"/>
  <c r="I724" i="20" s="1"/>
  <c r="I2037" i="16"/>
  <c r="I570" i="16"/>
  <c r="T1338" i="16"/>
  <c r="O954" i="16"/>
  <c r="X1317" i="16"/>
  <c r="X1909" i="16"/>
  <c r="U1496" i="16"/>
  <c r="O1640" i="16"/>
  <c r="R1633" i="16"/>
  <c r="I679" i="16"/>
  <c r="G227" i="20" s="1"/>
  <c r="I681" i="16"/>
  <c r="G229" i="20" s="1"/>
  <c r="I686" i="16"/>
  <c r="G234" i="20" s="1"/>
  <c r="I687" i="16"/>
  <c r="G235" i="20" s="1"/>
  <c r="I690" i="16"/>
  <c r="G238" i="20" s="1"/>
  <c r="I666" i="16"/>
  <c r="G214" i="20" s="1"/>
  <c r="I668" i="16"/>
  <c r="G216" i="20" s="1"/>
  <c r="I697" i="16"/>
  <c r="G245" i="20" s="1"/>
  <c r="I674" i="16"/>
  <c r="G222" i="20" s="1"/>
  <c r="I692" i="16"/>
  <c r="G240" i="20" s="1"/>
  <c r="I695" i="16"/>
  <c r="G243" i="20" s="1"/>
  <c r="I677" i="16"/>
  <c r="G225" i="20" s="1"/>
  <c r="I672" i="16"/>
  <c r="G220" i="20" s="1"/>
  <c r="I676" i="16"/>
  <c r="G224" i="20" s="1"/>
  <c r="I667" i="16"/>
  <c r="G215" i="20" s="1"/>
  <c r="I665" i="16"/>
  <c r="G213" i="20" s="1"/>
  <c r="I670" i="16"/>
  <c r="G218" i="20" s="1"/>
  <c r="I683" i="16"/>
  <c r="G231" i="20" s="1"/>
  <c r="I678" i="16"/>
  <c r="G226" i="20" s="1"/>
  <c r="I682" i="16"/>
  <c r="G230" i="20" s="1"/>
  <c r="I689" i="16"/>
  <c r="G237" i="20" s="1"/>
  <c r="I680" i="16"/>
  <c r="G228" i="20" s="1"/>
  <c r="I691" i="16"/>
  <c r="G239" i="20" s="1"/>
  <c r="I685" i="16"/>
  <c r="G233" i="20" s="1"/>
  <c r="I696" i="16"/>
  <c r="G244" i="20" s="1"/>
  <c r="I688" i="16"/>
  <c r="G236" i="20" s="1"/>
  <c r="I694" i="16"/>
  <c r="G242" i="20" s="1"/>
  <c r="I693" i="16"/>
  <c r="G241" i="20" s="1"/>
  <c r="I669" i="16"/>
  <c r="G217" i="20" s="1"/>
  <c r="I673" i="16"/>
  <c r="G221" i="20" s="1"/>
  <c r="I664" i="16"/>
  <c r="G212" i="20" s="1"/>
  <c r="I671" i="16"/>
  <c r="G219" i="20" s="1"/>
  <c r="I684" i="16"/>
  <c r="G232" i="20" s="1"/>
  <c r="I675" i="16"/>
  <c r="G223" i="20" s="1"/>
  <c r="X1331" i="16"/>
  <c r="P1366" i="16"/>
  <c r="U1345" i="16"/>
  <c r="M1654" i="16"/>
  <c r="N1647" i="16"/>
  <c r="O1647" i="16" s="1"/>
  <c r="P1647" i="16" s="1"/>
  <c r="V1489" i="16"/>
  <c r="T1626" i="16"/>
  <c r="U1626" i="16" s="1"/>
  <c r="M682" i="20"/>
  <c r="U1206" i="16"/>
  <c r="M952" i="20"/>
  <c r="X1421" i="16"/>
  <c r="Q1619" i="16"/>
  <c r="R1619" i="16" s="1"/>
  <c r="I367" i="16"/>
  <c r="I368" i="16" s="1"/>
  <c r="C714" i="20"/>
  <c r="C715" i="20" s="1"/>
  <c r="K108" i="20"/>
  <c r="L108" i="20"/>
  <c r="M108" i="20"/>
  <c r="N108" i="20"/>
  <c r="O108" i="20"/>
  <c r="P108" i="20"/>
  <c r="Q108" i="20"/>
  <c r="R108" i="20"/>
  <c r="S108" i="20"/>
  <c r="T108" i="20"/>
  <c r="U108" i="20"/>
  <c r="V108" i="20"/>
  <c r="W108" i="20"/>
  <c r="X108" i="20"/>
  <c r="X1289" i="16"/>
  <c r="S1352" i="16"/>
  <c r="Q1359" i="16"/>
  <c r="U1199" i="16"/>
  <c r="V1199" i="16" s="1"/>
  <c r="W1199" i="16" s="1"/>
  <c r="Q1220" i="16"/>
  <c r="R1220" i="16" s="1"/>
  <c r="K179" i="25" a="1"/>
  <c r="K179" i="25" s="1"/>
  <c r="M441" i="25" a="1"/>
  <c r="M441" i="25" s="1"/>
  <c r="N300" i="25" a="1"/>
  <c r="N300" i="25" s="1"/>
  <c r="K97" i="25" a="1"/>
  <c r="K97" i="25" s="1"/>
  <c r="I394" i="25" a="1"/>
  <c r="I394" i="25" s="1"/>
  <c r="L179" i="25" a="1"/>
  <c r="L179" i="25" s="1"/>
  <c r="N178" i="25" a="1"/>
  <c r="N178" i="25" s="1"/>
  <c r="H394" i="25" a="1"/>
  <c r="H394" i="25" s="1"/>
  <c r="N441" i="25" a="1"/>
  <c r="N441" i="25" s="1"/>
  <c r="K441" i="25" a="1"/>
  <c r="K441" i="25" s="1"/>
  <c r="H442" i="25" a="1"/>
  <c r="H442" i="25" s="1"/>
  <c r="K394" i="25" a="1"/>
  <c r="K394" i="25" s="1"/>
  <c r="N395" i="25" a="1"/>
  <c r="N395" i="25" s="1"/>
  <c r="F348" i="25" a="1"/>
  <c r="F348" i="25" s="1"/>
  <c r="M394" i="25" a="1"/>
  <c r="M394" i="25" s="1"/>
  <c r="M347" i="25" a="1"/>
  <c r="M347" i="25" s="1"/>
  <c r="F442" i="25" a="1"/>
  <c r="F442" i="25" s="1"/>
  <c r="F489" i="25" a="1"/>
  <c r="F489" i="25" s="1"/>
  <c r="M395" i="25" a="1"/>
  <c r="M395" i="25" s="1"/>
  <c r="H96" i="25" a="1"/>
  <c r="H96" i="25" s="1"/>
  <c r="I347" i="25" a="1"/>
  <c r="I347" i="25" s="1"/>
  <c r="L441" i="25" a="1"/>
  <c r="L441" i="25" s="1"/>
  <c r="I441" i="25" a="1"/>
  <c r="I441" i="25" s="1"/>
  <c r="K488" i="25" a="1"/>
  <c r="K488" i="25" s="1"/>
  <c r="M442" i="25" a="1"/>
  <c r="M442" i="25" s="1"/>
  <c r="K96" i="25" a="1"/>
  <c r="K96" i="25" s="1"/>
  <c r="H178" i="25" a="1"/>
  <c r="H178" i="25" s="1"/>
  <c r="F179" i="25" a="1"/>
  <c r="F179" i="25" s="1"/>
  <c r="L348" i="25" a="1"/>
  <c r="L348" i="25" s="1"/>
  <c r="C179" i="25" a="1"/>
  <c r="C179" i="25" s="1"/>
  <c r="N301" i="25" a="1"/>
  <c r="N301" i="25" s="1"/>
  <c r="N347" i="25" a="1"/>
  <c r="N347" i="25" s="1"/>
  <c r="J488" i="25" a="1"/>
  <c r="J488" i="25" s="1"/>
  <c r="H347" i="25" a="1"/>
  <c r="H347" i="25" s="1"/>
  <c r="M97" i="25" a="1"/>
  <c r="M97" i="25" s="1"/>
  <c r="M489" i="25" a="1"/>
  <c r="M489" i="25" s="1"/>
  <c r="H488" i="25" a="1"/>
  <c r="H488" i="25" s="1"/>
  <c r="G300" i="25" a="1"/>
  <c r="G300" i="25" s="1"/>
  <c r="F96" i="25" a="1"/>
  <c r="F96" i="25" s="1"/>
  <c r="L96" i="25" a="1"/>
  <c r="L96" i="25" s="1"/>
  <c r="I301" i="25" a="1"/>
  <c r="I301" i="25" s="1"/>
  <c r="J489" i="25" a="1"/>
  <c r="J489" i="25" s="1"/>
  <c r="L488" i="25" a="1"/>
  <c r="L488" i="25" s="1"/>
  <c r="K489" i="25" a="1"/>
  <c r="K489" i="25" s="1"/>
  <c r="J96" i="25" a="1"/>
  <c r="J96" i="25" s="1"/>
  <c r="M301" i="25" a="1"/>
  <c r="M301" i="25" s="1"/>
  <c r="M178" i="25" a="1"/>
  <c r="M178" i="25" s="1"/>
  <c r="M488" i="25" a="1"/>
  <c r="M488" i="25" s="1"/>
  <c r="H395" i="25" a="1"/>
  <c r="H395" i="25" s="1"/>
  <c r="G179" i="25" a="1"/>
  <c r="G179" i="25" s="1"/>
  <c r="N179" i="25" a="1"/>
  <c r="N179" i="25" s="1"/>
  <c r="L97" i="25" a="1"/>
  <c r="L97" i="25" s="1"/>
  <c r="L394" i="25" a="1"/>
  <c r="L394" i="25" s="1"/>
  <c r="J178" i="25" a="1"/>
  <c r="J178" i="25" s="1"/>
  <c r="N488" i="25" a="1"/>
  <c r="N488" i="25" s="1"/>
  <c r="I300" i="25" a="1"/>
  <c r="I300" i="25" s="1"/>
  <c r="I97" i="25" a="1"/>
  <c r="I97" i="25" s="1"/>
  <c r="G301" i="25" a="1"/>
  <c r="G301" i="25" s="1"/>
  <c r="L442" i="25" a="1"/>
  <c r="L442" i="25" s="1"/>
  <c r="K301" i="25" a="1"/>
  <c r="K301" i="25" s="1"/>
  <c r="I442" i="25" a="1"/>
  <c r="I442" i="25" s="1"/>
  <c r="L489" i="25" a="1"/>
  <c r="L489" i="25" s="1"/>
  <c r="K395" i="25" a="1"/>
  <c r="K395" i="25" s="1"/>
  <c r="M348" i="25" a="1"/>
  <c r="M348" i="25" s="1"/>
  <c r="H300" i="25" a="1"/>
  <c r="H300" i="25" s="1"/>
  <c r="G97" i="25" a="1"/>
  <c r="G97" i="25" s="1"/>
  <c r="N442" i="25" a="1"/>
  <c r="N442" i="25" s="1"/>
  <c r="O301" i="25" a="1"/>
  <c r="O301" i="25" s="1"/>
  <c r="O489" i="25" a="1"/>
  <c r="O489" i="25" s="1"/>
  <c r="N348" i="25" a="1"/>
  <c r="N348" i="25" s="1"/>
  <c r="N96" i="25" a="1"/>
  <c r="N96" i="25" s="1"/>
  <c r="K300" i="25" a="1"/>
  <c r="K300" i="25" s="1"/>
  <c r="J441" i="25" a="1"/>
  <c r="J441" i="25" s="1"/>
  <c r="L395" i="25" a="1"/>
  <c r="L395" i="25" s="1"/>
  <c r="K178" i="25" a="1"/>
  <c r="K178" i="25" s="1"/>
  <c r="I489" i="25" a="1"/>
  <c r="I489" i="25" s="1"/>
  <c r="N174" i="25" a="1"/>
  <c r="N174" i="25" s="1"/>
  <c r="L93" i="25" a="1"/>
  <c r="L93" i="25" s="1"/>
  <c r="J92" i="25" a="1"/>
  <c r="J92" i="25" s="1"/>
  <c r="L484" i="25" a="1"/>
  <c r="L484" i="25" s="1"/>
  <c r="M343" i="25" a="1"/>
  <c r="M343" i="25" s="1"/>
  <c r="C438" i="25" a="1"/>
  <c r="C438" i="25" s="1"/>
  <c r="F178" i="25" a="1"/>
  <c r="F178" i="25" s="1"/>
  <c r="E97" i="25" a="1"/>
  <c r="E97" i="25" s="1"/>
  <c r="D178" i="25" a="1"/>
  <c r="D178" i="25" s="1"/>
  <c r="D394" i="25" a="1"/>
  <c r="D394" i="25" s="1"/>
  <c r="E441" i="25" a="1"/>
  <c r="E441" i="25" s="1"/>
  <c r="D179" i="25" a="1"/>
  <c r="D179" i="25" s="1"/>
  <c r="E179" i="25" a="1"/>
  <c r="E179" i="25" s="1"/>
  <c r="C97" i="25" a="1"/>
  <c r="C97" i="25" s="1"/>
  <c r="C348" i="25" a="1"/>
  <c r="C348" i="25" s="1"/>
  <c r="C488" i="25" a="1"/>
  <c r="C488" i="25" s="1"/>
  <c r="O442" i="25" a="1"/>
  <c r="O442" i="25" s="1"/>
  <c r="O348" i="25" a="1"/>
  <c r="O348" i="25" s="1"/>
  <c r="J347" i="25" a="1"/>
  <c r="J347" i="25" s="1"/>
  <c r="I96" i="25" a="1"/>
  <c r="I96" i="25" s="1"/>
  <c r="M96" i="25" a="1"/>
  <c r="M96" i="25" s="1"/>
  <c r="H301" i="25" a="1"/>
  <c r="H301" i="25" s="1"/>
  <c r="F97" i="25" a="1"/>
  <c r="F97" i="25" s="1"/>
  <c r="F395" i="25" a="1"/>
  <c r="F395" i="25" s="1"/>
  <c r="F300" i="25" a="1"/>
  <c r="F300" i="25" s="1"/>
  <c r="G441" i="25" a="1"/>
  <c r="G441" i="25" s="1"/>
  <c r="E442" i="25" a="1"/>
  <c r="E442" i="25" s="1"/>
  <c r="D488" i="25" a="1"/>
  <c r="D488" i="25" s="1"/>
  <c r="E348" i="25" a="1"/>
  <c r="E348" i="25" s="1"/>
  <c r="D347" i="25" a="1"/>
  <c r="D347" i="25" s="1"/>
  <c r="C489" i="25" a="1"/>
  <c r="C489" i="25" s="1"/>
  <c r="O347" i="25" a="1"/>
  <c r="O347" i="25" s="1"/>
  <c r="O97" i="25" a="1"/>
  <c r="O97" i="25" s="1"/>
  <c r="O96" i="25" a="1"/>
  <c r="O96" i="25" s="1"/>
  <c r="L347" i="25" a="1"/>
  <c r="L347" i="25" s="1"/>
  <c r="J394" i="25" a="1"/>
  <c r="J394" i="25" s="1"/>
  <c r="N489" i="25" a="1"/>
  <c r="N489" i="25" s="1"/>
  <c r="J301" i="25" a="1"/>
  <c r="J301" i="25" s="1"/>
  <c r="N97" i="25" a="1"/>
  <c r="N97" i="25" s="1"/>
  <c r="J348" i="25" a="1"/>
  <c r="J348" i="25" s="1"/>
  <c r="M179" i="25" a="1"/>
  <c r="M179" i="25" s="1"/>
  <c r="M300" i="25" a="1"/>
  <c r="M300" i="25" s="1"/>
  <c r="I395" i="25" a="1"/>
  <c r="I395" i="25" s="1"/>
  <c r="G347" i="25" a="1"/>
  <c r="G347" i="25" s="1"/>
  <c r="F347" i="25" a="1"/>
  <c r="F347" i="25" s="1"/>
  <c r="G96" i="25" a="1"/>
  <c r="G96" i="25" s="1"/>
  <c r="D395" i="25" a="1"/>
  <c r="D395" i="25" s="1"/>
  <c r="D489" i="25" a="1"/>
  <c r="D489" i="25" s="1"/>
  <c r="O179" i="25" a="1"/>
  <c r="O179" i="25" s="1"/>
  <c r="O488" i="25" a="1"/>
  <c r="O488" i="25" s="1"/>
  <c r="O300" i="25" a="1"/>
  <c r="O300" i="25" s="1"/>
  <c r="K348" i="25" a="1"/>
  <c r="K348" i="25" s="1"/>
  <c r="H179" i="25" a="1"/>
  <c r="H179" i="25" s="1"/>
  <c r="G348" i="25" a="1"/>
  <c r="G348" i="25" s="1"/>
  <c r="F441" i="25" a="1"/>
  <c r="F441" i="25" s="1"/>
  <c r="D96" i="25" a="1"/>
  <c r="D96" i="25" s="1"/>
  <c r="D97" i="25" a="1"/>
  <c r="D97" i="25" s="1"/>
  <c r="D441" i="25" a="1"/>
  <c r="D441" i="25" s="1"/>
  <c r="E300" i="25" a="1"/>
  <c r="E300" i="25" s="1"/>
  <c r="E394" i="25" a="1"/>
  <c r="E394" i="25" s="1"/>
  <c r="C300" i="25" a="1"/>
  <c r="C300" i="25" s="1"/>
  <c r="N394" i="25" a="1"/>
  <c r="N394" i="25" s="1"/>
  <c r="K347" i="25" a="1"/>
  <c r="K347" i="25" s="1"/>
  <c r="L178" i="25" a="1"/>
  <c r="L178" i="25" s="1"/>
  <c r="O441" i="25" a="1"/>
  <c r="O441" i="25" s="1"/>
  <c r="O395" i="25" a="1"/>
  <c r="O395" i="25" s="1"/>
  <c r="L301" i="25" a="1"/>
  <c r="L301" i="25" s="1"/>
  <c r="K442" i="25" a="1"/>
  <c r="K442" i="25" s="1"/>
  <c r="H489" i="25" a="1"/>
  <c r="H489" i="25" s="1"/>
  <c r="H97" i="25" a="1"/>
  <c r="H97" i="25" s="1"/>
  <c r="G488" i="25" a="1"/>
  <c r="G488" i="25" s="1"/>
  <c r="H348" i="25" a="1"/>
  <c r="H348" i="25" s="1"/>
  <c r="G442" i="25" a="1"/>
  <c r="G442" i="25" s="1"/>
  <c r="G178" i="25" a="1"/>
  <c r="G178" i="25" s="1"/>
  <c r="E178" i="25" a="1"/>
  <c r="E178" i="25" s="1"/>
  <c r="D300" i="25" a="1"/>
  <c r="D300" i="25" s="1"/>
  <c r="D348" i="25" a="1"/>
  <c r="D348" i="25" s="1"/>
  <c r="E489" i="25" a="1"/>
  <c r="E489" i="25" s="1"/>
  <c r="E488" i="25" a="1"/>
  <c r="E488" i="25" s="1"/>
  <c r="I348" i="25" a="1"/>
  <c r="I348" i="25" s="1"/>
  <c r="J300" i="25" a="1"/>
  <c r="J300" i="25" s="1"/>
  <c r="I179" i="25" a="1"/>
  <c r="I179" i="25" s="1"/>
  <c r="G395" i="25" a="1"/>
  <c r="G395" i="25" s="1"/>
  <c r="H441" i="25" a="1"/>
  <c r="H441" i="25" s="1"/>
  <c r="F394" i="25" a="1"/>
  <c r="F394" i="25" s="1"/>
  <c r="F488" i="25" a="1"/>
  <c r="F488" i="25" s="1"/>
  <c r="C96" i="25" a="1"/>
  <c r="C96" i="25" s="1"/>
  <c r="C441" i="25" a="1"/>
  <c r="C441" i="25" s="1"/>
  <c r="C347" i="25" a="1"/>
  <c r="C347" i="25" s="1"/>
  <c r="E301" i="25" a="1"/>
  <c r="E301" i="25" s="1"/>
  <c r="D442" i="25" a="1"/>
  <c r="D442" i="25" s="1"/>
  <c r="J395" i="25" a="1"/>
  <c r="J395" i="25" s="1"/>
  <c r="L300" i="25" a="1"/>
  <c r="L300" i="25" s="1"/>
  <c r="J179" i="25" a="1"/>
  <c r="J179" i="25" s="1"/>
  <c r="I488" i="25" a="1"/>
  <c r="I488" i="25" s="1"/>
  <c r="I178" i="25" a="1"/>
  <c r="I178" i="25" s="1"/>
  <c r="F301" i="25" a="1"/>
  <c r="F301" i="25" s="1"/>
  <c r="G394" i="25" a="1"/>
  <c r="G394" i="25" s="1"/>
  <c r="G489" i="25" a="1"/>
  <c r="G489" i="25" s="1"/>
  <c r="D301" i="25" a="1"/>
  <c r="D301" i="25" s="1"/>
  <c r="C394" i="25" a="1"/>
  <c r="C394" i="25" s="1"/>
  <c r="E347" i="25" a="1"/>
  <c r="E347" i="25" s="1"/>
  <c r="C301" i="25" a="1"/>
  <c r="C301" i="25" s="1"/>
  <c r="E96" i="25" a="1"/>
  <c r="E96" i="25" s="1"/>
  <c r="E95" i="25" s="1"/>
  <c r="E395" i="25" a="1"/>
  <c r="E395" i="25" s="1"/>
  <c r="C178" i="25" a="1"/>
  <c r="C178" i="25" s="1"/>
  <c r="C395" i="25" a="1"/>
  <c r="C395" i="25" s="1"/>
  <c r="C442" i="25" a="1"/>
  <c r="C442" i="25" s="1"/>
  <c r="J442" i="25" a="1"/>
  <c r="J442" i="25" s="1"/>
  <c r="O178" i="25" a="1"/>
  <c r="O178" i="25" s="1"/>
  <c r="O394" i="25" a="1"/>
  <c r="O394" i="25" s="1"/>
  <c r="J97" i="25" a="1"/>
  <c r="J97" i="25" s="1"/>
  <c r="N391" i="25" a="1"/>
  <c r="N391" i="25" s="1"/>
  <c r="J343" i="25" a="1"/>
  <c r="J343" i="25" s="1"/>
  <c r="K297" i="25" a="1"/>
  <c r="K297" i="25" s="1"/>
  <c r="H344" i="25" a="1"/>
  <c r="H344" i="25" s="1"/>
  <c r="E296" i="25" a="1"/>
  <c r="E296" i="25" s="1"/>
  <c r="K296" i="25" a="1"/>
  <c r="K296" i="25" s="1"/>
  <c r="I390" i="25" a="1"/>
  <c r="I390" i="25" s="1"/>
  <c r="K93" i="25" a="1"/>
  <c r="K93" i="25" s="1"/>
  <c r="M175" i="25" a="1"/>
  <c r="M175" i="25" s="1"/>
  <c r="L296" i="25" a="1"/>
  <c r="L296" i="25" s="1"/>
  <c r="I175" i="25" a="1"/>
  <c r="I175" i="25" s="1"/>
  <c r="K92" i="25" a="1"/>
  <c r="K92" i="25" s="1"/>
  <c r="D343" i="25" a="1"/>
  <c r="D343" i="25" s="1"/>
  <c r="K175" i="25" a="1"/>
  <c r="K175" i="25" s="1"/>
  <c r="E175" i="25" a="1"/>
  <c r="E175" i="25" s="1"/>
  <c r="I485" i="25" a="1"/>
  <c r="I485" i="25" s="1"/>
  <c r="L391" i="25" a="1"/>
  <c r="L391" i="25" s="1"/>
  <c r="M438" i="25" a="1"/>
  <c r="M438" i="25" s="1"/>
  <c r="M93" i="25" a="1"/>
  <c r="M93" i="25" s="1"/>
  <c r="H175" i="25" a="1"/>
  <c r="H175" i="25" s="1"/>
  <c r="J390" i="25" a="1"/>
  <c r="J390" i="25" s="1"/>
  <c r="J297" i="25" a="1"/>
  <c r="J297" i="25" s="1"/>
  <c r="I92" i="25" a="1"/>
  <c r="I92" i="25" s="1"/>
  <c r="K485" i="25" a="1"/>
  <c r="K485" i="25" s="1"/>
  <c r="N93" i="25" a="1"/>
  <c r="N93" i="25" s="1"/>
  <c r="J296" i="25" a="1"/>
  <c r="J296" i="25" s="1"/>
  <c r="F391" i="25" a="1"/>
  <c r="F391" i="25" s="1"/>
  <c r="E343" i="25" a="1"/>
  <c r="E343" i="25" s="1"/>
  <c r="N437" i="25" a="1"/>
  <c r="N437" i="25" s="1"/>
  <c r="L485" i="25" a="1"/>
  <c r="L485" i="25" s="1"/>
  <c r="I343" i="25" a="1"/>
  <c r="I343" i="25" s="1"/>
  <c r="N484" i="25" a="1"/>
  <c r="N484" i="25" s="1"/>
  <c r="J174" i="25" a="1"/>
  <c r="J174" i="25" s="1"/>
  <c r="N343" i="25" a="1"/>
  <c r="N343" i="25" s="1"/>
  <c r="L344" i="25" a="1"/>
  <c r="L344" i="25" s="1"/>
  <c r="K344" i="25" a="1"/>
  <c r="K344" i="25" s="1"/>
  <c r="K438" i="25" a="1"/>
  <c r="K438" i="25" s="1"/>
  <c r="K343" i="25" a="1"/>
  <c r="K343" i="25" s="1"/>
  <c r="D437" i="25" a="1"/>
  <c r="D437" i="25" s="1"/>
  <c r="L438" i="25" a="1"/>
  <c r="L438" i="25" s="1"/>
  <c r="J437" i="25" a="1"/>
  <c r="J437" i="25" s="1"/>
  <c r="J484" i="25" a="1"/>
  <c r="J484" i="25" s="1"/>
  <c r="K437" i="25" a="1"/>
  <c r="K437" i="25" s="1"/>
  <c r="M92" i="25" a="1"/>
  <c r="M92" i="25" s="1"/>
  <c r="K390" i="25" a="1"/>
  <c r="K390" i="25" s="1"/>
  <c r="J175" i="25" a="1"/>
  <c r="J175" i="25" s="1"/>
  <c r="L175" i="25" a="1"/>
  <c r="L175" i="25" s="1"/>
  <c r="J93" i="25" a="1"/>
  <c r="J93" i="25" s="1"/>
  <c r="G438" i="25" a="1"/>
  <c r="G438" i="25" s="1"/>
  <c r="D391" i="25" a="1"/>
  <c r="D391" i="25" s="1"/>
  <c r="D296" i="25" a="1"/>
  <c r="D296" i="25" s="1"/>
  <c r="J485" i="25" a="1"/>
  <c r="J485" i="25" s="1"/>
  <c r="I93" i="25" a="1"/>
  <c r="I93" i="25" s="1"/>
  <c r="I297" i="25" a="1"/>
  <c r="I297" i="25" s="1"/>
  <c r="N92" i="25" a="1"/>
  <c r="N92" i="25" s="1"/>
  <c r="N297" i="25" a="1"/>
  <c r="N297" i="25" s="1"/>
  <c r="N175" i="25" a="1"/>
  <c r="N175" i="25" s="1"/>
  <c r="M344" i="25" a="1"/>
  <c r="M344" i="25" s="1"/>
  <c r="M390" i="25" a="1"/>
  <c r="M390" i="25" s="1"/>
  <c r="H438" i="25" a="1"/>
  <c r="H438" i="25" s="1"/>
  <c r="I174" i="25" a="1"/>
  <c r="I174" i="25" s="1"/>
  <c r="H437" i="25" a="1"/>
  <c r="H437" i="25" s="1"/>
  <c r="G390" i="25" a="1"/>
  <c r="G390" i="25" s="1"/>
  <c r="F297" i="25" a="1"/>
  <c r="F297" i="25" s="1"/>
  <c r="F175" i="25" a="1"/>
  <c r="F175" i="25" s="1"/>
  <c r="G484" i="25" a="1"/>
  <c r="G484" i="25" s="1"/>
  <c r="D390" i="25" a="1"/>
  <c r="D390" i="25" s="1"/>
  <c r="D174" i="25" a="1"/>
  <c r="D174" i="25" s="1"/>
  <c r="E92" i="25" a="1"/>
  <c r="E92" i="25" s="1"/>
  <c r="J391" i="25" a="1"/>
  <c r="J391" i="25" s="1"/>
  <c r="O92" i="25" a="1"/>
  <c r="O92" i="25" s="1"/>
  <c r="N485" i="25" a="1"/>
  <c r="N485" i="25" s="1"/>
  <c r="I438" i="25" a="1"/>
  <c r="I438" i="25" s="1"/>
  <c r="K391" i="25" a="1"/>
  <c r="K391" i="25" s="1"/>
  <c r="K174" i="25" a="1"/>
  <c r="K174" i="25" s="1"/>
  <c r="L390" i="25" a="1"/>
  <c r="L390" i="25" s="1"/>
  <c r="M437" i="25" a="1"/>
  <c r="M437" i="25" s="1"/>
  <c r="F438" i="25" a="1"/>
  <c r="F438" i="25" s="1"/>
  <c r="H297" i="25" a="1"/>
  <c r="H297" i="25" s="1"/>
  <c r="I344" i="25" a="1"/>
  <c r="I344" i="25" s="1"/>
  <c r="H174" i="25" a="1"/>
  <c r="H174" i="25" s="1"/>
  <c r="H92" i="25" a="1"/>
  <c r="H92" i="25" s="1"/>
  <c r="F485" i="25" a="1"/>
  <c r="F485" i="25" s="1"/>
  <c r="G174" i="25" a="1"/>
  <c r="G174" i="25" s="1"/>
  <c r="G296" i="25" a="1"/>
  <c r="G296" i="25" s="1"/>
  <c r="D438" i="25" a="1"/>
  <c r="D438" i="25" s="1"/>
  <c r="G437" i="25" a="1"/>
  <c r="G437" i="25" s="1"/>
  <c r="G175" i="25" a="1"/>
  <c r="G175" i="25" s="1"/>
  <c r="E484" i="25" a="1"/>
  <c r="E484" i="25" s="1"/>
  <c r="E485" i="25" a="1"/>
  <c r="E485" i="25" s="1"/>
  <c r="D485" i="25" a="1"/>
  <c r="D485" i="25" s="1"/>
  <c r="E297" i="25" a="1"/>
  <c r="E297" i="25" s="1"/>
  <c r="C391" i="25" a="1"/>
  <c r="C391" i="25" s="1"/>
  <c r="O390" i="25" a="1"/>
  <c r="O390" i="25" s="1"/>
  <c r="J438" i="25" a="1"/>
  <c r="J438" i="25" s="1"/>
  <c r="L92" i="25" a="1"/>
  <c r="L92" i="25" s="1"/>
  <c r="I437" i="25" a="1"/>
  <c r="I437" i="25" s="1"/>
  <c r="K484" i="25" a="1"/>
  <c r="K484" i="25" s="1"/>
  <c r="M296" i="25" a="1"/>
  <c r="M296" i="25" s="1"/>
  <c r="M484" i="25" a="1"/>
  <c r="M484" i="25" s="1"/>
  <c r="M485" i="25" a="1"/>
  <c r="M485" i="25" s="1"/>
  <c r="H485" i="25" a="1"/>
  <c r="H485" i="25" s="1"/>
  <c r="H343" i="25" a="1"/>
  <c r="H343" i="25" s="1"/>
  <c r="H296" i="25" a="1"/>
  <c r="H296" i="25" s="1"/>
  <c r="G391" i="25" a="1"/>
  <c r="G391" i="25" s="1"/>
  <c r="F484" i="25" a="1"/>
  <c r="F484" i="25" s="1"/>
  <c r="F92" i="25" a="1"/>
  <c r="F92" i="25" s="1"/>
  <c r="E438" i="25" a="1"/>
  <c r="E438" i="25" s="1"/>
  <c r="D175" i="25" a="1"/>
  <c r="D175" i="25" s="1"/>
  <c r="C344" i="25" a="1"/>
  <c r="C344" i="25" s="1"/>
  <c r="M174" i="25" a="1"/>
  <c r="M174" i="25" s="1"/>
  <c r="H484" i="25" a="1"/>
  <c r="H484" i="25" s="1"/>
  <c r="G297" i="25" a="1"/>
  <c r="G297" i="25" s="1"/>
  <c r="H93" i="25" a="1"/>
  <c r="H93" i="25" s="1"/>
  <c r="F437" i="25" a="1"/>
  <c r="F437" i="25" s="1"/>
  <c r="F174" i="25" a="1"/>
  <c r="F174" i="25" s="1"/>
  <c r="G92" i="25" a="1"/>
  <c r="G92" i="25" s="1"/>
  <c r="G93" i="25" a="1"/>
  <c r="G93" i="25" s="1"/>
  <c r="D92" i="25" a="1"/>
  <c r="D92" i="25" s="1"/>
  <c r="D484" i="25" a="1"/>
  <c r="D484" i="25" s="1"/>
  <c r="E93" i="25" a="1"/>
  <c r="E93" i="25" s="1"/>
  <c r="D297" i="25" a="1"/>
  <c r="D297" i="25" s="1"/>
  <c r="E391" i="25" a="1"/>
  <c r="E391" i="25" s="1"/>
  <c r="L343" i="25" a="1"/>
  <c r="L343" i="25" s="1"/>
  <c r="F344" i="25" a="1"/>
  <c r="F344" i="25" s="1"/>
  <c r="E344" i="25" a="1"/>
  <c r="E344" i="25" s="1"/>
  <c r="E174" i="25" a="1"/>
  <c r="E174" i="25" s="1"/>
  <c r="D93" i="25" a="1"/>
  <c r="D93" i="25" s="1"/>
  <c r="E390" i="25" a="1"/>
  <c r="E390" i="25" s="1"/>
  <c r="E437" i="25" a="1"/>
  <c r="E437" i="25" s="1"/>
  <c r="C175" i="25" a="1"/>
  <c r="C175" i="25" s="1"/>
  <c r="M391" i="25" a="1"/>
  <c r="M391" i="25" s="1"/>
  <c r="M297" i="25" a="1"/>
  <c r="M297" i="25" s="1"/>
  <c r="G343" i="25" a="1"/>
  <c r="G343" i="25" s="1"/>
  <c r="I391" i="25" a="1"/>
  <c r="I391" i="25" s="1"/>
  <c r="F343" i="25" a="1"/>
  <c r="F343" i="25" s="1"/>
  <c r="G344" i="25" a="1"/>
  <c r="G344" i="25" s="1"/>
  <c r="F93" i="25" a="1"/>
  <c r="F93" i="25" s="1"/>
  <c r="F296" i="25" a="1"/>
  <c r="F296" i="25" s="1"/>
  <c r="F390" i="25" a="1"/>
  <c r="F390" i="25" s="1"/>
  <c r="G485" i="25" a="1"/>
  <c r="G485" i="25" s="1"/>
  <c r="C437" i="25" a="1"/>
  <c r="C437" i="25" s="1"/>
  <c r="C296" i="25" a="1"/>
  <c r="C296" i="25" s="1"/>
  <c r="C484" i="25" a="1"/>
  <c r="C484" i="25" s="1"/>
  <c r="C485" i="25" a="1"/>
  <c r="C485" i="25" s="1"/>
  <c r="N296" i="25" a="1"/>
  <c r="N296" i="25" s="1"/>
  <c r="I296" i="25" a="1"/>
  <c r="I296" i="25" s="1"/>
  <c r="I484" i="25" a="1"/>
  <c r="I484" i="25" s="1"/>
  <c r="H390" i="25" a="1"/>
  <c r="H390" i="25" s="1"/>
  <c r="H391" i="25" a="1"/>
  <c r="H391" i="25" s="1"/>
  <c r="D344" i="25" a="1"/>
  <c r="D344" i="25" s="1"/>
  <c r="C92" i="25" a="1"/>
  <c r="C92" i="25" s="1"/>
  <c r="C93" i="25" a="1"/>
  <c r="C93" i="25" s="1"/>
  <c r="N390" i="25" a="1"/>
  <c r="N390" i="25" s="1"/>
  <c r="O437" i="25" a="1"/>
  <c r="O437" i="25" s="1"/>
  <c r="C390" i="25" a="1"/>
  <c r="C390" i="25" s="1"/>
  <c r="C174" i="25" a="1"/>
  <c r="C174" i="25" s="1"/>
  <c r="C343" i="25" a="1"/>
  <c r="C343" i="25" s="1"/>
  <c r="C297" i="25" a="1"/>
  <c r="C297" i="25" s="1"/>
  <c r="J344" i="25" a="1"/>
  <c r="J344" i="25" s="1"/>
  <c r="N344" i="25" a="1"/>
  <c r="N344" i="25" s="1"/>
  <c r="O297" i="25" a="1"/>
  <c r="O297" i="25" s="1"/>
  <c r="O344" i="25" a="1"/>
  <c r="O344" i="25" s="1"/>
  <c r="O93" i="25" a="1"/>
  <c r="O93" i="25" s="1"/>
  <c r="O438" i="25" a="1"/>
  <c r="O438" i="25" s="1"/>
  <c r="O391" i="25" a="1"/>
  <c r="O391" i="25" s="1"/>
  <c r="L297" i="25" a="1"/>
  <c r="L297" i="25" s="1"/>
  <c r="O296" i="25" a="1"/>
  <c r="O296" i="25" s="1"/>
  <c r="O485" i="25" a="1"/>
  <c r="O485" i="25" s="1"/>
  <c r="O343" i="25" a="1"/>
  <c r="O343" i="25" s="1"/>
  <c r="O484" i="25" a="1"/>
  <c r="O484" i="25" s="1"/>
  <c r="L437" i="25" a="1"/>
  <c r="L437" i="25" s="1"/>
  <c r="N438" i="25" a="1"/>
  <c r="N438" i="25" s="1"/>
  <c r="O174" i="25" a="1"/>
  <c r="O174" i="25" s="1"/>
  <c r="O175" i="25" a="1"/>
  <c r="O175" i="25" s="1"/>
  <c r="L174" i="25" a="1"/>
  <c r="L174" i="25" s="1"/>
  <c r="F1658" i="16"/>
  <c r="C686" i="20"/>
  <c r="C687" i="20" s="1"/>
  <c r="F109" i="20"/>
  <c r="K104" i="20"/>
  <c r="L104" i="20"/>
  <c r="M104" i="20"/>
  <c r="O104" i="20"/>
  <c r="N104" i="20"/>
  <c r="P104" i="20"/>
  <c r="Q104" i="20"/>
  <c r="R104" i="20"/>
  <c r="S104" i="20"/>
  <c r="T104" i="20"/>
  <c r="U104" i="20"/>
  <c r="V104" i="20"/>
  <c r="W104" i="20"/>
  <c r="X104" i="20"/>
  <c r="F1967" i="16"/>
  <c r="K1968" i="16" s="1"/>
  <c r="L1968" i="16" s="1"/>
  <c r="L2219" i="16" s="1"/>
  <c r="F1665" i="16"/>
  <c r="K1666" i="16" s="1"/>
  <c r="K2175" i="16" s="1"/>
  <c r="F2016" i="16"/>
  <c r="K2017" i="16" s="1"/>
  <c r="L265" i="16"/>
  <c r="L53" i="20" s="1"/>
  <c r="L251" i="20" s="1"/>
  <c r="D69" i="25" s="1"/>
  <c r="O2020" i="16"/>
  <c r="M2020" i="16"/>
  <c r="N2020" i="16"/>
  <c r="P2020" i="16"/>
  <c r="K2020" i="16"/>
  <c r="L2020" i="16"/>
  <c r="Q2020" i="16"/>
  <c r="R2020" i="16"/>
  <c r="S2020" i="16"/>
  <c r="T2020" i="16"/>
  <c r="U2020" i="16"/>
  <c r="V2020" i="16"/>
  <c r="W2020" i="16"/>
  <c r="X2020" i="16"/>
  <c r="P2027" i="16"/>
  <c r="K2027" i="16"/>
  <c r="L2027" i="16"/>
  <c r="M2027" i="16"/>
  <c r="N2027" i="16"/>
  <c r="O2027" i="16"/>
  <c r="Q2027" i="16"/>
  <c r="R2027" i="16"/>
  <c r="S2027" i="16"/>
  <c r="T2027" i="16"/>
  <c r="U2027" i="16"/>
  <c r="V2027" i="16"/>
  <c r="W2027" i="16"/>
  <c r="X2027" i="16"/>
  <c r="F1671" i="16"/>
  <c r="E1980" i="16"/>
  <c r="F1980" i="16" s="1"/>
  <c r="D1980" i="16"/>
  <c r="D1982" i="16"/>
  <c r="D1672" i="16"/>
  <c r="D1987" i="16"/>
  <c r="E1987" i="16"/>
  <c r="F1987" i="16" s="1"/>
  <c r="D2023" i="16"/>
  <c r="D1974" i="16"/>
  <c r="T399" i="20"/>
  <c r="T400" i="20" s="1"/>
  <c r="X472" i="20"/>
  <c r="X473" i="20" s="1"/>
  <c r="W638" i="12"/>
  <c r="W626" i="12" s="1"/>
  <c r="W179" i="10" s="1"/>
  <c r="U2259" i="16"/>
  <c r="U44" i="16" s="1"/>
  <c r="V2247" i="16"/>
  <c r="V43" i="16" s="1"/>
  <c r="W41" i="16" s="1"/>
  <c r="W2235" i="16" s="1"/>
  <c r="W631" i="12"/>
  <c r="W619" i="12" s="1"/>
  <c r="W167" i="10" s="1"/>
  <c r="W311" i="10" s="1"/>
  <c r="V1205" i="16"/>
  <c r="W1205" i="16" s="1"/>
  <c r="U75" i="16"/>
  <c r="V73" i="16" s="1"/>
  <c r="V2239" i="16" s="1"/>
  <c r="V2251" i="16" s="1"/>
  <c r="U2263" i="16"/>
  <c r="U76" i="16" s="1"/>
  <c r="U89" i="16" s="1"/>
  <c r="U185" i="16" s="1"/>
  <c r="U51" i="16"/>
  <c r="V49" i="16" s="1"/>
  <c r="V2236" i="16" s="1"/>
  <c r="V2248" i="16" s="1"/>
  <c r="U2260" i="16"/>
  <c r="U52" i="16" s="1"/>
  <c r="P19" i="16"/>
  <c r="Q17" i="16" s="1"/>
  <c r="Q2232" i="16" s="1"/>
  <c r="P2256" i="16"/>
  <c r="P2252" i="16"/>
  <c r="U59" i="16"/>
  <c r="V57" i="16" s="1"/>
  <c r="V2237" i="16" s="1"/>
  <c r="V2249" i="16" s="1"/>
  <c r="U2261" i="16"/>
  <c r="U60" i="16" s="1"/>
  <c r="U87" i="16" s="1"/>
  <c r="U183" i="16" s="1"/>
  <c r="U35" i="16"/>
  <c r="V33" i="16" s="1"/>
  <c r="V2234" i="16" s="1"/>
  <c r="V2246" i="16" s="1"/>
  <c r="U2258" i="16"/>
  <c r="U36" i="16" s="1"/>
  <c r="Q941" i="16"/>
  <c r="Q942" i="16" s="1"/>
  <c r="P947" i="16"/>
  <c r="L1268" i="16"/>
  <c r="L1269" i="16" s="1"/>
  <c r="P1226" i="16"/>
  <c r="Q1226" i="16" s="1"/>
  <c r="R1226" i="16" s="1"/>
  <c r="S1226" i="16" s="1"/>
  <c r="M1267" i="16"/>
  <c r="O440" i="20"/>
  <c r="P440" i="20" s="1"/>
  <c r="Q440" i="20" s="1"/>
  <c r="N441" i="20"/>
  <c r="N960" i="16"/>
  <c r="O958" i="16"/>
  <c r="P434" i="20"/>
  <c r="P435" i="20" s="1"/>
  <c r="L456" i="20"/>
  <c r="M456" i="20"/>
  <c r="O1233" i="16"/>
  <c r="O1234" i="16" s="1"/>
  <c r="L1262" i="16"/>
  <c r="S433" i="20"/>
  <c r="T433" i="20" s="1"/>
  <c r="L455" i="20"/>
  <c r="M455" i="20" s="1"/>
  <c r="N455" i="20" s="1"/>
  <c r="L1261" i="16"/>
  <c r="N1247" i="16"/>
  <c r="N1248" i="16" s="1"/>
  <c r="T393" i="20"/>
  <c r="U392" i="20"/>
  <c r="O454" i="20"/>
  <c r="P454" i="20" s="1"/>
  <c r="P428" i="20"/>
  <c r="P1232" i="16"/>
  <c r="O1246" i="16"/>
  <c r="P1246" i="16" s="1"/>
  <c r="Q1246" i="16" s="1"/>
  <c r="L976" i="16"/>
  <c r="X1198" i="16"/>
  <c r="M448" i="20"/>
  <c r="P427" i="20"/>
  <c r="Q427" i="20" s="1"/>
  <c r="R427" i="20" s="1"/>
  <c r="N1242" i="16"/>
  <c r="N260" i="16" s="1"/>
  <c r="O1239" i="16"/>
  <c r="M1254" i="16"/>
  <c r="M1255" i="16" s="1"/>
  <c r="S414" i="20"/>
  <c r="T413" i="20"/>
  <c r="N1240" i="16"/>
  <c r="N1241" i="16" s="1"/>
  <c r="N1253" i="16"/>
  <c r="N1256" i="16" s="1"/>
  <c r="N262" i="16" s="1"/>
  <c r="M1260" i="16"/>
  <c r="M449" i="20"/>
  <c r="N447" i="20"/>
  <c r="R421" i="20"/>
  <c r="S420" i="20"/>
  <c r="S1219" i="16"/>
  <c r="T1219" i="16" s="1"/>
  <c r="U1219" i="16" s="1"/>
  <c r="S407" i="20"/>
  <c r="T406" i="20"/>
  <c r="Q428" i="20"/>
  <c r="U419" i="20"/>
  <c r="V419" i="20" s="1"/>
  <c r="M1256" i="16"/>
  <c r="V1218" i="16"/>
  <c r="T936" i="16"/>
  <c r="U936" i="16" s="1"/>
  <c r="U911" i="16"/>
  <c r="P953" i="16"/>
  <c r="D982" i="16"/>
  <c r="F981" i="16" s="1"/>
  <c r="K982" i="16" s="1"/>
  <c r="K983" i="16" s="1"/>
  <c r="M966" i="16"/>
  <c r="D987" i="16"/>
  <c r="D988" i="16" s="1"/>
  <c r="C994" i="16"/>
  <c r="B991" i="16"/>
  <c r="D997" i="16"/>
  <c r="J996" i="16"/>
  <c r="E993" i="16"/>
  <c r="E992" i="16"/>
  <c r="F992" i="16" s="1"/>
  <c r="D992" i="16"/>
  <c r="S940" i="16"/>
  <c r="Q435" i="20"/>
  <c r="W412" i="20"/>
  <c r="X412" i="20" s="1"/>
  <c r="O1263" i="16"/>
  <c r="W1185" i="16"/>
  <c r="V1213" i="16"/>
  <c r="W1213" i="16" s="1"/>
  <c r="X1212" i="16"/>
  <c r="X1204" i="16"/>
  <c r="T1225" i="16"/>
  <c r="U1225" i="16" s="1"/>
  <c r="X1184" i="16"/>
  <c r="N818" i="20"/>
  <c r="E872" i="20"/>
  <c r="K873" i="20" s="1"/>
  <c r="K874" i="20" s="1"/>
  <c r="K875" i="20" s="1"/>
  <c r="N943" i="20"/>
  <c r="O817" i="20"/>
  <c r="O819" i="20" s="1"/>
  <c r="D700" i="20"/>
  <c r="D851" i="20"/>
  <c r="C852" i="20"/>
  <c r="W398" i="20"/>
  <c r="X398" i="20" s="1"/>
  <c r="X400" i="20" s="1"/>
  <c r="E858" i="20"/>
  <c r="K859" i="20" s="1"/>
  <c r="K860" i="20" s="1"/>
  <c r="K861" i="20" s="1"/>
  <c r="E865" i="20"/>
  <c r="K866" i="20" s="1"/>
  <c r="K867" i="20" s="1"/>
  <c r="K868" i="20" s="1"/>
  <c r="E585" i="20"/>
  <c r="K586" i="20" s="1"/>
  <c r="M944" i="20"/>
  <c r="M945" i="20" s="1"/>
  <c r="D1157" i="20"/>
  <c r="E1157" i="20" s="1"/>
  <c r="C1157" i="20"/>
  <c r="C1159" i="20"/>
  <c r="U426" i="20"/>
  <c r="W405" i="20"/>
  <c r="M923" i="20"/>
  <c r="M924" i="20" s="1"/>
  <c r="N922" i="20"/>
  <c r="X391" i="20"/>
  <c r="X393" i="20" s="1"/>
  <c r="D927" i="20"/>
  <c r="E927" i="20" s="1"/>
  <c r="C927" i="20"/>
  <c r="C929" i="20"/>
  <c r="D878" i="20"/>
  <c r="E878" i="20" s="1"/>
  <c r="C878" i="20"/>
  <c r="C880" i="20"/>
  <c r="O617" i="20"/>
  <c r="D780" i="20"/>
  <c r="E780" i="20" s="1"/>
  <c r="C780" i="20"/>
  <c r="C782" i="20"/>
  <c r="D802" i="20"/>
  <c r="D809" i="20"/>
  <c r="C801" i="20"/>
  <c r="D801" i="20"/>
  <c r="E801" i="20" s="1"/>
  <c r="C803" i="20"/>
  <c r="N618" i="20"/>
  <c r="N619" i="20" s="1"/>
  <c r="D794" i="20"/>
  <c r="E794" i="20" s="1"/>
  <c r="C794" i="20"/>
  <c r="C796" i="20"/>
  <c r="D781" i="20"/>
  <c r="D795" i="20"/>
  <c r="C789" i="20"/>
  <c r="D787" i="20"/>
  <c r="E787" i="20" s="1"/>
  <c r="C787" i="20"/>
  <c r="O673" i="20"/>
  <c r="O675" i="20" s="1"/>
  <c r="N654" i="20"/>
  <c r="O652" i="20"/>
  <c r="C773" i="20"/>
  <c r="D773" i="20"/>
  <c r="E773" i="20" s="1"/>
  <c r="C775" i="20"/>
  <c r="D767" i="20"/>
  <c r="D774" i="20"/>
  <c r="D766" i="20"/>
  <c r="E766" i="20" s="1"/>
  <c r="C766" i="20"/>
  <c r="C768" i="20"/>
  <c r="Q624" i="20"/>
  <c r="N661" i="20"/>
  <c r="O659" i="20"/>
  <c r="O661" i="20" s="1"/>
  <c r="D759" i="20"/>
  <c r="E759" i="20" s="1"/>
  <c r="C759" i="20"/>
  <c r="C761" i="20"/>
  <c r="N660" i="20"/>
  <c r="P638" i="20"/>
  <c r="D753" i="20"/>
  <c r="D760" i="20"/>
  <c r="C752" i="20"/>
  <c r="D752" i="20"/>
  <c r="E752" i="20" s="1"/>
  <c r="C754" i="20"/>
  <c r="P631" i="20"/>
  <c r="P633" i="20" s="1"/>
  <c r="D745" i="20"/>
  <c r="E745" i="20" s="1"/>
  <c r="C745" i="20"/>
  <c r="C747" i="20"/>
  <c r="D739" i="20"/>
  <c r="D746" i="20"/>
  <c r="D738" i="20"/>
  <c r="E738" i="20" s="1"/>
  <c r="C738" i="20"/>
  <c r="C740" i="20"/>
  <c r="X336" i="20"/>
  <c r="X337" i="20" s="1"/>
  <c r="D731" i="20"/>
  <c r="E731" i="20" s="1"/>
  <c r="C731" i="20"/>
  <c r="C733" i="20"/>
  <c r="D725" i="20"/>
  <c r="D732" i="20"/>
  <c r="D724" i="20"/>
  <c r="E724" i="20" s="1"/>
  <c r="C724" i="20"/>
  <c r="C726" i="20"/>
  <c r="P580" i="20"/>
  <c r="G30" i="20"/>
  <c r="T2262" i="16"/>
  <c r="T68" i="16" s="1"/>
  <c r="T88" i="16" s="1"/>
  <c r="T184" i="16" s="1"/>
  <c r="S28" i="16"/>
  <c r="S82" i="16" s="1"/>
  <c r="S177" i="16" s="1"/>
  <c r="T2233" i="16"/>
  <c r="X500" i="20"/>
  <c r="X501" i="20" s="1"/>
  <c r="X1562" i="16"/>
  <c r="X1563" i="16" s="1"/>
  <c r="W634" i="12"/>
  <c r="W622" i="12" s="1"/>
  <c r="W170" i="10" s="1"/>
  <c r="W314" i="10" s="1"/>
  <c r="V1931" i="12"/>
  <c r="V1934" i="12" s="1"/>
  <c r="W632" i="12"/>
  <c r="W620" i="12" s="1"/>
  <c r="W168" i="10" s="1"/>
  <c r="W312" i="10" s="1"/>
  <c r="V923" i="12"/>
  <c r="V931" i="12" s="1"/>
  <c r="W1924" i="12"/>
  <c r="W1938" i="12" s="1"/>
  <c r="W1896" i="12" s="1"/>
  <c r="W637" i="12"/>
  <c r="W625" i="12" s="1"/>
  <c r="W176" i="10" s="1"/>
  <c r="W320" i="10" s="1"/>
  <c r="W635" i="12"/>
  <c r="W623" i="12" s="1"/>
  <c r="W171" i="10" s="1"/>
  <c r="W315" i="10" s="1"/>
  <c r="W918" i="12"/>
  <c r="W1927" i="12"/>
  <c r="W1941" i="12" s="1"/>
  <c r="W1899" i="12" s="1"/>
  <c r="X910" i="12"/>
  <c r="V152" i="16"/>
  <c r="R929" i="16"/>
  <c r="Q930" i="16"/>
  <c r="U928" i="16"/>
  <c r="R59" i="10"/>
  <c r="T917" i="16"/>
  <c r="Q1638" i="16"/>
  <c r="R1638" i="16" s="1"/>
  <c r="R2171" i="16" s="1"/>
  <c r="P1639" i="16"/>
  <c r="V906" i="16"/>
  <c r="O957" i="20"/>
  <c r="P957" i="20" s="1"/>
  <c r="T909" i="20"/>
  <c r="M958" i="20"/>
  <c r="N958" i="20" s="1"/>
  <c r="W882" i="16"/>
  <c r="W521" i="20"/>
  <c r="X520" i="20"/>
  <c r="X522" i="20" s="1"/>
  <c r="W522" i="20"/>
  <c r="V146" i="16"/>
  <c r="V162" i="16" s="1"/>
  <c r="O571" i="20"/>
  <c r="S1632" i="16"/>
  <c r="Q563" i="20"/>
  <c r="X888" i="16"/>
  <c r="X161" i="16" s="1"/>
  <c r="T1611" i="16"/>
  <c r="V1943" i="16"/>
  <c r="N2173" i="16"/>
  <c r="O2132" i="16"/>
  <c r="P1378" i="16"/>
  <c r="Q1378" i="16" s="1"/>
  <c r="R1378" i="16" s="1"/>
  <c r="O951" i="20"/>
  <c r="L971" i="20"/>
  <c r="M971" i="20" s="1"/>
  <c r="N971" i="20" s="1"/>
  <c r="S58" i="10"/>
  <c r="P950" i="20"/>
  <c r="Q950" i="20" s="1"/>
  <c r="Q564" i="20"/>
  <c r="R562" i="20"/>
  <c r="P569" i="20"/>
  <c r="P571" i="20" s="1"/>
  <c r="U908" i="20"/>
  <c r="T910" i="20"/>
  <c r="O952" i="20"/>
  <c r="O570" i="20"/>
  <c r="T1631" i="16"/>
  <c r="U1631" i="16" s="1"/>
  <c r="S2170" i="16"/>
  <c r="C989" i="20"/>
  <c r="C984" i="20"/>
  <c r="C985" i="20" s="1"/>
  <c r="D984" i="20"/>
  <c r="C983" i="20"/>
  <c r="D983" i="20"/>
  <c r="E983" i="20" s="1"/>
  <c r="X1928" i="16"/>
  <c r="X2212" i="16" s="1"/>
  <c r="W2212" i="16"/>
  <c r="K973" i="20"/>
  <c r="W903" i="20"/>
  <c r="W529" i="20"/>
  <c r="X529" i="20"/>
  <c r="W528" i="20"/>
  <c r="X542" i="20"/>
  <c r="X896" i="20"/>
  <c r="W896" i="20"/>
  <c r="O1372" i="16"/>
  <c r="O1373" i="16" s="1"/>
  <c r="N2132" i="16"/>
  <c r="N285" i="16"/>
  <c r="U1645" i="16"/>
  <c r="V1645" i="16" s="1"/>
  <c r="W1645" i="16" s="1"/>
  <c r="X1645" i="16" s="1"/>
  <c r="O2131" i="16"/>
  <c r="O285" i="16"/>
  <c r="P1371" i="16"/>
  <c r="P2131" i="16" s="1"/>
  <c r="W1942" i="16"/>
  <c r="V2214" i="16"/>
  <c r="V1336" i="16"/>
  <c r="U2126" i="16"/>
  <c r="U1610" i="16"/>
  <c r="T2167" i="16"/>
  <c r="Q1652" i="16"/>
  <c r="X881" i="16"/>
  <c r="W900" i="16"/>
  <c r="N338" i="10"/>
  <c r="N48" i="10"/>
  <c r="N47" i="10" s="1"/>
  <c r="O50" i="10"/>
  <c r="X876" i="16"/>
  <c r="S924" i="16"/>
  <c r="X1590" i="16"/>
  <c r="X400" i="10"/>
  <c r="X401" i="10"/>
  <c r="M626" i="12"/>
  <c r="M179" i="10" s="1"/>
  <c r="M323" i="10" s="1"/>
  <c r="Q1365" i="16"/>
  <c r="V1495" i="16"/>
  <c r="W1495" i="16" s="1"/>
  <c r="X1495" i="16" s="1"/>
  <c r="V2151" i="16"/>
  <c r="R2129" i="16"/>
  <c r="V1344" i="16"/>
  <c r="V1625" i="16"/>
  <c r="U2166" i="16"/>
  <c r="U1604" i="16"/>
  <c r="S2168" i="16"/>
  <c r="T1351" i="16"/>
  <c r="U1351" i="16" s="1"/>
  <c r="S1618" i="16"/>
  <c r="T2128" i="16"/>
  <c r="T2129" i="16"/>
  <c r="N1653" i="16"/>
  <c r="V1929" i="16"/>
  <c r="W2165" i="16"/>
  <c r="W2213" i="16"/>
  <c r="W1936" i="16"/>
  <c r="W1597" i="16"/>
  <c r="Q1646" i="16"/>
  <c r="W1683" i="16"/>
  <c r="D1678" i="16"/>
  <c r="O1683" i="16"/>
  <c r="X1683" i="16"/>
  <c r="P1683" i="16"/>
  <c r="D1684" i="16"/>
  <c r="E1988" i="16" s="1"/>
  <c r="Q1683" i="16"/>
  <c r="B1677" i="16"/>
  <c r="B2021" i="16" s="1"/>
  <c r="R1683" i="16"/>
  <c r="V1683" i="16"/>
  <c r="K1683" i="16"/>
  <c r="S1683" i="16"/>
  <c r="L1683" i="16"/>
  <c r="T1683" i="16"/>
  <c r="N1683" i="16"/>
  <c r="E1679" i="16"/>
  <c r="D1679" i="16" s="1"/>
  <c r="M1683" i="16"/>
  <c r="U1683" i="16"/>
  <c r="E1678" i="16"/>
  <c r="F1678" i="16" s="1"/>
  <c r="W2127" i="16"/>
  <c r="Q2172" i="16"/>
  <c r="W2148" i="16"/>
  <c r="W2151" i="16"/>
  <c r="M286" i="16"/>
  <c r="N1379" i="16"/>
  <c r="N1380" i="16" s="1"/>
  <c r="W1474" i="16"/>
  <c r="W1488" i="16"/>
  <c r="W2150" i="16"/>
  <c r="V2127" i="16"/>
  <c r="W2124" i="16"/>
  <c r="W1323" i="16"/>
  <c r="Q2130" i="16"/>
  <c r="S245" i="11"/>
  <c r="P626" i="12"/>
  <c r="P179" i="10" s="1"/>
  <c r="P323" i="10" s="1"/>
  <c r="N316" i="10"/>
  <c r="N1944" i="12"/>
  <c r="N1902" i="12" s="1"/>
  <c r="N1903" i="12" s="1"/>
  <c r="N1906" i="12" s="1"/>
  <c r="O626" i="12"/>
  <c r="O179" i="10" s="1"/>
  <c r="O323" i="10" s="1"/>
  <c r="T626" i="12"/>
  <c r="T179" i="10" s="1"/>
  <c r="T323" i="10" s="1"/>
  <c r="K1944" i="12"/>
  <c r="K1902" i="12" s="1"/>
  <c r="K1903" i="12" s="1"/>
  <c r="K1906" i="12" s="1"/>
  <c r="K316" i="10"/>
  <c r="P1944" i="12"/>
  <c r="P1902" i="12" s="1"/>
  <c r="P1903" i="12" s="1"/>
  <c r="P1906" i="12" s="1"/>
  <c r="P316" i="10"/>
  <c r="M245" i="11"/>
  <c r="O1944" i="12"/>
  <c r="O1902" i="12" s="1"/>
  <c r="O1903" i="12" s="1"/>
  <c r="O1906" i="12" s="1"/>
  <c r="Q245" i="11"/>
  <c r="Q1944" i="12"/>
  <c r="Q1902" i="12" s="1"/>
  <c r="Q1903" i="12" s="1"/>
  <c r="Q1906" i="12" s="1"/>
  <c r="S160" i="10"/>
  <c r="S159" i="10" s="1"/>
  <c r="S78" i="18" s="1"/>
  <c r="S75" i="18" s="1"/>
  <c r="S80" i="18" s="1"/>
  <c r="S212" i="10" s="1"/>
  <c r="S211" i="10" s="1"/>
  <c r="Q316" i="10"/>
  <c r="Q160" i="10"/>
  <c r="Q159" i="10" s="1"/>
  <c r="Q78" i="18" s="1"/>
  <c r="Q75" i="18" s="1"/>
  <c r="Q80" i="18" s="1"/>
  <c r="Q212" i="10" s="1"/>
  <c r="L626" i="12"/>
  <c r="L179" i="10" s="1"/>
  <c r="L323" i="10" s="1"/>
  <c r="M316" i="10"/>
  <c r="M1944" i="12"/>
  <c r="M1902" i="12" s="1"/>
  <c r="M1903" i="12" s="1"/>
  <c r="M1906" i="12" s="1"/>
  <c r="V1947" i="12"/>
  <c r="V1905" i="12" s="1"/>
  <c r="R626" i="12"/>
  <c r="R179" i="10" s="1"/>
  <c r="R323" i="10" s="1"/>
  <c r="O316" i="10"/>
  <c r="R159" i="10"/>
  <c r="R78" i="18" s="1"/>
  <c r="R75" i="18" s="1"/>
  <c r="R80" i="18" s="1"/>
  <c r="R212" i="10" s="1"/>
  <c r="L1944" i="12"/>
  <c r="L1902" i="12" s="1"/>
  <c r="L1903" i="12" s="1"/>
  <c r="L1906" i="12" s="1"/>
  <c r="R245" i="11"/>
  <c r="O159" i="10"/>
  <c r="O78" i="18" s="1"/>
  <c r="O75" i="18" s="1"/>
  <c r="O80" i="18" s="1"/>
  <c r="O212" i="10" s="1"/>
  <c r="O211" i="10" s="1"/>
  <c r="O245" i="11"/>
  <c r="L316" i="10"/>
  <c r="K245" i="11"/>
  <c r="X36" i="10"/>
  <c r="X324" i="10" s="1"/>
  <c r="X97" i="12"/>
  <c r="P159" i="10"/>
  <c r="P78" i="18" s="1"/>
  <c r="P75" i="18" s="1"/>
  <c r="P80" i="18" s="1"/>
  <c r="P212" i="10" s="1"/>
  <c r="T159" i="10"/>
  <c r="T78" i="18" s="1"/>
  <c r="T75" i="18" s="1"/>
  <c r="T80" i="18" s="1"/>
  <c r="T212" i="10" s="1"/>
  <c r="P245" i="11"/>
  <c r="Q626" i="12"/>
  <c r="Q179" i="10" s="1"/>
  <c r="Q323" i="10" s="1"/>
  <c r="R316" i="10"/>
  <c r="S624" i="12"/>
  <c r="S172" i="10" s="1"/>
  <c r="S316" i="10" s="1"/>
  <c r="N245" i="11"/>
  <c r="L245" i="11"/>
  <c r="N626" i="12"/>
  <c r="N179" i="10" s="1"/>
  <c r="N323" i="10" s="1"/>
  <c r="K160" i="10"/>
  <c r="K159" i="10" s="1"/>
  <c r="K78" i="18" s="1"/>
  <c r="K75" i="18" s="1"/>
  <c r="K80" i="18" s="1"/>
  <c r="L159" i="10"/>
  <c r="L78" i="18" s="1"/>
  <c r="L75" i="18" s="1"/>
  <c r="L80" i="18" s="1"/>
  <c r="L212" i="10" s="1"/>
  <c r="R1944" i="12"/>
  <c r="K626" i="12"/>
  <c r="K179" i="10" s="1"/>
  <c r="K323" i="10" s="1"/>
  <c r="T245" i="11"/>
  <c r="T316" i="10"/>
  <c r="T1944" i="12"/>
  <c r="T1902" i="12" s="1"/>
  <c r="T1903" i="12" s="1"/>
  <c r="T1906" i="12" s="1"/>
  <c r="S1947" i="12"/>
  <c r="S1905" i="12" s="1"/>
  <c r="S626" i="12"/>
  <c r="S179" i="10" s="1"/>
  <c r="S323" i="10" s="1"/>
  <c r="U626" i="12"/>
  <c r="U179" i="10" s="1"/>
  <c r="U323" i="10" s="1"/>
  <c r="U1944" i="12"/>
  <c r="U624" i="12"/>
  <c r="U172" i="10" s="1"/>
  <c r="U316" i="10" s="1"/>
  <c r="U245" i="11"/>
  <c r="U160" i="10"/>
  <c r="K310" i="10"/>
  <c r="L310" i="10"/>
  <c r="T304" i="10"/>
  <c r="P304" i="10"/>
  <c r="S15" i="10"/>
  <c r="S34" i="18" s="1"/>
  <c r="O310" i="10"/>
  <c r="O15" i="10"/>
  <c r="O34" i="18" s="1"/>
  <c r="O304" i="10"/>
  <c r="M304" i="10"/>
  <c r="M159" i="10"/>
  <c r="M78" i="18" s="1"/>
  <c r="R304" i="10"/>
  <c r="L304" i="10"/>
  <c r="N310" i="10"/>
  <c r="Q310" i="10"/>
  <c r="M310" i="10"/>
  <c r="S1896" i="12"/>
  <c r="S1903" i="12" s="1"/>
  <c r="S1945" i="12"/>
  <c r="N304" i="10"/>
  <c r="N159" i="10"/>
  <c r="P310" i="10"/>
  <c r="X112" i="10"/>
  <c r="X405" i="10"/>
  <c r="D1527" i="16"/>
  <c r="F1526" i="16" s="1"/>
  <c r="K1527" i="16" s="1"/>
  <c r="F1540" i="16"/>
  <c r="K1541" i="16" s="1"/>
  <c r="V1902" i="12"/>
  <c r="V1903" i="12" s="1"/>
  <c r="V1945" i="12"/>
  <c r="W2082" i="16"/>
  <c r="W256" i="20" s="1"/>
  <c r="X2072" i="16"/>
  <c r="C109" i="20"/>
  <c r="G615" i="20" s="1"/>
  <c r="I615" i="20" s="1"/>
  <c r="D686" i="20"/>
  <c r="D1520" i="16"/>
  <c r="F1512" i="16"/>
  <c r="K1513" i="16" s="1"/>
  <c r="D1534" i="16"/>
  <c r="F1533" i="16" s="1"/>
  <c r="K1534" i="16" s="1"/>
  <c r="M262" i="16" l="1"/>
  <c r="X1150" i="16"/>
  <c r="X1136" i="16"/>
  <c r="W1412" i="12"/>
  <c r="W257" i="20" s="1"/>
  <c r="X1143" i="16"/>
  <c r="W624" i="12"/>
  <c r="W172" i="10" s="1"/>
  <c r="W316" i="10" s="1"/>
  <c r="O440" i="25"/>
  <c r="X2055" i="16"/>
  <c r="X796" i="16" s="1"/>
  <c r="X204" i="10" s="1"/>
  <c r="X630" i="12"/>
  <c r="X618" i="12" s="1"/>
  <c r="X166" i="10" s="1"/>
  <c r="X310" i="10" s="1"/>
  <c r="X1303" i="16"/>
  <c r="X1440" i="16"/>
  <c r="X219" i="11"/>
  <c r="X246" i="11" s="1"/>
  <c r="X611" i="12" s="1"/>
  <c r="X2075" i="16"/>
  <c r="X2082" i="16" s="1"/>
  <c r="X256" i="20" s="1"/>
  <c r="X2092" i="16"/>
  <c r="J2092" i="16" s="1"/>
  <c r="X2089" i="16"/>
  <c r="J2089" i="16" s="1"/>
  <c r="W952" i="16"/>
  <c r="X952" i="16" s="1"/>
  <c r="W245" i="11"/>
  <c r="X1164" i="16"/>
  <c r="W160" i="10"/>
  <c r="W304" i="10" s="1"/>
  <c r="W303" i="10" s="1"/>
  <c r="X1461" i="16"/>
  <c r="J444" i="25"/>
  <c r="O68" i="25"/>
  <c r="X638" i="12"/>
  <c r="X626" i="12" s="1"/>
  <c r="X179" i="10" s="1"/>
  <c r="N205" i="25" a="1"/>
  <c r="N205" i="25" s="1"/>
  <c r="N123" i="25" a="1"/>
  <c r="N123" i="25" s="1"/>
  <c r="O123" i="25" a="1"/>
  <c r="O123" i="25" s="1"/>
  <c r="O205" i="25" a="1"/>
  <c r="O205" i="25" s="1"/>
  <c r="O107" i="25" a="1"/>
  <c r="O107" i="25" s="1"/>
  <c r="O128" i="25" s="1"/>
  <c r="N117" i="25" a="1"/>
  <c r="N117" i="25" s="1"/>
  <c r="N129" i="25" s="1"/>
  <c r="O965" i="16"/>
  <c r="P965" i="16" s="1"/>
  <c r="N56" i="25"/>
  <c r="O199" i="25" a="1"/>
  <c r="O199" i="25" s="1"/>
  <c r="O211" i="25" s="1"/>
  <c r="O117" i="25" a="1"/>
  <c r="O117" i="25" s="1"/>
  <c r="O129" i="25" s="1"/>
  <c r="N199" i="25" a="1"/>
  <c r="N199" i="25" s="1"/>
  <c r="N211" i="25" s="1"/>
  <c r="N59" i="25"/>
  <c r="X159" i="11"/>
  <c r="X241" i="11" s="1"/>
  <c r="X160" i="10" s="1"/>
  <c r="X198" i="11"/>
  <c r="X244" i="11" s="1"/>
  <c r="X163" i="10" s="1"/>
  <c r="X307" i="10" s="1"/>
  <c r="O189" i="25" a="1"/>
  <c r="O189" i="25" s="1"/>
  <c r="O210" i="25" s="1"/>
  <c r="N107" i="25" a="1"/>
  <c r="N107" i="25" s="1"/>
  <c r="N128" i="25" s="1"/>
  <c r="N189" i="25" a="1"/>
  <c r="N189" i="25" s="1"/>
  <c r="N210" i="25" s="1"/>
  <c r="N58" i="25"/>
  <c r="N55" i="25"/>
  <c r="N57" i="25"/>
  <c r="N54" i="25"/>
  <c r="X894" i="16"/>
  <c r="X164" i="16" s="1"/>
  <c r="V935" i="16"/>
  <c r="W935" i="16" s="1"/>
  <c r="O970" i="16"/>
  <c r="P970" i="16" s="1"/>
  <c r="M971" i="16"/>
  <c r="N971" i="16" s="1"/>
  <c r="N67" i="25"/>
  <c r="V2208" i="16"/>
  <c r="W1900" i="16"/>
  <c r="R585" i="16"/>
  <c r="K984" i="16"/>
  <c r="R2215" i="16"/>
  <c r="L1666" i="16"/>
  <c r="K1667" i="16"/>
  <c r="K1668" i="16" s="1"/>
  <c r="T2211" i="16"/>
  <c r="U1921" i="16"/>
  <c r="V1921" i="16" s="1"/>
  <c r="P1951" i="16"/>
  <c r="P587" i="16" s="1"/>
  <c r="P794" i="16" s="1"/>
  <c r="P202" i="10" s="1"/>
  <c r="P346" i="10" s="1"/>
  <c r="Q1950" i="16"/>
  <c r="P586" i="16"/>
  <c r="W928" i="12"/>
  <c r="W929" i="12" s="1"/>
  <c r="W208" i="10" s="1"/>
  <c r="W352" i="10" s="1"/>
  <c r="K1659" i="16"/>
  <c r="T1922" i="16"/>
  <c r="T1923" i="16"/>
  <c r="U1902" i="16"/>
  <c r="V1901" i="16"/>
  <c r="K1969" i="16"/>
  <c r="K1970" i="16" s="1"/>
  <c r="L1970" i="16" s="1"/>
  <c r="T1949" i="16"/>
  <c r="S2215" i="16"/>
  <c r="K2219" i="16"/>
  <c r="N626" i="20"/>
  <c r="O626" i="20"/>
  <c r="I662" i="16"/>
  <c r="G210" i="20" s="1"/>
  <c r="I661" i="16"/>
  <c r="G209" i="20" s="1"/>
  <c r="I663" i="16"/>
  <c r="G211" i="20" s="1"/>
  <c r="I660" i="16"/>
  <c r="G208" i="20" s="1"/>
  <c r="C206" i="20"/>
  <c r="E698" i="16"/>
  <c r="P395" i="25" a="1"/>
  <c r="P395" i="25" s="1"/>
  <c r="P167" i="25" a="1"/>
  <c r="P167" i="25" s="1"/>
  <c r="W1406" i="12"/>
  <c r="X1401" i="12"/>
  <c r="X1411" i="12" s="1"/>
  <c r="P68" i="25" s="1"/>
  <c r="L475" i="25"/>
  <c r="P412" i="25" a="1"/>
  <c r="P412" i="25" s="1"/>
  <c r="P441" i="25" a="1"/>
  <c r="P441" i="25" s="1"/>
  <c r="P343" i="25" a="1"/>
  <c r="P343" i="25" s="1"/>
  <c r="P171" i="25" a="1"/>
  <c r="P171" i="25" s="1"/>
  <c r="P488" i="25" a="1"/>
  <c r="P488" i="25" s="1"/>
  <c r="P356" i="25" a="1"/>
  <c r="P356" i="25" s="1"/>
  <c r="P379" i="25" a="1"/>
  <c r="P379" i="25" s="1"/>
  <c r="P366" i="25" a="1"/>
  <c r="P366" i="25" s="1"/>
  <c r="P402" i="25" a="1"/>
  <c r="P402" i="25" s="1"/>
  <c r="P472" i="25" a="1"/>
  <c r="P472" i="25" s="1"/>
  <c r="P170" i="25" a="1"/>
  <c r="P170" i="25" s="1"/>
  <c r="P339" i="25" a="1"/>
  <c r="P339" i="25" s="1"/>
  <c r="P277" i="25"/>
  <c r="P81" i="25" a="1"/>
  <c r="P81" i="25" s="1"/>
  <c r="P105" i="25" a="1"/>
  <c r="P105" i="25" s="1"/>
  <c r="F169" i="25"/>
  <c r="J205" i="25" a="1"/>
  <c r="J205" i="25" s="1"/>
  <c r="D428" i="25"/>
  <c r="P391" i="25" a="1"/>
  <c r="P391" i="25" s="1"/>
  <c r="P300" i="25" a="1"/>
  <c r="P300" i="25" s="1"/>
  <c r="P84" i="25" a="1"/>
  <c r="P84" i="25" s="1"/>
  <c r="P434" i="25" a="1"/>
  <c r="P434" i="25" s="1"/>
  <c r="P289" i="25" a="1"/>
  <c r="P289" i="25" s="1"/>
  <c r="P505" i="25" a="1"/>
  <c r="P505" i="25" s="1"/>
  <c r="P457" i="25" a="1"/>
  <c r="P457" i="25" s="1"/>
  <c r="P331" i="25" a="1"/>
  <c r="P331" i="25" s="1"/>
  <c r="P508" i="25" a="1"/>
  <c r="P508" i="25" s="1"/>
  <c r="P101" i="25" a="1"/>
  <c r="P101" i="25" s="1"/>
  <c r="P340" i="25" a="1"/>
  <c r="P340" i="25" s="1"/>
  <c r="P288" i="25" a="1"/>
  <c r="P288" i="25" s="1"/>
  <c r="P425" i="25" a="1"/>
  <c r="P425" i="25" s="1"/>
  <c r="P187" i="25" a="1"/>
  <c r="P187" i="25" s="1"/>
  <c r="P484" i="25" a="1"/>
  <c r="P484" i="25" s="1"/>
  <c r="P430" i="25" a="1"/>
  <c r="P430" i="25" s="1"/>
  <c r="P332" i="25" a="1"/>
  <c r="P332" i="25" s="1"/>
  <c r="P489" i="25" a="1"/>
  <c r="P489" i="25" s="1"/>
  <c r="P418" i="25"/>
  <c r="P459" i="25" a="1"/>
  <c r="P459" i="25" s="1"/>
  <c r="P364" i="25" a="1"/>
  <c r="P364" i="25" s="1"/>
  <c r="P315" i="25" a="1"/>
  <c r="P315" i="25" s="1"/>
  <c r="P100" i="25" a="1"/>
  <c r="P100" i="25" s="1"/>
  <c r="P458" i="25" a="1"/>
  <c r="P458" i="25" s="1"/>
  <c r="P410" i="25" a="1"/>
  <c r="P410" i="25" s="1"/>
  <c r="P403" i="25" a="1"/>
  <c r="P403" i="25" s="1"/>
  <c r="P476" i="25" a="1"/>
  <c r="P476" i="25" s="1"/>
  <c r="P503" i="25" a="1"/>
  <c r="P503" i="25" s="1"/>
  <c r="P367" i="25" a="1"/>
  <c r="P367" i="25" s="1"/>
  <c r="P363" i="25" a="1"/>
  <c r="P363" i="25" s="1"/>
  <c r="P477" i="25" a="1"/>
  <c r="P477" i="25" s="1"/>
  <c r="P429" i="25" a="1"/>
  <c r="P429" i="25" s="1"/>
  <c r="P493" i="25" a="1"/>
  <c r="P493" i="25" s="1"/>
  <c r="P433" i="25" a="1"/>
  <c r="P433" i="25" s="1"/>
  <c r="P413" i="25" a="1"/>
  <c r="P413" i="25" s="1"/>
  <c r="P80" i="25" a="1"/>
  <c r="P80" i="25" s="1"/>
  <c r="P507" i="25" a="1"/>
  <c r="P507" i="25" s="1"/>
  <c r="P178" i="25" a="1"/>
  <c r="P178" i="25" s="1"/>
  <c r="P351" i="25" a="1"/>
  <c r="P351" i="25" s="1"/>
  <c r="P504" i="25" a="1"/>
  <c r="P504" i="25" s="1"/>
  <c r="P93" i="25" a="1"/>
  <c r="P93" i="25" s="1"/>
  <c r="P284" i="25" a="1"/>
  <c r="P284" i="25" s="1"/>
  <c r="P320" i="25" a="1"/>
  <c r="P320" i="25" s="1"/>
  <c r="P285" i="25" a="1"/>
  <c r="P285" i="25" s="1"/>
  <c r="P104" i="25" a="1"/>
  <c r="P104" i="25" s="1"/>
  <c r="P481" i="25" a="1"/>
  <c r="P481" i="25" s="1"/>
  <c r="P335" i="25" a="1"/>
  <c r="P335" i="25" s="1"/>
  <c r="P442" i="25" a="1"/>
  <c r="P442" i="25" s="1"/>
  <c r="P186" i="25" a="1"/>
  <c r="P186" i="25" s="1"/>
  <c r="P348" i="25" a="1"/>
  <c r="P348" i="25" s="1"/>
  <c r="P317" i="25" a="1"/>
  <c r="P317" i="25" s="1"/>
  <c r="P362" i="25" a="1"/>
  <c r="P362" i="25" s="1"/>
  <c r="P166" i="25" a="1"/>
  <c r="P166" i="25" s="1"/>
  <c r="P411" i="25" a="1"/>
  <c r="P411" i="25" s="1"/>
  <c r="P426" i="25" a="1"/>
  <c r="P426" i="25" s="1"/>
  <c r="P97" i="25" a="1"/>
  <c r="P97" i="25" s="1"/>
  <c r="P383" i="25" a="1"/>
  <c r="P383" i="25" s="1"/>
  <c r="P456" i="25" a="1"/>
  <c r="P456" i="25" s="1"/>
  <c r="P460" i="25" a="1"/>
  <c r="P460" i="25" s="1"/>
  <c r="P445" i="25" a="1"/>
  <c r="P445" i="25" s="1"/>
  <c r="P485" i="25" a="1"/>
  <c r="P485" i="25" s="1"/>
  <c r="P318" i="25" a="1"/>
  <c r="P318" i="25" s="1"/>
  <c r="P85" i="25" a="1"/>
  <c r="P85" i="25" s="1"/>
  <c r="P480" i="25" a="1"/>
  <c r="P480" i="25" s="1"/>
  <c r="P496" i="25" a="1"/>
  <c r="P496" i="25" s="1"/>
  <c r="P437" i="25" a="1"/>
  <c r="P437" i="25" s="1"/>
  <c r="P301" i="25" a="1"/>
  <c r="P301" i="25" s="1"/>
  <c r="P473" i="25" a="1"/>
  <c r="P473" i="25" s="1"/>
  <c r="P414" i="25" a="1"/>
  <c r="P414" i="25" s="1"/>
  <c r="P409" i="25" a="1"/>
  <c r="P409" i="25" s="1"/>
  <c r="P174" i="25" a="1"/>
  <c r="P174" i="25" s="1"/>
  <c r="P394" i="25" a="1"/>
  <c r="P394" i="25" s="1"/>
  <c r="P292" i="25" a="1"/>
  <c r="P292" i="25" s="1"/>
  <c r="P309" i="25" a="1"/>
  <c r="P309" i="25" s="1"/>
  <c r="P398" i="25" a="1"/>
  <c r="P398" i="25" s="1"/>
  <c r="P96" i="25" a="1"/>
  <c r="P96" i="25" s="1"/>
  <c r="P324" i="25"/>
  <c r="P297" i="25" a="1"/>
  <c r="P297" i="25" s="1"/>
  <c r="P347" i="25" a="1"/>
  <c r="P347" i="25" s="1"/>
  <c r="P399" i="25" a="1"/>
  <c r="P399" i="25" s="1"/>
  <c r="P465" i="25"/>
  <c r="P89" i="25" a="1"/>
  <c r="P89" i="25" s="1"/>
  <c r="P387" i="25" a="1"/>
  <c r="P387" i="25" s="1"/>
  <c r="P382" i="25" a="1"/>
  <c r="P382" i="25" s="1"/>
  <c r="P92" i="25" a="1"/>
  <c r="P92" i="25" s="1"/>
  <c r="P365" i="25" a="1"/>
  <c r="P365" i="25" s="1"/>
  <c r="P386" i="25" a="1"/>
  <c r="P386" i="25" s="1"/>
  <c r="P319" i="25" a="1"/>
  <c r="P319" i="25" s="1"/>
  <c r="P316" i="25" a="1"/>
  <c r="P316" i="25" s="1"/>
  <c r="P492" i="25" a="1"/>
  <c r="P492" i="25" s="1"/>
  <c r="P450" i="25" a="1"/>
  <c r="P450" i="25" s="1"/>
  <c r="P296" i="25" a="1"/>
  <c r="P296" i="25" s="1"/>
  <c r="P183" i="25" a="1"/>
  <c r="P183" i="25" s="1"/>
  <c r="P438" i="25" a="1"/>
  <c r="P438" i="25" s="1"/>
  <c r="P336" i="25" a="1"/>
  <c r="P336" i="25" s="1"/>
  <c r="P304" i="25" a="1"/>
  <c r="P304" i="25" s="1"/>
  <c r="P497" i="25" a="1"/>
  <c r="P497" i="25" s="1"/>
  <c r="P371" i="25"/>
  <c r="P461" i="25" a="1"/>
  <c r="P461" i="25" s="1"/>
  <c r="P378" i="25" a="1"/>
  <c r="P378" i="25" s="1"/>
  <c r="P162" i="25" a="1"/>
  <c r="P162" i="25" s="1"/>
  <c r="P175" i="25" a="1"/>
  <c r="P175" i="25" s="1"/>
  <c r="P305" i="25" a="1"/>
  <c r="P305" i="25" s="1"/>
  <c r="P88" i="25" a="1"/>
  <c r="P88" i="25" s="1"/>
  <c r="P449" i="25" a="1"/>
  <c r="P449" i="25" s="1"/>
  <c r="P293" i="25" a="1"/>
  <c r="P293" i="25" s="1"/>
  <c r="P352" i="25" a="1"/>
  <c r="P352" i="25" s="1"/>
  <c r="P308" i="25" a="1"/>
  <c r="P308" i="25" s="1"/>
  <c r="P506" i="25" a="1"/>
  <c r="P506" i="25" s="1"/>
  <c r="P446" i="25" a="1"/>
  <c r="P446" i="25" s="1"/>
  <c r="P344" i="25" a="1"/>
  <c r="P344" i="25" s="1"/>
  <c r="P355" i="25" a="1"/>
  <c r="P355" i="25" s="1"/>
  <c r="P390" i="25" a="1"/>
  <c r="P390" i="25" s="1"/>
  <c r="P182" i="25" a="1"/>
  <c r="P182" i="25" s="1"/>
  <c r="P163" i="25" a="1"/>
  <c r="P163" i="25" s="1"/>
  <c r="P179" i="25" a="1"/>
  <c r="P179" i="25" s="1"/>
  <c r="P155" i="25"/>
  <c r="P209" i="25" s="1"/>
  <c r="P247" i="25" s="1"/>
  <c r="L491" i="25"/>
  <c r="K103" i="25"/>
  <c r="N185" i="25"/>
  <c r="O201" i="25"/>
  <c r="O239" i="25" s="1"/>
  <c r="O258" i="25" s="1"/>
  <c r="O266" i="25" s="1"/>
  <c r="E595" i="25" a="1"/>
  <c r="E595" i="25" s="1"/>
  <c r="L205" i="25" a="1"/>
  <c r="L205" i="25" s="1"/>
  <c r="C123" i="25" a="1"/>
  <c r="C123" i="25" s="1"/>
  <c r="I291" i="25"/>
  <c r="H448" i="25"/>
  <c r="M103" i="25"/>
  <c r="I350" i="25"/>
  <c r="H491" i="25"/>
  <c r="E693" i="20"/>
  <c r="K694" i="20" s="1"/>
  <c r="K695" i="20" s="1"/>
  <c r="J350" i="25"/>
  <c r="D448" i="25"/>
  <c r="O291" i="25"/>
  <c r="C103" i="25"/>
  <c r="K432" i="25"/>
  <c r="J354" i="25"/>
  <c r="G415" i="25" a="1"/>
  <c r="G415" i="25" s="1"/>
  <c r="J393" i="25"/>
  <c r="J103" i="25"/>
  <c r="V304" i="10"/>
  <c r="V303" i="10" s="1"/>
  <c r="I385" i="25"/>
  <c r="D103" i="25"/>
  <c r="C321" i="25" a="1"/>
  <c r="C321" i="25" s="1"/>
  <c r="L321" i="25" a="1"/>
  <c r="L321" i="25" s="1"/>
  <c r="X1940" i="12"/>
  <c r="X1898" i="12" s="1"/>
  <c r="C462" i="25" a="1"/>
  <c r="C462" i="25" s="1"/>
  <c r="O283" i="25"/>
  <c r="K424" i="25"/>
  <c r="I448" i="25"/>
  <c r="N87" i="25"/>
  <c r="E444" i="25"/>
  <c r="F303" i="25"/>
  <c r="K287" i="25"/>
  <c r="K444" i="25"/>
  <c r="E307" i="25"/>
  <c r="L161" i="25"/>
  <c r="K385" i="25"/>
  <c r="J99" i="25"/>
  <c r="N103" i="25"/>
  <c r="M415" i="25" a="1"/>
  <c r="M415" i="25" s="1"/>
  <c r="J595" i="25" a="1"/>
  <c r="J595" i="25" s="1"/>
  <c r="H205" i="25" a="1"/>
  <c r="H205" i="25" s="1"/>
  <c r="I123" i="25" a="1"/>
  <c r="I123" i="25" s="1"/>
  <c r="G123" i="25" a="1"/>
  <c r="G123" i="25" s="1"/>
  <c r="F595" i="25" a="1"/>
  <c r="F595" i="25" s="1"/>
  <c r="J123" i="25" a="1"/>
  <c r="J123" i="25" s="1"/>
  <c r="F123" i="25" a="1"/>
  <c r="F123" i="25" s="1"/>
  <c r="M123" i="25" a="1"/>
  <c r="M123" i="25" s="1"/>
  <c r="K123" i="25" a="1"/>
  <c r="K123" i="25" s="1"/>
  <c r="N368" i="25" a="1"/>
  <c r="N368" i="25" s="1"/>
  <c r="I595" i="25" a="1"/>
  <c r="I595" i="25" s="1"/>
  <c r="C205" i="25" a="1"/>
  <c r="C205" i="25" s="1"/>
  <c r="D205" i="25" a="1"/>
  <c r="D205" i="25" s="1"/>
  <c r="E123" i="25" a="1"/>
  <c r="E123" i="25" s="1"/>
  <c r="H123" i="25" a="1"/>
  <c r="H123" i="25" s="1"/>
  <c r="P415" i="25" a="1"/>
  <c r="P415" i="25" s="1"/>
  <c r="G595" i="25" a="1"/>
  <c r="G595" i="25" s="1"/>
  <c r="G205" i="25" a="1"/>
  <c r="G205" i="25" s="1"/>
  <c r="D123" i="25" a="1"/>
  <c r="D123" i="25" s="1"/>
  <c r="L291" i="25"/>
  <c r="M83" i="25"/>
  <c r="J509" i="25" a="1"/>
  <c r="J509" i="25" s="1"/>
  <c r="H595" i="25" a="1"/>
  <c r="H595" i="25" s="1"/>
  <c r="E205" i="25" a="1"/>
  <c r="E205" i="25" s="1"/>
  <c r="K205" i="25" a="1"/>
  <c r="K205" i="25" s="1"/>
  <c r="L123" i="25" a="1"/>
  <c r="L123" i="25" s="1"/>
  <c r="M205" i="25" a="1"/>
  <c r="M205" i="25" s="1"/>
  <c r="D595" i="25" a="1"/>
  <c r="D595" i="25" s="1"/>
  <c r="C595" i="25" a="1"/>
  <c r="C595" i="25" s="1"/>
  <c r="F205" i="25" a="1"/>
  <c r="F205" i="25" s="1"/>
  <c r="I205" i="25" a="1"/>
  <c r="I205" i="25" s="1"/>
  <c r="F185" i="25"/>
  <c r="O354" i="25"/>
  <c r="J87" i="25"/>
  <c r="N169" i="25"/>
  <c r="I401" i="25"/>
  <c r="P48" i="25"/>
  <c r="E330" i="25"/>
  <c r="K495" i="25"/>
  <c r="F307" i="25"/>
  <c r="I103" i="25"/>
  <c r="J495" i="25"/>
  <c r="L428" i="25"/>
  <c r="O330" i="25"/>
  <c r="F99" i="25"/>
  <c r="H385" i="25"/>
  <c r="E401" i="25"/>
  <c r="I495" i="25"/>
  <c r="E354" i="25"/>
  <c r="H495" i="25"/>
  <c r="G99" i="25"/>
  <c r="L99" i="25"/>
  <c r="L169" i="25"/>
  <c r="J381" i="25"/>
  <c r="O169" i="25"/>
  <c r="M401" i="25"/>
  <c r="K79" i="25"/>
  <c r="C471" i="25"/>
  <c r="L79" i="25"/>
  <c r="J448" i="25"/>
  <c r="G307" i="25"/>
  <c r="L495" i="25"/>
  <c r="P321" i="25" a="1"/>
  <c r="P321" i="25" s="1"/>
  <c r="C287" i="25"/>
  <c r="E99" i="25"/>
  <c r="I169" i="25"/>
  <c r="H381" i="25"/>
  <c r="N283" i="25"/>
  <c r="K330" i="25"/>
  <c r="C495" i="25"/>
  <c r="G334" i="25"/>
  <c r="I491" i="25"/>
  <c r="N291" i="25"/>
  <c r="N303" i="25"/>
  <c r="N307" i="25"/>
  <c r="J54" i="25"/>
  <c r="X1477" i="12"/>
  <c r="X1634" i="12" s="1"/>
  <c r="J415" i="25" a="1"/>
  <c r="J415" i="25" s="1"/>
  <c r="D358" i="25" a="1"/>
  <c r="D358" i="25" s="1"/>
  <c r="X1567" i="12"/>
  <c r="X1636" i="12" s="1"/>
  <c r="X1444" i="12"/>
  <c r="X1632" i="12" s="1"/>
  <c r="I56" i="25"/>
  <c r="E462" i="25" a="1"/>
  <c r="E462" i="25" s="1"/>
  <c r="H321" i="25" a="1"/>
  <c r="H321" i="25" s="1"/>
  <c r="J368" i="25" a="1"/>
  <c r="J368" i="25" s="1"/>
  <c r="E334" i="25"/>
  <c r="F509" i="25" a="1"/>
  <c r="F509" i="25" s="1"/>
  <c r="K509" i="25" a="1"/>
  <c r="K509" i="25" s="1"/>
  <c r="D415" i="25" a="1"/>
  <c r="D415" i="25" s="1"/>
  <c r="I368" i="25" a="1"/>
  <c r="I368" i="25" s="1"/>
  <c r="I358" i="25" a="1"/>
  <c r="I358" i="25" s="1"/>
  <c r="O462" i="25" a="1"/>
  <c r="O462" i="25" s="1"/>
  <c r="O415" i="25" a="1"/>
  <c r="O415" i="25" s="1"/>
  <c r="D368" i="25" a="1"/>
  <c r="D368" i="25" s="1"/>
  <c r="O321" i="25" a="1"/>
  <c r="O321" i="25" s="1"/>
  <c r="F321" i="25" a="1"/>
  <c r="F321" i="25" s="1"/>
  <c r="I462" i="25" a="1"/>
  <c r="I462" i="25" s="1"/>
  <c r="D462" i="25" a="1"/>
  <c r="D462" i="25" s="1"/>
  <c r="J462" i="25" a="1"/>
  <c r="J462" i="25" s="1"/>
  <c r="J424" i="25"/>
  <c r="O509" i="25" a="1"/>
  <c r="O509" i="25" s="1"/>
  <c r="C415" i="25" a="1"/>
  <c r="C415" i="25" s="1"/>
  <c r="E509" i="25" a="1"/>
  <c r="E509" i="25" s="1"/>
  <c r="F462" i="25" a="1"/>
  <c r="F462" i="25" s="1"/>
  <c r="K321" i="25" a="1"/>
  <c r="K321" i="25" s="1"/>
  <c r="G509" i="25" a="1"/>
  <c r="G509" i="25" s="1"/>
  <c r="N509" i="25" a="1"/>
  <c r="N509" i="25" s="1"/>
  <c r="H509" i="25" a="1"/>
  <c r="H509" i="25" s="1"/>
  <c r="N321" i="25" a="1"/>
  <c r="N321" i="25" s="1"/>
  <c r="E415" i="25" a="1"/>
  <c r="E415" i="25" s="1"/>
  <c r="J321" i="25" a="1"/>
  <c r="J321" i="25" s="1"/>
  <c r="H368" i="25" a="1"/>
  <c r="H368" i="25" s="1"/>
  <c r="G321" i="25" a="1"/>
  <c r="G321" i="25" s="1"/>
  <c r="I509" i="25" a="1"/>
  <c r="I509" i="25" s="1"/>
  <c r="I321" i="25" a="1"/>
  <c r="I321" i="25" s="1"/>
  <c r="D199" i="25" a="1"/>
  <c r="D199" i="25" s="1"/>
  <c r="D211" i="25" s="1"/>
  <c r="L462" i="25" a="1"/>
  <c r="L462" i="25" s="1"/>
  <c r="F368" i="25" a="1"/>
  <c r="F368" i="25" s="1"/>
  <c r="P509" i="25" a="1"/>
  <c r="P509" i="25" s="1"/>
  <c r="N462" i="25" a="1"/>
  <c r="N462" i="25" s="1"/>
  <c r="M462" i="25" a="1"/>
  <c r="M462" i="25" s="1"/>
  <c r="H462" i="25" a="1"/>
  <c r="H462" i="25" s="1"/>
  <c r="O368" i="25" a="1"/>
  <c r="O368" i="25" s="1"/>
  <c r="P462" i="25" a="1"/>
  <c r="P462" i="25" s="1"/>
  <c r="E368" i="25" a="1"/>
  <c r="E368" i="25" s="1"/>
  <c r="M368" i="25" a="1"/>
  <c r="M368" i="25" s="1"/>
  <c r="E321" i="25" a="1"/>
  <c r="E321" i="25" s="1"/>
  <c r="L415" i="25" a="1"/>
  <c r="L415" i="25" s="1"/>
  <c r="H415" i="25" a="1"/>
  <c r="H415" i="25" s="1"/>
  <c r="F415" i="25" a="1"/>
  <c r="F415" i="25" s="1"/>
  <c r="K462" i="25" a="1"/>
  <c r="K462" i="25" s="1"/>
  <c r="P368" i="25" a="1"/>
  <c r="P368" i="25" s="1"/>
  <c r="D321" i="25" a="1"/>
  <c r="D321" i="25" s="1"/>
  <c r="C368" i="25" a="1"/>
  <c r="C368" i="25" s="1"/>
  <c r="C509" i="25" a="1"/>
  <c r="C509" i="25" s="1"/>
  <c r="M321" i="25" a="1"/>
  <c r="M321" i="25" s="1"/>
  <c r="L509" i="25" a="1"/>
  <c r="L509" i="25" s="1"/>
  <c r="G462" i="25" a="1"/>
  <c r="G462" i="25" s="1"/>
  <c r="L368" i="25" a="1"/>
  <c r="L368" i="25" s="1"/>
  <c r="N415" i="25" a="1"/>
  <c r="N415" i="25" s="1"/>
  <c r="M199" i="25" a="1"/>
  <c r="M199" i="25" s="1"/>
  <c r="M211" i="25" s="1"/>
  <c r="I330" i="25"/>
  <c r="I377" i="25"/>
  <c r="E397" i="25"/>
  <c r="D509" i="25" a="1"/>
  <c r="D509" i="25" s="1"/>
  <c r="M509" i="25" a="1"/>
  <c r="M509" i="25" s="1"/>
  <c r="G368" i="25" a="1"/>
  <c r="G368" i="25" s="1"/>
  <c r="I415" i="25" a="1"/>
  <c r="I415" i="25" s="1"/>
  <c r="K368" i="25" a="1"/>
  <c r="K368" i="25" s="1"/>
  <c r="K415" i="25" a="1"/>
  <c r="K415" i="25" s="1"/>
  <c r="C283" i="25"/>
  <c r="O83" i="25"/>
  <c r="L330" i="25"/>
  <c r="M385" i="25"/>
  <c r="K291" i="25"/>
  <c r="C307" i="25"/>
  <c r="O377" i="25"/>
  <c r="G181" i="25"/>
  <c r="M291" i="25"/>
  <c r="L103" i="25"/>
  <c r="H87" i="25"/>
  <c r="F199" i="25" a="1"/>
  <c r="F199" i="25" s="1"/>
  <c r="F211" i="25" s="1"/>
  <c r="F334" i="25"/>
  <c r="G83" i="25"/>
  <c r="F397" i="25"/>
  <c r="N377" i="25"/>
  <c r="G495" i="25"/>
  <c r="O448" i="25"/>
  <c r="K199" i="25" a="1"/>
  <c r="K199" i="25" s="1"/>
  <c r="K211" i="25" s="1"/>
  <c r="K381" i="25"/>
  <c r="D491" i="25"/>
  <c r="F491" i="25"/>
  <c r="H181" i="25"/>
  <c r="V1646" i="12"/>
  <c r="C83" i="25"/>
  <c r="I283" i="25"/>
  <c r="F401" i="25"/>
  <c r="M432" i="25"/>
  <c r="M499" i="25" a="1"/>
  <c r="M499" i="25" s="1"/>
  <c r="X1601" i="12"/>
  <c r="X1637" i="12" s="1"/>
  <c r="X1468" i="12"/>
  <c r="X1633" i="12" s="1"/>
  <c r="X1522" i="12"/>
  <c r="X1635" i="12" s="1"/>
  <c r="P358" i="25" a="1"/>
  <c r="P358" i="25" s="1"/>
  <c r="X206" i="20"/>
  <c r="P499" i="25" a="1"/>
  <c r="P499" i="25" s="1"/>
  <c r="J307" i="25"/>
  <c r="L405" i="25" a="1"/>
  <c r="L405" i="25" s="1"/>
  <c r="E405" i="25" a="1"/>
  <c r="E405" i="25" s="1"/>
  <c r="O491" i="25"/>
  <c r="I424" i="25"/>
  <c r="M424" i="25"/>
  <c r="L287" i="25"/>
  <c r="F448" i="25"/>
  <c r="D307" i="25"/>
  <c r="D185" i="25"/>
  <c r="L185" i="25"/>
  <c r="G448" i="25"/>
  <c r="O444" i="25"/>
  <c r="C350" i="25"/>
  <c r="C161" i="25"/>
  <c r="G330" i="25"/>
  <c r="H25" i="25"/>
  <c r="C291" i="25"/>
  <c r="J377" i="25"/>
  <c r="M330" i="25"/>
  <c r="K165" i="25"/>
  <c r="J56" i="25"/>
  <c r="G479" i="25"/>
  <c r="G432" i="25"/>
  <c r="E103" i="25"/>
  <c r="F432" i="25"/>
  <c r="F381" i="25"/>
  <c r="I199" i="25" a="1"/>
  <c r="I199" i="25" s="1"/>
  <c r="I211" i="25" s="1"/>
  <c r="H405" i="25" a="1"/>
  <c r="H405" i="25" s="1"/>
  <c r="L452" i="25" a="1"/>
  <c r="L452" i="25" s="1"/>
  <c r="M283" i="25"/>
  <c r="M381" i="25"/>
  <c r="J334" i="25"/>
  <c r="C199" i="25" a="1"/>
  <c r="C199" i="25" s="1"/>
  <c r="C211" i="25" s="1"/>
  <c r="G199" i="25" a="1"/>
  <c r="G199" i="25" s="1"/>
  <c r="G211" i="25" s="1"/>
  <c r="E117" i="25" a="1"/>
  <c r="E117" i="25" s="1"/>
  <c r="E129" i="25" s="1"/>
  <c r="F117" i="25" a="1"/>
  <c r="F117" i="25" s="1"/>
  <c r="F129" i="25" s="1"/>
  <c r="M117" i="25" a="1"/>
  <c r="M117" i="25" s="1"/>
  <c r="M129" i="25" s="1"/>
  <c r="M107" i="25" a="1"/>
  <c r="M107" i="25" s="1"/>
  <c r="M128" i="25" s="1"/>
  <c r="G117" i="25" a="1"/>
  <c r="G117" i="25" s="1"/>
  <c r="G129" i="25" s="1"/>
  <c r="L117" i="25" a="1"/>
  <c r="L117" i="25" s="1"/>
  <c r="L129" i="25" s="1"/>
  <c r="I117" i="25" a="1"/>
  <c r="I117" i="25" s="1"/>
  <c r="I129" i="25" s="1"/>
  <c r="J117" i="25" a="1"/>
  <c r="J117" i="25" s="1"/>
  <c r="J129" i="25" s="1"/>
  <c r="H117" i="25" a="1"/>
  <c r="H117" i="25" s="1"/>
  <c r="H129" i="25" s="1"/>
  <c r="J199" i="25" a="1"/>
  <c r="J199" i="25" s="1"/>
  <c r="J211" i="25" s="1"/>
  <c r="H338" i="25"/>
  <c r="K117" i="25" a="1"/>
  <c r="K117" i="25" s="1"/>
  <c r="K129" i="25" s="1"/>
  <c r="D117" i="25" a="1"/>
  <c r="D117" i="25" s="1"/>
  <c r="D129" i="25" s="1"/>
  <c r="X1942" i="12"/>
  <c r="X1900" i="12" s="1"/>
  <c r="H199" i="25" a="1"/>
  <c r="H199" i="25" s="1"/>
  <c r="E199" i="25" a="1"/>
  <c r="E199" i="25" s="1"/>
  <c r="C117" i="25" a="1"/>
  <c r="C117" i="25" s="1"/>
  <c r="C129" i="25" s="1"/>
  <c r="N29" i="25"/>
  <c r="F103" i="25"/>
  <c r="L199" i="25" a="1"/>
  <c r="L199" i="25" s="1"/>
  <c r="L211" i="25" s="1"/>
  <c r="K59" i="25"/>
  <c r="I99" i="25"/>
  <c r="L56" i="25"/>
  <c r="L303" i="25"/>
  <c r="O471" i="25"/>
  <c r="C377" i="25"/>
  <c r="N83" i="25"/>
  <c r="E283" i="25"/>
  <c r="F338" i="25"/>
  <c r="H334" i="25"/>
  <c r="C165" i="25"/>
  <c r="D181" i="25"/>
  <c r="E165" i="25"/>
  <c r="F87" i="25"/>
  <c r="O181" i="25"/>
  <c r="D475" i="25"/>
  <c r="E181" i="25"/>
  <c r="H471" i="25"/>
  <c r="N161" i="25"/>
  <c r="J283" i="25"/>
  <c r="J287" i="25"/>
  <c r="J428" i="25"/>
  <c r="N79" i="25"/>
  <c r="J475" i="25"/>
  <c r="O103" i="25"/>
  <c r="H303" i="25"/>
  <c r="D54" i="25"/>
  <c r="G385" i="25"/>
  <c r="I54" i="25"/>
  <c r="C46" i="25"/>
  <c r="J169" i="25"/>
  <c r="H169" i="25"/>
  <c r="L385" i="25"/>
  <c r="F189" i="25" a="1"/>
  <c r="F189" i="25" s="1"/>
  <c r="F210" i="25" s="1"/>
  <c r="G287" i="25"/>
  <c r="I338" i="25"/>
  <c r="N428" i="25"/>
  <c r="I428" i="25"/>
  <c r="M303" i="25"/>
  <c r="N181" i="25"/>
  <c r="F444" i="25"/>
  <c r="J491" i="25"/>
  <c r="M169" i="25"/>
  <c r="M354" i="25"/>
  <c r="O358" i="25" a="1"/>
  <c r="O358" i="25" s="1"/>
  <c r="J405" i="25" a="1"/>
  <c r="J405" i="25" s="1"/>
  <c r="G358" i="25" a="1"/>
  <c r="G358" i="25" s="1"/>
  <c r="F358" i="25" a="1"/>
  <c r="F358" i="25" s="1"/>
  <c r="G499" i="25" a="1"/>
  <c r="G499" i="25" s="1"/>
  <c r="J499" i="25" a="1"/>
  <c r="J499" i="25" s="1"/>
  <c r="N499" i="25" a="1"/>
  <c r="N499" i="25" s="1"/>
  <c r="D405" i="25" a="1"/>
  <c r="D405" i="25" s="1"/>
  <c r="I452" i="25" a="1"/>
  <c r="I452" i="25" s="1"/>
  <c r="P311" i="25" a="1"/>
  <c r="P311" i="25" s="1"/>
  <c r="F499" i="25" a="1"/>
  <c r="F499" i="25" s="1"/>
  <c r="D499" i="25" a="1"/>
  <c r="D499" i="25" s="1"/>
  <c r="I107" i="25" a="1"/>
  <c r="I107" i="25" s="1"/>
  <c r="I128" i="25" s="1"/>
  <c r="J189" i="25" a="1"/>
  <c r="J189" i="25" s="1"/>
  <c r="J210" i="25" s="1"/>
  <c r="L45" i="25"/>
  <c r="C185" i="25"/>
  <c r="O452" i="25" a="1"/>
  <c r="O452" i="25" s="1"/>
  <c r="K311" i="25" a="1"/>
  <c r="K311" i="25" s="1"/>
  <c r="H499" i="25" a="1"/>
  <c r="H499" i="25" s="1"/>
  <c r="L358" i="25" a="1"/>
  <c r="L358" i="25" s="1"/>
  <c r="C405" i="25" a="1"/>
  <c r="C405" i="25" s="1"/>
  <c r="I405" i="25" a="1"/>
  <c r="I405" i="25" s="1"/>
  <c r="P405" i="25" a="1"/>
  <c r="P405" i="25" s="1"/>
  <c r="P452" i="25" a="1"/>
  <c r="P452" i="25" s="1"/>
  <c r="K452" i="25" a="1"/>
  <c r="K452" i="25" s="1"/>
  <c r="L311" i="25" a="1"/>
  <c r="L311" i="25" s="1"/>
  <c r="O311" i="25" a="1"/>
  <c r="O311" i="25" s="1"/>
  <c r="O405" i="25" a="1"/>
  <c r="O405" i="25" s="1"/>
  <c r="C189" i="25" a="1"/>
  <c r="C189" i="25" s="1"/>
  <c r="C210" i="25" s="1"/>
  <c r="D189" i="25" a="1"/>
  <c r="D189" i="25" s="1"/>
  <c r="D210" i="25" s="1"/>
  <c r="E107" i="25" a="1"/>
  <c r="E107" i="25" s="1"/>
  <c r="E128" i="25" s="1"/>
  <c r="M189" i="25" a="1"/>
  <c r="M189" i="25" s="1"/>
  <c r="M210" i="25" s="1"/>
  <c r="I287" i="25"/>
  <c r="H397" i="25"/>
  <c r="G452" i="25" a="1"/>
  <c r="G452" i="25" s="1"/>
  <c r="N452" i="25" a="1"/>
  <c r="N452" i="25" s="1"/>
  <c r="E452" i="25" a="1"/>
  <c r="E452" i="25" s="1"/>
  <c r="C452" i="25" a="1"/>
  <c r="C452" i="25" s="1"/>
  <c r="J107" i="25" a="1"/>
  <c r="J107" i="25" s="1"/>
  <c r="J128" i="25" s="1"/>
  <c r="G107" i="25" a="1"/>
  <c r="G107" i="25" s="1"/>
  <c r="G128" i="25" s="1"/>
  <c r="C107" i="25" a="1"/>
  <c r="C107" i="25" s="1"/>
  <c r="C128" i="25" s="1"/>
  <c r="G189" i="25" a="1"/>
  <c r="G189" i="25" s="1"/>
  <c r="G210" i="25" s="1"/>
  <c r="D107" i="25" a="1"/>
  <c r="D107" i="25" s="1"/>
  <c r="D128" i="25" s="1"/>
  <c r="I189" i="25" a="1"/>
  <c r="I189" i="25" s="1"/>
  <c r="I210" i="25" s="1"/>
  <c r="H358" i="25" a="1"/>
  <c r="H358" i="25" s="1"/>
  <c r="M452" i="25" a="1"/>
  <c r="M452" i="25" s="1"/>
  <c r="I311" i="25" a="1"/>
  <c r="I311" i="25" s="1"/>
  <c r="E499" i="25" a="1"/>
  <c r="E499" i="25" s="1"/>
  <c r="J452" i="25" a="1"/>
  <c r="J452" i="25" s="1"/>
  <c r="M311" i="25" a="1"/>
  <c r="M311" i="25" s="1"/>
  <c r="C358" i="25" a="1"/>
  <c r="C358" i="25" s="1"/>
  <c r="K189" i="25" a="1"/>
  <c r="K189" i="25" s="1"/>
  <c r="K210" i="25" s="1"/>
  <c r="H189" i="25" a="1"/>
  <c r="H189" i="25" s="1"/>
  <c r="H210" i="25" s="1"/>
  <c r="L189" i="25" a="1"/>
  <c r="L189" i="25" s="1"/>
  <c r="L210" i="25" s="1"/>
  <c r="H107" i="25" a="1"/>
  <c r="H107" i="25" s="1"/>
  <c r="H128" i="25" s="1"/>
  <c r="L424" i="25"/>
  <c r="F291" i="25"/>
  <c r="O87" i="25"/>
  <c r="M358" i="25" a="1"/>
  <c r="M358" i="25" s="1"/>
  <c r="E311" i="25" a="1"/>
  <c r="E311" i="25" s="1"/>
  <c r="J358" i="25" a="1"/>
  <c r="J358" i="25" s="1"/>
  <c r="N405" i="25" a="1"/>
  <c r="N405" i="25" s="1"/>
  <c r="F311" i="25" a="1"/>
  <c r="F311" i="25" s="1"/>
  <c r="C311" i="25" a="1"/>
  <c r="C311" i="25" s="1"/>
  <c r="C499" i="25" a="1"/>
  <c r="C499" i="25" s="1"/>
  <c r="N311" i="25" a="1"/>
  <c r="N311" i="25" s="1"/>
  <c r="K499" i="25" a="1"/>
  <c r="K499" i="25" s="1"/>
  <c r="E358" i="25" a="1"/>
  <c r="E358" i="25" s="1"/>
  <c r="L499" i="25" a="1"/>
  <c r="L499" i="25" s="1"/>
  <c r="F452" i="25" a="1"/>
  <c r="F452" i="25" s="1"/>
  <c r="I499" i="25" a="1"/>
  <c r="I499" i="25" s="1"/>
  <c r="G311" i="25" a="1"/>
  <c r="G311" i="25" s="1"/>
  <c r="D452" i="25" a="1"/>
  <c r="D452" i="25" s="1"/>
  <c r="K405" i="25" a="1"/>
  <c r="K405" i="25" s="1"/>
  <c r="O499" i="25" a="1"/>
  <c r="O499" i="25" s="1"/>
  <c r="M405" i="25" a="1"/>
  <c r="M405" i="25" s="1"/>
  <c r="D311" i="25" a="1"/>
  <c r="D311" i="25" s="1"/>
  <c r="H311" i="25" a="1"/>
  <c r="H311" i="25" s="1"/>
  <c r="H452" i="25" a="1"/>
  <c r="H452" i="25" s="1"/>
  <c r="J311" i="25" a="1"/>
  <c r="J311" i="25" s="1"/>
  <c r="K107" i="25" a="1"/>
  <c r="K107" i="25" s="1"/>
  <c r="K128" i="25" s="1"/>
  <c r="L107" i="25" a="1"/>
  <c r="L107" i="25" s="1"/>
  <c r="L128" i="25" s="1"/>
  <c r="J181" i="25"/>
  <c r="H401" i="25"/>
  <c r="H103" i="25"/>
  <c r="K358" i="25" a="1"/>
  <c r="K358" i="25" s="1"/>
  <c r="N358" i="25" a="1"/>
  <c r="N358" i="25" s="1"/>
  <c r="G405" i="25" a="1"/>
  <c r="G405" i="25" s="1"/>
  <c r="F405" i="25" a="1"/>
  <c r="F405" i="25" s="1"/>
  <c r="E189" i="25" a="1"/>
  <c r="E189" i="25" s="1"/>
  <c r="E210" i="25" s="1"/>
  <c r="F107" i="25" a="1"/>
  <c r="F107" i="25" s="1"/>
  <c r="F128" i="25" s="1"/>
  <c r="I185" i="25"/>
  <c r="L401" i="25"/>
  <c r="N354" i="25"/>
  <c r="D350" i="25"/>
  <c r="I432" i="25"/>
  <c r="O397" i="25"/>
  <c r="C491" i="25"/>
  <c r="D479" i="25"/>
  <c r="N424" i="25"/>
  <c r="W1886" i="12"/>
  <c r="C181" i="25"/>
  <c r="X805" i="16"/>
  <c r="M377" i="25"/>
  <c r="K99" i="25"/>
  <c r="K428" i="25"/>
  <c r="F83" i="25"/>
  <c r="E41" i="25"/>
  <c r="D303" i="25"/>
  <c r="G87" i="25"/>
  <c r="O30" i="25"/>
  <c r="F475" i="25"/>
  <c r="C99" i="25"/>
  <c r="D397" i="25"/>
  <c r="O287" i="25"/>
  <c r="M475" i="25"/>
  <c r="M165" i="25"/>
  <c r="M59" i="25"/>
  <c r="E56" i="25"/>
  <c r="F495" i="25"/>
  <c r="O338" i="25"/>
  <c r="L55" i="25"/>
  <c r="I303" i="25"/>
  <c r="J41" i="25"/>
  <c r="K303" i="25"/>
  <c r="K338" i="25"/>
  <c r="J303" i="25"/>
  <c r="H354" i="25"/>
  <c r="K448" i="25"/>
  <c r="L448" i="25"/>
  <c r="D41" i="25"/>
  <c r="E381" i="25"/>
  <c r="K46" i="25"/>
  <c r="N334" i="25"/>
  <c r="C57" i="25"/>
  <c r="B575" i="25" s="1"/>
  <c r="N338" i="25"/>
  <c r="O381" i="25"/>
  <c r="N21" i="25"/>
  <c r="E83" i="25"/>
  <c r="I444" i="25"/>
  <c r="N491" i="25"/>
  <c r="N479" i="25"/>
  <c r="M161" i="25"/>
  <c r="O185" i="25"/>
  <c r="D377" i="25"/>
  <c r="I397" i="25"/>
  <c r="H475" i="25"/>
  <c r="K283" i="25"/>
  <c r="C401" i="25"/>
  <c r="O401" i="25"/>
  <c r="K491" i="25"/>
  <c r="K401" i="25"/>
  <c r="D83" i="25"/>
  <c r="D283" i="25"/>
  <c r="M56" i="25"/>
  <c r="M307" i="25"/>
  <c r="H479" i="25"/>
  <c r="M448" i="25"/>
  <c r="I181" i="25"/>
  <c r="K334" i="25"/>
  <c r="N495" i="25"/>
  <c r="O475" i="25"/>
  <c r="O165" i="25"/>
  <c r="E338" i="25"/>
  <c r="O479" i="25"/>
  <c r="G424" i="25"/>
  <c r="E169" i="25"/>
  <c r="F45" i="25"/>
  <c r="K181" i="25"/>
  <c r="J401" i="25"/>
  <c r="D22" i="25"/>
  <c r="F385" i="25"/>
  <c r="J59" i="25"/>
  <c r="E303" i="25"/>
  <c r="J79" i="25"/>
  <c r="J25" i="25"/>
  <c r="G338" i="25"/>
  <c r="G185" i="25"/>
  <c r="H83" i="25"/>
  <c r="L46" i="25"/>
  <c r="E45" i="25"/>
  <c r="G103" i="25"/>
  <c r="H45" i="25"/>
  <c r="J338" i="25"/>
  <c r="M397" i="25"/>
  <c r="L350" i="25"/>
  <c r="E291" i="25"/>
  <c r="L479" i="25"/>
  <c r="J42" i="25"/>
  <c r="K307" i="25"/>
  <c r="L30" i="25"/>
  <c r="N46" i="25"/>
  <c r="N432" i="25"/>
  <c r="K354" i="25"/>
  <c r="J397" i="25"/>
  <c r="K87" i="25"/>
  <c r="E185" i="25"/>
  <c r="F46" i="25"/>
  <c r="K57" i="25"/>
  <c r="L87" i="25"/>
  <c r="W1641" i="12"/>
  <c r="W1651" i="12" s="1"/>
  <c r="W250" i="20" s="1"/>
  <c r="K22" i="25"/>
  <c r="F354" i="25"/>
  <c r="H185" i="25"/>
  <c r="K29" i="25"/>
  <c r="L354" i="25"/>
  <c r="L397" i="25"/>
  <c r="N448" i="25"/>
  <c r="E25" i="25"/>
  <c r="F377" i="25"/>
  <c r="H29" i="25"/>
  <c r="J185" i="25"/>
  <c r="C428" i="25"/>
  <c r="F283" i="25"/>
  <c r="J95" i="25"/>
  <c r="I346" i="25"/>
  <c r="C79" i="25"/>
  <c r="F161" i="25"/>
  <c r="D424" i="25"/>
  <c r="F471" i="25"/>
  <c r="F79" i="25"/>
  <c r="E428" i="25"/>
  <c r="K161" i="25"/>
  <c r="G161" i="25"/>
  <c r="O42" i="25"/>
  <c r="C385" i="25"/>
  <c r="E161" i="25"/>
  <c r="H330" i="25"/>
  <c r="G303" i="25"/>
  <c r="H30" i="25"/>
  <c r="E475" i="25"/>
  <c r="K41" i="25"/>
  <c r="G377" i="25"/>
  <c r="D79" i="25"/>
  <c r="I381" i="25"/>
  <c r="H165" i="25"/>
  <c r="C58" i="25"/>
  <c r="B576" i="25" s="1"/>
  <c r="L59" i="25"/>
  <c r="K54" i="25"/>
  <c r="N401" i="25"/>
  <c r="G46" i="25"/>
  <c r="M181" i="25"/>
  <c r="H46" i="25"/>
  <c r="M444" i="25"/>
  <c r="K479" i="25"/>
  <c r="N99" i="25"/>
  <c r="H444" i="25"/>
  <c r="O495" i="25"/>
  <c r="J45" i="25"/>
  <c r="D354" i="25"/>
  <c r="M491" i="25"/>
  <c r="M495" i="25"/>
  <c r="F428" i="25"/>
  <c r="F479" i="25"/>
  <c r="G444" i="25"/>
  <c r="E87" i="25"/>
  <c r="D165" i="25"/>
  <c r="H283" i="25"/>
  <c r="K56" i="25"/>
  <c r="C448" i="25"/>
  <c r="O303" i="25"/>
  <c r="J21" i="25"/>
  <c r="G381" i="25"/>
  <c r="J26" i="25"/>
  <c r="C397" i="25"/>
  <c r="H55" i="25"/>
  <c r="E479" i="25"/>
  <c r="G30" i="25"/>
  <c r="N385" i="25"/>
  <c r="H291" i="25"/>
  <c r="M46" i="25"/>
  <c r="C41" i="25"/>
  <c r="F330" i="25"/>
  <c r="D87" i="25"/>
  <c r="D99" i="25"/>
  <c r="H307" i="25"/>
  <c r="O46" i="25"/>
  <c r="N330" i="25"/>
  <c r="K42" i="25"/>
  <c r="H424" i="25"/>
  <c r="C381" i="25"/>
  <c r="N41" i="25"/>
  <c r="G475" i="25"/>
  <c r="I58" i="25"/>
  <c r="E54" i="25"/>
  <c r="X1943" i="12"/>
  <c r="X1901" i="12" s="1"/>
  <c r="K350" i="25"/>
  <c r="K328" i="25"/>
  <c r="G291" i="25"/>
  <c r="M42" i="25"/>
  <c r="I41" i="25"/>
  <c r="D21" i="25"/>
  <c r="J165" i="25"/>
  <c r="C29" i="25"/>
  <c r="C424" i="25"/>
  <c r="G22" i="25"/>
  <c r="G79" i="25"/>
  <c r="H99" i="25"/>
  <c r="N471" i="25"/>
  <c r="G471" i="25"/>
  <c r="I334" i="25"/>
  <c r="L58" i="25"/>
  <c r="G45" i="25"/>
  <c r="H58" i="25"/>
  <c r="H350" i="25"/>
  <c r="N45" i="25"/>
  <c r="J479" i="25"/>
  <c r="D471" i="25"/>
  <c r="I87" i="25"/>
  <c r="J83" i="25"/>
  <c r="E79" i="25"/>
  <c r="F59" i="25"/>
  <c r="O385" i="25"/>
  <c r="G57" i="25"/>
  <c r="E58" i="25"/>
  <c r="C56" i="25"/>
  <c r="B574" i="25" s="1"/>
  <c r="D56" i="25"/>
  <c r="F54" i="25"/>
  <c r="M54" i="25"/>
  <c r="H56" i="25"/>
  <c r="C54" i="25"/>
  <c r="B572" i="25" s="1"/>
  <c r="H54" i="25"/>
  <c r="I487" i="25"/>
  <c r="I30" i="25"/>
  <c r="H432" i="25"/>
  <c r="L165" i="25"/>
  <c r="O334" i="25"/>
  <c r="C169" i="25"/>
  <c r="H59" i="25"/>
  <c r="C59" i="25"/>
  <c r="B577" i="25" s="1"/>
  <c r="L22" i="25"/>
  <c r="C30" i="25"/>
  <c r="C338" i="25"/>
  <c r="D385" i="25"/>
  <c r="C334" i="25"/>
  <c r="F181" i="25"/>
  <c r="O428" i="25"/>
  <c r="F287" i="25"/>
  <c r="O41" i="25"/>
  <c r="C42" i="25"/>
  <c r="L21" i="25"/>
  <c r="M79" i="25"/>
  <c r="I21" i="25"/>
  <c r="D287" i="25"/>
  <c r="J330" i="25"/>
  <c r="H287" i="25"/>
  <c r="L83" i="25"/>
  <c r="X1160" i="12"/>
  <c r="X1170" i="12" s="1"/>
  <c r="X1171" i="12" s="1"/>
  <c r="K475" i="25"/>
  <c r="I83" i="25"/>
  <c r="K471" i="25"/>
  <c r="D59" i="25"/>
  <c r="G56" i="25"/>
  <c r="K58" i="25"/>
  <c r="E55" i="25"/>
  <c r="G354" i="25"/>
  <c r="E46" i="25"/>
  <c r="E42" i="25"/>
  <c r="M30" i="25"/>
  <c r="D55" i="25"/>
  <c r="O307" i="25"/>
  <c r="G350" i="25"/>
  <c r="M287" i="25"/>
  <c r="D46" i="25"/>
  <c r="I307" i="25"/>
  <c r="M41" i="25"/>
  <c r="C354" i="25"/>
  <c r="M185" i="25"/>
  <c r="L29" i="25"/>
  <c r="J432" i="25"/>
  <c r="J385" i="25"/>
  <c r="M350" i="25"/>
  <c r="K30" i="25"/>
  <c r="K185" i="25"/>
  <c r="M428" i="25"/>
  <c r="I46" i="25"/>
  <c r="D495" i="25"/>
  <c r="G169" i="25"/>
  <c r="D161" i="25"/>
  <c r="J29" i="25"/>
  <c r="E385" i="25"/>
  <c r="K377" i="25"/>
  <c r="I165" i="25"/>
  <c r="M26" i="25"/>
  <c r="K169" i="25"/>
  <c r="N30" i="25"/>
  <c r="G29" i="25"/>
  <c r="O161" i="25"/>
  <c r="F41" i="25"/>
  <c r="O432" i="25"/>
  <c r="I59" i="25"/>
  <c r="X1941" i="12"/>
  <c r="X1899" i="12" s="1"/>
  <c r="O99" i="25"/>
  <c r="G283" i="25"/>
  <c r="D26" i="25"/>
  <c r="O424" i="25"/>
  <c r="H161" i="25"/>
  <c r="L377" i="25"/>
  <c r="C432" i="25"/>
  <c r="G55" i="25"/>
  <c r="M479" i="25"/>
  <c r="M45" i="25"/>
  <c r="X699" i="16"/>
  <c r="J30" i="25"/>
  <c r="D45" i="25"/>
  <c r="D25" i="25"/>
  <c r="M99" i="25"/>
  <c r="C87" i="25"/>
  <c r="E30" i="25"/>
  <c r="J291" i="25"/>
  <c r="I45" i="25"/>
  <c r="E350" i="25"/>
  <c r="M22" i="25"/>
  <c r="K45" i="25"/>
  <c r="I26" i="25"/>
  <c r="O45" i="25"/>
  <c r="D401" i="25"/>
  <c r="I471" i="25"/>
  <c r="C45" i="25"/>
  <c r="G21" i="25"/>
  <c r="H41" i="25"/>
  <c r="J46" i="25"/>
  <c r="L26" i="25"/>
  <c r="G42" i="25"/>
  <c r="I25" i="25"/>
  <c r="O29" i="25"/>
  <c r="L432" i="25"/>
  <c r="F42" i="25"/>
  <c r="E495" i="25"/>
  <c r="X207" i="20"/>
  <c r="N22" i="25"/>
  <c r="X1881" i="12"/>
  <c r="X1891" i="12" s="1"/>
  <c r="L42" i="25"/>
  <c r="X1917" i="12"/>
  <c r="X1920" i="12" s="1"/>
  <c r="C25" i="25"/>
  <c r="H42" i="25"/>
  <c r="F30" i="25"/>
  <c r="D29" i="25"/>
  <c r="M29" i="25"/>
  <c r="M421" i="25"/>
  <c r="E287" i="25"/>
  <c r="F177" i="25"/>
  <c r="E57" i="25"/>
  <c r="O26" i="25"/>
  <c r="J22" i="25"/>
  <c r="L57" i="25"/>
  <c r="E59" i="25"/>
  <c r="F58" i="25"/>
  <c r="M55" i="25"/>
  <c r="G59" i="25"/>
  <c r="M57" i="25"/>
  <c r="J55" i="25"/>
  <c r="G58" i="25"/>
  <c r="F56" i="25"/>
  <c r="J57" i="25"/>
  <c r="J58" i="25"/>
  <c r="C55" i="25"/>
  <c r="B573" i="25" s="1"/>
  <c r="H57" i="25"/>
  <c r="K55" i="25"/>
  <c r="I55" i="25"/>
  <c r="G54" i="25"/>
  <c r="N25" i="25"/>
  <c r="E26" i="25"/>
  <c r="C303" i="25"/>
  <c r="I161" i="25"/>
  <c r="L381" i="25"/>
  <c r="D58" i="25"/>
  <c r="D57" i="25"/>
  <c r="F55" i="25"/>
  <c r="M58" i="25"/>
  <c r="O25" i="25"/>
  <c r="O22" i="25"/>
  <c r="O350" i="25"/>
  <c r="I29" i="25"/>
  <c r="F29" i="25"/>
  <c r="C22" i="25"/>
  <c r="H22" i="25"/>
  <c r="I57" i="25"/>
  <c r="F57" i="25"/>
  <c r="L54" i="25"/>
  <c r="N287" i="25"/>
  <c r="D42" i="25"/>
  <c r="G26" i="25"/>
  <c r="D432" i="25"/>
  <c r="D330" i="25"/>
  <c r="C444" i="25"/>
  <c r="H377" i="25"/>
  <c r="M25" i="25"/>
  <c r="I475" i="25"/>
  <c r="O21" i="25"/>
  <c r="C475" i="25"/>
  <c r="C26" i="25"/>
  <c r="G41" i="25"/>
  <c r="L444" i="25"/>
  <c r="F21" i="25"/>
  <c r="E471" i="25"/>
  <c r="F165" i="25"/>
  <c r="E432" i="25"/>
  <c r="C21" i="25"/>
  <c r="F25" i="25"/>
  <c r="L181" i="25"/>
  <c r="D30" i="25"/>
  <c r="F22" i="25"/>
  <c r="I479" i="25"/>
  <c r="F424" i="25"/>
  <c r="J471" i="25"/>
  <c r="M21" i="25"/>
  <c r="E377" i="25"/>
  <c r="H21" i="25"/>
  <c r="J161" i="25"/>
  <c r="K26" i="25"/>
  <c r="K25" i="25"/>
  <c r="N381" i="25"/>
  <c r="E21" i="25"/>
  <c r="H428" i="25"/>
  <c r="G428" i="25"/>
  <c r="G491" i="25"/>
  <c r="N26" i="25"/>
  <c r="F26" i="25"/>
  <c r="M334" i="25"/>
  <c r="M471" i="25"/>
  <c r="L25" i="25"/>
  <c r="K397" i="25"/>
  <c r="I22" i="25"/>
  <c r="L41" i="25"/>
  <c r="H79" i="25"/>
  <c r="K83" i="25"/>
  <c r="D338" i="25"/>
  <c r="N444" i="25"/>
  <c r="G25" i="25"/>
  <c r="N42" i="25"/>
  <c r="D444" i="25"/>
  <c r="K21" i="25"/>
  <c r="C330" i="25"/>
  <c r="H26" i="25"/>
  <c r="I42" i="25"/>
  <c r="E22" i="25"/>
  <c r="K375" i="25"/>
  <c r="E29" i="25"/>
  <c r="G165" i="25"/>
  <c r="J158" i="25"/>
  <c r="X333" i="16"/>
  <c r="W1165" i="12"/>
  <c r="W1172" i="12" s="1"/>
  <c r="Q15" i="10"/>
  <c r="Q34" i="18" s="1"/>
  <c r="P256" i="25"/>
  <c r="P255" i="25"/>
  <c r="P15" i="10"/>
  <c r="P34" i="18" s="1"/>
  <c r="O303" i="10"/>
  <c r="P136" i="25"/>
  <c r="P218" i="25"/>
  <c r="P135" i="25"/>
  <c r="P217" i="25"/>
  <c r="O220" i="25"/>
  <c r="O228" i="25" s="1"/>
  <c r="O56" i="25"/>
  <c r="H1697" i="16"/>
  <c r="I1690" i="16" a="1"/>
  <c r="I1690" i="16" s="1"/>
  <c r="X2069" i="16"/>
  <c r="O59" i="25"/>
  <c r="O58" i="25"/>
  <c r="O54" i="25"/>
  <c r="O55" i="25"/>
  <c r="O57" i="25"/>
  <c r="P196" i="25" a="1"/>
  <c r="P196" i="25" s="1"/>
  <c r="P193" i="25" a="1"/>
  <c r="P193" i="25" s="1"/>
  <c r="P198" i="25" a="1"/>
  <c r="P198" i="25" s="1"/>
  <c r="P115" i="25" a="1"/>
  <c r="P115" i="25" s="1"/>
  <c r="P199" i="25" a="1"/>
  <c r="P199" i="25" s="1"/>
  <c r="P195" i="25" a="1"/>
  <c r="P195" i="25" s="1"/>
  <c r="P117" i="25" a="1"/>
  <c r="P117" i="25" s="1"/>
  <c r="P197" i="25" a="1"/>
  <c r="P197" i="25" s="1"/>
  <c r="P111" i="25" a="1"/>
  <c r="P111" i="25" s="1"/>
  <c r="P112" i="25" a="1"/>
  <c r="P112" i="25" s="1"/>
  <c r="P113" i="25" a="1"/>
  <c r="P113" i="25" s="1"/>
  <c r="P114" i="25" a="1"/>
  <c r="P114" i="25" s="1"/>
  <c r="P205" i="25" a="1"/>
  <c r="P205" i="25" s="1"/>
  <c r="P189" i="25" a="1"/>
  <c r="P189" i="25" s="1"/>
  <c r="P210" i="25" s="1"/>
  <c r="P194" i="25" a="1"/>
  <c r="P194" i="25" s="1"/>
  <c r="P123" i="25" a="1"/>
  <c r="P123" i="25" s="1"/>
  <c r="P107" i="25" a="1"/>
  <c r="P107" i="25" s="1"/>
  <c r="P128" i="25" s="1"/>
  <c r="P116" i="25" a="1"/>
  <c r="P116" i="25" s="1"/>
  <c r="N1267" i="16"/>
  <c r="N1270" i="16" s="1"/>
  <c r="N264" i="16" s="1"/>
  <c r="M1270" i="16"/>
  <c r="D982" i="20"/>
  <c r="J978" i="20" a="1"/>
  <c r="J978" i="20" s="1"/>
  <c r="K15" i="10"/>
  <c r="K34" i="18" s="1"/>
  <c r="T15" i="10"/>
  <c r="T34" i="18" s="1"/>
  <c r="T39" i="18" s="1"/>
  <c r="M303" i="10"/>
  <c r="P303" i="10"/>
  <c r="R303" i="10"/>
  <c r="U146" i="10"/>
  <c r="U32" i="18" s="1"/>
  <c r="R15" i="10"/>
  <c r="R34" i="18" s="1"/>
  <c r="N303" i="10"/>
  <c r="L15" i="10"/>
  <c r="L34" i="18" s="1"/>
  <c r="M15" i="10"/>
  <c r="M34" i="18" s="1"/>
  <c r="M111" i="18" s="1"/>
  <c r="U39" i="18"/>
  <c r="R581" i="20"/>
  <c r="Q947" i="16"/>
  <c r="U186" i="16"/>
  <c r="U60" i="10" s="1"/>
  <c r="U348" i="10" s="1"/>
  <c r="U163" i="16"/>
  <c r="T303" i="10"/>
  <c r="W323" i="10"/>
  <c r="V15" i="10"/>
  <c r="V34" i="18" s="1"/>
  <c r="V111" i="18" s="1"/>
  <c r="L303" i="10"/>
  <c r="V179" i="16"/>
  <c r="V52" i="10" s="1"/>
  <c r="V340" i="10" s="1"/>
  <c r="V158" i="16"/>
  <c r="X111" i="12"/>
  <c r="X35" i="10" s="1"/>
  <c r="X323" i="10" s="1"/>
  <c r="V169" i="16"/>
  <c r="S56" i="10"/>
  <c r="T178" i="16"/>
  <c r="T51" i="10" s="1"/>
  <c r="T182" i="16"/>
  <c r="T180" i="16" s="1"/>
  <c r="O49" i="10"/>
  <c r="O48" i="10" s="1"/>
  <c r="O47" i="10" s="1"/>
  <c r="P680" i="20"/>
  <c r="Q680" i="20" s="1"/>
  <c r="Q682" i="20" s="1"/>
  <c r="O681" i="20"/>
  <c r="R946" i="16"/>
  <c r="U912" i="16"/>
  <c r="M976" i="16"/>
  <c r="O959" i="16"/>
  <c r="T57" i="10"/>
  <c r="V916" i="16"/>
  <c r="U83" i="16"/>
  <c r="T84" i="16"/>
  <c r="U86" i="16"/>
  <c r="U85" i="16"/>
  <c r="T55" i="10"/>
  <c r="T343" i="10" s="1"/>
  <c r="W1475" i="16"/>
  <c r="V1930" i="16"/>
  <c r="T579" i="20"/>
  <c r="U579" i="20" s="1"/>
  <c r="U581" i="20" s="1"/>
  <c r="P666" i="20"/>
  <c r="Q666" i="20" s="1"/>
  <c r="Q668" i="20" s="1"/>
  <c r="O667" i="20"/>
  <c r="N639" i="20"/>
  <c r="W1598" i="16"/>
  <c r="S1633" i="16"/>
  <c r="N653" i="20"/>
  <c r="O653" i="20" s="1"/>
  <c r="N632" i="20"/>
  <c r="N674" i="20"/>
  <c r="O674" i="20" s="1"/>
  <c r="T1612" i="16"/>
  <c r="X334" i="16"/>
  <c r="X791" i="16" s="1"/>
  <c r="X199" i="10" s="1"/>
  <c r="X1591" i="16"/>
  <c r="W1324" i="16"/>
  <c r="L873" i="20"/>
  <c r="L875" i="20" s="1"/>
  <c r="L866" i="20"/>
  <c r="L867" i="20" s="1"/>
  <c r="L859" i="20"/>
  <c r="M859" i="20" s="1"/>
  <c r="U1605" i="16"/>
  <c r="V1944" i="16"/>
  <c r="W1937" i="16"/>
  <c r="I328" i="25"/>
  <c r="G422" i="25"/>
  <c r="V1345" i="16"/>
  <c r="M159" i="25"/>
  <c r="H91" i="25"/>
  <c r="U1338" i="16"/>
  <c r="F1519" i="16"/>
  <c r="K1520" i="16" s="1"/>
  <c r="K1506" i="16" s="1"/>
  <c r="K369" i="16" s="1"/>
  <c r="P1640" i="16"/>
  <c r="Q109" i="20"/>
  <c r="Q1206" i="20" s="1"/>
  <c r="Q1204" i="20" s="1"/>
  <c r="Q1214" i="20" s="1"/>
  <c r="P948" i="16"/>
  <c r="Q1366" i="16"/>
  <c r="N1654" i="16"/>
  <c r="U109" i="20"/>
  <c r="U1206" i="20" s="1"/>
  <c r="U1204" i="20" s="1"/>
  <c r="U1214" i="20" s="1"/>
  <c r="M109" i="20"/>
  <c r="M1206" i="20" s="1"/>
  <c r="M1204" i="20" s="1"/>
  <c r="M1214" i="20" s="1"/>
  <c r="X109" i="20"/>
  <c r="X1206" i="20" s="1"/>
  <c r="X1204" i="20" s="1"/>
  <c r="X1214" i="20" s="1"/>
  <c r="P109" i="20"/>
  <c r="P1206" i="20" s="1"/>
  <c r="P1204" i="20" s="1"/>
  <c r="P1214" i="20" s="1"/>
  <c r="V1626" i="16"/>
  <c r="I95" i="25"/>
  <c r="O422" i="25"/>
  <c r="E714" i="20"/>
  <c r="K715" i="20" s="1"/>
  <c r="K716" i="20" s="1"/>
  <c r="N374" i="25"/>
  <c r="I295" i="25"/>
  <c r="N421" i="25"/>
  <c r="Q1647" i="16"/>
  <c r="E374" i="25"/>
  <c r="S109" i="20"/>
  <c r="S1206" i="20" s="1"/>
  <c r="S1204" i="20" s="1"/>
  <c r="S1214" i="20" s="1"/>
  <c r="K109" i="20"/>
  <c r="K1206" i="20" s="1"/>
  <c r="K1204" i="20" s="1"/>
  <c r="K1214" i="20" s="1"/>
  <c r="X1199" i="16"/>
  <c r="T109" i="20"/>
  <c r="T1206" i="20" s="1"/>
  <c r="T1204" i="20" s="1"/>
  <c r="T1214" i="20" s="1"/>
  <c r="L109" i="20"/>
  <c r="L1206" i="20" s="1"/>
  <c r="L1204" i="20" s="1"/>
  <c r="L1214" i="20" s="1"/>
  <c r="W1489" i="16"/>
  <c r="R109" i="20"/>
  <c r="R1206" i="20" s="1"/>
  <c r="R1204" i="20" s="1"/>
  <c r="R1214" i="20" s="1"/>
  <c r="I468" i="25"/>
  <c r="G77" i="25"/>
  <c r="F487" i="25"/>
  <c r="G95" i="25"/>
  <c r="K440" i="25"/>
  <c r="M440" i="25"/>
  <c r="F469" i="25"/>
  <c r="K421" i="25"/>
  <c r="M959" i="20"/>
  <c r="S1619" i="16"/>
  <c r="K177" i="25"/>
  <c r="W109" i="20"/>
  <c r="W1206" i="20" s="1"/>
  <c r="W1204" i="20" s="1"/>
  <c r="W1214" i="20" s="1"/>
  <c r="N109" i="20"/>
  <c r="N1206" i="20" s="1"/>
  <c r="N1204" i="20" s="1"/>
  <c r="N1214" i="20" s="1"/>
  <c r="V109" i="20"/>
  <c r="V1206" i="20" s="1"/>
  <c r="V1204" i="20" s="1"/>
  <c r="V1214" i="20" s="1"/>
  <c r="O109" i="20"/>
  <c r="O1206" i="20" s="1"/>
  <c r="O1204" i="20" s="1"/>
  <c r="O1214" i="20" s="1"/>
  <c r="P1227" i="16"/>
  <c r="Q1227" i="16" s="1"/>
  <c r="R1227" i="16" s="1"/>
  <c r="S1227" i="16" s="1"/>
  <c r="V1496" i="16"/>
  <c r="W1496" i="16" s="1"/>
  <c r="X1496" i="16" s="1"/>
  <c r="N280" i="25"/>
  <c r="S1220" i="16"/>
  <c r="T1220" i="16" s="1"/>
  <c r="U1220" i="16" s="1"/>
  <c r="H422" i="25"/>
  <c r="N299" i="25"/>
  <c r="X1185" i="16"/>
  <c r="V1206" i="16"/>
  <c r="W1206" i="16" s="1"/>
  <c r="K77" i="25"/>
  <c r="N375" i="25"/>
  <c r="F76" i="25"/>
  <c r="M280" i="25"/>
  <c r="M374" i="25"/>
  <c r="T1352" i="16"/>
  <c r="U1352" i="16" s="1"/>
  <c r="R1359" i="16"/>
  <c r="S1359" i="16" s="1"/>
  <c r="I374" i="25"/>
  <c r="E77" i="25"/>
  <c r="I422" i="25"/>
  <c r="H468" i="25"/>
  <c r="J77" i="25"/>
  <c r="L295" i="25"/>
  <c r="K95" i="25"/>
  <c r="D328" i="25"/>
  <c r="N440" i="25"/>
  <c r="N487" i="25"/>
  <c r="L177" i="25"/>
  <c r="L159" i="25"/>
  <c r="C158" i="25"/>
  <c r="I421" i="25"/>
  <c r="N281" i="25"/>
  <c r="N158" i="25"/>
  <c r="O487" i="25"/>
  <c r="I440" i="25"/>
  <c r="H487" i="25"/>
  <c r="G421" i="25"/>
  <c r="N76" i="25"/>
  <c r="F95" i="25"/>
  <c r="N177" i="25"/>
  <c r="N342" i="25"/>
  <c r="J342" i="25"/>
  <c r="E281" i="25"/>
  <c r="I327" i="25"/>
  <c r="O469" i="25"/>
  <c r="L374" i="25"/>
  <c r="L328" i="25"/>
  <c r="J76" i="25"/>
  <c r="H76" i="25"/>
  <c r="K393" i="25"/>
  <c r="F328" i="25"/>
  <c r="F346" i="25"/>
  <c r="H95" i="25"/>
  <c r="K374" i="25"/>
  <c r="H393" i="25"/>
  <c r="M299" i="25"/>
  <c r="C177" i="25"/>
  <c r="O77" i="25"/>
  <c r="M281" i="25"/>
  <c r="O177" i="25"/>
  <c r="J177" i="25"/>
  <c r="L440" i="25"/>
  <c r="G280" i="25"/>
  <c r="L421" i="25"/>
  <c r="G440" i="25"/>
  <c r="G483" i="25"/>
  <c r="O393" i="25"/>
  <c r="N95" i="25"/>
  <c r="K468" i="25"/>
  <c r="L76" i="25"/>
  <c r="M328" i="25"/>
  <c r="N327" i="25"/>
  <c r="M346" i="25"/>
  <c r="N393" i="25"/>
  <c r="L393" i="25"/>
  <c r="G299" i="25"/>
  <c r="N346" i="25"/>
  <c r="L95" i="25"/>
  <c r="K487" i="25"/>
  <c r="D327" i="25"/>
  <c r="I299" i="25"/>
  <c r="J468" i="25"/>
  <c r="F422" i="25"/>
  <c r="I281" i="25"/>
  <c r="D346" i="25"/>
  <c r="H299" i="25"/>
  <c r="L487" i="25"/>
  <c r="M95" i="25"/>
  <c r="H177" i="25"/>
  <c r="M393" i="25"/>
  <c r="M422" i="25"/>
  <c r="D159" i="25"/>
  <c r="I77" i="25"/>
  <c r="J374" i="25"/>
  <c r="J440" i="25"/>
  <c r="L280" i="25"/>
  <c r="C280" i="25"/>
  <c r="M37" i="25"/>
  <c r="M342" i="25"/>
  <c r="G177" i="25"/>
  <c r="J487" i="25"/>
  <c r="H375" i="25"/>
  <c r="H280" i="25"/>
  <c r="F440" i="25"/>
  <c r="L468" i="25"/>
  <c r="C77" i="25"/>
  <c r="J469" i="25"/>
  <c r="H37" i="25"/>
  <c r="M327" i="25"/>
  <c r="F327" i="25"/>
  <c r="K158" i="25"/>
  <c r="M77" i="25"/>
  <c r="O158" i="25"/>
  <c r="N37" i="25"/>
  <c r="E328" i="25"/>
  <c r="N159" i="25"/>
  <c r="L375" i="25"/>
  <c r="F468" i="25"/>
  <c r="G159" i="25"/>
  <c r="N469" i="25"/>
  <c r="L422" i="25"/>
  <c r="H346" i="25"/>
  <c r="K389" i="25"/>
  <c r="E159" i="25"/>
  <c r="C95" i="25"/>
  <c r="K37" i="25"/>
  <c r="E487" i="25"/>
  <c r="K299" i="25"/>
  <c r="L77" i="25"/>
  <c r="F281" i="25"/>
  <c r="L38" i="25"/>
  <c r="K469" i="25"/>
  <c r="I469" i="25"/>
  <c r="M487" i="25"/>
  <c r="O281" i="25"/>
  <c r="C328" i="25"/>
  <c r="M469" i="25"/>
  <c r="N38" i="25"/>
  <c r="N328" i="25"/>
  <c r="I159" i="25"/>
  <c r="K281" i="25"/>
  <c r="F77" i="25"/>
  <c r="F159" i="25"/>
  <c r="M38" i="25"/>
  <c r="L483" i="25"/>
  <c r="H173" i="25"/>
  <c r="J421" i="25"/>
  <c r="G468" i="25"/>
  <c r="D375" i="25"/>
  <c r="H389" i="25"/>
  <c r="D95" i="25"/>
  <c r="G76" i="25"/>
  <c r="C469" i="25"/>
  <c r="I280" i="25"/>
  <c r="D393" i="25"/>
  <c r="F393" i="25"/>
  <c r="L436" i="25"/>
  <c r="H374" i="25"/>
  <c r="O327" i="25"/>
  <c r="K483" i="25"/>
  <c r="E76" i="25"/>
  <c r="H38" i="25"/>
  <c r="C421" i="25"/>
  <c r="F374" i="25"/>
  <c r="J422" i="25"/>
  <c r="C299" i="25"/>
  <c r="J389" i="25"/>
  <c r="E346" i="25"/>
  <c r="M436" i="25"/>
  <c r="H159" i="25"/>
  <c r="D342" i="25"/>
  <c r="N436" i="25"/>
  <c r="E91" i="25"/>
  <c r="G295" i="25"/>
  <c r="C389" i="25"/>
  <c r="K327" i="25"/>
  <c r="C76" i="25"/>
  <c r="F421" i="25"/>
  <c r="C37" i="25"/>
  <c r="N77" i="25"/>
  <c r="F38" i="25"/>
  <c r="C346" i="25"/>
  <c r="I177" i="25"/>
  <c r="O346" i="25"/>
  <c r="O374" i="25"/>
  <c r="M483" i="25"/>
  <c r="G487" i="25"/>
  <c r="I389" i="25"/>
  <c r="E483" i="25"/>
  <c r="J280" i="25"/>
  <c r="O95" i="25"/>
  <c r="F299" i="25"/>
  <c r="N295" i="25"/>
  <c r="N483" i="25"/>
  <c r="C440" i="25"/>
  <c r="J328" i="25"/>
  <c r="C487" i="25"/>
  <c r="E469" i="25"/>
  <c r="H77" i="25"/>
  <c r="J281" i="25"/>
  <c r="O38" i="25"/>
  <c r="I158" i="25"/>
  <c r="N422" i="25"/>
  <c r="H158" i="25"/>
  <c r="J91" i="25"/>
  <c r="G281" i="25"/>
  <c r="J299" i="25"/>
  <c r="I34" i="25"/>
  <c r="M177" i="25"/>
  <c r="N468" i="25"/>
  <c r="I436" i="25"/>
  <c r="N173" i="25"/>
  <c r="O483" i="25"/>
  <c r="O421" i="25"/>
  <c r="D76" i="25"/>
  <c r="M173" i="25"/>
  <c r="J33" i="25"/>
  <c r="F37" i="25"/>
  <c r="L91" i="25"/>
  <c r="G91" i="25"/>
  <c r="F295" i="25"/>
  <c r="J173" i="25"/>
  <c r="C436" i="25"/>
  <c r="L158" i="25"/>
  <c r="G342" i="25"/>
  <c r="F173" i="25"/>
  <c r="D158" i="25"/>
  <c r="J483" i="25"/>
  <c r="H328" i="25"/>
  <c r="D177" i="25"/>
  <c r="E468" i="25"/>
  <c r="O159" i="25"/>
  <c r="D77" i="25"/>
  <c r="E375" i="25"/>
  <c r="F483" i="25"/>
  <c r="D295" i="25"/>
  <c r="F375" i="25"/>
  <c r="C375" i="25"/>
  <c r="D38" i="25"/>
  <c r="G393" i="25"/>
  <c r="E158" i="25"/>
  <c r="L299" i="25"/>
  <c r="E299" i="25"/>
  <c r="O37" i="25"/>
  <c r="I38" i="25"/>
  <c r="L37" i="25"/>
  <c r="E38" i="25"/>
  <c r="J346" i="25"/>
  <c r="E421" i="25"/>
  <c r="C374" i="25"/>
  <c r="C327" i="25"/>
  <c r="G375" i="25"/>
  <c r="K436" i="25"/>
  <c r="E440" i="25"/>
  <c r="L346" i="25"/>
  <c r="I173" i="25"/>
  <c r="D440" i="25"/>
  <c r="J327" i="25"/>
  <c r="O299" i="25"/>
  <c r="L281" i="25"/>
  <c r="E177" i="25"/>
  <c r="C393" i="25"/>
  <c r="G38" i="25"/>
  <c r="D422" i="25"/>
  <c r="K295" i="25"/>
  <c r="I375" i="25"/>
  <c r="I393" i="25"/>
  <c r="E280" i="25"/>
  <c r="G469" i="25"/>
  <c r="O280" i="25"/>
  <c r="L342" i="25"/>
  <c r="E436" i="25"/>
  <c r="G173" i="25"/>
  <c r="M91" i="25"/>
  <c r="E342" i="25"/>
  <c r="K91" i="25"/>
  <c r="C38" i="25"/>
  <c r="D281" i="25"/>
  <c r="J38" i="25"/>
  <c r="D299" i="25"/>
  <c r="E37" i="25"/>
  <c r="K346" i="25"/>
  <c r="G327" i="25"/>
  <c r="J37" i="25"/>
  <c r="D468" i="25"/>
  <c r="G37" i="25"/>
  <c r="K422" i="25"/>
  <c r="E393" i="25"/>
  <c r="C173" i="25"/>
  <c r="H483" i="25"/>
  <c r="H436" i="25"/>
  <c r="J295" i="25"/>
  <c r="K34" i="25"/>
  <c r="D37" i="25"/>
  <c r="L327" i="25"/>
  <c r="M468" i="25"/>
  <c r="E33" i="25"/>
  <c r="K38" i="25"/>
  <c r="G158" i="25"/>
  <c r="E295" i="25"/>
  <c r="C422" i="25"/>
  <c r="I37" i="25"/>
  <c r="D173" i="25"/>
  <c r="C483" i="25"/>
  <c r="F342" i="25"/>
  <c r="G328" i="25"/>
  <c r="D280" i="25"/>
  <c r="F158" i="25"/>
  <c r="E422" i="25"/>
  <c r="L389" i="25"/>
  <c r="K76" i="25"/>
  <c r="L33" i="25"/>
  <c r="E327" i="25"/>
  <c r="H440" i="25"/>
  <c r="D487" i="25"/>
  <c r="M76" i="25"/>
  <c r="G346" i="25"/>
  <c r="M34" i="25"/>
  <c r="G34" i="25"/>
  <c r="O342" i="25"/>
  <c r="H33" i="25"/>
  <c r="H34" i="25"/>
  <c r="O91" i="25"/>
  <c r="G33" i="25"/>
  <c r="D436" i="25"/>
  <c r="I91" i="25"/>
  <c r="F280" i="25"/>
  <c r="C159" i="25"/>
  <c r="L469" i="25"/>
  <c r="K342" i="25"/>
  <c r="J159" i="25"/>
  <c r="N389" i="25"/>
  <c r="H469" i="25"/>
  <c r="K280" i="25"/>
  <c r="C34" i="25"/>
  <c r="N33" i="25"/>
  <c r="O295" i="25"/>
  <c r="K159" i="25"/>
  <c r="J375" i="25"/>
  <c r="K173" i="25"/>
  <c r="O389" i="25"/>
  <c r="H421" i="25"/>
  <c r="J34" i="25"/>
  <c r="O33" i="25"/>
  <c r="F33" i="25"/>
  <c r="O468" i="25"/>
  <c r="M375" i="25"/>
  <c r="H327" i="25"/>
  <c r="H295" i="25"/>
  <c r="D421" i="25"/>
  <c r="I342" i="25"/>
  <c r="E173" i="25"/>
  <c r="M1968" i="16"/>
  <c r="M2219" i="16" s="1"/>
  <c r="N91" i="25"/>
  <c r="O76" i="25"/>
  <c r="M158" i="25"/>
  <c r="I483" i="25"/>
  <c r="L173" i="25"/>
  <c r="O328" i="25"/>
  <c r="F389" i="25"/>
  <c r="H342" i="25"/>
  <c r="G374" i="25"/>
  <c r="D91" i="25"/>
  <c r="J436" i="25"/>
  <c r="G389" i="25"/>
  <c r="O436" i="25"/>
  <c r="G436" i="25"/>
  <c r="I76" i="25"/>
  <c r="H281" i="25"/>
  <c r="I33" i="25"/>
  <c r="E34" i="25"/>
  <c r="F91" i="25"/>
  <c r="D483" i="25"/>
  <c r="F34" i="25"/>
  <c r="K33" i="25"/>
  <c r="D33" i="25"/>
  <c r="C295" i="25"/>
  <c r="D374" i="25"/>
  <c r="C342" i="25"/>
  <c r="O375" i="25"/>
  <c r="D389" i="25"/>
  <c r="M389" i="25"/>
  <c r="D34" i="25"/>
  <c r="C91" i="25"/>
  <c r="C33" i="25"/>
  <c r="E389" i="25"/>
  <c r="L34" i="25"/>
  <c r="C281" i="25"/>
  <c r="M295" i="25"/>
  <c r="M33" i="25"/>
  <c r="F436" i="25"/>
  <c r="C468" i="25"/>
  <c r="D469" i="25"/>
  <c r="O173" i="25"/>
  <c r="O34" i="25"/>
  <c r="N34" i="25"/>
  <c r="L2017" i="16"/>
  <c r="L2226" i="16" s="1"/>
  <c r="F1981" i="16"/>
  <c r="D1680" i="16"/>
  <c r="E1960" i="16" s="1"/>
  <c r="D1960" i="16" s="1"/>
  <c r="D1673" i="16"/>
  <c r="K2226" i="16"/>
  <c r="K2018" i="16"/>
  <c r="K2019" i="16" s="1"/>
  <c r="D1975" i="16"/>
  <c r="D2024" i="16"/>
  <c r="K1992" i="16"/>
  <c r="L1992" i="16"/>
  <c r="M1992" i="16"/>
  <c r="O1992" i="16"/>
  <c r="N1992" i="16"/>
  <c r="P1992" i="16"/>
  <c r="Q1992" i="16"/>
  <c r="R1992" i="16"/>
  <c r="S1992" i="16"/>
  <c r="T1992" i="16"/>
  <c r="U1992" i="16"/>
  <c r="V1992" i="16"/>
  <c r="W1992" i="16"/>
  <c r="X1992" i="16"/>
  <c r="K1982" i="16"/>
  <c r="L1982" i="16" s="1"/>
  <c r="L2221" i="16" s="1"/>
  <c r="K1985" i="16"/>
  <c r="L1985" i="16"/>
  <c r="M1985" i="16"/>
  <c r="N1985" i="16"/>
  <c r="O1985" i="16"/>
  <c r="P1985" i="16"/>
  <c r="Q1985" i="16"/>
  <c r="R1985" i="16"/>
  <c r="S1985" i="16"/>
  <c r="T1985" i="16"/>
  <c r="U1985" i="16"/>
  <c r="V1985" i="16"/>
  <c r="W1985" i="16"/>
  <c r="X1985" i="16"/>
  <c r="D1988" i="16"/>
  <c r="D1989" i="16" s="1"/>
  <c r="V2259" i="16"/>
  <c r="V44" i="16" s="1"/>
  <c r="W2247" i="16"/>
  <c r="W43" i="16" s="1"/>
  <c r="X41" i="16" s="1"/>
  <c r="X2235" i="16" s="1"/>
  <c r="U399" i="20"/>
  <c r="U400" i="20" s="1"/>
  <c r="X635" i="12"/>
  <c r="X623" i="12" s="1"/>
  <c r="X171" i="10" s="1"/>
  <c r="X315" i="10" s="1"/>
  <c r="R941" i="16"/>
  <c r="S941" i="16" s="1"/>
  <c r="V2261" i="16"/>
  <c r="V60" i="16" s="1"/>
  <c r="V87" i="16" s="1"/>
  <c r="V183" i="16" s="1"/>
  <c r="V59" i="16"/>
  <c r="W57" i="16" s="1"/>
  <c r="W2237" i="16" s="1"/>
  <c r="W2249" i="16" s="1"/>
  <c r="V2260" i="16"/>
  <c r="V52" i="16" s="1"/>
  <c r="V51" i="16"/>
  <c r="W49" i="16" s="1"/>
  <c r="W2236" i="16" s="1"/>
  <c r="W2248" i="16" s="1"/>
  <c r="V2258" i="16"/>
  <c r="V36" i="16" s="1"/>
  <c r="V35" i="16"/>
  <c r="W33" i="16" s="1"/>
  <c r="W2234" i="16" s="1"/>
  <c r="W2246" i="16" s="1"/>
  <c r="V2263" i="16"/>
  <c r="V76" i="16" s="1"/>
  <c r="V89" i="16" s="1"/>
  <c r="V185" i="16" s="1"/>
  <c r="V75" i="16"/>
  <c r="W73" i="16" s="1"/>
  <c r="W2239" i="16" s="1"/>
  <c r="W2251" i="16" s="1"/>
  <c r="P20" i="16"/>
  <c r="P81" i="16" s="1"/>
  <c r="P2264" i="16"/>
  <c r="Q2244" i="16"/>
  <c r="Q2240" i="16"/>
  <c r="Q91" i="16" s="1"/>
  <c r="Q101" i="12" s="1"/>
  <c r="Q109" i="12" s="1"/>
  <c r="M1268" i="16"/>
  <c r="O960" i="16"/>
  <c r="O441" i="20"/>
  <c r="P441" i="20" s="1"/>
  <c r="R440" i="20"/>
  <c r="S440" i="20" s="1"/>
  <c r="P958" i="16"/>
  <c r="L977" i="16"/>
  <c r="Q454" i="20"/>
  <c r="R454" i="20" s="1"/>
  <c r="U433" i="20"/>
  <c r="V433" i="20" s="1"/>
  <c r="Q434" i="20"/>
  <c r="R434" i="20" s="1"/>
  <c r="U393" i="20"/>
  <c r="V392" i="20"/>
  <c r="O1249" i="16"/>
  <c r="O261" i="16" s="1"/>
  <c r="R1246" i="16"/>
  <c r="S1246" i="16" s="1"/>
  <c r="T1246" i="16" s="1"/>
  <c r="O1247" i="16"/>
  <c r="P1247" i="16" s="1"/>
  <c r="Q1247" i="16" s="1"/>
  <c r="O455" i="20"/>
  <c r="P455" i="20" s="1"/>
  <c r="P456" i="20" s="1"/>
  <c r="L982" i="16"/>
  <c r="M982" i="16" s="1"/>
  <c r="Q1232" i="16"/>
  <c r="P1233" i="16"/>
  <c r="P1234" i="16" s="1"/>
  <c r="O1253" i="16"/>
  <c r="P1253" i="16" s="1"/>
  <c r="N1254" i="16"/>
  <c r="N1255" i="16" s="1"/>
  <c r="M1263" i="16"/>
  <c r="M263" i="16" s="1"/>
  <c r="N1260" i="16"/>
  <c r="O1242" i="16"/>
  <c r="O260" i="16" s="1"/>
  <c r="M1261" i="16"/>
  <c r="M1262" i="16" s="1"/>
  <c r="O1240" i="16"/>
  <c r="O1241" i="16" s="1"/>
  <c r="P1239" i="16"/>
  <c r="T414" i="20"/>
  <c r="U413" i="20"/>
  <c r="R428" i="20"/>
  <c r="S427" i="20"/>
  <c r="O442" i="20"/>
  <c r="S421" i="20"/>
  <c r="T420" i="20"/>
  <c r="T407" i="20"/>
  <c r="U406" i="20"/>
  <c r="N449" i="20"/>
  <c r="W1218" i="16"/>
  <c r="X1218" i="16" s="1"/>
  <c r="N448" i="20"/>
  <c r="O447" i="20"/>
  <c r="P447" i="20" s="1"/>
  <c r="V1219" i="16"/>
  <c r="V936" i="16"/>
  <c r="Q953" i="16"/>
  <c r="P954" i="16"/>
  <c r="N966" i="16"/>
  <c r="V911" i="16"/>
  <c r="M972" i="16"/>
  <c r="N972" i="16" s="1"/>
  <c r="F987" i="16"/>
  <c r="K988" i="16" s="1"/>
  <c r="K989" i="16" s="1"/>
  <c r="D993" i="16"/>
  <c r="D994" i="16" s="1"/>
  <c r="E998" i="16"/>
  <c r="F998" i="16" s="1"/>
  <c r="D998" i="16"/>
  <c r="C1000" i="16"/>
  <c r="B997" i="16"/>
  <c r="D1003" i="16"/>
  <c r="J1002" i="16"/>
  <c r="E999" i="16"/>
  <c r="Q964" i="16"/>
  <c r="X934" i="16"/>
  <c r="T940" i="16"/>
  <c r="O456" i="20"/>
  <c r="S435" i="20"/>
  <c r="I215" i="16"/>
  <c r="G48" i="20" s="1"/>
  <c r="O263" i="16"/>
  <c r="X1213" i="16"/>
  <c r="V1225" i="16"/>
  <c r="X1205" i="16"/>
  <c r="T1226" i="16"/>
  <c r="U1226" i="16" s="1"/>
  <c r="E879" i="20"/>
  <c r="K880" i="20" s="1"/>
  <c r="K881" i="20" s="1"/>
  <c r="K882" i="20" s="1"/>
  <c r="E753" i="20"/>
  <c r="K754" i="20" s="1"/>
  <c r="N944" i="20"/>
  <c r="N945" i="20"/>
  <c r="O943" i="20"/>
  <c r="E700" i="20"/>
  <c r="K701" i="20" s="1"/>
  <c r="K702" i="20" s="1"/>
  <c r="W419" i="20"/>
  <c r="O818" i="20"/>
  <c r="E802" i="20"/>
  <c r="K803" i="20" s="1"/>
  <c r="E928" i="20"/>
  <c r="K929" i="20" s="1"/>
  <c r="L929" i="20" s="1"/>
  <c r="M929" i="20" s="1"/>
  <c r="P817" i="20"/>
  <c r="E851" i="20"/>
  <c r="K852" i="20" s="1"/>
  <c r="K853" i="20" s="1"/>
  <c r="K854" i="20" s="1"/>
  <c r="E781" i="20"/>
  <c r="K782" i="20" s="1"/>
  <c r="D886" i="20"/>
  <c r="V426" i="20"/>
  <c r="K587" i="20"/>
  <c r="K588" i="20" s="1"/>
  <c r="X405" i="20"/>
  <c r="L586" i="20"/>
  <c r="N924" i="20"/>
  <c r="O922" i="20"/>
  <c r="N923" i="20"/>
  <c r="C829" i="20"/>
  <c r="D976" i="20"/>
  <c r="E976" i="20" s="1"/>
  <c r="C976" i="20"/>
  <c r="C978" i="20"/>
  <c r="D788" i="20"/>
  <c r="E788" i="20" s="1"/>
  <c r="K789" i="20" s="1"/>
  <c r="K790" i="20" s="1"/>
  <c r="D935" i="20"/>
  <c r="C831" i="20"/>
  <c r="D829" i="20"/>
  <c r="E829" i="20" s="1"/>
  <c r="E767" i="20"/>
  <c r="K768" i="20" s="1"/>
  <c r="P617" i="20"/>
  <c r="O618" i="20"/>
  <c r="O619" i="20" s="1"/>
  <c r="E809" i="20"/>
  <c r="K810" i="20" s="1"/>
  <c r="K811" i="20" s="1"/>
  <c r="K812" i="20" s="1"/>
  <c r="P673" i="20"/>
  <c r="P675" i="20" s="1"/>
  <c r="E739" i="20"/>
  <c r="K740" i="20" s="1"/>
  <c r="E795" i="20"/>
  <c r="K796" i="20" s="1"/>
  <c r="O660" i="20"/>
  <c r="E725" i="20"/>
  <c r="K726" i="20" s="1"/>
  <c r="K727" i="20" s="1"/>
  <c r="P652" i="20"/>
  <c r="P654" i="20" s="1"/>
  <c r="O654" i="20"/>
  <c r="Q625" i="20"/>
  <c r="Q626" i="20" s="1"/>
  <c r="R624" i="20"/>
  <c r="E774" i="20"/>
  <c r="K775" i="20" s="1"/>
  <c r="Q638" i="20"/>
  <c r="P640" i="20"/>
  <c r="P659" i="20"/>
  <c r="E760" i="20"/>
  <c r="K761" i="20" s="1"/>
  <c r="Q631" i="20"/>
  <c r="E746" i="20"/>
  <c r="K747" i="20" s="1"/>
  <c r="K748" i="20" s="1"/>
  <c r="E732" i="20"/>
  <c r="K733" i="20" s="1"/>
  <c r="Q580" i="20"/>
  <c r="T2245" i="16"/>
  <c r="T27" i="16" s="1"/>
  <c r="U25" i="16" s="1"/>
  <c r="U65" i="16"/>
  <c r="U2238" i="16" s="1"/>
  <c r="U2250" i="16" s="1"/>
  <c r="U67" i="16" s="1"/>
  <c r="V65" i="16" s="1"/>
  <c r="V2238" i="16" s="1"/>
  <c r="X633" i="12"/>
  <c r="X621" i="12" s="1"/>
  <c r="X169" i="10" s="1"/>
  <c r="X313" i="10" s="1"/>
  <c r="X637" i="12"/>
  <c r="X625" i="12" s="1"/>
  <c r="X176" i="10" s="1"/>
  <c r="X320" i="10" s="1"/>
  <c r="X634" i="12"/>
  <c r="X622" i="12" s="1"/>
  <c r="X170" i="10" s="1"/>
  <c r="X314" i="10" s="1"/>
  <c r="X1412" i="12"/>
  <c r="X257" i="20" s="1"/>
  <c r="W923" i="12"/>
  <c r="W931" i="12" s="1"/>
  <c r="W1931" i="12"/>
  <c r="W1934" i="12" s="1"/>
  <c r="X918" i="12"/>
  <c r="X928" i="12" s="1"/>
  <c r="X929" i="12" s="1"/>
  <c r="X632" i="12"/>
  <c r="X620" i="12" s="1"/>
  <c r="X168" i="10" s="1"/>
  <c r="X312" i="10" s="1"/>
  <c r="W152" i="16"/>
  <c r="X1925" i="12"/>
  <c r="X631" i="12"/>
  <c r="X619" i="12" s="1"/>
  <c r="X167" i="10" s="1"/>
  <c r="X311" i="10" s="1"/>
  <c r="R930" i="16"/>
  <c r="S929" i="16"/>
  <c r="P1945" i="12"/>
  <c r="P1948" i="12" s="1"/>
  <c r="R54" i="10"/>
  <c r="R53" i="10" s="1"/>
  <c r="U917" i="16"/>
  <c r="V928" i="16"/>
  <c r="S1638" i="16"/>
  <c r="S2171" i="16" s="1"/>
  <c r="Q1639" i="16"/>
  <c r="R1639" i="16" s="1"/>
  <c r="Q2171" i="16"/>
  <c r="W906" i="16"/>
  <c r="U909" i="20"/>
  <c r="X882" i="16"/>
  <c r="P951" i="20"/>
  <c r="Q951" i="20" s="1"/>
  <c r="O959" i="20"/>
  <c r="N287" i="16"/>
  <c r="N789" i="16" s="1"/>
  <c r="N195" i="10" s="1"/>
  <c r="N339" i="10" s="1"/>
  <c r="W146" i="16"/>
  <c r="W162" i="16" s="1"/>
  <c r="X521" i="20"/>
  <c r="P285" i="16"/>
  <c r="P2132" i="16"/>
  <c r="Q957" i="20"/>
  <c r="R957" i="20" s="1"/>
  <c r="V1337" i="16"/>
  <c r="R950" i="20"/>
  <c r="S950" i="20" s="1"/>
  <c r="T950" i="20" s="1"/>
  <c r="U950" i="20" s="1"/>
  <c r="V950" i="20" s="1"/>
  <c r="W950" i="20" s="1"/>
  <c r="X950" i="20" s="1"/>
  <c r="V908" i="20"/>
  <c r="U910" i="20"/>
  <c r="L708" i="20"/>
  <c r="M708" i="20" s="1"/>
  <c r="O971" i="20"/>
  <c r="T1632" i="16"/>
  <c r="U1632" i="16" s="1"/>
  <c r="T2170" i="16"/>
  <c r="Q569" i="20"/>
  <c r="R564" i="20"/>
  <c r="S562" i="20"/>
  <c r="P952" i="20"/>
  <c r="R563" i="20"/>
  <c r="E984" i="20"/>
  <c r="K985" i="20" s="1"/>
  <c r="K986" i="20" s="1"/>
  <c r="P570" i="20"/>
  <c r="C996" i="20"/>
  <c r="C990" i="20"/>
  <c r="D990" i="20"/>
  <c r="E990" i="20" s="1"/>
  <c r="D991" i="20"/>
  <c r="C991" i="20"/>
  <c r="C992" i="20" s="1"/>
  <c r="S1378" i="16"/>
  <c r="T1378" i="16" s="1"/>
  <c r="U1378" i="16" s="1"/>
  <c r="Q2132" i="16"/>
  <c r="L972" i="20"/>
  <c r="L973" i="20"/>
  <c r="O958" i="20"/>
  <c r="P958" i="20" s="1"/>
  <c r="V1631" i="16"/>
  <c r="U2170" i="16"/>
  <c r="X528" i="20"/>
  <c r="X902" i="20"/>
  <c r="X903" i="20"/>
  <c r="X895" i="20"/>
  <c r="Q952" i="20"/>
  <c r="L1527" i="16"/>
  <c r="Q1371" i="16"/>
  <c r="L1541" i="16"/>
  <c r="X1942" i="16"/>
  <c r="W2214" i="16"/>
  <c r="W1943" i="16"/>
  <c r="V1610" i="16"/>
  <c r="U2167" i="16"/>
  <c r="R1652" i="16"/>
  <c r="U1611" i="16"/>
  <c r="P1372" i="16"/>
  <c r="P1373" i="16" s="1"/>
  <c r="L1513" i="16"/>
  <c r="L2152" i="16" s="1"/>
  <c r="L1534" i="16"/>
  <c r="M1534" i="16" s="1"/>
  <c r="W1336" i="16"/>
  <c r="V2126" i="16"/>
  <c r="T918" i="16"/>
  <c r="X900" i="16"/>
  <c r="O338" i="10"/>
  <c r="P50" i="10"/>
  <c r="T924" i="16"/>
  <c r="V1948" i="12"/>
  <c r="X1938" i="12"/>
  <c r="X1896" i="12" s="1"/>
  <c r="W2169" i="16"/>
  <c r="R1365" i="16"/>
  <c r="V2128" i="16"/>
  <c r="V1351" i="16"/>
  <c r="W1351" i="16" s="1"/>
  <c r="X1351" i="16" s="1"/>
  <c r="W1625" i="16"/>
  <c r="X1625" i="16" s="1"/>
  <c r="W1344" i="16"/>
  <c r="V1604" i="16"/>
  <c r="W1604" i="16" s="1"/>
  <c r="V2166" i="16"/>
  <c r="W2166" i="16"/>
  <c r="X1474" i="16"/>
  <c r="U2168" i="16"/>
  <c r="T2168" i="16"/>
  <c r="T1618" i="16"/>
  <c r="X1936" i="16"/>
  <c r="X2165" i="16"/>
  <c r="O2173" i="16"/>
  <c r="X1690" i="16"/>
  <c r="E1685" i="16"/>
  <c r="M1690" i="16"/>
  <c r="U1690" i="16"/>
  <c r="N1690" i="16"/>
  <c r="V1690" i="16"/>
  <c r="D1685" i="16"/>
  <c r="E1995" i="16" s="1"/>
  <c r="D1995" i="16" s="1"/>
  <c r="O1690" i="16"/>
  <c r="W1690" i="16"/>
  <c r="D1691" i="16"/>
  <c r="P1690" i="16"/>
  <c r="B1684" i="16"/>
  <c r="B1986" i="16" s="1"/>
  <c r="Q1690" i="16"/>
  <c r="E1686" i="16"/>
  <c r="R1690" i="16"/>
  <c r="K1690" i="16"/>
  <c r="S1690" i="16"/>
  <c r="L1690" i="16"/>
  <c r="T1690" i="16"/>
  <c r="X2213" i="16"/>
  <c r="X1597" i="16"/>
  <c r="O1653" i="16"/>
  <c r="T1358" i="16"/>
  <c r="W1929" i="16"/>
  <c r="X2169" i="16"/>
  <c r="X1488" i="16"/>
  <c r="X2128" i="16"/>
  <c r="R2132" i="16"/>
  <c r="R1646" i="16"/>
  <c r="N286" i="16"/>
  <c r="O1379" i="16"/>
  <c r="O1380" i="16" s="1"/>
  <c r="X2124" i="16"/>
  <c r="R2172" i="16"/>
  <c r="X1323" i="16"/>
  <c r="X2150" i="16"/>
  <c r="X2148" i="16"/>
  <c r="W2128" i="16"/>
  <c r="R2130" i="16"/>
  <c r="V1906" i="12"/>
  <c r="N1945" i="12"/>
  <c r="N1948" i="12" s="1"/>
  <c r="K1945" i="12"/>
  <c r="K1948" i="12" s="1"/>
  <c r="Q1945" i="12"/>
  <c r="Q1948" i="12" s="1"/>
  <c r="O1945" i="12"/>
  <c r="O1948" i="12" s="1"/>
  <c r="O111" i="18"/>
  <c r="S304" i="10"/>
  <c r="S303" i="10" s="1"/>
  <c r="S111" i="18"/>
  <c r="M1945" i="12"/>
  <c r="M1948" i="12" s="1"/>
  <c r="Q304" i="10"/>
  <c r="Q303" i="10" s="1"/>
  <c r="S290" i="10"/>
  <c r="L1945" i="12"/>
  <c r="L1948" i="12" s="1"/>
  <c r="S1906" i="12"/>
  <c r="T1945" i="12"/>
  <c r="T1948" i="12" s="1"/>
  <c r="K304" i="10"/>
  <c r="K303" i="10" s="1"/>
  <c r="R1902" i="12"/>
  <c r="R1903" i="12" s="1"/>
  <c r="R1906" i="12" s="1"/>
  <c r="R1945" i="12"/>
  <c r="R1948" i="12" s="1"/>
  <c r="S1948" i="12"/>
  <c r="O290" i="10"/>
  <c r="L290" i="10"/>
  <c r="L211" i="10"/>
  <c r="R290" i="10"/>
  <c r="R211" i="10"/>
  <c r="S247" i="10" s="1"/>
  <c r="U159" i="10"/>
  <c r="U78" i="18" s="1"/>
  <c r="U304" i="10"/>
  <c r="U303" i="10" s="1"/>
  <c r="U1902" i="12"/>
  <c r="U1903" i="12" s="1"/>
  <c r="U1906" i="12" s="1"/>
  <c r="U1945" i="12"/>
  <c r="U1948" i="12" s="1"/>
  <c r="P290" i="10"/>
  <c r="P211" i="10"/>
  <c r="P247" i="10" s="1"/>
  <c r="N78" i="18"/>
  <c r="M75" i="18"/>
  <c r="M80" i="18" s="1"/>
  <c r="N39" i="18"/>
  <c r="N31" i="18"/>
  <c r="N41" i="18" s="1"/>
  <c r="N68" i="10" s="1"/>
  <c r="K212" i="10"/>
  <c r="Q290" i="10"/>
  <c r="Q211" i="10"/>
  <c r="O39" i="18"/>
  <c r="O31" i="18"/>
  <c r="O41" i="18" s="1"/>
  <c r="O68" i="10" s="1"/>
  <c r="S31" i="18"/>
  <c r="S41" i="18" s="1"/>
  <c r="S68" i="10" s="1"/>
  <c r="S39" i="18"/>
  <c r="T290" i="10"/>
  <c r="T211" i="10"/>
  <c r="T247" i="10" s="1"/>
  <c r="W39" i="18"/>
  <c r="W31" i="18"/>
  <c r="W41" i="18" s="1"/>
  <c r="V75" i="18"/>
  <c r="V80" i="18" s="1"/>
  <c r="X1944" i="12"/>
  <c r="X624" i="12"/>
  <c r="X172" i="10" s="1"/>
  <c r="X316" i="10" s="1"/>
  <c r="K2152" i="16"/>
  <c r="K1514" i="16"/>
  <c r="K1515" i="16" s="1"/>
  <c r="K710" i="20"/>
  <c r="W1902" i="12"/>
  <c r="W1903" i="12" s="1"/>
  <c r="W1906" i="12" s="1"/>
  <c r="W1945" i="12"/>
  <c r="W1948" i="12" s="1"/>
  <c r="K1528" i="16"/>
  <c r="K2154" i="16"/>
  <c r="K1542" i="16"/>
  <c r="K2156" i="16"/>
  <c r="X39" i="18"/>
  <c r="X31" i="18"/>
  <c r="X41" i="18" s="1"/>
  <c r="K1535" i="16"/>
  <c r="K1536" i="16" s="1"/>
  <c r="K2155" i="16"/>
  <c r="E686" i="20"/>
  <c r="K687" i="20" s="1"/>
  <c r="O1256" i="16" l="1"/>
  <c r="O262" i="16" s="1"/>
  <c r="I212" i="16"/>
  <c r="G45" i="20" s="1"/>
  <c r="P79" i="25"/>
  <c r="W159" i="10"/>
  <c r="W78" i="18" s="1"/>
  <c r="X2096" i="16"/>
  <c r="N248" i="25"/>
  <c r="N243" i="25"/>
  <c r="O243" i="25"/>
  <c r="X245" i="11"/>
  <c r="O248" i="25"/>
  <c r="O122" i="25" a="1"/>
  <c r="O122" i="25" s="1"/>
  <c r="O60" i="25"/>
  <c r="P122" i="25" a="1"/>
  <c r="P122" i="25" s="1"/>
  <c r="O204" i="25" a="1"/>
  <c r="O204" i="25" s="1"/>
  <c r="O50" i="25"/>
  <c r="P204" i="25" a="1"/>
  <c r="P204" i="25" s="1"/>
  <c r="N122" i="25" a="1"/>
  <c r="N122" i="25" s="1"/>
  <c r="O971" i="16"/>
  <c r="P971" i="16" s="1"/>
  <c r="Q970" i="16"/>
  <c r="R970" i="16" s="1"/>
  <c r="L1969" i="16"/>
  <c r="M1969" i="16" s="1"/>
  <c r="M1970" i="16" s="1"/>
  <c r="L1667" i="16"/>
  <c r="L1668" i="16"/>
  <c r="M1666" i="16"/>
  <c r="N1666" i="16" s="1"/>
  <c r="O1666" i="16" s="1"/>
  <c r="P1666" i="16" s="1"/>
  <c r="L2175" i="16"/>
  <c r="N60" i="25"/>
  <c r="K990" i="16"/>
  <c r="W2208" i="16"/>
  <c r="X1900" i="16"/>
  <c r="X2208" i="16" s="1"/>
  <c r="N204" i="25" a="1"/>
  <c r="N204" i="25" s="1"/>
  <c r="N50" i="25"/>
  <c r="O639" i="20"/>
  <c r="P639" i="20" s="1"/>
  <c r="Q639" i="20" s="1"/>
  <c r="N640" i="20"/>
  <c r="O632" i="20"/>
  <c r="P632" i="20" s="1"/>
  <c r="Q632" i="20" s="1"/>
  <c r="N633" i="20"/>
  <c r="C467" i="25"/>
  <c r="U1922" i="16"/>
  <c r="V1922" i="16" s="1"/>
  <c r="U1949" i="16"/>
  <c r="U2215" i="16" s="1"/>
  <c r="T2215" i="16"/>
  <c r="K1660" i="16"/>
  <c r="K2174" i="16"/>
  <c r="L1659" i="16"/>
  <c r="M1659" i="16" s="1"/>
  <c r="M2174" i="16" s="1"/>
  <c r="U2211" i="16"/>
  <c r="U1923" i="16"/>
  <c r="V1923" i="16" s="1"/>
  <c r="L988" i="16"/>
  <c r="L989" i="16" s="1"/>
  <c r="W1921" i="16"/>
  <c r="W2211" i="16" s="1"/>
  <c r="V2211" i="16"/>
  <c r="T585" i="16"/>
  <c r="V1902" i="16"/>
  <c r="W1901" i="16"/>
  <c r="Q1951" i="16"/>
  <c r="Q587" i="16" s="1"/>
  <c r="Q794" i="16" s="1"/>
  <c r="Q202" i="10" s="1"/>
  <c r="Q346" i="10" s="1"/>
  <c r="R1950" i="16"/>
  <c r="Q586" i="16"/>
  <c r="P103" i="25"/>
  <c r="P440" i="25"/>
  <c r="P495" i="25"/>
  <c r="P169" i="25"/>
  <c r="L694" i="20"/>
  <c r="M694" i="20" s="1"/>
  <c r="G246" i="20"/>
  <c r="I698" i="16"/>
  <c r="P393" i="25"/>
  <c r="P471" i="25"/>
  <c r="P299" i="25"/>
  <c r="P338" i="25"/>
  <c r="P165" i="25"/>
  <c r="X1406" i="12"/>
  <c r="F28" i="20" s="1"/>
  <c r="C313" i="20" s="1"/>
  <c r="P487" i="25"/>
  <c r="K696" i="20"/>
  <c r="P342" i="25"/>
  <c r="J243" i="25"/>
  <c r="P401" i="25"/>
  <c r="P377" i="25"/>
  <c r="P354" i="25"/>
  <c r="P397" i="25"/>
  <c r="P432" i="25"/>
  <c r="P448" i="25"/>
  <c r="P444" i="25"/>
  <c r="P291" i="25"/>
  <c r="P475" i="25"/>
  <c r="P201" i="25"/>
  <c r="P239" i="25" s="1"/>
  <c r="P258" i="25" s="1"/>
  <c r="P266" i="25" s="1"/>
  <c r="P307" i="25"/>
  <c r="P283" i="25"/>
  <c r="P436" i="25"/>
  <c r="P161" i="25"/>
  <c r="P181" i="25"/>
  <c r="P287" i="25"/>
  <c r="P483" i="25"/>
  <c r="P30" i="25"/>
  <c r="P46" i="25"/>
  <c r="P185" i="25"/>
  <c r="P159" i="25"/>
  <c r="P295" i="25"/>
  <c r="P469" i="25"/>
  <c r="P177" i="25"/>
  <c r="P479" i="25"/>
  <c r="P385" i="25"/>
  <c r="P173" i="25"/>
  <c r="P99" i="25"/>
  <c r="P346" i="25"/>
  <c r="P33" i="25"/>
  <c r="P303" i="25"/>
  <c r="P42" i="25"/>
  <c r="P45" i="25"/>
  <c r="P381" i="25"/>
  <c r="P91" i="25"/>
  <c r="P491" i="25"/>
  <c r="P328" i="25"/>
  <c r="P389" i="25"/>
  <c r="P87" i="25"/>
  <c r="P375" i="25"/>
  <c r="P38" i="25"/>
  <c r="P421" i="25"/>
  <c r="P21" i="25"/>
  <c r="P281" i="25"/>
  <c r="P374" i="25"/>
  <c r="P37" i="25"/>
  <c r="P158" i="25"/>
  <c r="P26" i="25"/>
  <c r="P22" i="25"/>
  <c r="P25" i="25"/>
  <c r="P350" i="25"/>
  <c r="P41" i="25"/>
  <c r="P468" i="25"/>
  <c r="P95" i="25"/>
  <c r="P330" i="25"/>
  <c r="P77" i="25"/>
  <c r="P280" i="25"/>
  <c r="P76" i="25"/>
  <c r="P428" i="25"/>
  <c r="P327" i="25"/>
  <c r="P34" i="25"/>
  <c r="P83" i="25"/>
  <c r="P29" i="25"/>
  <c r="P422" i="25"/>
  <c r="P334" i="25"/>
  <c r="P424" i="25"/>
  <c r="C243" i="25"/>
  <c r="L326" i="25"/>
  <c r="K243" i="25"/>
  <c r="J28" i="25"/>
  <c r="L243" i="25"/>
  <c r="G243" i="25"/>
  <c r="H420" i="25"/>
  <c r="H243" i="25"/>
  <c r="M243" i="25"/>
  <c r="I243" i="25"/>
  <c r="E243" i="25"/>
  <c r="D243" i="25"/>
  <c r="F243" i="25"/>
  <c r="F40" i="25"/>
  <c r="X246" i="20"/>
  <c r="X251" i="20" s="1"/>
  <c r="P69" i="25" s="1"/>
  <c r="E40" i="25"/>
  <c r="M248" i="25"/>
  <c r="K248" i="25"/>
  <c r="K24" i="25"/>
  <c r="F60" i="25"/>
  <c r="G20" i="25"/>
  <c r="K40" i="25"/>
  <c r="J24" i="25"/>
  <c r="W1646" i="12"/>
  <c r="G248" i="25"/>
  <c r="D204" i="25" a="1"/>
  <c r="D204" i="25" s="1"/>
  <c r="C204" i="25" a="1"/>
  <c r="C204" i="25" s="1"/>
  <c r="F594" i="25" a="1"/>
  <c r="F594" i="25" s="1"/>
  <c r="I122" i="25" a="1"/>
  <c r="I122" i="25" s="1"/>
  <c r="I204" i="25" a="1"/>
  <c r="I204" i="25" s="1"/>
  <c r="H122" i="25" a="1"/>
  <c r="H122" i="25" s="1"/>
  <c r="J122" i="25" a="1"/>
  <c r="J122" i="25" s="1"/>
  <c r="C594" i="25" a="1"/>
  <c r="C594" i="25" s="1"/>
  <c r="J204" i="25" a="1"/>
  <c r="J204" i="25" s="1"/>
  <c r="G594" i="25" a="1"/>
  <c r="G594" i="25" s="1"/>
  <c r="E594" i="25" a="1"/>
  <c r="E594" i="25" s="1"/>
  <c r="L122" i="25" a="1"/>
  <c r="L122" i="25" s="1"/>
  <c r="D594" i="25" a="1"/>
  <c r="D594" i="25" s="1"/>
  <c r="L204" i="25" a="1"/>
  <c r="L204" i="25" s="1"/>
  <c r="X1641" i="12"/>
  <c r="X1651" i="12" s="1"/>
  <c r="X250" i="20" s="1"/>
  <c r="X1215" i="20" s="1"/>
  <c r="E204" i="25" a="1"/>
  <c r="E204" i="25" s="1"/>
  <c r="K204" i="25" a="1"/>
  <c r="K204" i="25" s="1"/>
  <c r="M122" i="25" a="1"/>
  <c r="M122" i="25" s="1"/>
  <c r="C44" i="25"/>
  <c r="F204" i="25" a="1"/>
  <c r="F204" i="25" s="1"/>
  <c r="J594" i="25" a="1"/>
  <c r="J594" i="25" s="1"/>
  <c r="I594" i="25" a="1"/>
  <c r="I594" i="25" s="1"/>
  <c r="H594" i="25" a="1"/>
  <c r="H594" i="25" s="1"/>
  <c r="E122" i="25" a="1"/>
  <c r="E122" i="25" s="1"/>
  <c r="M204" i="25" a="1"/>
  <c r="M204" i="25" s="1"/>
  <c r="C122" i="25" a="1"/>
  <c r="C122" i="25" s="1"/>
  <c r="G122" i="25" a="1"/>
  <c r="G122" i="25" s="1"/>
  <c r="K122" i="25" a="1"/>
  <c r="K122" i="25" s="1"/>
  <c r="N28" i="25"/>
  <c r="G204" i="25" a="1"/>
  <c r="G204" i="25" s="1"/>
  <c r="K326" i="25"/>
  <c r="H204" i="25" a="1"/>
  <c r="H204" i="25" s="1"/>
  <c r="F122" i="25" a="1"/>
  <c r="F122" i="25" s="1"/>
  <c r="D122" i="25" a="1"/>
  <c r="D122" i="25" s="1"/>
  <c r="E44" i="25"/>
  <c r="I248" i="25"/>
  <c r="H24" i="25"/>
  <c r="I373" i="25"/>
  <c r="N249" i="25"/>
  <c r="H44" i="25"/>
  <c r="G50" i="25"/>
  <c r="D60" i="25"/>
  <c r="M60" i="25"/>
  <c r="K60" i="25"/>
  <c r="D28" i="25"/>
  <c r="H20" i="25"/>
  <c r="E28" i="25"/>
  <c r="N44" i="25"/>
  <c r="E60" i="25"/>
  <c r="G60" i="25"/>
  <c r="E248" i="25"/>
  <c r="H60" i="25"/>
  <c r="C60" i="25"/>
  <c r="B578" i="25" s="1"/>
  <c r="H211" i="25"/>
  <c r="H249" i="25" s="1"/>
  <c r="J44" i="25"/>
  <c r="M40" i="25"/>
  <c r="O24" i="25"/>
  <c r="I40" i="25"/>
  <c r="I28" i="25"/>
  <c r="J249" i="25"/>
  <c r="E211" i="25"/>
  <c r="E249" i="25" s="1"/>
  <c r="E50" i="25"/>
  <c r="F248" i="25"/>
  <c r="J60" i="25"/>
  <c r="I60" i="25"/>
  <c r="L60" i="25"/>
  <c r="J50" i="25"/>
  <c r="K50" i="25"/>
  <c r="K44" i="25"/>
  <c r="H50" i="25"/>
  <c r="F50" i="25"/>
  <c r="L248" i="25"/>
  <c r="M50" i="25"/>
  <c r="D248" i="25"/>
  <c r="H248" i="25"/>
  <c r="C248" i="25"/>
  <c r="I50" i="25"/>
  <c r="J248" i="25"/>
  <c r="L50" i="25"/>
  <c r="L44" i="25"/>
  <c r="D50" i="25"/>
  <c r="C50" i="25"/>
  <c r="C40" i="25"/>
  <c r="K249" i="25"/>
  <c r="D40" i="25"/>
  <c r="H40" i="25"/>
  <c r="F20" i="25"/>
  <c r="N20" i="25"/>
  <c r="M28" i="25"/>
  <c r="E24" i="25"/>
  <c r="M249" i="25"/>
  <c r="G44" i="25"/>
  <c r="O40" i="25"/>
  <c r="N40" i="25"/>
  <c r="J40" i="25"/>
  <c r="O20" i="25"/>
  <c r="X1886" i="12"/>
  <c r="I20" i="25"/>
  <c r="O28" i="25"/>
  <c r="G24" i="25"/>
  <c r="I44" i="25"/>
  <c r="D44" i="25"/>
  <c r="C24" i="25"/>
  <c r="M44" i="25"/>
  <c r="X1165" i="12"/>
  <c r="J157" i="25"/>
  <c r="J213" i="25" s="1"/>
  <c r="F24" i="25"/>
  <c r="D24" i="25"/>
  <c r="L20" i="25"/>
  <c r="C28" i="25"/>
  <c r="J20" i="25"/>
  <c r="H28" i="25"/>
  <c r="F44" i="25"/>
  <c r="N24" i="25"/>
  <c r="K28" i="25"/>
  <c r="D20" i="25"/>
  <c r="K20" i="25"/>
  <c r="F17" i="25"/>
  <c r="L28" i="25"/>
  <c r="D249" i="25"/>
  <c r="C20" i="25"/>
  <c r="M20" i="25"/>
  <c r="F28" i="25"/>
  <c r="O44" i="25"/>
  <c r="G28" i="25"/>
  <c r="K373" i="25"/>
  <c r="M420" i="25"/>
  <c r="L40" i="25"/>
  <c r="F249" i="25"/>
  <c r="G40" i="25"/>
  <c r="I24" i="25"/>
  <c r="L24" i="25"/>
  <c r="M24" i="25"/>
  <c r="G249" i="25"/>
  <c r="E20" i="25"/>
  <c r="E17" i="25"/>
  <c r="H18" i="25"/>
  <c r="C249" i="25"/>
  <c r="L249" i="25"/>
  <c r="I249" i="25"/>
  <c r="H373" i="25"/>
  <c r="P248" i="25"/>
  <c r="P243" i="25"/>
  <c r="O249" i="25"/>
  <c r="P220" i="25"/>
  <c r="P228" i="25" s="1"/>
  <c r="T111" i="18"/>
  <c r="P60" i="25"/>
  <c r="H1704" i="16"/>
  <c r="I1697" i="16" a="1"/>
  <c r="I1697" i="16" s="1"/>
  <c r="P57" i="25"/>
  <c r="P56" i="25"/>
  <c r="P50" i="25"/>
  <c r="P129" i="25"/>
  <c r="P55" i="25"/>
  <c r="P58" i="25"/>
  <c r="T31" i="18"/>
  <c r="T41" i="18" s="1"/>
  <c r="T68" i="10" s="1"/>
  <c r="P59" i="25"/>
  <c r="P54" i="25"/>
  <c r="P211" i="25"/>
  <c r="N1268" i="16"/>
  <c r="O1267" i="16"/>
  <c r="M264" i="16"/>
  <c r="M265" i="16" s="1"/>
  <c r="M53" i="20" s="1"/>
  <c r="M251" i="20" s="1"/>
  <c r="E69" i="25" s="1"/>
  <c r="D989" i="20"/>
  <c r="J985" i="20" a="1"/>
  <c r="J985" i="20" s="1"/>
  <c r="G420" i="25"/>
  <c r="H326" i="25"/>
  <c r="I326" i="25"/>
  <c r="M31" i="18"/>
  <c r="M41" i="18" s="1"/>
  <c r="M68" i="10" s="1"/>
  <c r="M146" i="10" s="1"/>
  <c r="M32" i="18" s="1"/>
  <c r="M39" i="18"/>
  <c r="P682" i="20"/>
  <c r="R947" i="16"/>
  <c r="R680" i="20"/>
  <c r="R682" i="20" s="1"/>
  <c r="W179" i="16"/>
  <c r="W52" i="10" s="1"/>
  <c r="W340" i="10" s="1"/>
  <c r="W158" i="16"/>
  <c r="V83" i="16"/>
  <c r="V178" i="16" s="1"/>
  <c r="V51" i="10" s="1"/>
  <c r="V912" i="16"/>
  <c r="V85" i="16"/>
  <c r="V181" i="16" s="1"/>
  <c r="V186" i="16"/>
  <c r="V60" i="10" s="1"/>
  <c r="V348" i="10" s="1"/>
  <c r="V163" i="16"/>
  <c r="V86" i="16"/>
  <c r="W916" i="16"/>
  <c r="W169" i="16"/>
  <c r="V39" i="18"/>
  <c r="V31" i="18"/>
  <c r="V41" i="18" s="1"/>
  <c r="V68" i="10" s="1"/>
  <c r="P681" i="20"/>
  <c r="Q681" i="20" s="1"/>
  <c r="U178" i="16"/>
  <c r="U51" i="10" s="1"/>
  <c r="P80" i="16"/>
  <c r="P176" i="16"/>
  <c r="P175" i="16" s="1"/>
  <c r="T56" i="10"/>
  <c r="U181" i="16"/>
  <c r="U55" i="10" s="1"/>
  <c r="U343" i="10" s="1"/>
  <c r="U182" i="16"/>
  <c r="U56" i="10" s="1"/>
  <c r="W1930" i="16"/>
  <c r="V917" i="16"/>
  <c r="M977" i="16"/>
  <c r="N976" i="16"/>
  <c r="P959" i="16"/>
  <c r="U57" i="10"/>
  <c r="Q948" i="16"/>
  <c r="S946" i="16"/>
  <c r="T581" i="20"/>
  <c r="R666" i="20"/>
  <c r="R668" i="20" s="1"/>
  <c r="X1475" i="16"/>
  <c r="V579" i="20"/>
  <c r="V581" i="20" s="1"/>
  <c r="P668" i="20"/>
  <c r="P667" i="20"/>
  <c r="Q667" i="20" s="1"/>
  <c r="X1324" i="16"/>
  <c r="X1598" i="16"/>
  <c r="L874" i="20"/>
  <c r="M866" i="20"/>
  <c r="M867" i="20" s="1"/>
  <c r="M868" i="20" s="1"/>
  <c r="U1612" i="16"/>
  <c r="M873" i="20"/>
  <c r="N873" i="20" s="1"/>
  <c r="N875" i="20" s="1"/>
  <c r="L868" i="20"/>
  <c r="N859" i="20"/>
  <c r="N861" i="20" s="1"/>
  <c r="L860" i="20"/>
  <c r="M860" i="20" s="1"/>
  <c r="M861" i="20" s="1"/>
  <c r="L861" i="20"/>
  <c r="K776" i="20"/>
  <c r="K777" i="20" s="1"/>
  <c r="L775" i="20"/>
  <c r="L777" i="20" s="1"/>
  <c r="K755" i="20"/>
  <c r="K756" i="20" s="1"/>
  <c r="L754" i="20"/>
  <c r="L756" i="20" s="1"/>
  <c r="K762" i="20"/>
  <c r="K763" i="20" s="1"/>
  <c r="L761" i="20"/>
  <c r="M761" i="20" s="1"/>
  <c r="K797" i="20"/>
  <c r="K798" i="20" s="1"/>
  <c r="L796" i="20"/>
  <c r="K783" i="20"/>
  <c r="K784" i="20" s="1"/>
  <c r="L782" i="20"/>
  <c r="M782" i="20" s="1"/>
  <c r="N782" i="20" s="1"/>
  <c r="N784" i="20" s="1"/>
  <c r="K734" i="20"/>
  <c r="K735" i="20" s="1"/>
  <c r="L733" i="20"/>
  <c r="M733" i="20" s="1"/>
  <c r="K741" i="20"/>
  <c r="K742" i="20" s="1"/>
  <c r="L740" i="20"/>
  <c r="M740" i="20" s="1"/>
  <c r="N740" i="20" s="1"/>
  <c r="O740" i="20" s="1"/>
  <c r="K769" i="20"/>
  <c r="K770" i="20" s="1"/>
  <c r="L768" i="20"/>
  <c r="L770" i="20" s="1"/>
  <c r="L810" i="20"/>
  <c r="M810" i="20" s="1"/>
  <c r="L852" i="20"/>
  <c r="M852" i="20" s="1"/>
  <c r="W1944" i="16"/>
  <c r="X1937" i="16"/>
  <c r="L715" i="20"/>
  <c r="L717" i="20" s="1"/>
  <c r="W1345" i="16"/>
  <c r="V1338" i="16"/>
  <c r="M157" i="25"/>
  <c r="M213" i="25" s="1"/>
  <c r="L1520" i="16"/>
  <c r="L1506" i="16" s="1"/>
  <c r="L369" i="16" s="1"/>
  <c r="O1654" i="16"/>
  <c r="R1366" i="16"/>
  <c r="K1521" i="16"/>
  <c r="K1522" i="16" s="1"/>
  <c r="K2153" i="16"/>
  <c r="O972" i="16"/>
  <c r="P972" i="16" s="1"/>
  <c r="L978" i="16"/>
  <c r="W936" i="16"/>
  <c r="R942" i="16"/>
  <c r="S942" i="16" s="1"/>
  <c r="O420" i="25"/>
  <c r="K717" i="20"/>
  <c r="E373" i="25"/>
  <c r="H467" i="25"/>
  <c r="G18" i="25"/>
  <c r="X1489" i="16"/>
  <c r="F75" i="25"/>
  <c r="F131" i="25" s="1"/>
  <c r="F467" i="25"/>
  <c r="N420" i="25"/>
  <c r="N373" i="25"/>
  <c r="R1647" i="16"/>
  <c r="K420" i="25"/>
  <c r="T1619" i="16"/>
  <c r="G75" i="25"/>
  <c r="G131" i="25" s="1"/>
  <c r="M373" i="25"/>
  <c r="N279" i="25"/>
  <c r="I467" i="25"/>
  <c r="W1626" i="16"/>
  <c r="X1626" i="16" s="1"/>
  <c r="Q1640" i="16"/>
  <c r="R1640" i="16" s="1"/>
  <c r="V1605" i="16"/>
  <c r="W1605" i="16" s="1"/>
  <c r="T1633" i="16"/>
  <c r="U1633" i="16" s="1"/>
  <c r="V1220" i="16"/>
  <c r="M279" i="25"/>
  <c r="M1269" i="16"/>
  <c r="O1248" i="16"/>
  <c r="P1248" i="16" s="1"/>
  <c r="Q1248" i="16" s="1"/>
  <c r="K75" i="25"/>
  <c r="K131" i="25" s="1"/>
  <c r="I420" i="25"/>
  <c r="X1206" i="16"/>
  <c r="T1359" i="16"/>
  <c r="E75" i="25"/>
  <c r="E131" i="25" s="1"/>
  <c r="O287" i="16"/>
  <c r="O789" i="16" s="1"/>
  <c r="O195" i="10" s="1"/>
  <c r="O339" i="10" s="1"/>
  <c r="V1352" i="16"/>
  <c r="W1352" i="16" s="1"/>
  <c r="X1352" i="16" s="1"/>
  <c r="J75" i="25"/>
  <c r="J131" i="25" s="1"/>
  <c r="D326" i="25"/>
  <c r="L157" i="25"/>
  <c r="L213" i="25" s="1"/>
  <c r="C157" i="25"/>
  <c r="C213" i="25" s="1"/>
  <c r="N75" i="25"/>
  <c r="N131" i="25" s="1"/>
  <c r="L373" i="25"/>
  <c r="N36" i="25"/>
  <c r="N157" i="25"/>
  <c r="N213" i="25" s="1"/>
  <c r="E279" i="25"/>
  <c r="O467" i="25"/>
  <c r="L467" i="25"/>
  <c r="H75" i="25"/>
  <c r="H131" i="25" s="1"/>
  <c r="F326" i="25"/>
  <c r="L420" i="25"/>
  <c r="O75" i="25"/>
  <c r="O131" i="25" s="1"/>
  <c r="H17" i="25"/>
  <c r="L75" i="25"/>
  <c r="L131" i="25" s="1"/>
  <c r="K467" i="25"/>
  <c r="J17" i="25"/>
  <c r="G279" i="25"/>
  <c r="M75" i="25"/>
  <c r="M131" i="25" s="1"/>
  <c r="L279" i="25"/>
  <c r="N326" i="25"/>
  <c r="N17" i="25"/>
  <c r="C75" i="25"/>
  <c r="C131" i="25" s="1"/>
  <c r="M326" i="25"/>
  <c r="E326" i="25"/>
  <c r="J467" i="25"/>
  <c r="M467" i="25"/>
  <c r="O157" i="25"/>
  <c r="O213" i="25" s="1"/>
  <c r="M17" i="25"/>
  <c r="F279" i="25"/>
  <c r="O18" i="25"/>
  <c r="C279" i="25"/>
  <c r="O373" i="25"/>
  <c r="F420" i="25"/>
  <c r="M36" i="25"/>
  <c r="I75" i="25"/>
  <c r="I131" i="25" s="1"/>
  <c r="O17" i="25"/>
  <c r="E157" i="25"/>
  <c r="E213" i="25" s="1"/>
  <c r="D157" i="25"/>
  <c r="D213" i="25" s="1"/>
  <c r="G467" i="25"/>
  <c r="F373" i="25"/>
  <c r="O36" i="25"/>
  <c r="E36" i="25"/>
  <c r="D75" i="25"/>
  <c r="D131" i="25" s="1"/>
  <c r="K17" i="25"/>
  <c r="J373" i="25"/>
  <c r="F157" i="25"/>
  <c r="F213" i="25" s="1"/>
  <c r="G157" i="25"/>
  <c r="G213" i="25" s="1"/>
  <c r="H279" i="25"/>
  <c r="H36" i="25"/>
  <c r="I279" i="25"/>
  <c r="K157" i="25"/>
  <c r="K213" i="25" s="1"/>
  <c r="K36" i="25"/>
  <c r="N467" i="25"/>
  <c r="L36" i="25"/>
  <c r="C420" i="25"/>
  <c r="J420" i="25"/>
  <c r="G326" i="25"/>
  <c r="K279" i="25"/>
  <c r="O326" i="25"/>
  <c r="G373" i="25"/>
  <c r="I157" i="25"/>
  <c r="I213" i="25" s="1"/>
  <c r="C326" i="25"/>
  <c r="M18" i="25"/>
  <c r="O279" i="25"/>
  <c r="D17" i="25"/>
  <c r="D373" i="25"/>
  <c r="N18" i="25"/>
  <c r="F18" i="25"/>
  <c r="F2023" i="16"/>
  <c r="E467" i="25"/>
  <c r="H157" i="25"/>
  <c r="H213" i="25" s="1"/>
  <c r="J32" i="25"/>
  <c r="E32" i="25"/>
  <c r="J36" i="25"/>
  <c r="H32" i="25"/>
  <c r="F1974" i="16"/>
  <c r="E420" i="25"/>
  <c r="I36" i="25"/>
  <c r="N32" i="25"/>
  <c r="L17" i="25"/>
  <c r="F36" i="25"/>
  <c r="D420" i="25"/>
  <c r="I18" i="25"/>
  <c r="J279" i="25"/>
  <c r="J18" i="25"/>
  <c r="D36" i="25"/>
  <c r="G36" i="25"/>
  <c r="L32" i="25"/>
  <c r="I32" i="25"/>
  <c r="C32" i="25"/>
  <c r="J326" i="25"/>
  <c r="D279" i="25"/>
  <c r="C373" i="25"/>
  <c r="K32" i="25"/>
  <c r="C18" i="25"/>
  <c r="O32" i="25"/>
  <c r="M32" i="25"/>
  <c r="F32" i="25"/>
  <c r="D467" i="25"/>
  <c r="K18" i="25"/>
  <c r="N1968" i="16"/>
  <c r="O1968" i="16" s="1"/>
  <c r="O2219" i="16" s="1"/>
  <c r="G17" i="25"/>
  <c r="C36" i="25"/>
  <c r="I17" i="25"/>
  <c r="L18" i="25"/>
  <c r="G32" i="25"/>
  <c r="E18" i="25"/>
  <c r="D32" i="25"/>
  <c r="C17" i="25"/>
  <c r="D18" i="25"/>
  <c r="F1672" i="16"/>
  <c r="F1679" i="16"/>
  <c r="K1680" i="16" s="1"/>
  <c r="K1681" i="16" s="1"/>
  <c r="K1682" i="16" s="1"/>
  <c r="L2018" i="16"/>
  <c r="L2019" i="16"/>
  <c r="M2017" i="16"/>
  <c r="D1961" i="16"/>
  <c r="F1960" i="16" s="1"/>
  <c r="K1961" i="16" s="1"/>
  <c r="M1982" i="16"/>
  <c r="M2221" i="16" s="1"/>
  <c r="K2221" i="16"/>
  <c r="K1983" i="16"/>
  <c r="L1983" i="16" s="1"/>
  <c r="F1988" i="16"/>
  <c r="K1989" i="16" s="1"/>
  <c r="K2222" i="16" s="1"/>
  <c r="F1685" i="16"/>
  <c r="D1996" i="16"/>
  <c r="D1994" i="16"/>
  <c r="E1994" i="16"/>
  <c r="F1994" i="16" s="1"/>
  <c r="W2259" i="16"/>
  <c r="W44" i="16" s="1"/>
  <c r="D1686" i="16"/>
  <c r="D1687" i="16" s="1"/>
  <c r="E2009" i="16" s="1"/>
  <c r="E2001" i="16"/>
  <c r="F2001" i="16" s="1"/>
  <c r="D2001" i="16"/>
  <c r="X2247" i="16"/>
  <c r="X2259" i="16" s="1"/>
  <c r="X44" i="16" s="1"/>
  <c r="V57" i="10"/>
  <c r="V399" i="20"/>
  <c r="V400" i="20" s="1"/>
  <c r="W2263" i="16"/>
  <c r="W76" i="16" s="1"/>
  <c r="W89" i="16" s="1"/>
  <c r="W185" i="16" s="1"/>
  <c r="W75" i="16"/>
  <c r="X73" i="16" s="1"/>
  <c r="X2239" i="16" s="1"/>
  <c r="X2251" i="16" s="1"/>
  <c r="W2258" i="16"/>
  <c r="W36" i="16" s="1"/>
  <c r="W35" i="16"/>
  <c r="X33" i="16" s="1"/>
  <c r="X2234" i="16" s="1"/>
  <c r="X2246" i="16" s="1"/>
  <c r="W2260" i="16"/>
  <c r="W52" i="16" s="1"/>
  <c r="W51" i="16"/>
  <c r="X49" i="16" s="1"/>
  <c r="X2236" i="16" s="1"/>
  <c r="X2248" i="16" s="1"/>
  <c r="W2261" i="16"/>
  <c r="W60" i="16" s="1"/>
  <c r="W87" i="16" s="1"/>
  <c r="W183" i="16" s="1"/>
  <c r="W59" i="16"/>
  <c r="X57" i="16" s="1"/>
  <c r="X2237" i="16" s="1"/>
  <c r="X2249" i="16" s="1"/>
  <c r="Q19" i="16"/>
  <c r="R17" i="16" s="1"/>
  <c r="R2232" i="16" s="1"/>
  <c r="R2240" i="16" s="1"/>
  <c r="R91" i="16" s="1"/>
  <c r="R101" i="12" s="1"/>
  <c r="R109" i="12" s="1"/>
  <c r="Q2256" i="16"/>
  <c r="Q2252" i="16"/>
  <c r="W911" i="16"/>
  <c r="P960" i="16"/>
  <c r="Q958" i="16"/>
  <c r="Q455" i="20"/>
  <c r="Q456" i="20" s="1"/>
  <c r="L983" i="16"/>
  <c r="M983" i="16" s="1"/>
  <c r="O1254" i="16"/>
  <c r="P1254" i="16" s="1"/>
  <c r="R1247" i="16"/>
  <c r="S1247" i="16" s="1"/>
  <c r="T1247" i="16" s="1"/>
  <c r="R435" i="20"/>
  <c r="S434" i="20"/>
  <c r="T434" i="20" s="1"/>
  <c r="Q1233" i="16"/>
  <c r="Q1234" i="16" s="1"/>
  <c r="R1232" i="16"/>
  <c r="V393" i="20"/>
  <c r="W392" i="20"/>
  <c r="O1255" i="16"/>
  <c r="P1255" i="16" s="1"/>
  <c r="W1219" i="16"/>
  <c r="X1219" i="16" s="1"/>
  <c r="U414" i="20"/>
  <c r="V413" i="20"/>
  <c r="O448" i="20"/>
  <c r="P448" i="20" s="1"/>
  <c r="N1263" i="16"/>
  <c r="N263" i="16" s="1"/>
  <c r="N265" i="16" s="1"/>
  <c r="N53" i="20" s="1"/>
  <c r="N251" i="20" s="1"/>
  <c r="F69" i="25" s="1"/>
  <c r="Q1239" i="16"/>
  <c r="O1260" i="16"/>
  <c r="P1260" i="16" s="1"/>
  <c r="Q1260" i="16" s="1"/>
  <c r="R1260" i="16" s="1"/>
  <c r="P1240" i="16"/>
  <c r="P1241" i="16" s="1"/>
  <c r="N1261" i="16"/>
  <c r="N1262" i="16" s="1"/>
  <c r="O449" i="20"/>
  <c r="U407" i="20"/>
  <c r="V406" i="20"/>
  <c r="T421" i="20"/>
  <c r="U420" i="20"/>
  <c r="Q1253" i="16"/>
  <c r="R1253" i="16" s="1"/>
  <c r="P442" i="20"/>
  <c r="Q441" i="20"/>
  <c r="S428" i="20"/>
  <c r="T427" i="20"/>
  <c r="Q447" i="20"/>
  <c r="R447" i="20" s="1"/>
  <c r="S447" i="20" s="1"/>
  <c r="Q954" i="16"/>
  <c r="O966" i="16"/>
  <c r="R953" i="16"/>
  <c r="T929" i="16"/>
  <c r="Q965" i="16"/>
  <c r="X935" i="16"/>
  <c r="R964" i="16"/>
  <c r="D999" i="16"/>
  <c r="D1009" i="16"/>
  <c r="J1008" i="16"/>
  <c r="E1005" i="16"/>
  <c r="E1004" i="16"/>
  <c r="F1004" i="16" s="1"/>
  <c r="D1004" i="16"/>
  <c r="C1006" i="16"/>
  <c r="B1003" i="16"/>
  <c r="F993" i="16"/>
  <c r="K994" i="16" s="1"/>
  <c r="K995" i="16" s="1"/>
  <c r="T941" i="16"/>
  <c r="N982" i="16"/>
  <c r="U940" i="16"/>
  <c r="W400" i="20"/>
  <c r="U1246" i="16"/>
  <c r="T1227" i="16"/>
  <c r="U1227" i="16" s="1"/>
  <c r="V1226" i="16"/>
  <c r="W1225" i="16"/>
  <c r="K703" i="20"/>
  <c r="L701" i="20"/>
  <c r="M701" i="20" s="1"/>
  <c r="O945" i="20"/>
  <c r="P943" i="20"/>
  <c r="O944" i="20"/>
  <c r="S454" i="20"/>
  <c r="T440" i="20"/>
  <c r="X419" i="20"/>
  <c r="P818" i="20"/>
  <c r="P819" i="20"/>
  <c r="Q817" i="20"/>
  <c r="E830" i="20"/>
  <c r="K831" i="20" s="1"/>
  <c r="E886" i="20"/>
  <c r="K887" i="20" s="1"/>
  <c r="K888" i="20" s="1"/>
  <c r="K889" i="20" s="1"/>
  <c r="W426" i="20"/>
  <c r="M586" i="20"/>
  <c r="L588" i="20"/>
  <c r="E977" i="20"/>
  <c r="K978" i="20" s="1"/>
  <c r="W433" i="20"/>
  <c r="L587" i="20"/>
  <c r="L931" i="20"/>
  <c r="O923" i="20"/>
  <c r="O924" i="20"/>
  <c r="P922" i="20"/>
  <c r="N929" i="20"/>
  <c r="N931" i="20" s="1"/>
  <c r="E935" i="20"/>
  <c r="K936" i="20" s="1"/>
  <c r="K937" i="20" s="1"/>
  <c r="K938" i="20" s="1"/>
  <c r="K930" i="20"/>
  <c r="L930" i="20" s="1"/>
  <c r="M930" i="20" s="1"/>
  <c r="M931" i="20" s="1"/>
  <c r="Q673" i="20"/>
  <c r="Q675" i="20" s="1"/>
  <c r="Q617" i="20"/>
  <c r="R617" i="20" s="1"/>
  <c r="P618" i="20"/>
  <c r="P619" i="20" s="1"/>
  <c r="L880" i="20"/>
  <c r="K804" i="20"/>
  <c r="K805" i="20" s="1"/>
  <c r="L803" i="20"/>
  <c r="P674" i="20"/>
  <c r="P660" i="20"/>
  <c r="Q652" i="20"/>
  <c r="Q654" i="20" s="1"/>
  <c r="L789" i="20"/>
  <c r="M789" i="20" s="1"/>
  <c r="K791" i="20"/>
  <c r="P653" i="20"/>
  <c r="S624" i="20"/>
  <c r="R625" i="20"/>
  <c r="R626" i="20" s="1"/>
  <c r="P661" i="20"/>
  <c r="Q659" i="20"/>
  <c r="Q661" i="20" s="1"/>
  <c r="R638" i="20"/>
  <c r="R640" i="20" s="1"/>
  <c r="Q640" i="20"/>
  <c r="L747" i="20"/>
  <c r="L749" i="20" s="1"/>
  <c r="Q633" i="20"/>
  <c r="R631" i="20"/>
  <c r="K749" i="20"/>
  <c r="K728" i="20"/>
  <c r="L726" i="20"/>
  <c r="R580" i="20"/>
  <c r="V2250" i="16"/>
  <c r="V67" i="16" s="1"/>
  <c r="W65" i="16" s="1"/>
  <c r="W2238" i="16" s="1"/>
  <c r="U2262" i="16"/>
  <c r="U68" i="16" s="1"/>
  <c r="U88" i="16" s="1"/>
  <c r="T2257" i="16"/>
  <c r="U2233" i="16"/>
  <c r="U2245" i="16" s="1"/>
  <c r="U27" i="16" s="1"/>
  <c r="V25" i="16" s="1"/>
  <c r="V2233" i="16" s="1"/>
  <c r="X152" i="16"/>
  <c r="X923" i="12"/>
  <c r="X931" i="12" s="1"/>
  <c r="X1939" i="12"/>
  <c r="X1897" i="12" s="1"/>
  <c r="X1931" i="12"/>
  <c r="X1934" i="12" s="1"/>
  <c r="S930" i="16"/>
  <c r="X208" i="10"/>
  <c r="X352" i="10" s="1"/>
  <c r="T59" i="10"/>
  <c r="W928" i="16"/>
  <c r="S1639" i="16"/>
  <c r="T1638" i="16"/>
  <c r="U1638" i="16" s="1"/>
  <c r="X906" i="16"/>
  <c r="L1515" i="16"/>
  <c r="X146" i="16"/>
  <c r="S563" i="20"/>
  <c r="X1943" i="16"/>
  <c r="V1632" i="16"/>
  <c r="S957" i="20"/>
  <c r="T957" i="20" s="1"/>
  <c r="N708" i="20"/>
  <c r="O708" i="20" s="1"/>
  <c r="L985" i="20"/>
  <c r="T562" i="20"/>
  <c r="S564" i="20"/>
  <c r="P971" i="20"/>
  <c r="Q971" i="20" s="1"/>
  <c r="Q1372" i="16"/>
  <c r="Q1373" i="16" s="1"/>
  <c r="Q571" i="20"/>
  <c r="R569" i="20"/>
  <c r="L687" i="20"/>
  <c r="M687" i="20" s="1"/>
  <c r="W908" i="20"/>
  <c r="V910" i="20"/>
  <c r="V909" i="20"/>
  <c r="C1003" i="20"/>
  <c r="C998" i="20"/>
  <c r="C999" i="20" s="1"/>
  <c r="D997" i="20"/>
  <c r="C997" i="20"/>
  <c r="D1165" i="20" s="1"/>
  <c r="D998" i="20"/>
  <c r="R952" i="20"/>
  <c r="V1611" i="16"/>
  <c r="M972" i="20"/>
  <c r="M973" i="20" s="1"/>
  <c r="Q570" i="20"/>
  <c r="V1378" i="16"/>
  <c r="W1378" i="16" s="1"/>
  <c r="X1378" i="16" s="1"/>
  <c r="P959" i="20"/>
  <c r="W1631" i="16"/>
  <c r="V2170" i="16"/>
  <c r="K987" i="20"/>
  <c r="R951" i="20"/>
  <c r="S951" i="20" s="1"/>
  <c r="E991" i="20"/>
  <c r="K992" i="20" s="1"/>
  <c r="K993" i="20" s="1"/>
  <c r="X1336" i="16"/>
  <c r="W2126" i="16"/>
  <c r="M1527" i="16"/>
  <c r="N1527" i="16" s="1"/>
  <c r="M1513" i="16"/>
  <c r="Q2131" i="16"/>
  <c r="R1371" i="16"/>
  <c r="Q285" i="16"/>
  <c r="N1534" i="16"/>
  <c r="N2155" i="16" s="1"/>
  <c r="X2214" i="16"/>
  <c r="M1541" i="16"/>
  <c r="W1337" i="16"/>
  <c r="S1652" i="16"/>
  <c r="T1652" i="16" s="1"/>
  <c r="W1610" i="16"/>
  <c r="V2167" i="16"/>
  <c r="U918" i="16"/>
  <c r="T58" i="10"/>
  <c r="Q50" i="10"/>
  <c r="P338" i="10"/>
  <c r="U924" i="16"/>
  <c r="S1365" i="16"/>
  <c r="X2127" i="16"/>
  <c r="X1344" i="16"/>
  <c r="X1604" i="16"/>
  <c r="S2130" i="16"/>
  <c r="U1358" i="16"/>
  <c r="V1358" i="16" s="1"/>
  <c r="W1358" i="16" s="1"/>
  <c r="U1618" i="16"/>
  <c r="X2166" i="16"/>
  <c r="U2130" i="16"/>
  <c r="W2129" i="16"/>
  <c r="X2129" i="16"/>
  <c r="X1929" i="16"/>
  <c r="P2173" i="16"/>
  <c r="V2129" i="16"/>
  <c r="E1692" i="16"/>
  <c r="F1692" i="16" s="1"/>
  <c r="Q1697" i="16"/>
  <c r="V1697" i="16"/>
  <c r="D1692" i="16"/>
  <c r="R1697" i="16"/>
  <c r="K1697" i="16"/>
  <c r="S1697" i="16"/>
  <c r="N1697" i="16"/>
  <c r="L1697" i="16"/>
  <c r="T1697" i="16"/>
  <c r="D1698" i="16"/>
  <c r="E1693" i="16"/>
  <c r="D1693" i="16" s="1"/>
  <c r="M1697" i="16"/>
  <c r="U1697" i="16"/>
  <c r="B1691" i="16"/>
  <c r="O1697" i="16"/>
  <c r="W1697" i="16"/>
  <c r="P1697" i="16"/>
  <c r="X1697" i="16"/>
  <c r="U2129" i="16"/>
  <c r="P1653" i="16"/>
  <c r="S2132" i="16"/>
  <c r="O286" i="16"/>
  <c r="P1379" i="16"/>
  <c r="P1380" i="16" s="1"/>
  <c r="S2172" i="16"/>
  <c r="S1646" i="16"/>
  <c r="W1215" i="20"/>
  <c r="O67" i="25"/>
  <c r="R247" i="10"/>
  <c r="U111" i="18"/>
  <c r="U75" i="18"/>
  <c r="U80" i="18" s="1"/>
  <c r="Q247" i="10"/>
  <c r="K290" i="10"/>
  <c r="K211" i="10"/>
  <c r="M212" i="10"/>
  <c r="O108" i="18"/>
  <c r="P39" i="18"/>
  <c r="P31" i="18"/>
  <c r="P41" i="18" s="1"/>
  <c r="P111" i="18"/>
  <c r="S67" i="10"/>
  <c r="S146" i="10"/>
  <c r="S32" i="18" s="1"/>
  <c r="Q111" i="18"/>
  <c r="Q39" i="18"/>
  <c r="Q31" i="18"/>
  <c r="Q41" i="18" s="1"/>
  <c r="R31" i="18"/>
  <c r="R41" i="18" s="1"/>
  <c r="R39" i="18"/>
  <c r="R111" i="18"/>
  <c r="L39" i="18"/>
  <c r="L31" i="18"/>
  <c r="L41" i="18" s="1"/>
  <c r="L111" i="18"/>
  <c r="O146" i="10"/>
  <c r="O32" i="18" s="1"/>
  <c r="O67" i="10"/>
  <c r="N67" i="10"/>
  <c r="N146" i="10"/>
  <c r="N32" i="18" s="1"/>
  <c r="K31" i="18"/>
  <c r="K41" i="18" s="1"/>
  <c r="K39" i="18"/>
  <c r="K111" i="18"/>
  <c r="S108" i="18"/>
  <c r="N75" i="18"/>
  <c r="N80" i="18" s="1"/>
  <c r="N111" i="18"/>
  <c r="L2155" i="16"/>
  <c r="L1536" i="16"/>
  <c r="L1528" i="16"/>
  <c r="K1529" i="16"/>
  <c r="L1529" i="16" s="1"/>
  <c r="X1902" i="12"/>
  <c r="V212" i="10"/>
  <c r="L2156" i="16"/>
  <c r="X68" i="10"/>
  <c r="L709" i="20"/>
  <c r="K688" i="20"/>
  <c r="K689" i="20" s="1"/>
  <c r="L710" i="20"/>
  <c r="X304" i="10"/>
  <c r="X303" i="10" s="1"/>
  <c r="X159" i="10"/>
  <c r="X78" i="18" s="1"/>
  <c r="W111" i="18"/>
  <c r="W75" i="18"/>
  <c r="W80" i="18" s="1"/>
  <c r="W212" i="10" s="1"/>
  <c r="W68" i="10"/>
  <c r="L1535" i="16"/>
  <c r="M1535" i="16" s="1"/>
  <c r="M2155" i="16"/>
  <c r="L1542" i="16"/>
  <c r="K1543" i="16"/>
  <c r="L2154" i="16"/>
  <c r="L1514" i="16"/>
  <c r="I214" i="16" l="1"/>
  <c r="G47" i="20" s="1"/>
  <c r="N242" i="25"/>
  <c r="P242" i="25"/>
  <c r="P67" i="25"/>
  <c r="O242" i="25"/>
  <c r="X1172" i="12"/>
  <c r="D196" i="16" s="1"/>
  <c r="Q971" i="16"/>
  <c r="R971" i="16" s="1"/>
  <c r="N2175" i="16"/>
  <c r="M2175" i="16"/>
  <c r="M1667" i="16"/>
  <c r="M1668" i="16" s="1"/>
  <c r="N1668" i="16" s="1"/>
  <c r="Q1666" i="16"/>
  <c r="R1666" i="16" s="1"/>
  <c r="M988" i="16"/>
  <c r="M989" i="16" s="1"/>
  <c r="L990" i="16"/>
  <c r="L994" i="16"/>
  <c r="L995" i="16" s="1"/>
  <c r="K996" i="16"/>
  <c r="L1989" i="16"/>
  <c r="M1989" i="16" s="1"/>
  <c r="M2222" i="16" s="1"/>
  <c r="L1660" i="16"/>
  <c r="M1660" i="16" s="1"/>
  <c r="V1949" i="16"/>
  <c r="U585" i="16"/>
  <c r="K2177" i="16"/>
  <c r="W1923" i="16"/>
  <c r="L1680" i="16"/>
  <c r="L2177" i="16" s="1"/>
  <c r="W1902" i="16"/>
  <c r="X1901" i="16"/>
  <c r="K1990" i="16"/>
  <c r="K1991" i="16" s="1"/>
  <c r="K2024" i="16"/>
  <c r="X1921" i="16"/>
  <c r="K1661" i="16"/>
  <c r="L1661" i="16" s="1"/>
  <c r="M1661" i="16" s="1"/>
  <c r="K1984" i="16"/>
  <c r="L1984" i="16" s="1"/>
  <c r="K1673" i="16"/>
  <c r="K1962" i="16"/>
  <c r="K1963" i="16" s="1"/>
  <c r="K2218" i="16"/>
  <c r="R1951" i="16"/>
  <c r="R587" i="16" s="1"/>
  <c r="R794" i="16" s="1"/>
  <c r="R202" i="10" s="1"/>
  <c r="R346" i="10" s="1"/>
  <c r="S1950" i="16"/>
  <c r="R586" i="16"/>
  <c r="K1975" i="16"/>
  <c r="L2174" i="16"/>
  <c r="N1659" i="16"/>
  <c r="W1922" i="16"/>
  <c r="L696" i="20"/>
  <c r="N694" i="20"/>
  <c r="O694" i="20" s="1"/>
  <c r="L695" i="20"/>
  <c r="M695" i="20" s="1"/>
  <c r="M696" i="20" s="1"/>
  <c r="P44" i="25"/>
  <c r="P20" i="25"/>
  <c r="P467" i="25"/>
  <c r="P28" i="25"/>
  <c r="P40" i="25"/>
  <c r="P279" i="25"/>
  <c r="P157" i="25"/>
  <c r="P213" i="25" s="1"/>
  <c r="P32" i="25"/>
  <c r="P420" i="25"/>
  <c r="P36" i="25"/>
  <c r="P75" i="25"/>
  <c r="P131" i="25" s="1"/>
  <c r="P24" i="25"/>
  <c r="P373" i="25"/>
  <c r="P326" i="25"/>
  <c r="P18" i="25"/>
  <c r="P17" i="25"/>
  <c r="X1646" i="12"/>
  <c r="J242" i="25"/>
  <c r="C242" i="25"/>
  <c r="D242" i="25"/>
  <c r="G242" i="25"/>
  <c r="I242" i="25"/>
  <c r="E242" i="25"/>
  <c r="K242" i="25"/>
  <c r="M242" i="25"/>
  <c r="L242" i="25"/>
  <c r="F242" i="25"/>
  <c r="H242" i="25"/>
  <c r="J251" i="25"/>
  <c r="F251" i="25"/>
  <c r="O251" i="25"/>
  <c r="D251" i="25"/>
  <c r="G251" i="25"/>
  <c r="N251" i="25"/>
  <c r="C251" i="25"/>
  <c r="L251" i="25"/>
  <c r="H251" i="25"/>
  <c r="I251" i="25"/>
  <c r="E251" i="25"/>
  <c r="M251" i="25"/>
  <c r="P249" i="25"/>
  <c r="K251" i="25"/>
  <c r="H1711" i="16"/>
  <c r="I1704" i="16" a="1"/>
  <c r="I1704" i="16" s="1"/>
  <c r="T108" i="18"/>
  <c r="T109" i="18" s="1"/>
  <c r="P1267" i="16"/>
  <c r="P1270" i="16" s="1"/>
  <c r="O1270" i="16"/>
  <c r="O1268" i="16"/>
  <c r="N1269" i="16"/>
  <c r="J992" i="20" a="1"/>
  <c r="J992" i="20" s="1"/>
  <c r="D996" i="20"/>
  <c r="M67" i="10"/>
  <c r="N103" i="10" s="1"/>
  <c r="M108" i="18"/>
  <c r="M113" i="18" s="1"/>
  <c r="M356" i="10" s="1"/>
  <c r="S680" i="20"/>
  <c r="S682" i="20" s="1"/>
  <c r="X1930" i="16"/>
  <c r="V108" i="18"/>
  <c r="V109" i="18" s="1"/>
  <c r="W917" i="16"/>
  <c r="R681" i="20"/>
  <c r="S666" i="20"/>
  <c r="S668" i="20" s="1"/>
  <c r="N977" i="16"/>
  <c r="X916" i="16"/>
  <c r="V182" i="16"/>
  <c r="V56" i="10" s="1"/>
  <c r="W85" i="16"/>
  <c r="X169" i="16"/>
  <c r="X162" i="16"/>
  <c r="W86" i="16"/>
  <c r="W182" i="16" s="1"/>
  <c r="W56" i="10" s="1"/>
  <c r="X85" i="16"/>
  <c r="X181" i="16" s="1"/>
  <c r="V67" i="10"/>
  <c r="V103" i="10" s="1"/>
  <c r="V146" i="10"/>
  <c r="V32" i="18" s="1"/>
  <c r="W912" i="16"/>
  <c r="W83" i="16"/>
  <c r="W178" i="16" s="1"/>
  <c r="W51" i="10" s="1"/>
  <c r="W186" i="16"/>
  <c r="W60" i="10" s="1"/>
  <c r="W348" i="10" s="1"/>
  <c r="W163" i="16"/>
  <c r="V55" i="10"/>
  <c r="V343" i="10" s="1"/>
  <c r="U84" i="16"/>
  <c r="U184" i="16"/>
  <c r="U180" i="16" s="1"/>
  <c r="T946" i="16"/>
  <c r="U946" i="16" s="1"/>
  <c r="V946" i="16" s="1"/>
  <c r="O976" i="16"/>
  <c r="P976" i="16" s="1"/>
  <c r="M978" i="16"/>
  <c r="N978" i="16" s="1"/>
  <c r="Q959" i="16"/>
  <c r="S947" i="16"/>
  <c r="R948" i="16"/>
  <c r="S948" i="16" s="1"/>
  <c r="U929" i="16"/>
  <c r="V929" i="16" s="1"/>
  <c r="R667" i="20"/>
  <c r="W579" i="20"/>
  <c r="W581" i="20" s="1"/>
  <c r="V1612" i="16"/>
  <c r="M874" i="20"/>
  <c r="M875" i="20" s="1"/>
  <c r="M715" i="20"/>
  <c r="N715" i="20" s="1"/>
  <c r="L716" i="20"/>
  <c r="N866" i="20"/>
  <c r="N867" i="20" s="1"/>
  <c r="O859" i="20"/>
  <c r="O861" i="20" s="1"/>
  <c r="L854" i="20"/>
  <c r="N860" i="20"/>
  <c r="L811" i="20"/>
  <c r="M811" i="20" s="1"/>
  <c r="M812" i="20" s="1"/>
  <c r="L812" i="20"/>
  <c r="L784" i="20"/>
  <c r="M754" i="20"/>
  <c r="M756" i="20" s="1"/>
  <c r="L735" i="20"/>
  <c r="N733" i="20"/>
  <c r="L755" i="20"/>
  <c r="L734" i="20"/>
  <c r="M734" i="20" s="1"/>
  <c r="M735" i="20" s="1"/>
  <c r="X1944" i="16"/>
  <c r="W1338" i="16"/>
  <c r="M775" i="20"/>
  <c r="N775" i="20" s="1"/>
  <c r="O775" i="20" s="1"/>
  <c r="O777" i="20" s="1"/>
  <c r="L797" i="20"/>
  <c r="L783" i="20"/>
  <c r="M783" i="20" s="1"/>
  <c r="M784" i="20" s="1"/>
  <c r="L776" i="20"/>
  <c r="L853" i="20"/>
  <c r="M853" i="20" s="1"/>
  <c r="M854" i="20" s="1"/>
  <c r="X1345" i="16"/>
  <c r="N761" i="20"/>
  <c r="O761" i="20" s="1"/>
  <c r="L741" i="20"/>
  <c r="M741" i="20" s="1"/>
  <c r="M742" i="20" s="1"/>
  <c r="L742" i="20"/>
  <c r="L762" i="20"/>
  <c r="M762" i="20" s="1"/>
  <c r="M763" i="20" s="1"/>
  <c r="L763" i="20"/>
  <c r="M796" i="20"/>
  <c r="N796" i="20" s="1"/>
  <c r="N798" i="20" s="1"/>
  <c r="M768" i="20"/>
  <c r="N768" i="20" s="1"/>
  <c r="N770" i="20" s="1"/>
  <c r="N852" i="20"/>
  <c r="N854" i="20" s="1"/>
  <c r="L798" i="20"/>
  <c r="K832" i="20"/>
  <c r="K833" i="20" s="1"/>
  <c r="L831" i="20"/>
  <c r="M831" i="20" s="1"/>
  <c r="K979" i="20"/>
  <c r="K980" i="20" s="1"/>
  <c r="L978" i="20"/>
  <c r="L980" i="20" s="1"/>
  <c r="K931" i="20"/>
  <c r="L936" i="20"/>
  <c r="M936" i="20" s="1"/>
  <c r="L887" i="20"/>
  <c r="M887" i="20" s="1"/>
  <c r="L769" i="20"/>
  <c r="X43" i="16"/>
  <c r="L1521" i="16"/>
  <c r="L1507" i="16" s="1"/>
  <c r="L370" i="16" s="1"/>
  <c r="P1654" i="16"/>
  <c r="L1522" i="16"/>
  <c r="L2153" i="16"/>
  <c r="M1520" i="16"/>
  <c r="M1506" i="16" s="1"/>
  <c r="M369" i="16" s="1"/>
  <c r="S1366" i="16"/>
  <c r="K1507" i="16"/>
  <c r="K370" i="16" s="1"/>
  <c r="S1647" i="16"/>
  <c r="X936" i="16"/>
  <c r="T942" i="16"/>
  <c r="L984" i="16"/>
  <c r="M984" i="16" s="1"/>
  <c r="U1619" i="16"/>
  <c r="D1694" i="16"/>
  <c r="F1693" i="16" s="1"/>
  <c r="S1640" i="16"/>
  <c r="V1633" i="16"/>
  <c r="X1605" i="16"/>
  <c r="M1536" i="16"/>
  <c r="R1248" i="16"/>
  <c r="S1248" i="16" s="1"/>
  <c r="T1248" i="16" s="1"/>
  <c r="W1220" i="16"/>
  <c r="U1359" i="16"/>
  <c r="V1359" i="16" s="1"/>
  <c r="W1359" i="16" s="1"/>
  <c r="P287" i="16"/>
  <c r="P789" i="16" s="1"/>
  <c r="P195" i="10" s="1"/>
  <c r="P339" i="10" s="1"/>
  <c r="N16" i="25"/>
  <c r="M16" i="25"/>
  <c r="E16" i="25"/>
  <c r="O16" i="25"/>
  <c r="K16" i="25"/>
  <c r="H16" i="25"/>
  <c r="L16" i="25"/>
  <c r="F16" i="25"/>
  <c r="J16" i="25"/>
  <c r="D16" i="25"/>
  <c r="I16" i="25"/>
  <c r="G16" i="25"/>
  <c r="F1995" i="16"/>
  <c r="N2219" i="16"/>
  <c r="C16" i="25"/>
  <c r="P1968" i="16"/>
  <c r="P2219" i="16" s="1"/>
  <c r="N1969" i="16"/>
  <c r="O1969" i="16" s="1"/>
  <c r="M2018" i="16"/>
  <c r="M2019" i="16" s="1"/>
  <c r="M2226" i="16"/>
  <c r="N2017" i="16"/>
  <c r="O2017" i="16" s="1"/>
  <c r="O2226" i="16" s="1"/>
  <c r="N1982" i="16"/>
  <c r="O1982" i="16" s="1"/>
  <c r="O2221" i="16" s="1"/>
  <c r="M1983" i="16"/>
  <c r="D2009" i="16"/>
  <c r="D2010" i="16" s="1"/>
  <c r="L1961" i="16"/>
  <c r="K1996" i="16"/>
  <c r="F1686" i="16"/>
  <c r="K1687" i="16" s="1"/>
  <c r="L1687" i="16" s="1"/>
  <c r="E2002" i="16"/>
  <c r="L1999" i="16"/>
  <c r="M1999" i="16"/>
  <c r="K1999" i="16"/>
  <c r="O1999" i="16"/>
  <c r="N1999" i="16"/>
  <c r="P1999" i="16"/>
  <c r="Q1999" i="16"/>
  <c r="R1999" i="16"/>
  <c r="S1999" i="16"/>
  <c r="T1999" i="16"/>
  <c r="U1999" i="16"/>
  <c r="V1999" i="16"/>
  <c r="W1999" i="16"/>
  <c r="X1999" i="16"/>
  <c r="W399" i="20"/>
  <c r="X399" i="20" s="1"/>
  <c r="W57" i="10"/>
  <c r="R2244" i="16"/>
  <c r="R19" i="16" s="1"/>
  <c r="S17" i="16" s="1"/>
  <c r="S2232" i="16" s="1"/>
  <c r="X2258" i="16"/>
  <c r="X36" i="16" s="1"/>
  <c r="X35" i="16"/>
  <c r="X2263" i="16"/>
  <c r="X76" i="16" s="1"/>
  <c r="X89" i="16" s="1"/>
  <c r="X75" i="16"/>
  <c r="X2261" i="16"/>
  <c r="X60" i="16" s="1"/>
  <c r="X87" i="16" s="1"/>
  <c r="X183" i="16" s="1"/>
  <c r="X59" i="16"/>
  <c r="X2260" i="16"/>
  <c r="X52" i="16" s="1"/>
  <c r="X51" i="16"/>
  <c r="X911" i="16"/>
  <c r="P49" i="10"/>
  <c r="P48" i="10" s="1"/>
  <c r="P47" i="10" s="1"/>
  <c r="Q20" i="16"/>
  <c r="Q81" i="16" s="1"/>
  <c r="Q2264" i="16"/>
  <c r="X1945" i="12"/>
  <c r="X1948" i="12" s="1"/>
  <c r="X1903" i="12"/>
  <c r="X1906" i="12" s="1"/>
  <c r="R958" i="16"/>
  <c r="Q960" i="16"/>
  <c r="R455" i="20"/>
  <c r="R456" i="20" s="1"/>
  <c r="T435" i="20"/>
  <c r="U434" i="20"/>
  <c r="W393" i="20"/>
  <c r="X392" i="20"/>
  <c r="R1233" i="16"/>
  <c r="R1234" i="16" s="1"/>
  <c r="S1232" i="16"/>
  <c r="O1261" i="16"/>
  <c r="P1261" i="16" s="1"/>
  <c r="Q1261" i="16" s="1"/>
  <c r="R1261" i="16" s="1"/>
  <c r="R1239" i="16"/>
  <c r="S1239" i="16" s="1"/>
  <c r="Q1240" i="16"/>
  <c r="Q1241" i="16" s="1"/>
  <c r="S1260" i="16"/>
  <c r="V414" i="20"/>
  <c r="W413" i="20"/>
  <c r="Q1254" i="16"/>
  <c r="R1254" i="16" s="1"/>
  <c r="U421" i="20"/>
  <c r="V420" i="20"/>
  <c r="Q442" i="20"/>
  <c r="R441" i="20"/>
  <c r="V407" i="20"/>
  <c r="W406" i="20"/>
  <c r="P449" i="20"/>
  <c r="Q448" i="20"/>
  <c r="T428" i="20"/>
  <c r="U427" i="20"/>
  <c r="S1253" i="16"/>
  <c r="T1253" i="16" s="1"/>
  <c r="Q972" i="16"/>
  <c r="S953" i="16"/>
  <c r="S50" i="10"/>
  <c r="S338" i="10" s="1"/>
  <c r="O982" i="16"/>
  <c r="P982" i="16" s="1"/>
  <c r="R954" i="16"/>
  <c r="P966" i="16"/>
  <c r="R965" i="16"/>
  <c r="D1000" i="16"/>
  <c r="F999" i="16" s="1"/>
  <c r="K1000" i="16" s="1"/>
  <c r="K1001" i="16" s="1"/>
  <c r="K1002" i="16" s="1"/>
  <c r="S964" i="16"/>
  <c r="D1005" i="16"/>
  <c r="D1006" i="16" s="1"/>
  <c r="D1010" i="16"/>
  <c r="C1012" i="16"/>
  <c r="B1009" i="16"/>
  <c r="D1015" i="16"/>
  <c r="J1014" i="16"/>
  <c r="E1011" i="16"/>
  <c r="E1010" i="16"/>
  <c r="F1010" i="16" s="1"/>
  <c r="S970" i="16"/>
  <c r="T970" i="16" s="1"/>
  <c r="N983" i="16"/>
  <c r="V940" i="16"/>
  <c r="U941" i="16"/>
  <c r="T447" i="20"/>
  <c r="L702" i="20"/>
  <c r="M702" i="20" s="1"/>
  <c r="M703" i="20" s="1"/>
  <c r="V1246" i="16"/>
  <c r="W1246" i="16" s="1"/>
  <c r="U1247" i="16"/>
  <c r="V1227" i="16"/>
  <c r="X1225" i="16"/>
  <c r="W1226" i="16"/>
  <c r="O873" i="20"/>
  <c r="O875" i="20" s="1"/>
  <c r="T454" i="20"/>
  <c r="U454" i="20" s="1"/>
  <c r="N701" i="20"/>
  <c r="O701" i="20" s="1"/>
  <c r="L703" i="20"/>
  <c r="P944" i="20"/>
  <c r="P945" i="20"/>
  <c r="Q943" i="20"/>
  <c r="U440" i="20"/>
  <c r="R817" i="20"/>
  <c r="R819" i="20" s="1"/>
  <c r="Q819" i="20"/>
  <c r="Q818" i="20"/>
  <c r="E997" i="20"/>
  <c r="E998" i="20" s="1"/>
  <c r="K999" i="20" s="1"/>
  <c r="D1164" i="20"/>
  <c r="E1164" i="20" s="1"/>
  <c r="C1164" i="20"/>
  <c r="C1166" i="20"/>
  <c r="X433" i="20"/>
  <c r="M587" i="20"/>
  <c r="M588" i="20" s="1"/>
  <c r="N586" i="20"/>
  <c r="X426" i="20"/>
  <c r="R673" i="20"/>
  <c r="R675" i="20" s="1"/>
  <c r="O929" i="20"/>
  <c r="O931" i="20" s="1"/>
  <c r="Q922" i="20"/>
  <c r="P924" i="20"/>
  <c r="N930" i="20"/>
  <c r="P923" i="20"/>
  <c r="Q618" i="20"/>
  <c r="R618" i="20" s="1"/>
  <c r="R619" i="20" s="1"/>
  <c r="Q674" i="20"/>
  <c r="O782" i="20"/>
  <c r="O784" i="20" s="1"/>
  <c r="M880" i="20"/>
  <c r="N880" i="20" s="1"/>
  <c r="N882" i="20" s="1"/>
  <c r="L881" i="20"/>
  <c r="L882" i="20"/>
  <c r="M803" i="20"/>
  <c r="L805" i="20"/>
  <c r="N810" i="20"/>
  <c r="L804" i="20"/>
  <c r="R652" i="20"/>
  <c r="Q653" i="20"/>
  <c r="N742" i="20"/>
  <c r="S625" i="20"/>
  <c r="S626" i="20" s="1"/>
  <c r="N789" i="20"/>
  <c r="O789" i="20" s="1"/>
  <c r="O791" i="20" s="1"/>
  <c r="L791" i="20"/>
  <c r="L790" i="20"/>
  <c r="M790" i="20" s="1"/>
  <c r="M791" i="20" s="1"/>
  <c r="R659" i="20"/>
  <c r="R661" i="20" s="1"/>
  <c r="S617" i="20"/>
  <c r="T624" i="20"/>
  <c r="S638" i="20"/>
  <c r="Q660" i="20"/>
  <c r="R639" i="20"/>
  <c r="M747" i="20"/>
  <c r="L748" i="20"/>
  <c r="R632" i="20"/>
  <c r="R633" i="20"/>
  <c r="S631" i="20"/>
  <c r="O742" i="20"/>
  <c r="P740" i="20"/>
  <c r="P742" i="20" s="1"/>
  <c r="M726" i="20"/>
  <c r="L728" i="20"/>
  <c r="L727" i="20"/>
  <c r="S580" i="20"/>
  <c r="W2250" i="16"/>
  <c r="W67" i="16" s="1"/>
  <c r="X65" i="16" s="1"/>
  <c r="X2238" i="16" s="1"/>
  <c r="V2262" i="16"/>
  <c r="V68" i="16" s="1"/>
  <c r="V88" i="16" s="1"/>
  <c r="V184" i="16" s="1"/>
  <c r="T28" i="16"/>
  <c r="T82" i="16" s="1"/>
  <c r="T177" i="16" s="1"/>
  <c r="V2245" i="16"/>
  <c r="V27" i="16" s="1"/>
  <c r="W25" i="16" s="1"/>
  <c r="W2233" i="16" s="1"/>
  <c r="U2257" i="16"/>
  <c r="T930" i="16"/>
  <c r="D28" i="20"/>
  <c r="Q28" i="20" s="1"/>
  <c r="X928" i="16"/>
  <c r="U59" i="10"/>
  <c r="T1639" i="16"/>
  <c r="U1639" i="16" s="1"/>
  <c r="V1638" i="16"/>
  <c r="W1638" i="16" s="1"/>
  <c r="X1638" i="16" s="1"/>
  <c r="X2171" i="16" s="1"/>
  <c r="T2171" i="16"/>
  <c r="W1632" i="16"/>
  <c r="R1372" i="16"/>
  <c r="R1373" i="16" s="1"/>
  <c r="M985" i="20"/>
  <c r="U957" i="20"/>
  <c r="V957" i="20" s="1"/>
  <c r="W957" i="20" s="1"/>
  <c r="X957" i="20" s="1"/>
  <c r="X1337" i="16"/>
  <c r="M2152" i="16"/>
  <c r="M1514" i="16"/>
  <c r="M1515" i="16" s="1"/>
  <c r="M2154" i="16"/>
  <c r="W909" i="20"/>
  <c r="N1535" i="16"/>
  <c r="P708" i="20"/>
  <c r="Q708" i="20" s="1"/>
  <c r="R708" i="20" s="1"/>
  <c r="L992" i="20"/>
  <c r="L994" i="20" s="1"/>
  <c r="R971" i="20"/>
  <c r="S971" i="20" s="1"/>
  <c r="U562" i="20"/>
  <c r="T564" i="20"/>
  <c r="T563" i="20"/>
  <c r="O1527" i="16"/>
  <c r="P1527" i="16" s="1"/>
  <c r="K994" i="20"/>
  <c r="N687" i="20"/>
  <c r="X908" i="20"/>
  <c r="X910" i="20" s="1"/>
  <c r="W910" i="20"/>
  <c r="R571" i="20"/>
  <c r="S569" i="20"/>
  <c r="Q959" i="20"/>
  <c r="R959" i="20"/>
  <c r="Q958" i="20"/>
  <c r="U1652" i="16"/>
  <c r="V1652" i="16" s="1"/>
  <c r="W1652" i="16" s="1"/>
  <c r="X1652" i="16" s="1"/>
  <c r="L987" i="20"/>
  <c r="R570" i="20"/>
  <c r="W1611" i="16"/>
  <c r="N972" i="20"/>
  <c r="O972" i="20" s="1"/>
  <c r="C1010" i="20"/>
  <c r="C1004" i="20"/>
  <c r="D1004" i="20"/>
  <c r="E1004" i="20" s="1"/>
  <c r="D1005" i="20"/>
  <c r="C1005" i="20"/>
  <c r="C1006" i="20" s="1"/>
  <c r="X1631" i="16"/>
  <c r="X2170" i="16" s="1"/>
  <c r="W2170" i="16"/>
  <c r="N973" i="20"/>
  <c r="O973" i="20"/>
  <c r="P973" i="20"/>
  <c r="S952" i="20"/>
  <c r="L986" i="20"/>
  <c r="N1541" i="16"/>
  <c r="N2156" i="16" s="1"/>
  <c r="O1534" i="16"/>
  <c r="P1534" i="16" s="1"/>
  <c r="X1610" i="16"/>
  <c r="W2167" i="16"/>
  <c r="S1371" i="16"/>
  <c r="R2131" i="16"/>
  <c r="R285" i="16"/>
  <c r="X2126" i="16"/>
  <c r="N1513" i="16"/>
  <c r="N2152" i="16" s="1"/>
  <c r="K1694" i="16"/>
  <c r="K1695" i="16" s="1"/>
  <c r="V918" i="16"/>
  <c r="S59" i="10"/>
  <c r="Q338" i="10"/>
  <c r="R50" i="10"/>
  <c r="D1125" i="16"/>
  <c r="V924" i="16"/>
  <c r="D29" i="20"/>
  <c r="C319" i="20" s="1"/>
  <c r="D592" i="20" s="1"/>
  <c r="E1125" i="16"/>
  <c r="F1125" i="16" s="1"/>
  <c r="U2171" i="16"/>
  <c r="X1358" i="16"/>
  <c r="W2130" i="16"/>
  <c r="T1646" i="16"/>
  <c r="T2130" i="16"/>
  <c r="T1365" i="16"/>
  <c r="U1365" i="16" s="1"/>
  <c r="Q1653" i="16"/>
  <c r="R1653" i="16" s="1"/>
  <c r="V2168" i="16"/>
  <c r="V1618" i="16"/>
  <c r="O2175" i="16"/>
  <c r="B1698" i="16"/>
  <c r="R1704" i="16"/>
  <c r="W1704" i="16"/>
  <c r="K1704" i="16"/>
  <c r="S1704" i="16"/>
  <c r="L1704" i="16"/>
  <c r="T1704" i="16"/>
  <c r="D1705" i="16"/>
  <c r="M1704" i="16"/>
  <c r="U1704" i="16"/>
  <c r="E1700" i="16"/>
  <c r="D1700" i="16" s="1"/>
  <c r="N1704" i="16"/>
  <c r="V1704" i="16"/>
  <c r="O1704" i="16"/>
  <c r="D1699" i="16"/>
  <c r="P1704" i="16"/>
  <c r="X1704" i="16"/>
  <c r="Q1704" i="16"/>
  <c r="E1699" i="16"/>
  <c r="F1699" i="16" s="1"/>
  <c r="R2173" i="16"/>
  <c r="Q2173" i="16"/>
  <c r="T2172" i="16"/>
  <c r="P286" i="16"/>
  <c r="Q1379" i="16"/>
  <c r="Q1380" i="16" s="1"/>
  <c r="T2132" i="16"/>
  <c r="N108" i="18"/>
  <c r="N113" i="18" s="1"/>
  <c r="N356" i="10" s="1"/>
  <c r="N212" i="10"/>
  <c r="K247" i="10"/>
  <c r="L247" i="10"/>
  <c r="U108" i="18"/>
  <c r="U212" i="10"/>
  <c r="K68" i="10"/>
  <c r="K108" i="18"/>
  <c r="R68" i="10"/>
  <c r="R108" i="18"/>
  <c r="T67" i="10"/>
  <c r="T146" i="10"/>
  <c r="T32" i="18" s="1"/>
  <c r="O109" i="18"/>
  <c r="O113" i="18"/>
  <c r="O356" i="10" s="1"/>
  <c r="M211" i="10"/>
  <c r="M290" i="10"/>
  <c r="P68" i="10"/>
  <c r="P108" i="18"/>
  <c r="L68" i="10"/>
  <c r="L108" i="18"/>
  <c r="Q68" i="10"/>
  <c r="Q108" i="18"/>
  <c r="O103" i="10"/>
  <c r="S109" i="18"/>
  <c r="S113" i="18"/>
  <c r="S356" i="10" s="1"/>
  <c r="T54" i="10"/>
  <c r="T53" i="10" s="1"/>
  <c r="K1508" i="16"/>
  <c r="K371" i="16" s="1"/>
  <c r="K792" i="16" s="1"/>
  <c r="K200" i="10" s="1"/>
  <c r="L689" i="20"/>
  <c r="L688" i="20"/>
  <c r="M709" i="20"/>
  <c r="M710" i="20" s="1"/>
  <c r="W290" i="10"/>
  <c r="W211" i="10"/>
  <c r="X75" i="18"/>
  <c r="X80" i="18" s="1"/>
  <c r="X111" i="18"/>
  <c r="L1543" i="16"/>
  <c r="W108" i="18"/>
  <c r="W67" i="10"/>
  <c r="W146" i="10"/>
  <c r="W32" i="18" s="1"/>
  <c r="N2154" i="16"/>
  <c r="M1542" i="16"/>
  <c r="M2156" i="16"/>
  <c r="X67" i="10"/>
  <c r="X146" i="10"/>
  <c r="X32" i="18" s="1"/>
  <c r="V211" i="10"/>
  <c r="V290" i="10"/>
  <c r="M1528" i="16"/>
  <c r="N1528" i="16" s="1"/>
  <c r="D195" i="16" l="1"/>
  <c r="C28" i="20" s="1"/>
  <c r="E28" i="20" s="1"/>
  <c r="H195" i="16" s="1"/>
  <c r="I195" i="16" s="1"/>
  <c r="E1126" i="16"/>
  <c r="C29" i="20"/>
  <c r="R196" i="16"/>
  <c r="O196" i="16"/>
  <c r="L196" i="16"/>
  <c r="P196" i="16"/>
  <c r="M196" i="16"/>
  <c r="Q196" i="16"/>
  <c r="W196" i="16"/>
  <c r="V196" i="16"/>
  <c r="X196" i="16"/>
  <c r="J196" i="16"/>
  <c r="S196" i="16"/>
  <c r="T196" i="16"/>
  <c r="N196" i="16"/>
  <c r="K196" i="16"/>
  <c r="U196" i="16"/>
  <c r="N1667" i="16"/>
  <c r="O1667" i="16" s="1"/>
  <c r="P1667" i="16" s="1"/>
  <c r="Q1667" i="16" s="1"/>
  <c r="N988" i="16"/>
  <c r="N989" i="16" s="1"/>
  <c r="L996" i="16"/>
  <c r="M990" i="16"/>
  <c r="L1682" i="16"/>
  <c r="M994" i="16"/>
  <c r="N994" i="16" s="1"/>
  <c r="O994" i="16" s="1"/>
  <c r="M1984" i="16"/>
  <c r="S1666" i="16"/>
  <c r="T1666" i="16" s="1"/>
  <c r="M1680" i="16"/>
  <c r="N1680" i="16" s="1"/>
  <c r="N2177" i="16" s="1"/>
  <c r="L1681" i="16"/>
  <c r="L2222" i="16"/>
  <c r="N696" i="20"/>
  <c r="L1990" i="16"/>
  <c r="M1990" i="16" s="1"/>
  <c r="P694" i="20"/>
  <c r="Q694" i="20" s="1"/>
  <c r="R694" i="20" s="1"/>
  <c r="S694" i="20" s="1"/>
  <c r="T694" i="20" s="1"/>
  <c r="U694" i="20" s="1"/>
  <c r="V694" i="20" s="1"/>
  <c r="W694" i="20" s="1"/>
  <c r="X694" i="20" s="1"/>
  <c r="L1991" i="16"/>
  <c r="V585" i="16"/>
  <c r="W1949" i="16"/>
  <c r="X1949" i="16" s="1"/>
  <c r="V2215" i="16"/>
  <c r="N1661" i="16"/>
  <c r="K2026" i="16"/>
  <c r="K2227" i="16"/>
  <c r="K2025" i="16"/>
  <c r="L2024" i="16"/>
  <c r="M2024" i="16" s="1"/>
  <c r="K2178" i="16"/>
  <c r="X2211" i="16"/>
  <c r="X1923" i="16"/>
  <c r="K2220" i="16"/>
  <c r="K1976" i="16"/>
  <c r="L1975" i="16"/>
  <c r="M1975" i="16" s="1"/>
  <c r="M2220" i="16" s="1"/>
  <c r="K1675" i="16"/>
  <c r="K1674" i="16"/>
  <c r="K2176" i="16"/>
  <c r="L1673" i="16"/>
  <c r="X1922" i="16"/>
  <c r="X1902" i="16"/>
  <c r="K1688" i="16"/>
  <c r="K1689" i="16" s="1"/>
  <c r="L1689" i="16" s="1"/>
  <c r="O1659" i="16"/>
  <c r="O2174" i="16" s="1"/>
  <c r="N2174" i="16"/>
  <c r="N1660" i="16"/>
  <c r="S1951" i="16"/>
  <c r="S587" i="16" s="1"/>
  <c r="S794" i="16" s="1"/>
  <c r="S202" i="10" s="1"/>
  <c r="S346" i="10" s="1"/>
  <c r="T1950" i="16"/>
  <c r="S586" i="16"/>
  <c r="Q619" i="20"/>
  <c r="P251" i="25"/>
  <c r="P16" i="25"/>
  <c r="T113" i="18"/>
  <c r="T356" i="10" s="1"/>
  <c r="T432" i="10" s="1"/>
  <c r="H1718" i="16"/>
  <c r="I1711" i="16" a="1"/>
  <c r="I1711" i="16" s="1"/>
  <c r="Q1267" i="16"/>
  <c r="R1267" i="16" s="1"/>
  <c r="R1270" i="16" s="1"/>
  <c r="P1268" i="16"/>
  <c r="O264" i="16"/>
  <c r="O265" i="16" s="1"/>
  <c r="O53" i="20" s="1"/>
  <c r="O251" i="20" s="1"/>
  <c r="G69" i="25" s="1"/>
  <c r="O1269" i="16"/>
  <c r="X1220" i="16"/>
  <c r="M109" i="18"/>
  <c r="V113" i="18"/>
  <c r="V356" i="10" s="1"/>
  <c r="V432" i="10" s="1"/>
  <c r="J999" i="20" a="1"/>
  <c r="J999" i="20" s="1"/>
  <c r="D1003" i="20"/>
  <c r="S681" i="20"/>
  <c r="T680" i="20"/>
  <c r="T682" i="20" s="1"/>
  <c r="W103" i="10"/>
  <c r="T666" i="20"/>
  <c r="T668" i="20" s="1"/>
  <c r="X917" i="16"/>
  <c r="X579" i="20"/>
  <c r="X581" i="20" s="1"/>
  <c r="W1612" i="16"/>
  <c r="V180" i="16"/>
  <c r="O977" i="16"/>
  <c r="P977" i="16" s="1"/>
  <c r="S667" i="20"/>
  <c r="W181" i="16"/>
  <c r="X55" i="10"/>
  <c r="X343" i="10" s="1"/>
  <c r="X185" i="16"/>
  <c r="V84" i="16"/>
  <c r="X179" i="16"/>
  <c r="X52" i="10" s="1"/>
  <c r="X340" i="10" s="1"/>
  <c r="X158" i="16"/>
  <c r="X912" i="16"/>
  <c r="X83" i="16"/>
  <c r="X178" i="16" s="1"/>
  <c r="X51" i="10" s="1"/>
  <c r="X186" i="16"/>
  <c r="X60" i="10" s="1"/>
  <c r="X348" i="10" s="1"/>
  <c r="X163" i="16"/>
  <c r="X86" i="16"/>
  <c r="X182" i="16" s="1"/>
  <c r="Q80" i="16"/>
  <c r="Q176" i="16"/>
  <c r="Q175" i="16" s="1"/>
  <c r="T948" i="16"/>
  <c r="U948" i="16" s="1"/>
  <c r="V948" i="16" s="1"/>
  <c r="Q976" i="16"/>
  <c r="S958" i="16"/>
  <c r="T958" i="16" s="1"/>
  <c r="W946" i="16"/>
  <c r="X946" i="16" s="1"/>
  <c r="T947" i="16"/>
  <c r="M716" i="20"/>
  <c r="M717" i="20" s="1"/>
  <c r="O715" i="20"/>
  <c r="P715" i="20" s="1"/>
  <c r="Q715" i="20" s="1"/>
  <c r="N874" i="20"/>
  <c r="O874" i="20" s="1"/>
  <c r="P859" i="20"/>
  <c r="Q859" i="20" s="1"/>
  <c r="Q861" i="20" s="1"/>
  <c r="O860" i="20"/>
  <c r="O866" i="20"/>
  <c r="O868" i="20" s="1"/>
  <c r="N868" i="20"/>
  <c r="L938" i="20"/>
  <c r="N783" i="20"/>
  <c r="O783" i="20" s="1"/>
  <c r="M776" i="20"/>
  <c r="M777" i="20" s="1"/>
  <c r="O733" i="20"/>
  <c r="P733" i="20" s="1"/>
  <c r="N754" i="20"/>
  <c r="O754" i="20" s="1"/>
  <c r="O756" i="20" s="1"/>
  <c r="N734" i="20"/>
  <c r="N735" i="20" s="1"/>
  <c r="N741" i="20"/>
  <c r="O741" i="20" s="1"/>
  <c r="P741" i="20" s="1"/>
  <c r="M755" i="20"/>
  <c r="X1338" i="16"/>
  <c r="N762" i="20"/>
  <c r="O762" i="20" s="1"/>
  <c r="N763" i="20"/>
  <c r="M797" i="20"/>
  <c r="N797" i="20" s="1"/>
  <c r="L832" i="20"/>
  <c r="M832" i="20" s="1"/>
  <c r="M833" i="20" s="1"/>
  <c r="N831" i="20"/>
  <c r="N833" i="20" s="1"/>
  <c r="O796" i="20"/>
  <c r="O798" i="20" s="1"/>
  <c r="N936" i="20"/>
  <c r="N938" i="20" s="1"/>
  <c r="L937" i="20"/>
  <c r="M937" i="20" s="1"/>
  <c r="M938" i="20" s="1"/>
  <c r="L888" i="20"/>
  <c r="M888" i="20" s="1"/>
  <c r="M889" i="20" s="1"/>
  <c r="L889" i="20"/>
  <c r="O852" i="20"/>
  <c r="O854" i="20" s="1"/>
  <c r="N853" i="20"/>
  <c r="L979" i="20"/>
  <c r="M978" i="20"/>
  <c r="N978" i="20" s="1"/>
  <c r="N980" i="20" s="1"/>
  <c r="M769" i="20"/>
  <c r="M770" i="20" s="1"/>
  <c r="L833" i="20"/>
  <c r="L1508" i="16"/>
  <c r="L371" i="16" s="1"/>
  <c r="L792" i="16" s="1"/>
  <c r="L200" i="10" s="1"/>
  <c r="M2153" i="16"/>
  <c r="N1520" i="16"/>
  <c r="N1506" i="16" s="1"/>
  <c r="N369" i="16" s="1"/>
  <c r="M1521" i="16"/>
  <c r="M1507" i="16" s="1"/>
  <c r="M370" i="16" s="1"/>
  <c r="O978" i="16"/>
  <c r="N1536" i="16"/>
  <c r="T1647" i="16"/>
  <c r="N1989" i="16"/>
  <c r="N2222" i="16" s="1"/>
  <c r="U942" i="16"/>
  <c r="V1619" i="16"/>
  <c r="O1668" i="16"/>
  <c r="R972" i="16"/>
  <c r="W1633" i="16"/>
  <c r="X1359" i="16"/>
  <c r="M798" i="20"/>
  <c r="Q1654" i="16"/>
  <c r="R1654" i="16" s="1"/>
  <c r="N1970" i="16"/>
  <c r="O1970" i="16" s="1"/>
  <c r="D1701" i="16"/>
  <c r="F1700" i="16" s="1"/>
  <c r="T1640" i="16"/>
  <c r="U1640" i="16" s="1"/>
  <c r="M1529" i="16"/>
  <c r="N1529" i="16" s="1"/>
  <c r="Q1255" i="16"/>
  <c r="R1255" i="16" s="1"/>
  <c r="O1262" i="16"/>
  <c r="P1262" i="16" s="1"/>
  <c r="Q1262" i="16" s="1"/>
  <c r="R1262" i="16" s="1"/>
  <c r="Q287" i="16"/>
  <c r="Q789" i="16" s="1"/>
  <c r="Q195" i="10" s="1"/>
  <c r="Q339" i="10" s="1"/>
  <c r="T1366" i="16"/>
  <c r="U1366" i="16" s="1"/>
  <c r="Q1968" i="16"/>
  <c r="Q2219" i="16" s="1"/>
  <c r="E592" i="20"/>
  <c r="K593" i="20" s="1"/>
  <c r="L593" i="20" s="1"/>
  <c r="M593" i="20" s="1"/>
  <c r="P1969" i="16"/>
  <c r="N2018" i="16"/>
  <c r="O2018" i="16" s="1"/>
  <c r="P2017" i="16"/>
  <c r="Q2017" i="16" s="1"/>
  <c r="N2226" i="16"/>
  <c r="N2221" i="16"/>
  <c r="P1982" i="16"/>
  <c r="Q1982" i="16" s="1"/>
  <c r="Q2221" i="16" s="1"/>
  <c r="N1983" i="16"/>
  <c r="O1983" i="16" s="1"/>
  <c r="D1865" i="16"/>
  <c r="E1865" i="16"/>
  <c r="F1865" i="16" s="1"/>
  <c r="L1962" i="16"/>
  <c r="L1963" i="16"/>
  <c r="L2218" i="16"/>
  <c r="M1961" i="16"/>
  <c r="F2009" i="16"/>
  <c r="K2010" i="16" s="1"/>
  <c r="L2010" i="16" s="1"/>
  <c r="L1996" i="16"/>
  <c r="D2002" i="16"/>
  <c r="K1997" i="16"/>
  <c r="K1998" i="16" s="1"/>
  <c r="K2223" i="16"/>
  <c r="N2006" i="16"/>
  <c r="K2006" i="16"/>
  <c r="M2006" i="16"/>
  <c r="L2006" i="16"/>
  <c r="O2006" i="16"/>
  <c r="P2006" i="16"/>
  <c r="Q2006" i="16"/>
  <c r="R2006" i="16"/>
  <c r="S2006" i="16"/>
  <c r="T2006" i="16"/>
  <c r="U2006" i="16"/>
  <c r="V2006" i="16"/>
  <c r="W2006" i="16"/>
  <c r="X2006" i="16"/>
  <c r="R2252" i="16"/>
  <c r="R2256" i="16"/>
  <c r="R2264" i="16" s="1"/>
  <c r="S2244" i="16"/>
  <c r="S2240" i="16"/>
  <c r="S91" i="16" s="1"/>
  <c r="S101" i="12" s="1"/>
  <c r="S109" i="12" s="1"/>
  <c r="S455" i="20"/>
  <c r="S456" i="20" s="1"/>
  <c r="R959" i="16"/>
  <c r="U435" i="20"/>
  <c r="V434" i="20"/>
  <c r="T1232" i="16"/>
  <c r="S1233" i="16"/>
  <c r="S1234" i="16" s="1"/>
  <c r="W414" i="20"/>
  <c r="X413" i="20"/>
  <c r="X414" i="20" s="1"/>
  <c r="T1260" i="16"/>
  <c r="R1240" i="16"/>
  <c r="S1240" i="16" s="1"/>
  <c r="S1261" i="16"/>
  <c r="T1239" i="16"/>
  <c r="U428" i="20"/>
  <c r="V427" i="20"/>
  <c r="S1254" i="16"/>
  <c r="T1254" i="16" s="1"/>
  <c r="R442" i="20"/>
  <c r="S441" i="20"/>
  <c r="Q449" i="20"/>
  <c r="R448" i="20"/>
  <c r="W407" i="20"/>
  <c r="X406" i="20"/>
  <c r="X407" i="20" s="1"/>
  <c r="V421" i="20"/>
  <c r="W420" i="20"/>
  <c r="U1253" i="16"/>
  <c r="V1253" i="16" s="1"/>
  <c r="O983" i="16"/>
  <c r="P983" i="16" s="1"/>
  <c r="L1000" i="16"/>
  <c r="Q966" i="16"/>
  <c r="R966" i="16" s="1"/>
  <c r="S954" i="16"/>
  <c r="T953" i="16"/>
  <c r="N984" i="16"/>
  <c r="S965" i="16"/>
  <c r="T964" i="16"/>
  <c r="S971" i="16"/>
  <c r="T971" i="16" s="1"/>
  <c r="F1005" i="16"/>
  <c r="K1006" i="16" s="1"/>
  <c r="K1007" i="16" s="1"/>
  <c r="E1016" i="16"/>
  <c r="F1016" i="16" s="1"/>
  <c r="E1017" i="16"/>
  <c r="D1016" i="16"/>
  <c r="D1021" i="16"/>
  <c r="C1018" i="16"/>
  <c r="B1015" i="16"/>
  <c r="J1020" i="16"/>
  <c r="D1011" i="16"/>
  <c r="U970" i="16"/>
  <c r="V970" i="16" s="1"/>
  <c r="W970" i="16" s="1"/>
  <c r="V941" i="16"/>
  <c r="Q982" i="16"/>
  <c r="W940" i="16"/>
  <c r="U447" i="20"/>
  <c r="V1247" i="16"/>
  <c r="W1247" i="16" s="1"/>
  <c r="X1246" i="16"/>
  <c r="U1248" i="16"/>
  <c r="W1227" i="16"/>
  <c r="X1226" i="16"/>
  <c r="P873" i="20"/>
  <c r="P875" i="20" s="1"/>
  <c r="N703" i="20"/>
  <c r="N702" i="20"/>
  <c r="O702" i="20" s="1"/>
  <c r="V454" i="20"/>
  <c r="W454" i="20" s="1"/>
  <c r="Q945" i="20"/>
  <c r="R943" i="20"/>
  <c r="Q944" i="20"/>
  <c r="V440" i="20"/>
  <c r="R818" i="20"/>
  <c r="S817" i="20"/>
  <c r="S819" i="20" s="1"/>
  <c r="P929" i="20"/>
  <c r="P931" i="20" s="1"/>
  <c r="E1165" i="20"/>
  <c r="K1166" i="20" s="1"/>
  <c r="O930" i="20"/>
  <c r="N887" i="20"/>
  <c r="N889" i="20" s="1"/>
  <c r="R674" i="20"/>
  <c r="N588" i="20"/>
  <c r="O586" i="20"/>
  <c r="N587" i="20"/>
  <c r="S673" i="20"/>
  <c r="S675" i="20" s="1"/>
  <c r="Q923" i="20"/>
  <c r="R922" i="20"/>
  <c r="R924" i="20" s="1"/>
  <c r="Q924" i="20"/>
  <c r="R653" i="20"/>
  <c r="P782" i="20"/>
  <c r="P784" i="20" s="1"/>
  <c r="O880" i="20"/>
  <c r="O882" i="20" s="1"/>
  <c r="M881" i="20"/>
  <c r="N881" i="20" s="1"/>
  <c r="O768" i="20"/>
  <c r="P768" i="20" s="1"/>
  <c r="P770" i="20" s="1"/>
  <c r="R654" i="20"/>
  <c r="M804" i="20"/>
  <c r="M805" i="20" s="1"/>
  <c r="S652" i="20"/>
  <c r="S654" i="20" s="1"/>
  <c r="O810" i="20"/>
  <c r="N812" i="20"/>
  <c r="N803" i="20"/>
  <c r="N805" i="20" s="1"/>
  <c r="N811" i="20"/>
  <c r="S659" i="20"/>
  <c r="T659" i="20" s="1"/>
  <c r="T661" i="20" s="1"/>
  <c r="R660" i="20"/>
  <c r="N790" i="20"/>
  <c r="O790" i="20" s="1"/>
  <c r="P789" i="20"/>
  <c r="P791" i="20" s="1"/>
  <c r="N791" i="20"/>
  <c r="M748" i="20"/>
  <c r="M749" i="20" s="1"/>
  <c r="T617" i="20"/>
  <c r="S618" i="20"/>
  <c r="S619" i="20" s="1"/>
  <c r="U624" i="20"/>
  <c r="P775" i="20"/>
  <c r="N777" i="20"/>
  <c r="T625" i="20"/>
  <c r="T626" i="20" s="1"/>
  <c r="S640" i="20"/>
  <c r="T638" i="20"/>
  <c r="U638" i="20" s="1"/>
  <c r="U640" i="20" s="1"/>
  <c r="S639" i="20"/>
  <c r="O763" i="20"/>
  <c r="P761" i="20"/>
  <c r="P763" i="20" s="1"/>
  <c r="N747" i="20"/>
  <c r="O747" i="20" s="1"/>
  <c r="O749" i="20" s="1"/>
  <c r="S632" i="20"/>
  <c r="S633" i="20"/>
  <c r="T631" i="20"/>
  <c r="T633" i="20" s="1"/>
  <c r="Q740" i="20"/>
  <c r="R740" i="20" s="1"/>
  <c r="M727" i="20"/>
  <c r="M728" i="20" s="1"/>
  <c r="N726" i="20"/>
  <c r="T580" i="20"/>
  <c r="X2250" i="16"/>
  <c r="W2262" i="16"/>
  <c r="W68" i="16" s="1"/>
  <c r="W88" i="16" s="1"/>
  <c r="W184" i="16" s="1"/>
  <c r="U28" i="16"/>
  <c r="U82" i="16" s="1"/>
  <c r="U177" i="16" s="1"/>
  <c r="W2245" i="16"/>
  <c r="W27" i="16" s="1"/>
  <c r="X25" i="16" s="1"/>
  <c r="X2233" i="16" s="1"/>
  <c r="V2257" i="16"/>
  <c r="U930" i="16"/>
  <c r="W929" i="16"/>
  <c r="S28" i="20"/>
  <c r="U28" i="20"/>
  <c r="K28" i="20"/>
  <c r="W918" i="16"/>
  <c r="V28" i="20"/>
  <c r="P195" i="16"/>
  <c r="X28" i="20"/>
  <c r="M28" i="20"/>
  <c r="P28" i="20"/>
  <c r="X57" i="10"/>
  <c r="V1639" i="16"/>
  <c r="W1639" i="16" s="1"/>
  <c r="X1639" i="16" s="1"/>
  <c r="W2171" i="16"/>
  <c r="V2171" i="16"/>
  <c r="T28" i="20"/>
  <c r="O28" i="20"/>
  <c r="D312" i="20"/>
  <c r="E312" i="20" s="1"/>
  <c r="C312" i="20"/>
  <c r="R28" i="20"/>
  <c r="W28" i="20"/>
  <c r="N28" i="20"/>
  <c r="L28" i="20"/>
  <c r="E1118" i="16"/>
  <c r="F1118" i="16" s="1"/>
  <c r="D1118" i="16"/>
  <c r="M986" i="20"/>
  <c r="M987" i="20" s="1"/>
  <c r="S1372" i="16"/>
  <c r="S1373" i="16" s="1"/>
  <c r="N985" i="20"/>
  <c r="M992" i="20"/>
  <c r="L993" i="20"/>
  <c r="Q1527" i="16"/>
  <c r="R1527" i="16" s="1"/>
  <c r="S1527" i="16" s="1"/>
  <c r="T1527" i="16" s="1"/>
  <c r="U1527" i="16" s="1"/>
  <c r="V1527" i="16" s="1"/>
  <c r="W1527" i="16" s="1"/>
  <c r="X1527" i="16" s="1"/>
  <c r="T971" i="20"/>
  <c r="U971" i="20" s="1"/>
  <c r="V971" i="20" s="1"/>
  <c r="W971" i="20" s="1"/>
  <c r="X971" i="20" s="1"/>
  <c r="V562" i="20"/>
  <c r="U564" i="20"/>
  <c r="X909" i="20"/>
  <c r="O687" i="20"/>
  <c r="P687" i="20" s="1"/>
  <c r="Q687" i="20" s="1"/>
  <c r="P701" i="20"/>
  <c r="Q701" i="20" s="1"/>
  <c r="L999" i="20"/>
  <c r="M999" i="20" s="1"/>
  <c r="N1542" i="16"/>
  <c r="X1632" i="16"/>
  <c r="T569" i="20"/>
  <c r="S571" i="20"/>
  <c r="U563" i="20"/>
  <c r="S708" i="20"/>
  <c r="T708" i="20" s="1"/>
  <c r="U708" i="20" s="1"/>
  <c r="V708" i="20" s="1"/>
  <c r="W708" i="20" s="1"/>
  <c r="X708" i="20" s="1"/>
  <c r="T952" i="20"/>
  <c r="U952" i="20"/>
  <c r="P972" i="20"/>
  <c r="S959" i="20"/>
  <c r="V59" i="10"/>
  <c r="E1005" i="20"/>
  <c r="K1006" i="20" s="1"/>
  <c r="K1007" i="20" s="1"/>
  <c r="K1000" i="20"/>
  <c r="K1001" i="20" s="1"/>
  <c r="R958" i="20"/>
  <c r="S958" i="20" s="1"/>
  <c r="T951" i="20"/>
  <c r="U951" i="20" s="1"/>
  <c r="O1535" i="16"/>
  <c r="P1535" i="16" s="1"/>
  <c r="C1017" i="20"/>
  <c r="D1012" i="20"/>
  <c r="C1012" i="20"/>
  <c r="S570" i="20"/>
  <c r="Q1534" i="16"/>
  <c r="Q2155" i="16" s="1"/>
  <c r="P2155" i="16"/>
  <c r="L1694" i="16"/>
  <c r="M1694" i="16" s="1"/>
  <c r="T1371" i="16"/>
  <c r="S2131" i="16"/>
  <c r="S285" i="16"/>
  <c r="X2167" i="16"/>
  <c r="L2178" i="16"/>
  <c r="O1513" i="16"/>
  <c r="P1513" i="16" s="1"/>
  <c r="Q1513" i="16" s="1"/>
  <c r="R1513" i="16" s="1"/>
  <c r="S1513" i="16" s="1"/>
  <c r="T1513" i="16" s="1"/>
  <c r="U1513" i="16" s="1"/>
  <c r="V1513" i="16" s="1"/>
  <c r="W1513" i="16" s="1"/>
  <c r="O1541" i="16"/>
  <c r="P1541" i="16" s="1"/>
  <c r="Q1541" i="16" s="1"/>
  <c r="M1687" i="16"/>
  <c r="N1687" i="16" s="1"/>
  <c r="X1611" i="16"/>
  <c r="K1127" i="16"/>
  <c r="K1128" i="16" s="1"/>
  <c r="O2155" i="16"/>
  <c r="K2179" i="16"/>
  <c r="N1514" i="16"/>
  <c r="N1515" i="16" s="1"/>
  <c r="K1696" i="16"/>
  <c r="S54" i="10"/>
  <c r="S53" i="10" s="1"/>
  <c r="U58" i="10"/>
  <c r="R338" i="10"/>
  <c r="W924" i="16"/>
  <c r="V1365" i="16"/>
  <c r="W1365" i="16" s="1"/>
  <c r="V2130" i="16"/>
  <c r="X2130" i="16"/>
  <c r="W1618" i="16"/>
  <c r="X1618" i="16" s="1"/>
  <c r="X2168" i="16"/>
  <c r="W2168" i="16"/>
  <c r="K1701" i="16"/>
  <c r="Q2175" i="16"/>
  <c r="P2175" i="16"/>
  <c r="S2173" i="16"/>
  <c r="S1653" i="16"/>
  <c r="K1711" i="16"/>
  <c r="S1711" i="16"/>
  <c r="L1711" i="16"/>
  <c r="T1711" i="16"/>
  <c r="P1711" i="16"/>
  <c r="D1712" i="16"/>
  <c r="M1711" i="16"/>
  <c r="U1711" i="16"/>
  <c r="E1706" i="16"/>
  <c r="F1706" i="16" s="1"/>
  <c r="N1711" i="16"/>
  <c r="V1711" i="16"/>
  <c r="D1706" i="16"/>
  <c r="O1711" i="16"/>
  <c r="W1711" i="16"/>
  <c r="E1707" i="16"/>
  <c r="D1707" i="16" s="1"/>
  <c r="Q1711" i="16"/>
  <c r="B1705" i="16"/>
  <c r="R1711" i="16"/>
  <c r="X1711" i="16"/>
  <c r="U2172" i="16"/>
  <c r="U1646" i="16"/>
  <c r="U2132" i="16"/>
  <c r="R1379" i="16"/>
  <c r="R1380" i="16" s="1"/>
  <c r="Q286" i="16"/>
  <c r="N109" i="18"/>
  <c r="M247" i="10"/>
  <c r="U211" i="10"/>
  <c r="U247" i="10" s="1"/>
  <c r="U290" i="10"/>
  <c r="U113" i="18"/>
  <c r="U356" i="10" s="1"/>
  <c r="U109" i="18"/>
  <c r="N211" i="10"/>
  <c r="O247" i="10" s="1"/>
  <c r="N290" i="10"/>
  <c r="L109" i="18"/>
  <c r="L113" i="18"/>
  <c r="L356" i="10" s="1"/>
  <c r="P67" i="10"/>
  <c r="P103" i="10" s="1"/>
  <c r="P146" i="10"/>
  <c r="P32" i="18" s="1"/>
  <c r="N355" i="10"/>
  <c r="N432" i="10"/>
  <c r="L67" i="10"/>
  <c r="L146" i="10"/>
  <c r="L32" i="18" s="1"/>
  <c r="R113" i="18"/>
  <c r="R356" i="10" s="1"/>
  <c r="R109" i="18"/>
  <c r="R67" i="10"/>
  <c r="S103" i="10" s="1"/>
  <c r="R146" i="10"/>
  <c r="R32" i="18" s="1"/>
  <c r="T103" i="10"/>
  <c r="U103" i="10"/>
  <c r="K113" i="18"/>
  <c r="K356" i="10" s="1"/>
  <c r="K109" i="18"/>
  <c r="K146" i="10"/>
  <c r="K32" i="18" s="1"/>
  <c r="K67" i="10"/>
  <c r="Q113" i="18"/>
  <c r="Q356" i="10" s="1"/>
  <c r="Q109" i="18"/>
  <c r="O355" i="10"/>
  <c r="O432" i="10"/>
  <c r="S432" i="10"/>
  <c r="S355" i="10"/>
  <c r="Q146" i="10"/>
  <c r="Q32" i="18" s="1"/>
  <c r="Q67" i="10"/>
  <c r="P109" i="18"/>
  <c r="P113" i="18"/>
  <c r="P356" i="10" s="1"/>
  <c r="M355" i="10"/>
  <c r="M432" i="10"/>
  <c r="W247" i="10"/>
  <c r="M1543" i="16"/>
  <c r="O1528" i="16"/>
  <c r="X103" i="10"/>
  <c r="N695" i="20"/>
  <c r="W113" i="18"/>
  <c r="W356" i="10" s="1"/>
  <c r="W109" i="18"/>
  <c r="O703" i="20"/>
  <c r="N710" i="20"/>
  <c r="O2154" i="16"/>
  <c r="O696" i="20"/>
  <c r="O710" i="20"/>
  <c r="X212" i="10"/>
  <c r="X108" i="18"/>
  <c r="N709" i="20"/>
  <c r="M688" i="20"/>
  <c r="M689" i="20" s="1"/>
  <c r="N717" i="20"/>
  <c r="K344" i="10"/>
  <c r="P1269" i="16" l="1"/>
  <c r="E1119" i="16"/>
  <c r="D1119" i="16" s="1"/>
  <c r="D1120" i="16" s="1"/>
  <c r="E1873" i="16" s="1"/>
  <c r="D1873" i="16" s="1"/>
  <c r="D1874" i="16" s="1"/>
  <c r="L195" i="16"/>
  <c r="L217" i="16" s="1"/>
  <c r="L803" i="16" s="1"/>
  <c r="L802" i="16" s="1"/>
  <c r="L812" i="16" s="1"/>
  <c r="L253" i="10" s="1"/>
  <c r="L252" i="10" s="1"/>
  <c r="U195" i="16"/>
  <c r="U217" i="16" s="1"/>
  <c r="U803" i="16" s="1"/>
  <c r="U802" i="16" s="1"/>
  <c r="U812" i="16" s="1"/>
  <c r="U253" i="10" s="1"/>
  <c r="U252" i="10" s="1"/>
  <c r="C50" i="20"/>
  <c r="D217" i="16"/>
  <c r="H1118" i="16" s="1"/>
  <c r="I1118" i="16" s="1"/>
  <c r="R195" i="16"/>
  <c r="R217" i="16" s="1"/>
  <c r="R803" i="16" s="1"/>
  <c r="R802" i="16" s="1"/>
  <c r="R812" i="16" s="1"/>
  <c r="R253" i="10" s="1"/>
  <c r="R252" i="10" s="1"/>
  <c r="N195" i="16"/>
  <c r="N217" i="16" s="1"/>
  <c r="N803" i="16" s="1"/>
  <c r="N802" i="16" s="1"/>
  <c r="N812" i="16" s="1"/>
  <c r="N253" i="10" s="1"/>
  <c r="N252" i="10" s="1"/>
  <c r="K195" i="16"/>
  <c r="K217" i="16" s="1"/>
  <c r="K803" i="16" s="1"/>
  <c r="K802" i="16" s="1"/>
  <c r="K812" i="16" s="1"/>
  <c r="K814" i="16" s="1"/>
  <c r="D313" i="20"/>
  <c r="S195" i="16"/>
  <c r="S217" i="16" s="1"/>
  <c r="S803" i="16" s="1"/>
  <c r="S802" i="16" s="1"/>
  <c r="S812" i="16" s="1"/>
  <c r="S253" i="10" s="1"/>
  <c r="S252" i="10" s="1"/>
  <c r="C314" i="20"/>
  <c r="T195" i="16"/>
  <c r="T217" i="16" s="1"/>
  <c r="T803" i="16" s="1"/>
  <c r="T802" i="16" s="1"/>
  <c r="T812" i="16" s="1"/>
  <c r="T253" i="10" s="1"/>
  <c r="T252" i="10" s="1"/>
  <c r="O195" i="16"/>
  <c r="O217" i="16" s="1"/>
  <c r="O803" i="16" s="1"/>
  <c r="O802" i="16" s="1"/>
  <c r="O812" i="16" s="1"/>
  <c r="O253" i="10" s="1"/>
  <c r="O252" i="10" s="1"/>
  <c r="X195" i="16"/>
  <c r="X217" i="16" s="1"/>
  <c r="X803" i="16" s="1"/>
  <c r="X802" i="16" s="1"/>
  <c r="X812" i="16" s="1"/>
  <c r="X253" i="10" s="1"/>
  <c r="X252" i="10" s="1"/>
  <c r="V195" i="16"/>
  <c r="V217" i="16" s="1"/>
  <c r="V803" i="16" s="1"/>
  <c r="V802" i="16" s="1"/>
  <c r="V812" i="16" s="1"/>
  <c r="V253" i="10" s="1"/>
  <c r="V252" i="10" s="1"/>
  <c r="M195" i="16"/>
  <c r="M217" i="16" s="1"/>
  <c r="M803" i="16" s="1"/>
  <c r="M802" i="16" s="1"/>
  <c r="M812" i="16" s="1"/>
  <c r="M253" i="10" s="1"/>
  <c r="M252" i="10" s="1"/>
  <c r="Q195" i="16"/>
  <c r="Q217" i="16" s="1"/>
  <c r="Q803" i="16" s="1"/>
  <c r="Q802" i="16" s="1"/>
  <c r="Q812" i="16" s="1"/>
  <c r="Q253" i="10" s="1"/>
  <c r="Q252" i="10" s="1"/>
  <c r="W195" i="16"/>
  <c r="W217" i="16" s="1"/>
  <c r="W803" i="16" s="1"/>
  <c r="W802" i="16" s="1"/>
  <c r="W812" i="16" s="1"/>
  <c r="W253" i="10" s="1"/>
  <c r="W252" i="10" s="1"/>
  <c r="P217" i="16"/>
  <c r="P803" i="16" s="1"/>
  <c r="P802" i="16" s="1"/>
  <c r="P812" i="16" s="1"/>
  <c r="P253" i="10" s="1"/>
  <c r="P252" i="10" s="1"/>
  <c r="D1126" i="16"/>
  <c r="F1126" i="16" s="1"/>
  <c r="O1680" i="16"/>
  <c r="O2177" i="16" s="1"/>
  <c r="M2177" i="16"/>
  <c r="O988" i="16"/>
  <c r="P988" i="16" s="1"/>
  <c r="N990" i="16"/>
  <c r="P994" i="16"/>
  <c r="Q994" i="16" s="1"/>
  <c r="R994" i="16" s="1"/>
  <c r="M995" i="16"/>
  <c r="N995" i="16" s="1"/>
  <c r="M1681" i="16"/>
  <c r="N1681" i="16" s="1"/>
  <c r="U1666" i="16"/>
  <c r="V1666" i="16" s="1"/>
  <c r="M1991" i="16"/>
  <c r="N1991" i="16" s="1"/>
  <c r="L1688" i="16"/>
  <c r="M1688" i="16" s="1"/>
  <c r="N1688" i="16" s="1"/>
  <c r="W585" i="16"/>
  <c r="X2215" i="16"/>
  <c r="X585" i="16"/>
  <c r="P1659" i="16"/>
  <c r="Q1659" i="16" s="1"/>
  <c r="O1661" i="16"/>
  <c r="W2215" i="16"/>
  <c r="K1008" i="16"/>
  <c r="L1006" i="16"/>
  <c r="M1006" i="16" s="1"/>
  <c r="O1660" i="16"/>
  <c r="L1976" i="16"/>
  <c r="M1976" i="16" s="1"/>
  <c r="M2227" i="16"/>
  <c r="N2024" i="16"/>
  <c r="T1951" i="16"/>
  <c r="T587" i="16" s="1"/>
  <c r="T794" i="16" s="1"/>
  <c r="T202" i="10" s="1"/>
  <c r="T346" i="10" s="1"/>
  <c r="U1950" i="16"/>
  <c r="T586" i="16"/>
  <c r="K2225" i="16"/>
  <c r="K2011" i="16"/>
  <c r="K2012" i="16" s="1"/>
  <c r="L2012" i="16" s="1"/>
  <c r="L2220" i="16"/>
  <c r="N1975" i="16"/>
  <c r="L1998" i="16"/>
  <c r="L1675" i="16"/>
  <c r="L2176" i="16"/>
  <c r="M1673" i="16"/>
  <c r="L2026" i="16"/>
  <c r="L2227" i="16"/>
  <c r="L2025" i="16"/>
  <c r="M2025" i="16" s="1"/>
  <c r="L1674" i="16"/>
  <c r="K1977" i="16"/>
  <c r="L1977" i="16" s="1"/>
  <c r="M1977" i="16" s="1"/>
  <c r="T355" i="10"/>
  <c r="T390" i="10" s="1"/>
  <c r="H1725" i="16"/>
  <c r="I1718" i="16" a="1"/>
  <c r="I1718" i="16" s="1"/>
  <c r="Q1268" i="16"/>
  <c r="R1268" i="16" s="1"/>
  <c r="Q1270" i="16"/>
  <c r="S1267" i="16"/>
  <c r="V355" i="10"/>
  <c r="D1010" i="20"/>
  <c r="J1006" i="20" a="1"/>
  <c r="J1006" i="20" s="1"/>
  <c r="T681" i="20"/>
  <c r="U680" i="20"/>
  <c r="V680" i="20" s="1"/>
  <c r="V682" i="20" s="1"/>
  <c r="X1612" i="16"/>
  <c r="U666" i="20"/>
  <c r="U668" i="20" s="1"/>
  <c r="T667" i="20"/>
  <c r="X56" i="10"/>
  <c r="W180" i="16"/>
  <c r="W55" i="10"/>
  <c r="W343" i="10" s="1"/>
  <c r="W84" i="16"/>
  <c r="W948" i="16"/>
  <c r="X948" i="16" s="1"/>
  <c r="R976" i="16"/>
  <c r="L1001" i="16"/>
  <c r="U947" i="16"/>
  <c r="S959" i="16"/>
  <c r="T959" i="16" s="1"/>
  <c r="O717" i="20"/>
  <c r="R715" i="20"/>
  <c r="S715" i="20" s="1"/>
  <c r="T715" i="20" s="1"/>
  <c r="U715" i="20" s="1"/>
  <c r="V715" i="20" s="1"/>
  <c r="W715" i="20" s="1"/>
  <c r="X715" i="20" s="1"/>
  <c r="P717" i="20"/>
  <c r="N716" i="20"/>
  <c r="O716" i="20" s="1"/>
  <c r="P716" i="20" s="1"/>
  <c r="P860" i="20"/>
  <c r="Q860" i="20" s="1"/>
  <c r="P861" i="20"/>
  <c r="O867" i="20"/>
  <c r="P866" i="20"/>
  <c r="P868" i="20" s="1"/>
  <c r="N776" i="20"/>
  <c r="O776" i="20" s="1"/>
  <c r="P776" i="20" s="1"/>
  <c r="Q733" i="20"/>
  <c r="P754" i="20"/>
  <c r="P756" i="20" s="1"/>
  <c r="N756" i="20"/>
  <c r="O734" i="20"/>
  <c r="P734" i="20" s="1"/>
  <c r="P735" i="20" s="1"/>
  <c r="N755" i="20"/>
  <c r="O755" i="20" s="1"/>
  <c r="P852" i="20"/>
  <c r="Q852" i="20" s="1"/>
  <c r="Q854" i="20" s="1"/>
  <c r="M979" i="20"/>
  <c r="M980" i="20" s="1"/>
  <c r="O797" i="20"/>
  <c r="N832" i="20"/>
  <c r="O831" i="20"/>
  <c r="O833" i="20" s="1"/>
  <c r="O853" i="20"/>
  <c r="P796" i="20"/>
  <c r="Q796" i="20" s="1"/>
  <c r="Q798" i="20" s="1"/>
  <c r="N769" i="20"/>
  <c r="O769" i="20" s="1"/>
  <c r="P769" i="20" s="1"/>
  <c r="N937" i="20"/>
  <c r="O936" i="20"/>
  <c r="O938" i="20" s="1"/>
  <c r="K1167" i="20"/>
  <c r="K1168" i="20" s="1"/>
  <c r="L1166" i="20"/>
  <c r="M1166" i="20" s="1"/>
  <c r="K594" i="20"/>
  <c r="L594" i="20" s="1"/>
  <c r="M1522" i="16"/>
  <c r="M1508" i="16" s="1"/>
  <c r="M371" i="16" s="1"/>
  <c r="M792" i="16" s="1"/>
  <c r="M200" i="10" s="1"/>
  <c r="M344" i="10" s="1"/>
  <c r="N1521" i="16"/>
  <c r="N1507" i="16" s="1"/>
  <c r="N370" i="16" s="1"/>
  <c r="O1520" i="16"/>
  <c r="O1506" i="16" s="1"/>
  <c r="O369" i="16" s="1"/>
  <c r="N2153" i="16"/>
  <c r="U1647" i="16"/>
  <c r="O1989" i="16"/>
  <c r="O2222" i="16" s="1"/>
  <c r="N1990" i="16"/>
  <c r="M2010" i="16"/>
  <c r="M2225" i="16" s="1"/>
  <c r="V942" i="16"/>
  <c r="O1536" i="16"/>
  <c r="P1536" i="16" s="1"/>
  <c r="O1529" i="16"/>
  <c r="X1633" i="16"/>
  <c r="R960" i="16"/>
  <c r="M996" i="16"/>
  <c r="S1654" i="16"/>
  <c r="P1970" i="16"/>
  <c r="N1984" i="16"/>
  <c r="O1984" i="16" s="1"/>
  <c r="N2019" i="16"/>
  <c r="O2019" i="16" s="1"/>
  <c r="V1640" i="16"/>
  <c r="W1640" i="16" s="1"/>
  <c r="X1640" i="16" s="1"/>
  <c r="S1262" i="16"/>
  <c r="M882" i="20"/>
  <c r="M1682" i="16"/>
  <c r="N1682" i="16" s="1"/>
  <c r="D1708" i="16"/>
  <c r="F1707" i="16" s="1"/>
  <c r="G171" i="20" s="1"/>
  <c r="W1619" i="16"/>
  <c r="X1619" i="16" s="1"/>
  <c r="P1668" i="16"/>
  <c r="Q1668" i="16" s="1"/>
  <c r="R1241" i="16"/>
  <c r="S1241" i="16" s="1"/>
  <c r="S1255" i="16"/>
  <c r="T1255" i="16" s="1"/>
  <c r="V1366" i="16"/>
  <c r="W1366" i="16" s="1"/>
  <c r="R287" i="16"/>
  <c r="R789" i="16" s="1"/>
  <c r="R195" i="10" s="1"/>
  <c r="R339" i="10" s="1"/>
  <c r="R1968" i="16"/>
  <c r="S1968" i="16" s="1"/>
  <c r="Q1969" i="16"/>
  <c r="N593" i="20"/>
  <c r="L595" i="20"/>
  <c r="P2018" i="16"/>
  <c r="Q2018" i="16" s="1"/>
  <c r="P2226" i="16"/>
  <c r="P2221" i="16"/>
  <c r="P1983" i="16"/>
  <c r="Q1983" i="16" s="1"/>
  <c r="R1982" i="16"/>
  <c r="R2221" i="16" s="1"/>
  <c r="L2225" i="16"/>
  <c r="R2017" i="16"/>
  <c r="R2226" i="16" s="1"/>
  <c r="Q2226" i="16"/>
  <c r="N1961" i="16"/>
  <c r="M2218" i="16"/>
  <c r="M1962" i="16"/>
  <c r="M1963" i="16" s="1"/>
  <c r="L2223" i="16"/>
  <c r="M1996" i="16"/>
  <c r="M2223" i="16" s="1"/>
  <c r="L1997" i="16"/>
  <c r="D2003" i="16"/>
  <c r="R20" i="16"/>
  <c r="R81" i="16" s="1"/>
  <c r="X2262" i="16"/>
  <c r="X68" i="16" s="1"/>
  <c r="X88" i="16" s="1"/>
  <c r="X184" i="16" s="1"/>
  <c r="X180" i="16" s="1"/>
  <c r="X67" i="16"/>
  <c r="Q49" i="10"/>
  <c r="Q48" i="10" s="1"/>
  <c r="Q47" i="10" s="1"/>
  <c r="V28" i="16"/>
  <c r="V82" i="16" s="1"/>
  <c r="V177" i="16" s="1"/>
  <c r="S19" i="16"/>
  <c r="T17" i="16" s="1"/>
  <c r="T2232" i="16" s="1"/>
  <c r="T2240" i="16" s="1"/>
  <c r="T91" i="16" s="1"/>
  <c r="T101" i="12" s="1"/>
  <c r="T109" i="12" s="1"/>
  <c r="S2256" i="16"/>
  <c r="S2252" i="16"/>
  <c r="X918" i="16"/>
  <c r="T455" i="20"/>
  <c r="U455" i="20" s="1"/>
  <c r="U456" i="20" s="1"/>
  <c r="M1000" i="16"/>
  <c r="W1253" i="16"/>
  <c r="X1253" i="16" s="1"/>
  <c r="V435" i="20"/>
  <c r="W434" i="20"/>
  <c r="T50" i="10"/>
  <c r="T338" i="10" s="1"/>
  <c r="T1233" i="16"/>
  <c r="T1234" i="16" s="1"/>
  <c r="L1002" i="16"/>
  <c r="U1232" i="16"/>
  <c r="V1232" i="16" s="1"/>
  <c r="T1261" i="16"/>
  <c r="T1240" i="16"/>
  <c r="U1260" i="16"/>
  <c r="U1239" i="16"/>
  <c r="V1239" i="16" s="1"/>
  <c r="W1239" i="16" s="1"/>
  <c r="R449" i="20"/>
  <c r="S448" i="20"/>
  <c r="S442" i="20"/>
  <c r="T441" i="20"/>
  <c r="W421" i="20"/>
  <c r="X420" i="20"/>
  <c r="X421" i="20" s="1"/>
  <c r="U1254" i="16"/>
  <c r="V1254" i="16" s="1"/>
  <c r="V428" i="20"/>
  <c r="W427" i="20"/>
  <c r="S966" i="16"/>
  <c r="P978" i="16"/>
  <c r="Q977" i="16"/>
  <c r="T954" i="16"/>
  <c r="R982" i="16"/>
  <c r="O984" i="16"/>
  <c r="P984" i="16" s="1"/>
  <c r="U953" i="16"/>
  <c r="S972" i="16"/>
  <c r="T972" i="16" s="1"/>
  <c r="U964" i="16"/>
  <c r="T965" i="16"/>
  <c r="U958" i="16"/>
  <c r="D1012" i="16"/>
  <c r="C1024" i="16"/>
  <c r="B1021" i="16"/>
  <c r="D1027" i="16"/>
  <c r="J1026" i="16"/>
  <c r="E1023" i="16"/>
  <c r="E1022" i="16"/>
  <c r="F1022" i="16" s="1"/>
  <c r="D1022" i="16"/>
  <c r="D1017" i="16"/>
  <c r="D1018" i="16" s="1"/>
  <c r="Q983" i="16"/>
  <c r="U971" i="16"/>
  <c r="V971" i="16" s="1"/>
  <c r="W971" i="16" s="1"/>
  <c r="X940" i="16"/>
  <c r="W941" i="16"/>
  <c r="X970" i="16"/>
  <c r="T456" i="20"/>
  <c r="V447" i="20"/>
  <c r="V1248" i="16"/>
  <c r="W1248" i="16" s="1"/>
  <c r="O978" i="20"/>
  <c r="O980" i="20" s="1"/>
  <c r="X1247" i="16"/>
  <c r="X1227" i="16"/>
  <c r="Q873" i="20"/>
  <c r="Q875" i="20" s="1"/>
  <c r="P874" i="20"/>
  <c r="T817" i="20"/>
  <c r="T819" i="20" s="1"/>
  <c r="R944" i="20"/>
  <c r="R945" i="20"/>
  <c r="S943" i="20"/>
  <c r="S818" i="20"/>
  <c r="W440" i="20"/>
  <c r="Q929" i="20"/>
  <c r="P930" i="20"/>
  <c r="R859" i="20"/>
  <c r="R861" i="20" s="1"/>
  <c r="O887" i="20"/>
  <c r="N888" i="20"/>
  <c r="T673" i="20"/>
  <c r="T675" i="20" s="1"/>
  <c r="S674" i="20"/>
  <c r="P880" i="20"/>
  <c r="Q880" i="20" s="1"/>
  <c r="X454" i="20"/>
  <c r="O587" i="20"/>
  <c r="O588" i="20"/>
  <c r="P586" i="20"/>
  <c r="Q586" i="20" s="1"/>
  <c r="S922" i="20"/>
  <c r="P783" i="20"/>
  <c r="R923" i="20"/>
  <c r="O811" i="20"/>
  <c r="T652" i="20"/>
  <c r="U652" i="20" s="1"/>
  <c r="U654" i="20" s="1"/>
  <c r="Q782" i="20"/>
  <c r="Q784" i="20" s="1"/>
  <c r="O881" i="20"/>
  <c r="O770" i="20"/>
  <c r="Q768" i="20"/>
  <c r="S653" i="20"/>
  <c r="O812" i="20"/>
  <c r="P810" i="20"/>
  <c r="O803" i="20"/>
  <c r="N804" i="20"/>
  <c r="U659" i="20"/>
  <c r="V659" i="20" s="1"/>
  <c r="V661" i="20" s="1"/>
  <c r="S661" i="20"/>
  <c r="S660" i="20"/>
  <c r="T660" i="20" s="1"/>
  <c r="Q789" i="20"/>
  <c r="Q791" i="20" s="1"/>
  <c r="T618" i="20"/>
  <c r="T619" i="20" s="1"/>
  <c r="P790" i="20"/>
  <c r="T639" i="20"/>
  <c r="U639" i="20" s="1"/>
  <c r="U617" i="20"/>
  <c r="V617" i="20" s="1"/>
  <c r="U625" i="20"/>
  <c r="U626" i="20" s="1"/>
  <c r="Q775" i="20"/>
  <c r="R775" i="20" s="1"/>
  <c r="R777" i="20" s="1"/>
  <c r="P777" i="20"/>
  <c r="P762" i="20"/>
  <c r="V624" i="20"/>
  <c r="T640" i="20"/>
  <c r="Q761" i="20"/>
  <c r="Q763" i="20" s="1"/>
  <c r="V638" i="20"/>
  <c r="W638" i="20" s="1"/>
  <c r="W640" i="20" s="1"/>
  <c r="N749" i="20"/>
  <c r="P747" i="20"/>
  <c r="N748" i="20"/>
  <c r="O748" i="20" s="1"/>
  <c r="Q741" i="20"/>
  <c r="R741" i="20" s="1"/>
  <c r="T632" i="20"/>
  <c r="U631" i="20"/>
  <c r="R742" i="20"/>
  <c r="S740" i="20"/>
  <c r="S742" i="20" s="1"/>
  <c r="Q742" i="20"/>
  <c r="O726" i="20"/>
  <c r="P726" i="20" s="1"/>
  <c r="N727" i="20"/>
  <c r="N728" i="20" s="1"/>
  <c r="U580" i="20"/>
  <c r="X2245" i="16"/>
  <c r="X27" i="16" s="1"/>
  <c r="W2257" i="16"/>
  <c r="V930" i="16"/>
  <c r="K314" i="20"/>
  <c r="K1120" i="16"/>
  <c r="K218" i="16" s="1"/>
  <c r="X929" i="16"/>
  <c r="W59" i="10"/>
  <c r="E313" i="20"/>
  <c r="N986" i="20"/>
  <c r="L1001" i="20"/>
  <c r="N992" i="20"/>
  <c r="O992" i="20" s="1"/>
  <c r="P992" i="20" s="1"/>
  <c r="Q992" i="20" s="1"/>
  <c r="K1129" i="16"/>
  <c r="K1008" i="20"/>
  <c r="N999" i="20"/>
  <c r="O999" i="20" s="1"/>
  <c r="R1534" i="16"/>
  <c r="S1534" i="16" s="1"/>
  <c r="T1534" i="16" s="1"/>
  <c r="U1534" i="16" s="1"/>
  <c r="V1534" i="16" s="1"/>
  <c r="W1534" i="16" s="1"/>
  <c r="X1534" i="16" s="1"/>
  <c r="O985" i="20"/>
  <c r="M993" i="20"/>
  <c r="M994" i="20" s="1"/>
  <c r="L1696" i="16"/>
  <c r="O1542" i="16"/>
  <c r="P1542" i="16" s="1"/>
  <c r="V563" i="20"/>
  <c r="R701" i="20"/>
  <c r="S701" i="20" s="1"/>
  <c r="T701" i="20" s="1"/>
  <c r="U701" i="20" s="1"/>
  <c r="V701" i="20" s="1"/>
  <c r="W701" i="20" s="1"/>
  <c r="M2178" i="16"/>
  <c r="R687" i="20"/>
  <c r="S687" i="20" s="1"/>
  <c r="T687" i="20" s="1"/>
  <c r="U687" i="20" s="1"/>
  <c r="V687" i="20" s="1"/>
  <c r="W687" i="20" s="1"/>
  <c r="X687" i="20" s="1"/>
  <c r="L1006" i="20"/>
  <c r="M1006" i="20" s="1"/>
  <c r="U569" i="20"/>
  <c r="T571" i="20"/>
  <c r="W562" i="20"/>
  <c r="V564" i="20"/>
  <c r="O1687" i="16"/>
  <c r="P1687" i="16" s="1"/>
  <c r="P2178" i="16" s="1"/>
  <c r="N2178" i="16"/>
  <c r="T570" i="20"/>
  <c r="O2152" i="16"/>
  <c r="L2179" i="16"/>
  <c r="Q973" i="20"/>
  <c r="T958" i="20"/>
  <c r="L1000" i="20"/>
  <c r="O1514" i="16"/>
  <c r="P1514" i="16" s="1"/>
  <c r="V951" i="20"/>
  <c r="X1513" i="16"/>
  <c r="N987" i="20"/>
  <c r="Q972" i="20"/>
  <c r="R972" i="20" s="1"/>
  <c r="C1024" i="20"/>
  <c r="D1019" i="20"/>
  <c r="C1018" i="20"/>
  <c r="D1018" i="20"/>
  <c r="E1018" i="20" s="1"/>
  <c r="C1019" i="20"/>
  <c r="C1020" i="20" s="1"/>
  <c r="T959" i="20"/>
  <c r="L1701" i="16"/>
  <c r="L2180" i="16" s="1"/>
  <c r="U1371" i="16"/>
  <c r="T2131" i="16"/>
  <c r="T285" i="16"/>
  <c r="O2156" i="16"/>
  <c r="R1541" i="16"/>
  <c r="S1541" i="16" s="1"/>
  <c r="T1541" i="16" s="1"/>
  <c r="U1541" i="16" s="1"/>
  <c r="V1541" i="16" s="1"/>
  <c r="W1541" i="16" s="1"/>
  <c r="X1541" i="16" s="1"/>
  <c r="N1694" i="16"/>
  <c r="Q1535" i="16"/>
  <c r="T1372" i="16"/>
  <c r="T1373" i="16" s="1"/>
  <c r="L1695" i="16"/>
  <c r="M1695" i="16" s="1"/>
  <c r="X924" i="16"/>
  <c r="X1365" i="16"/>
  <c r="V1646" i="16"/>
  <c r="T2173" i="16"/>
  <c r="T1653" i="16"/>
  <c r="M2179" i="16"/>
  <c r="B1712" i="16"/>
  <c r="Q1718" i="16"/>
  <c r="D1713" i="16"/>
  <c r="R1718" i="16"/>
  <c r="K1718" i="16"/>
  <c r="S1718" i="16"/>
  <c r="L1718" i="16"/>
  <c r="T1718" i="16"/>
  <c r="M1718" i="16"/>
  <c r="U1718" i="16"/>
  <c r="N1718" i="16"/>
  <c r="E1714" i="16"/>
  <c r="D1714" i="16" s="1"/>
  <c r="O1718" i="16"/>
  <c r="W1718" i="16"/>
  <c r="E1713" i="16"/>
  <c r="F1713" i="16" s="1"/>
  <c r="G177" i="20" s="1"/>
  <c r="P1718" i="16"/>
  <c r="X1718" i="16"/>
  <c r="D1719" i="16"/>
  <c r="V1718" i="16"/>
  <c r="R1667" i="16"/>
  <c r="R2175" i="16"/>
  <c r="K2180" i="16"/>
  <c r="K1702" i="16"/>
  <c r="K1703" i="16" s="1"/>
  <c r="V2132" i="16"/>
  <c r="S1379" i="16"/>
  <c r="S1380" i="16" s="1"/>
  <c r="R286" i="16"/>
  <c r="V2172" i="16"/>
  <c r="V247" i="10"/>
  <c r="N390" i="10"/>
  <c r="O390" i="10"/>
  <c r="U355" i="10"/>
  <c r="U432" i="10"/>
  <c r="N247" i="10"/>
  <c r="P432" i="10"/>
  <c r="P355" i="10"/>
  <c r="P390" i="10" s="1"/>
  <c r="K103" i="10"/>
  <c r="L103" i="10"/>
  <c r="M103" i="10"/>
  <c r="Q103" i="10"/>
  <c r="R103" i="10"/>
  <c r="K432" i="10"/>
  <c r="K355" i="10"/>
  <c r="K390" i="10" s="1"/>
  <c r="L432" i="10"/>
  <c r="L355" i="10"/>
  <c r="Q432" i="10"/>
  <c r="Q355" i="10"/>
  <c r="R432" i="10"/>
  <c r="R355" i="10"/>
  <c r="S390" i="10" s="1"/>
  <c r="U54" i="10"/>
  <c r="U53" i="10" s="1"/>
  <c r="P702" i="20"/>
  <c r="P1528" i="16"/>
  <c r="N1543" i="16"/>
  <c r="Q717" i="20"/>
  <c r="O709" i="20"/>
  <c r="X211" i="10"/>
  <c r="X247" i="10" s="1"/>
  <c r="X290" i="10"/>
  <c r="P2154" i="16"/>
  <c r="P703" i="20"/>
  <c r="L344" i="10"/>
  <c r="N688" i="20"/>
  <c r="W432" i="10"/>
  <c r="W355" i="10"/>
  <c r="P2152" i="16"/>
  <c r="P2156" i="16"/>
  <c r="N689" i="20"/>
  <c r="O695" i="20"/>
  <c r="X109" i="18"/>
  <c r="X113" i="18"/>
  <c r="X356" i="10" s="1"/>
  <c r="Q1269" i="16" l="1"/>
  <c r="R1269" i="16" s="1"/>
  <c r="F1119" i="16"/>
  <c r="E29" i="20" s="1"/>
  <c r="F29" i="20" s="1"/>
  <c r="F50" i="20" s="1"/>
  <c r="L814" i="16"/>
  <c r="M814" i="16" s="1"/>
  <c r="N814" i="16" s="1"/>
  <c r="O814" i="16" s="1"/>
  <c r="P814" i="16" s="1"/>
  <c r="Q814" i="16" s="1"/>
  <c r="R814" i="16" s="1"/>
  <c r="S814" i="16" s="1"/>
  <c r="T814" i="16" s="1"/>
  <c r="U814" i="16" s="1"/>
  <c r="V814" i="16" s="1"/>
  <c r="W814" i="16" s="1"/>
  <c r="X814" i="16" s="1"/>
  <c r="K253" i="10"/>
  <c r="K252" i="10" s="1"/>
  <c r="P1680" i="16"/>
  <c r="Q1680" i="16" s="1"/>
  <c r="Q2177" i="16" s="1"/>
  <c r="D1127" i="16"/>
  <c r="L1127" i="16" s="1"/>
  <c r="L1128" i="16" s="1"/>
  <c r="O1681" i="16"/>
  <c r="O989" i="16"/>
  <c r="P989" i="16" s="1"/>
  <c r="Q988" i="16"/>
  <c r="R988" i="16" s="1"/>
  <c r="S994" i="16"/>
  <c r="T994" i="16" s="1"/>
  <c r="L1007" i="16"/>
  <c r="M1007" i="16" s="1"/>
  <c r="O735" i="20"/>
  <c r="W1666" i="16"/>
  <c r="X1666" i="16" s="1"/>
  <c r="U390" i="10"/>
  <c r="P1660" i="16"/>
  <c r="Q1660" i="16" s="1"/>
  <c r="L1008" i="16"/>
  <c r="L2011" i="16"/>
  <c r="M2011" i="16" s="1"/>
  <c r="M2012" i="16" s="1"/>
  <c r="P1661" i="16"/>
  <c r="Q1661" i="16" s="1"/>
  <c r="P2174" i="16"/>
  <c r="M1674" i="16"/>
  <c r="M2026" i="16"/>
  <c r="N2026" i="16" s="1"/>
  <c r="N2025" i="16"/>
  <c r="N2220" i="16"/>
  <c r="N1976" i="16"/>
  <c r="O1975" i="16"/>
  <c r="N1977" i="16"/>
  <c r="O2024" i="16"/>
  <c r="P2024" i="16" s="1"/>
  <c r="P2227" i="16" s="1"/>
  <c r="N2227" i="16"/>
  <c r="R1659" i="16"/>
  <c r="Q2174" i="16"/>
  <c r="U1951" i="16"/>
  <c r="U587" i="16" s="1"/>
  <c r="U794" i="16" s="1"/>
  <c r="U202" i="10" s="1"/>
  <c r="U346" i="10" s="1"/>
  <c r="U586" i="16"/>
  <c r="V1950" i="16"/>
  <c r="K1708" i="16"/>
  <c r="K1710" i="16" s="1"/>
  <c r="N1673" i="16"/>
  <c r="M2176" i="16"/>
  <c r="M1675" i="16"/>
  <c r="W390" i="10"/>
  <c r="H1732" i="16"/>
  <c r="I1725" i="16" a="1"/>
  <c r="I1725" i="16" s="1"/>
  <c r="S1268" i="16"/>
  <c r="S1269" i="16" s="1"/>
  <c r="S1270" i="16"/>
  <c r="T1267" i="16"/>
  <c r="T1270" i="16" s="1"/>
  <c r="D1017" i="20"/>
  <c r="J1013" i="20" a="1"/>
  <c r="J1013" i="20" s="1"/>
  <c r="U682" i="20"/>
  <c r="U681" i="20"/>
  <c r="V681" i="20" s="1"/>
  <c r="V666" i="20"/>
  <c r="V668" i="20" s="1"/>
  <c r="U667" i="20"/>
  <c r="X84" i="16"/>
  <c r="R80" i="16"/>
  <c r="R176" i="16"/>
  <c r="R175" i="16" s="1"/>
  <c r="N979" i="20"/>
  <c r="O979" i="20" s="1"/>
  <c r="M1001" i="16"/>
  <c r="N996" i="16"/>
  <c r="S960" i="16"/>
  <c r="T960" i="16" s="1"/>
  <c r="S976" i="16"/>
  <c r="V947" i="16"/>
  <c r="O995" i="16"/>
  <c r="P995" i="16" s="1"/>
  <c r="Q995" i="16" s="1"/>
  <c r="R995" i="16" s="1"/>
  <c r="Q754" i="20"/>
  <c r="Q756" i="20" s="1"/>
  <c r="P867" i="20"/>
  <c r="Q866" i="20"/>
  <c r="Q868" i="20" s="1"/>
  <c r="R733" i="20"/>
  <c r="S733" i="20" s="1"/>
  <c r="T733" i="20" s="1"/>
  <c r="Q734" i="20"/>
  <c r="Q735" i="20" s="1"/>
  <c r="P755" i="20"/>
  <c r="P854" i="20"/>
  <c r="R852" i="20"/>
  <c r="R854" i="20" s="1"/>
  <c r="P853" i="20"/>
  <c r="Q853" i="20" s="1"/>
  <c r="O832" i="20"/>
  <c r="P831" i="20"/>
  <c r="P833" i="20" s="1"/>
  <c r="P797" i="20"/>
  <c r="Q797" i="20" s="1"/>
  <c r="P798" i="20"/>
  <c r="O937" i="20"/>
  <c r="R796" i="20"/>
  <c r="R798" i="20" s="1"/>
  <c r="P936" i="20"/>
  <c r="P938" i="20" s="1"/>
  <c r="N1166" i="20"/>
  <c r="N1168" i="20" s="1"/>
  <c r="L1168" i="20"/>
  <c r="L1167" i="20"/>
  <c r="M1167" i="20" s="1"/>
  <c r="M1168" i="20" s="1"/>
  <c r="K595" i="20"/>
  <c r="Q1536" i="16"/>
  <c r="X1366" i="16"/>
  <c r="P1520" i="16"/>
  <c r="O2153" i="16"/>
  <c r="N1522" i="16"/>
  <c r="O1522" i="16" s="1"/>
  <c r="O1521" i="16"/>
  <c r="O1507" i="16" s="1"/>
  <c r="O370" i="16" s="1"/>
  <c r="V1647" i="16"/>
  <c r="P1529" i="16"/>
  <c r="O1682" i="16"/>
  <c r="N2010" i="16"/>
  <c r="O2010" i="16" s="1"/>
  <c r="P1989" i="16"/>
  <c r="Q1989" i="16" s="1"/>
  <c r="R1989" i="16" s="1"/>
  <c r="R2222" i="16" s="1"/>
  <c r="O1990" i="16"/>
  <c r="O1991" i="16" s="1"/>
  <c r="W942" i="16"/>
  <c r="O990" i="16"/>
  <c r="P990" i="16" s="1"/>
  <c r="T1654" i="16"/>
  <c r="Q1970" i="16"/>
  <c r="P2019" i="16"/>
  <c r="Q2019" i="16" s="1"/>
  <c r="T1262" i="16"/>
  <c r="P1984" i="16"/>
  <c r="Q1984" i="16" s="1"/>
  <c r="R1668" i="16"/>
  <c r="D1715" i="16"/>
  <c r="F1714" i="16" s="1"/>
  <c r="G178" i="20" s="1"/>
  <c r="G180" i="20" s="1"/>
  <c r="M1689" i="16"/>
  <c r="N1689" i="16" s="1"/>
  <c r="T1241" i="16"/>
  <c r="M1696" i="16"/>
  <c r="U1255" i="16"/>
  <c r="V1255" i="16" s="1"/>
  <c r="S287" i="16"/>
  <c r="S789" i="16" s="1"/>
  <c r="S195" i="10" s="1"/>
  <c r="S339" i="10" s="1"/>
  <c r="R2219" i="16"/>
  <c r="R1969" i="16"/>
  <c r="S1969" i="16" s="1"/>
  <c r="M594" i="20"/>
  <c r="M595" i="20" s="1"/>
  <c r="O593" i="20"/>
  <c r="N595" i="20"/>
  <c r="O1515" i="16"/>
  <c r="P1515" i="16" s="1"/>
  <c r="S1982" i="16"/>
  <c r="T1982" i="16" s="1"/>
  <c r="R1983" i="16"/>
  <c r="S2017" i="16"/>
  <c r="S2226" i="16" s="1"/>
  <c r="R2018" i="16"/>
  <c r="F1873" i="16"/>
  <c r="K1874" i="16" s="1"/>
  <c r="L1874" i="16" s="1"/>
  <c r="M1874" i="16" s="1"/>
  <c r="M2203" i="16" s="1"/>
  <c r="K1870" i="16"/>
  <c r="L1870" i="16"/>
  <c r="M1870" i="16"/>
  <c r="N1870" i="16"/>
  <c r="O1870" i="16"/>
  <c r="P1870" i="16"/>
  <c r="Q1870" i="16"/>
  <c r="R1870" i="16"/>
  <c r="S1870" i="16"/>
  <c r="T1870" i="16"/>
  <c r="U1870" i="16"/>
  <c r="V1870" i="16"/>
  <c r="W1870" i="16"/>
  <c r="X1870" i="16"/>
  <c r="N1962" i="16"/>
  <c r="N1963" i="16" s="1"/>
  <c r="N2218" i="16"/>
  <c r="O1961" i="16"/>
  <c r="F2002" i="16"/>
  <c r="N1996" i="16"/>
  <c r="T1968" i="16"/>
  <c r="T2219" i="16" s="1"/>
  <c r="S2219" i="16"/>
  <c r="M1997" i="16"/>
  <c r="M1998" i="16" s="1"/>
  <c r="V455" i="20"/>
  <c r="W455" i="20" s="1"/>
  <c r="W456" i="20" s="1"/>
  <c r="T2244" i="16"/>
  <c r="V50" i="10"/>
  <c r="V338" i="10" s="1"/>
  <c r="S20" i="16"/>
  <c r="S81" i="16" s="1"/>
  <c r="S2264" i="16"/>
  <c r="W28" i="16"/>
  <c r="W82" i="16" s="1"/>
  <c r="W177" i="16" s="1"/>
  <c r="N1000" i="16"/>
  <c r="W1254" i="16"/>
  <c r="X1254" i="16" s="1"/>
  <c r="W1232" i="16"/>
  <c r="X1232" i="16" s="1"/>
  <c r="W435" i="20"/>
  <c r="X434" i="20"/>
  <c r="X435" i="20" s="1"/>
  <c r="U50" i="10"/>
  <c r="U338" i="10" s="1"/>
  <c r="U1233" i="16"/>
  <c r="V1233" i="16" s="1"/>
  <c r="T966" i="16"/>
  <c r="X1239" i="16"/>
  <c r="V1260" i="16"/>
  <c r="W1260" i="16" s="1"/>
  <c r="X1260" i="16" s="1"/>
  <c r="U1240" i="16"/>
  <c r="V1240" i="16" s="1"/>
  <c r="W1240" i="16" s="1"/>
  <c r="U1261" i="16"/>
  <c r="T442" i="20"/>
  <c r="U441" i="20"/>
  <c r="W428" i="20"/>
  <c r="X427" i="20"/>
  <c r="X428" i="20" s="1"/>
  <c r="S449" i="20"/>
  <c r="T448" i="20"/>
  <c r="Q978" i="16"/>
  <c r="R983" i="16"/>
  <c r="Q984" i="16"/>
  <c r="V953" i="16"/>
  <c r="S982" i="16"/>
  <c r="T982" i="16" s="1"/>
  <c r="M1002" i="16"/>
  <c r="U954" i="16"/>
  <c r="R977" i="16"/>
  <c r="U972" i="16"/>
  <c r="V972" i="16" s="1"/>
  <c r="W972" i="16" s="1"/>
  <c r="U965" i="16"/>
  <c r="V964" i="16"/>
  <c r="F1011" i="16"/>
  <c r="K1012" i="16" s="1"/>
  <c r="K1013" i="16" s="1"/>
  <c r="K1014" i="16" s="1"/>
  <c r="F1017" i="16"/>
  <c r="K1018" i="16" s="1"/>
  <c r="K1019" i="16" s="1"/>
  <c r="V958" i="16"/>
  <c r="U959" i="16"/>
  <c r="X971" i="16"/>
  <c r="D1023" i="16"/>
  <c r="D1024" i="16" s="1"/>
  <c r="E1028" i="16"/>
  <c r="F1028" i="16" s="1"/>
  <c r="D1028" i="16"/>
  <c r="C1030" i="16"/>
  <c r="B1027" i="16"/>
  <c r="D1033" i="16"/>
  <c r="J1032" i="16"/>
  <c r="E1029" i="16"/>
  <c r="N1006" i="16"/>
  <c r="O1006" i="16" s="1"/>
  <c r="X941" i="16"/>
  <c r="V456" i="20"/>
  <c r="W447" i="20"/>
  <c r="X447" i="20" s="1"/>
  <c r="X1248" i="16"/>
  <c r="P978" i="20"/>
  <c r="Q978" i="20" s="1"/>
  <c r="Q980" i="20" s="1"/>
  <c r="Q874" i="20"/>
  <c r="R873" i="20"/>
  <c r="R875" i="20" s="1"/>
  <c r="L314" i="20"/>
  <c r="M314" i="20" s="1"/>
  <c r="U817" i="20"/>
  <c r="V817" i="20" s="1"/>
  <c r="V819" i="20" s="1"/>
  <c r="T818" i="20"/>
  <c r="S944" i="20"/>
  <c r="T943" i="20"/>
  <c r="S945" i="20"/>
  <c r="T674" i="20"/>
  <c r="T653" i="20"/>
  <c r="U653" i="20" s="1"/>
  <c r="S859" i="20"/>
  <c r="S861" i="20" s="1"/>
  <c r="U673" i="20"/>
  <c r="U675" i="20" s="1"/>
  <c r="Q930" i="20"/>
  <c r="X440" i="20"/>
  <c r="P881" i="20"/>
  <c r="Q881" i="20" s="1"/>
  <c r="P882" i="20"/>
  <c r="R860" i="20"/>
  <c r="R929" i="20"/>
  <c r="Q931" i="20"/>
  <c r="O888" i="20"/>
  <c r="P887" i="20"/>
  <c r="O889" i="20"/>
  <c r="P588" i="20"/>
  <c r="R586" i="20"/>
  <c r="P587" i="20"/>
  <c r="Q769" i="20"/>
  <c r="Q588" i="20"/>
  <c r="R782" i="20"/>
  <c r="R784" i="20" s="1"/>
  <c r="S923" i="20"/>
  <c r="S924" i="20"/>
  <c r="T922" i="20"/>
  <c r="T654" i="20"/>
  <c r="U661" i="20"/>
  <c r="R768" i="20"/>
  <c r="Q783" i="20"/>
  <c r="Q770" i="20"/>
  <c r="U660" i="20"/>
  <c r="V660" i="20" s="1"/>
  <c r="C342" i="20"/>
  <c r="D547" i="20"/>
  <c r="W659" i="20"/>
  <c r="W661" i="20" s="1"/>
  <c r="O804" i="20"/>
  <c r="Q882" i="20"/>
  <c r="R880" i="20"/>
  <c r="P803" i="20"/>
  <c r="P805" i="20" s="1"/>
  <c r="O805" i="20"/>
  <c r="P812" i="20"/>
  <c r="Q810" i="20"/>
  <c r="P811" i="20"/>
  <c r="R789" i="20"/>
  <c r="R791" i="20" s="1"/>
  <c r="Q790" i="20"/>
  <c r="V652" i="20"/>
  <c r="V654" i="20" s="1"/>
  <c r="V625" i="20"/>
  <c r="V626" i="20" s="1"/>
  <c r="W680" i="20"/>
  <c r="W682" i="20" s="1"/>
  <c r="Q762" i="20"/>
  <c r="W617" i="20"/>
  <c r="V639" i="20"/>
  <c r="W639" i="20" s="1"/>
  <c r="U618" i="20"/>
  <c r="V618" i="20" s="1"/>
  <c r="V619" i="20" s="1"/>
  <c r="Q777" i="20"/>
  <c r="P748" i="20"/>
  <c r="W624" i="20"/>
  <c r="S775" i="20"/>
  <c r="Q776" i="20"/>
  <c r="R776" i="20" s="1"/>
  <c r="R761" i="20"/>
  <c r="V640" i="20"/>
  <c r="X638" i="20"/>
  <c r="X640" i="20" s="1"/>
  <c r="P749" i="20"/>
  <c r="Q747" i="20"/>
  <c r="S741" i="20"/>
  <c r="U633" i="20"/>
  <c r="V631" i="20"/>
  <c r="U632" i="20"/>
  <c r="O727" i="20"/>
  <c r="P727" i="20" s="1"/>
  <c r="P728" i="20" s="1"/>
  <c r="T740" i="20"/>
  <c r="Q726" i="20"/>
  <c r="V580" i="20"/>
  <c r="X2257" i="16"/>
  <c r="W930" i="16"/>
  <c r="L1120" i="16"/>
  <c r="K2111" i="16"/>
  <c r="K1121" i="16"/>
  <c r="K219" i="16" s="1"/>
  <c r="K315" i="20"/>
  <c r="O994" i="20"/>
  <c r="N1001" i="20"/>
  <c r="N993" i="20"/>
  <c r="O993" i="20" s="1"/>
  <c r="P993" i="20" s="1"/>
  <c r="N994" i="20"/>
  <c r="O1688" i="16"/>
  <c r="P1688" i="16" s="1"/>
  <c r="U1372" i="16"/>
  <c r="U1373" i="16" s="1"/>
  <c r="S2155" i="16"/>
  <c r="R1535" i="16"/>
  <c r="S1535" i="16" s="1"/>
  <c r="T1535" i="16" s="1"/>
  <c r="U1535" i="16" s="1"/>
  <c r="R2155" i="16"/>
  <c r="O987" i="20"/>
  <c r="P985" i="20"/>
  <c r="L1007" i="20"/>
  <c r="M1007" i="20" s="1"/>
  <c r="M1008" i="20" s="1"/>
  <c r="O986" i="20"/>
  <c r="O2178" i="16"/>
  <c r="X701" i="20"/>
  <c r="E1019" i="20"/>
  <c r="K1020" i="20" s="1"/>
  <c r="K1021" i="20" s="1"/>
  <c r="R992" i="20"/>
  <c r="S992" i="20" s="1"/>
  <c r="T992" i="20" s="1"/>
  <c r="U992" i="20" s="1"/>
  <c r="V992" i="20" s="1"/>
  <c r="X562" i="20"/>
  <c r="X564" i="20" s="1"/>
  <c r="W563" i="20"/>
  <c r="W564" i="20"/>
  <c r="V569" i="20"/>
  <c r="U571" i="20"/>
  <c r="P999" i="20"/>
  <c r="N1006" i="20"/>
  <c r="N1008" i="20" s="1"/>
  <c r="L1008" i="20"/>
  <c r="U959" i="20"/>
  <c r="S972" i="20"/>
  <c r="C1031" i="20"/>
  <c r="D1026" i="20"/>
  <c r="D1025" i="20"/>
  <c r="E1025" i="20" s="1"/>
  <c r="C1025" i="20"/>
  <c r="C1026" i="20"/>
  <c r="C1027" i="20" s="1"/>
  <c r="P994" i="20"/>
  <c r="M1000" i="20"/>
  <c r="M1001" i="20" s="1"/>
  <c r="R973" i="20"/>
  <c r="U570" i="20"/>
  <c r="U958" i="20"/>
  <c r="V958" i="20" s="1"/>
  <c r="O1001" i="20"/>
  <c r="V952" i="20"/>
  <c r="V1371" i="16"/>
  <c r="U2131" i="16"/>
  <c r="U285" i="16"/>
  <c r="M1701" i="16"/>
  <c r="Q1687" i="16"/>
  <c r="R1687" i="16" s="1"/>
  <c r="S1687" i="16" s="1"/>
  <c r="T1687" i="16" s="1"/>
  <c r="U1687" i="16" s="1"/>
  <c r="V1687" i="16" s="1"/>
  <c r="W1687" i="16" s="1"/>
  <c r="X1687" i="16" s="1"/>
  <c r="K1715" i="16"/>
  <c r="K1716" i="16" s="1"/>
  <c r="O1694" i="16"/>
  <c r="V58" i="10"/>
  <c r="L1703" i="16"/>
  <c r="L1702" i="16"/>
  <c r="V2175" i="16"/>
  <c r="N2179" i="16"/>
  <c r="S1667" i="16"/>
  <c r="T1667" i="16" s="1"/>
  <c r="U1667" i="16" s="1"/>
  <c r="V1667" i="16" s="1"/>
  <c r="N1695" i="16"/>
  <c r="U2175" i="16"/>
  <c r="D1726" i="16"/>
  <c r="Q1725" i="16"/>
  <c r="E1720" i="16"/>
  <c r="F1720" i="16" s="1"/>
  <c r="R1725" i="16"/>
  <c r="K1725" i="16"/>
  <c r="S1725" i="16"/>
  <c r="L1725" i="16"/>
  <c r="T1725" i="16"/>
  <c r="M1725" i="16"/>
  <c r="U1725" i="16"/>
  <c r="D1720" i="16"/>
  <c r="N1725" i="16"/>
  <c r="V1725" i="16"/>
  <c r="B1719" i="16"/>
  <c r="O1725" i="16"/>
  <c r="W1725" i="16"/>
  <c r="E1721" i="16"/>
  <c r="D1721" i="16" s="1"/>
  <c r="P1725" i="16"/>
  <c r="X1725" i="16"/>
  <c r="U1653" i="16"/>
  <c r="T2175" i="16"/>
  <c r="V2173" i="16"/>
  <c r="U2173" i="16"/>
  <c r="S2175" i="16"/>
  <c r="W2172" i="16"/>
  <c r="W2132" i="16"/>
  <c r="W1646" i="16"/>
  <c r="S286" i="16"/>
  <c r="T1379" i="16"/>
  <c r="T1380" i="16" s="1"/>
  <c r="V390" i="10"/>
  <c r="R390" i="10"/>
  <c r="L390" i="10"/>
  <c r="M390" i="10"/>
  <c r="Q390" i="10"/>
  <c r="Q716" i="20"/>
  <c r="S717" i="20"/>
  <c r="Q1528" i="16"/>
  <c r="P709" i="20"/>
  <c r="Q709" i="20" s="1"/>
  <c r="Q703" i="20"/>
  <c r="Q702" i="20"/>
  <c r="R702" i="20" s="1"/>
  <c r="O1543" i="16"/>
  <c r="Q1542" i="16"/>
  <c r="T2155" i="16"/>
  <c r="X355" i="10"/>
  <c r="X390" i="10" s="1"/>
  <c r="X432" i="10"/>
  <c r="P696" i="20"/>
  <c r="P695" i="20"/>
  <c r="U2155" i="16"/>
  <c r="Q710" i="20"/>
  <c r="P710" i="20"/>
  <c r="O688" i="20"/>
  <c r="Q1514" i="16"/>
  <c r="Q2156" i="16"/>
  <c r="Q2154" i="16"/>
  <c r="Q2152" i="16"/>
  <c r="R703" i="20"/>
  <c r="S703" i="20"/>
  <c r="O689" i="20"/>
  <c r="M1127" i="16" l="1"/>
  <c r="N1127" i="16" s="1"/>
  <c r="L218" i="16"/>
  <c r="S988" i="16"/>
  <c r="T988" i="16" s="1"/>
  <c r="U988" i="16" s="1"/>
  <c r="L1129" i="16"/>
  <c r="P1681" i="16"/>
  <c r="Q1681" i="16" s="1"/>
  <c r="P2177" i="16"/>
  <c r="R1680" i="16"/>
  <c r="S1680" i="16" s="1"/>
  <c r="T1680" i="16" s="1"/>
  <c r="U1680" i="16" s="1"/>
  <c r="V1680" i="16" s="1"/>
  <c r="W1680" i="16" s="1"/>
  <c r="X1680" i="16" s="1"/>
  <c r="Q989" i="16"/>
  <c r="R989" i="16" s="1"/>
  <c r="S995" i="16"/>
  <c r="T995" i="16" s="1"/>
  <c r="U994" i="16"/>
  <c r="V994" i="16" s="1"/>
  <c r="K1709" i="16"/>
  <c r="M1008" i="16"/>
  <c r="O728" i="20"/>
  <c r="K2181" i="16"/>
  <c r="L1708" i="16"/>
  <c r="M1708" i="16" s="1"/>
  <c r="M2181" i="16" s="1"/>
  <c r="K1020" i="16"/>
  <c r="R1661" i="16"/>
  <c r="N2176" i="16"/>
  <c r="O1673" i="16"/>
  <c r="P1673" i="16" s="1"/>
  <c r="O1976" i="16"/>
  <c r="O2220" i="16"/>
  <c r="O1977" i="16"/>
  <c r="N1674" i="16"/>
  <c r="S1659" i="16"/>
  <c r="R2174" i="16"/>
  <c r="L1012" i="16"/>
  <c r="L1018" i="16"/>
  <c r="M1018" i="16" s="1"/>
  <c r="R1660" i="16"/>
  <c r="O2227" i="16"/>
  <c r="Q2024" i="16"/>
  <c r="O2025" i="16"/>
  <c r="P2025" i="16" s="1"/>
  <c r="K2003" i="16"/>
  <c r="V1951" i="16"/>
  <c r="V587" i="16" s="1"/>
  <c r="V794" i="16" s="1"/>
  <c r="V202" i="10" s="1"/>
  <c r="V346" i="10" s="1"/>
  <c r="W1950" i="16"/>
  <c r="V586" i="16"/>
  <c r="P1975" i="16"/>
  <c r="P2220" i="16" s="1"/>
  <c r="O2026" i="16"/>
  <c r="P2026" i="16" s="1"/>
  <c r="N1675" i="16"/>
  <c r="U619" i="20"/>
  <c r="H1739" i="16"/>
  <c r="I1732" i="16" a="1"/>
  <c r="I1732" i="16" s="1"/>
  <c r="U1267" i="16"/>
  <c r="U1270" i="16" s="1"/>
  <c r="T1268" i="16"/>
  <c r="T1269" i="16" s="1"/>
  <c r="J1020" i="20" a="1"/>
  <c r="J1020" i="20" s="1"/>
  <c r="D1024" i="20"/>
  <c r="W666" i="20"/>
  <c r="W668" i="20" s="1"/>
  <c r="V667" i="20"/>
  <c r="W947" i="16"/>
  <c r="S80" i="16"/>
  <c r="S176" i="16"/>
  <c r="S175" i="16" s="1"/>
  <c r="O1000" i="16"/>
  <c r="P1000" i="16" s="1"/>
  <c r="T976" i="16"/>
  <c r="O996" i="16"/>
  <c r="P996" i="16" s="1"/>
  <c r="Q996" i="16" s="1"/>
  <c r="R996" i="16" s="1"/>
  <c r="S996" i="16" s="1"/>
  <c r="T996" i="16" s="1"/>
  <c r="R754" i="20"/>
  <c r="R756" i="20" s="1"/>
  <c r="Q755" i="20"/>
  <c r="R866" i="20"/>
  <c r="R868" i="20" s="1"/>
  <c r="Q867" i="20"/>
  <c r="R734" i="20"/>
  <c r="S734" i="20" s="1"/>
  <c r="T734" i="20" s="1"/>
  <c r="T735" i="20" s="1"/>
  <c r="U733" i="20"/>
  <c r="V733" i="20" s="1"/>
  <c r="S852" i="20"/>
  <c r="T852" i="20" s="1"/>
  <c r="R853" i="20"/>
  <c r="P832" i="20"/>
  <c r="R797" i="20"/>
  <c r="Q831" i="20"/>
  <c r="Q833" i="20" s="1"/>
  <c r="S796" i="20"/>
  <c r="S798" i="20" s="1"/>
  <c r="P937" i="20"/>
  <c r="O1166" i="20"/>
  <c r="O1168" i="20" s="1"/>
  <c r="Q936" i="20"/>
  <c r="Q938" i="20" s="1"/>
  <c r="N1508" i="16"/>
  <c r="N371" i="16" s="1"/>
  <c r="N792" i="16" s="1"/>
  <c r="N200" i="10" s="1"/>
  <c r="N344" i="10" s="1"/>
  <c r="N1167" i="20"/>
  <c r="U1654" i="16"/>
  <c r="K1122" i="16"/>
  <c r="K220" i="16" s="1"/>
  <c r="K788" i="16" s="1"/>
  <c r="K193" i="10" s="1"/>
  <c r="Q1529" i="16"/>
  <c r="W1647" i="16"/>
  <c r="X942" i="16"/>
  <c r="Q2222" i="16"/>
  <c r="P2222" i="16"/>
  <c r="N2225" i="16"/>
  <c r="P1521" i="16"/>
  <c r="P1522" i="16"/>
  <c r="Q1520" i="16"/>
  <c r="P2153" i="16"/>
  <c r="P1506" i="16"/>
  <c r="P369" i="16" s="1"/>
  <c r="S1989" i="16"/>
  <c r="T1989" i="16" s="1"/>
  <c r="U1989" i="16" s="1"/>
  <c r="U2222" i="16" s="1"/>
  <c r="P1990" i="16"/>
  <c r="Q1990" i="16" s="1"/>
  <c r="R1990" i="16" s="1"/>
  <c r="N2011" i="16"/>
  <c r="O2011" i="16" s="1"/>
  <c r="R1536" i="16"/>
  <c r="S1536" i="16" s="1"/>
  <c r="T1536" i="16" s="1"/>
  <c r="U1536" i="16" s="1"/>
  <c r="N2012" i="16"/>
  <c r="X972" i="16"/>
  <c r="R984" i="16"/>
  <c r="U1262" i="16"/>
  <c r="N1696" i="16"/>
  <c r="R1970" i="16"/>
  <c r="S1970" i="16" s="1"/>
  <c r="R2019" i="16"/>
  <c r="R1984" i="16"/>
  <c r="S1668" i="16"/>
  <c r="T1668" i="16" s="1"/>
  <c r="U1668" i="16" s="1"/>
  <c r="V1668" i="16" s="1"/>
  <c r="P1991" i="16"/>
  <c r="Q1991" i="16" s="1"/>
  <c r="R1991" i="16" s="1"/>
  <c r="W1255" i="16"/>
  <c r="X1255" i="16" s="1"/>
  <c r="P1682" i="16"/>
  <c r="Q1682" i="16" s="1"/>
  <c r="O1689" i="16"/>
  <c r="P1689" i="16" s="1"/>
  <c r="U1234" i="16"/>
  <c r="V1234" i="16" s="1"/>
  <c r="D1722" i="16"/>
  <c r="F1721" i="16" s="1"/>
  <c r="U1241" i="16"/>
  <c r="V1241" i="16" s="1"/>
  <c r="W1241" i="16" s="1"/>
  <c r="T287" i="16"/>
  <c r="T789" i="16" s="1"/>
  <c r="T195" i="10" s="1"/>
  <c r="T339" i="10" s="1"/>
  <c r="D962" i="20"/>
  <c r="E962" i="20" s="1"/>
  <c r="C962" i="20"/>
  <c r="C964" i="20"/>
  <c r="S2221" i="16"/>
  <c r="O595" i="20"/>
  <c r="N594" i="20"/>
  <c r="P593" i="20"/>
  <c r="Q1515" i="16"/>
  <c r="U29" i="20"/>
  <c r="U50" i="20" s="1"/>
  <c r="U1202" i="20" s="1"/>
  <c r="U1201" i="20" s="1"/>
  <c r="U1210" i="20" s="1"/>
  <c r="M29" i="20"/>
  <c r="M50" i="20" s="1"/>
  <c r="M1202" i="20" s="1"/>
  <c r="M1201" i="20" s="1"/>
  <c r="M1210" i="20" s="1"/>
  <c r="X29" i="20"/>
  <c r="X50" i="20" s="1"/>
  <c r="X1202" i="20" s="1"/>
  <c r="X1201" i="20" s="1"/>
  <c r="X1213" i="20" s="1"/>
  <c r="X1216" i="20" s="1"/>
  <c r="P66" i="25" s="1"/>
  <c r="K29" i="20"/>
  <c r="S1983" i="16"/>
  <c r="T1983" i="16" s="1"/>
  <c r="T29" i="20"/>
  <c r="T50" i="20" s="1"/>
  <c r="T1202" i="20" s="1"/>
  <c r="T1201" i="20" s="1"/>
  <c r="T1213" i="20" s="1"/>
  <c r="T1216" i="20" s="1"/>
  <c r="L66" i="25" s="1"/>
  <c r="N29" i="20"/>
  <c r="N50" i="20" s="1"/>
  <c r="N1202" i="20" s="1"/>
  <c r="N1201" i="20" s="1"/>
  <c r="N1213" i="20" s="1"/>
  <c r="N1216" i="20" s="1"/>
  <c r="F66" i="25" s="1"/>
  <c r="W29" i="20"/>
  <c r="W50" i="20" s="1"/>
  <c r="W1202" i="20" s="1"/>
  <c r="W1201" i="20" s="1"/>
  <c r="W1210" i="20" s="1"/>
  <c r="L29" i="20"/>
  <c r="L50" i="20" s="1"/>
  <c r="L1202" i="20" s="1"/>
  <c r="L1201" i="20" s="1"/>
  <c r="L1213" i="20" s="1"/>
  <c r="L1216" i="20" s="1"/>
  <c r="D66" i="25" s="1"/>
  <c r="Q29" i="20"/>
  <c r="Q50" i="20" s="1"/>
  <c r="Q1202" i="20" s="1"/>
  <c r="Q1201" i="20" s="1"/>
  <c r="Q1210" i="20" s="1"/>
  <c r="V29" i="20"/>
  <c r="V50" i="20" s="1"/>
  <c r="V1202" i="20" s="1"/>
  <c r="V1201" i="20" s="1"/>
  <c r="V1213" i="20" s="1"/>
  <c r="V1216" i="20" s="1"/>
  <c r="N66" i="25" s="1"/>
  <c r="O29" i="20"/>
  <c r="O50" i="20" s="1"/>
  <c r="O1202" i="20" s="1"/>
  <c r="O1201" i="20" s="1"/>
  <c r="O1213" i="20" s="1"/>
  <c r="O1216" i="20" s="1"/>
  <c r="G66" i="25" s="1"/>
  <c r="S29" i="20"/>
  <c r="S50" i="20" s="1"/>
  <c r="S1202" i="20" s="1"/>
  <c r="S1201" i="20" s="1"/>
  <c r="S1210" i="20" s="1"/>
  <c r="R29" i="20"/>
  <c r="R50" i="20" s="1"/>
  <c r="R1202" i="20" s="1"/>
  <c r="R1201" i="20" s="1"/>
  <c r="R1213" i="20" s="1"/>
  <c r="R1216" i="20" s="1"/>
  <c r="J66" i="25" s="1"/>
  <c r="T2017" i="16"/>
  <c r="U2017" i="16" s="1"/>
  <c r="V2017" i="16" s="1"/>
  <c r="S2018" i="16"/>
  <c r="P2010" i="16"/>
  <c r="O2225" i="16"/>
  <c r="C320" i="20"/>
  <c r="P29" i="20"/>
  <c r="P50" i="20" s="1"/>
  <c r="P1202" i="20" s="1"/>
  <c r="P1201" i="20" s="1"/>
  <c r="P1213" i="20" s="1"/>
  <c r="P1216" i="20" s="1"/>
  <c r="H66" i="25" s="1"/>
  <c r="K2203" i="16"/>
  <c r="K1875" i="16"/>
  <c r="L1875" i="16" s="1"/>
  <c r="M1875" i="16" s="1"/>
  <c r="L2203" i="16"/>
  <c r="N1874" i="16"/>
  <c r="N2203" i="16" s="1"/>
  <c r="N2223" i="16"/>
  <c r="O1996" i="16"/>
  <c r="O2218" i="16"/>
  <c r="O1962" i="16"/>
  <c r="O1963" i="16" s="1"/>
  <c r="P1961" i="16"/>
  <c r="R49" i="10"/>
  <c r="R48" i="10" s="1"/>
  <c r="R47" i="10" s="1"/>
  <c r="T1969" i="16"/>
  <c r="U1968" i="16"/>
  <c r="T2221" i="16"/>
  <c r="U1982" i="16"/>
  <c r="N1997" i="16"/>
  <c r="N1998" i="16" s="1"/>
  <c r="X455" i="20"/>
  <c r="X456" i="20" s="1"/>
  <c r="K342" i="20"/>
  <c r="L342" i="20" s="1"/>
  <c r="U960" i="16"/>
  <c r="W50" i="10"/>
  <c r="W338" i="10" s="1"/>
  <c r="W953" i="16"/>
  <c r="X59" i="10"/>
  <c r="X28" i="16"/>
  <c r="X82" i="16" s="1"/>
  <c r="X177" i="16" s="1"/>
  <c r="T19" i="16"/>
  <c r="U17" i="16" s="1"/>
  <c r="U2232" i="16" s="1"/>
  <c r="T2256" i="16"/>
  <c r="T2252" i="16"/>
  <c r="N1001" i="16"/>
  <c r="W1233" i="16"/>
  <c r="X1233" i="16" s="1"/>
  <c r="U966" i="16"/>
  <c r="V1261" i="16"/>
  <c r="W1261" i="16" s="1"/>
  <c r="X1261" i="16" s="1"/>
  <c r="X1240" i="16"/>
  <c r="S983" i="16"/>
  <c r="T449" i="20"/>
  <c r="U448" i="20"/>
  <c r="U442" i="20"/>
  <c r="V441" i="20"/>
  <c r="S977" i="16"/>
  <c r="R978" i="16"/>
  <c r="V954" i="16"/>
  <c r="Q990" i="16"/>
  <c r="R990" i="16" s="1"/>
  <c r="W964" i="16"/>
  <c r="V965" i="16"/>
  <c r="F1023" i="16"/>
  <c r="K1024" i="16" s="1"/>
  <c r="K1025" i="16" s="1"/>
  <c r="N1007" i="16"/>
  <c r="O1007" i="16" s="1"/>
  <c r="V959" i="16"/>
  <c r="W958" i="16"/>
  <c r="D1039" i="16"/>
  <c r="J1038" i="16"/>
  <c r="E1035" i="16"/>
  <c r="E1034" i="16"/>
  <c r="F1034" i="16" s="1"/>
  <c r="D1034" i="16"/>
  <c r="C1036" i="16"/>
  <c r="B1033" i="16"/>
  <c r="P1006" i="16"/>
  <c r="D1029" i="16"/>
  <c r="U982" i="16"/>
  <c r="M1120" i="16"/>
  <c r="M218" i="16" s="1"/>
  <c r="R978" i="20"/>
  <c r="S978" i="20" s="1"/>
  <c r="S980" i="20" s="1"/>
  <c r="P979" i="20"/>
  <c r="Q979" i="20" s="1"/>
  <c r="P980" i="20"/>
  <c r="S873" i="20"/>
  <c r="T873" i="20" s="1"/>
  <c r="R874" i="20"/>
  <c r="K316" i="20"/>
  <c r="N314" i="20"/>
  <c r="O314" i="20" s="1"/>
  <c r="U818" i="20"/>
  <c r="V818" i="20" s="1"/>
  <c r="W817" i="20"/>
  <c r="W819" i="20" s="1"/>
  <c r="U819" i="20"/>
  <c r="R769" i="20"/>
  <c r="U943" i="20"/>
  <c r="U945" i="20" s="1"/>
  <c r="T944" i="20"/>
  <c r="T945" i="20"/>
  <c r="V673" i="20"/>
  <c r="W673" i="20" s="1"/>
  <c r="W675" i="20" s="1"/>
  <c r="U674" i="20"/>
  <c r="S860" i="20"/>
  <c r="T859" i="20"/>
  <c r="T861" i="20" s="1"/>
  <c r="X659" i="20"/>
  <c r="X661" i="20" s="1"/>
  <c r="P888" i="20"/>
  <c r="S929" i="20"/>
  <c r="T929" i="20" s="1"/>
  <c r="T931" i="20" s="1"/>
  <c r="R931" i="20"/>
  <c r="R930" i="20"/>
  <c r="R783" i="20"/>
  <c r="S782" i="20"/>
  <c r="T782" i="20" s="1"/>
  <c r="P889" i="20"/>
  <c r="Q887" i="20"/>
  <c r="R588" i="20"/>
  <c r="S586" i="20"/>
  <c r="Q587" i="20"/>
  <c r="T924" i="20"/>
  <c r="U922" i="20"/>
  <c r="V922" i="20" s="1"/>
  <c r="V924" i="20" s="1"/>
  <c r="T923" i="20"/>
  <c r="Q803" i="20"/>
  <c r="S768" i="20"/>
  <c r="T768" i="20" s="1"/>
  <c r="T770" i="20" s="1"/>
  <c r="R770" i="20"/>
  <c r="E547" i="20"/>
  <c r="K548" i="20" s="1"/>
  <c r="K549" i="20" s="1"/>
  <c r="K550" i="20" s="1"/>
  <c r="W660" i="20"/>
  <c r="D554" i="20"/>
  <c r="Q811" i="20"/>
  <c r="P804" i="20"/>
  <c r="R882" i="20"/>
  <c r="S880" i="20"/>
  <c r="R881" i="20"/>
  <c r="S789" i="20"/>
  <c r="T789" i="20" s="1"/>
  <c r="R790" i="20"/>
  <c r="Q812" i="20"/>
  <c r="R810" i="20"/>
  <c r="W652" i="20"/>
  <c r="X652" i="20" s="1"/>
  <c r="V653" i="20"/>
  <c r="S776" i="20"/>
  <c r="X680" i="20"/>
  <c r="X682" i="20" s="1"/>
  <c r="W681" i="20"/>
  <c r="X639" i="20"/>
  <c r="W618" i="20"/>
  <c r="W619" i="20" s="1"/>
  <c r="X617" i="20"/>
  <c r="X619" i="20" s="1"/>
  <c r="S777" i="20"/>
  <c r="V632" i="20"/>
  <c r="X624" i="20"/>
  <c r="T775" i="20"/>
  <c r="W625" i="20"/>
  <c r="W626" i="20" s="1"/>
  <c r="R763" i="20"/>
  <c r="S761" i="20"/>
  <c r="S763" i="20" s="1"/>
  <c r="R762" i="20"/>
  <c r="Q749" i="20"/>
  <c r="R747" i="20"/>
  <c r="Q748" i="20"/>
  <c r="V633" i="20"/>
  <c r="W631" i="20"/>
  <c r="R726" i="20"/>
  <c r="T742" i="20"/>
  <c r="U740" i="20"/>
  <c r="U742" i="20" s="1"/>
  <c r="T741" i="20"/>
  <c r="Q727" i="20"/>
  <c r="Q728" i="20" s="1"/>
  <c r="W580" i="20"/>
  <c r="X930" i="16"/>
  <c r="L1121" i="16"/>
  <c r="L219" i="16" s="1"/>
  <c r="L315" i="20"/>
  <c r="L2111" i="16"/>
  <c r="M1128" i="16"/>
  <c r="N1128" i="16" s="1"/>
  <c r="P986" i="20"/>
  <c r="Q985" i="20"/>
  <c r="P987" i="20"/>
  <c r="Q2178" i="16"/>
  <c r="Q1688" i="16"/>
  <c r="R1688" i="16" s="1"/>
  <c r="S1688" i="16" s="1"/>
  <c r="T1688" i="16" s="1"/>
  <c r="U1688" i="16" s="1"/>
  <c r="K1022" i="20"/>
  <c r="W569" i="20"/>
  <c r="V571" i="20"/>
  <c r="O1006" i="20"/>
  <c r="P1006" i="20" s="1"/>
  <c r="N1007" i="20"/>
  <c r="L1020" i="20"/>
  <c r="L1021" i="20" s="1"/>
  <c r="K1717" i="16"/>
  <c r="X563" i="20"/>
  <c r="W992" i="20"/>
  <c r="X992" i="20" s="1"/>
  <c r="L1715" i="16"/>
  <c r="M1715" i="16" s="1"/>
  <c r="Q999" i="20"/>
  <c r="V959" i="20"/>
  <c r="Q993" i="20"/>
  <c r="N1000" i="20"/>
  <c r="V570" i="20"/>
  <c r="P1001" i="20"/>
  <c r="Q994" i="20"/>
  <c r="S2178" i="16"/>
  <c r="W952" i="20"/>
  <c r="X952" i="20"/>
  <c r="W958" i="20"/>
  <c r="U2178" i="16"/>
  <c r="E1026" i="20"/>
  <c r="K1027" i="20" s="1"/>
  <c r="S973" i="20"/>
  <c r="T972" i="20"/>
  <c r="D1032" i="20"/>
  <c r="C1032" i="20"/>
  <c r="D1033" i="20"/>
  <c r="C1033" i="20"/>
  <c r="C1034" i="20" s="1"/>
  <c r="R2178" i="16"/>
  <c r="K2182" i="16"/>
  <c r="W951" i="20"/>
  <c r="X951" i="20" s="1"/>
  <c r="O1127" i="16"/>
  <c r="P1694" i="16"/>
  <c r="P2179" i="16" s="1"/>
  <c r="W1371" i="16"/>
  <c r="V2131" i="16"/>
  <c r="V285" i="16"/>
  <c r="V1372" i="16"/>
  <c r="V1373" i="16" s="1"/>
  <c r="N1701" i="16"/>
  <c r="O1701" i="16" s="1"/>
  <c r="P1701" i="16" s="1"/>
  <c r="K1722" i="16"/>
  <c r="K1723" i="16" s="1"/>
  <c r="M1702" i="16"/>
  <c r="M1703" i="16" s="1"/>
  <c r="M2180" i="16"/>
  <c r="T2178" i="16"/>
  <c r="W2173" i="16"/>
  <c r="V1653" i="16"/>
  <c r="X2175" i="16"/>
  <c r="W1667" i="16"/>
  <c r="X1667" i="16" s="1"/>
  <c r="O2179" i="16"/>
  <c r="D1727" i="16"/>
  <c r="N1732" i="16"/>
  <c r="V1732" i="16"/>
  <c r="K1732" i="16"/>
  <c r="D1733" i="16"/>
  <c r="O1732" i="16"/>
  <c r="W1732" i="16"/>
  <c r="B1726" i="16"/>
  <c r="P1732" i="16"/>
  <c r="X1732" i="16"/>
  <c r="Q1732" i="16"/>
  <c r="E1728" i="16"/>
  <c r="D1728" i="16" s="1"/>
  <c r="R1732" i="16"/>
  <c r="L1732" i="16"/>
  <c r="T1732" i="16"/>
  <c r="S1732" i="16"/>
  <c r="E1727" i="16"/>
  <c r="F1727" i="16" s="1"/>
  <c r="M1732" i="16"/>
  <c r="U1732" i="16"/>
  <c r="W2175" i="16"/>
  <c r="O1695" i="16"/>
  <c r="X2132" i="16"/>
  <c r="X2172" i="16"/>
  <c r="T286" i="16"/>
  <c r="U1379" i="16"/>
  <c r="U1380" i="16" s="1"/>
  <c r="X1646" i="16"/>
  <c r="V54" i="10"/>
  <c r="V53" i="10" s="1"/>
  <c r="R716" i="20"/>
  <c r="S716" i="20" s="1"/>
  <c r="R717" i="20"/>
  <c r="P1543" i="16"/>
  <c r="O1508" i="16"/>
  <c r="O371" i="16" s="1"/>
  <c r="O792" i="16" s="1"/>
  <c r="R709" i="20"/>
  <c r="Q695" i="20"/>
  <c r="R1514" i="16"/>
  <c r="V2155" i="16"/>
  <c r="R2156" i="16"/>
  <c r="S702" i="20"/>
  <c r="P688" i="20"/>
  <c r="V1535" i="16"/>
  <c r="R2154" i="16"/>
  <c r="R1542" i="16"/>
  <c r="R1528" i="16"/>
  <c r="P689" i="20"/>
  <c r="R2152" i="16"/>
  <c r="Q696" i="20"/>
  <c r="R710" i="20"/>
  <c r="R2177" i="16" l="1"/>
  <c r="S2177" i="16"/>
  <c r="S989" i="16"/>
  <c r="T989" i="16" s="1"/>
  <c r="U989" i="16" s="1"/>
  <c r="V988" i="16"/>
  <c r="W988" i="16" s="1"/>
  <c r="L2181" i="16"/>
  <c r="R1681" i="16"/>
  <c r="S1681" i="16" s="1"/>
  <c r="T1681" i="16" s="1"/>
  <c r="L1709" i="16"/>
  <c r="M1709" i="16" s="1"/>
  <c r="N1708" i="16"/>
  <c r="O1708" i="16" s="1"/>
  <c r="U995" i="16"/>
  <c r="V995" i="16" s="1"/>
  <c r="L1710" i="16"/>
  <c r="M1710" i="16" s="1"/>
  <c r="S735" i="20"/>
  <c r="R735" i="20"/>
  <c r="K1026" i="16"/>
  <c r="L1019" i="16"/>
  <c r="M1019" i="16" s="1"/>
  <c r="N1018" i="16"/>
  <c r="O1018" i="16" s="1"/>
  <c r="L1024" i="16"/>
  <c r="M1024" i="16" s="1"/>
  <c r="O1674" i="16"/>
  <c r="P1674" i="16" s="1"/>
  <c r="S1661" i="16"/>
  <c r="Q2026" i="16"/>
  <c r="Q2025" i="16"/>
  <c r="R2024" i="16"/>
  <c r="S2024" i="16" s="1"/>
  <c r="S2227" i="16" s="1"/>
  <c r="Q2227" i="16"/>
  <c r="Q1975" i="16"/>
  <c r="W1951" i="16"/>
  <c r="X1950" i="16"/>
  <c r="X586" i="16" s="1"/>
  <c r="W586" i="16"/>
  <c r="S1660" i="16"/>
  <c r="P1976" i="16"/>
  <c r="P2176" i="16"/>
  <c r="M1012" i="16"/>
  <c r="L1013" i="16"/>
  <c r="Q1673" i="16"/>
  <c r="K2005" i="16"/>
  <c r="K629" i="16" s="1"/>
  <c r="K795" i="16" s="1"/>
  <c r="K203" i="10" s="1"/>
  <c r="K347" i="10" s="1"/>
  <c r="K2224" i="16"/>
  <c r="K627" i="16"/>
  <c r="K2004" i="16"/>
  <c r="L2003" i="16"/>
  <c r="O2176" i="16"/>
  <c r="O1675" i="16"/>
  <c r="P1675" i="16" s="1"/>
  <c r="T1659" i="16"/>
  <c r="S2174" i="16"/>
  <c r="K50" i="20"/>
  <c r="K1202" i="20" s="1"/>
  <c r="K1201" i="20" s="1"/>
  <c r="K1210" i="20" s="1"/>
  <c r="H1746" i="16"/>
  <c r="I1739" i="16" a="1"/>
  <c r="I1739" i="16" s="1"/>
  <c r="U1268" i="16"/>
  <c r="U1269" i="16" s="1"/>
  <c r="V1267" i="16"/>
  <c r="D1031" i="20"/>
  <c r="J1034" i="20" s="1" a="1"/>
  <c r="J1034" i="20" s="1"/>
  <c r="J1027" i="20" a="1"/>
  <c r="J1027" i="20" s="1"/>
  <c r="X666" i="20"/>
  <c r="X668" i="20" s="1"/>
  <c r="W667" i="20"/>
  <c r="X947" i="16"/>
  <c r="U976" i="16"/>
  <c r="V976" i="16" s="1"/>
  <c r="O1001" i="16"/>
  <c r="P1001" i="16" s="1"/>
  <c r="Q1000" i="16"/>
  <c r="R1000" i="16" s="1"/>
  <c r="S754" i="20"/>
  <c r="S756" i="20" s="1"/>
  <c r="R755" i="20"/>
  <c r="S866" i="20"/>
  <c r="S868" i="20" s="1"/>
  <c r="U734" i="20"/>
  <c r="V734" i="20" s="1"/>
  <c r="V735" i="20" s="1"/>
  <c r="R867" i="20"/>
  <c r="Q832" i="20"/>
  <c r="S854" i="20"/>
  <c r="S853" i="20"/>
  <c r="T853" i="20" s="1"/>
  <c r="R831" i="20"/>
  <c r="R833" i="20" s="1"/>
  <c r="T796" i="20"/>
  <c r="T798" i="20" s="1"/>
  <c r="S797" i="20"/>
  <c r="P1166" i="20"/>
  <c r="P1168" i="20" s="1"/>
  <c r="V1654" i="16"/>
  <c r="O1167" i="20"/>
  <c r="Q937" i="20"/>
  <c r="R936" i="20"/>
  <c r="S936" i="20" s="1"/>
  <c r="S938" i="20" s="1"/>
  <c r="X1647" i="16"/>
  <c r="L548" i="20"/>
  <c r="M548" i="20" s="1"/>
  <c r="K1876" i="16"/>
  <c r="L1876" i="16" s="1"/>
  <c r="M1876" i="16" s="1"/>
  <c r="S2222" i="16"/>
  <c r="R1529" i="16"/>
  <c r="R1520" i="16"/>
  <c r="Q2153" i="16"/>
  <c r="Q1506" i="16"/>
  <c r="Q369" i="16" s="1"/>
  <c r="Q1521" i="16"/>
  <c r="P1507" i="16"/>
  <c r="P370" i="16" s="1"/>
  <c r="S1990" i="16"/>
  <c r="T1990" i="16" s="1"/>
  <c r="U1990" i="16" s="1"/>
  <c r="V1536" i="16"/>
  <c r="O2012" i="16"/>
  <c r="O1696" i="16"/>
  <c r="L1020" i="16"/>
  <c r="N1002" i="16"/>
  <c r="S984" i="16"/>
  <c r="T1970" i="16"/>
  <c r="S2019" i="16"/>
  <c r="S1991" i="16"/>
  <c r="X1241" i="16"/>
  <c r="S1984" i="16"/>
  <c r="T1984" i="16" s="1"/>
  <c r="W1668" i="16"/>
  <c r="X1668" i="16" s="1"/>
  <c r="W1234" i="16"/>
  <c r="X1234" i="16" s="1"/>
  <c r="D1729" i="16"/>
  <c r="F1728" i="16" s="1"/>
  <c r="Q1689" i="16"/>
  <c r="R1689" i="16" s="1"/>
  <c r="S1689" i="16" s="1"/>
  <c r="T1689" i="16" s="1"/>
  <c r="U1689" i="16" s="1"/>
  <c r="R1682" i="16"/>
  <c r="S1682" i="16" s="1"/>
  <c r="V1262" i="16"/>
  <c r="W1262" i="16" s="1"/>
  <c r="X1262" i="16" s="1"/>
  <c r="U287" i="16"/>
  <c r="U789" i="16" s="1"/>
  <c r="U195" i="10" s="1"/>
  <c r="U339" i="10" s="1"/>
  <c r="L1122" i="16"/>
  <c r="L220" i="16" s="1"/>
  <c r="L788" i="16" s="1"/>
  <c r="L193" i="10" s="1"/>
  <c r="U1213" i="20"/>
  <c r="U1216" i="20" s="1"/>
  <c r="M66" i="25" s="1"/>
  <c r="E963" i="20"/>
  <c r="K964" i="20" s="1"/>
  <c r="R1515" i="16"/>
  <c r="C1011" i="20"/>
  <c r="D1011" i="20"/>
  <c r="E1011" i="20" s="1"/>
  <c r="C1013" i="20"/>
  <c r="C321" i="20"/>
  <c r="D599" i="20"/>
  <c r="O594" i="20"/>
  <c r="P595" i="20"/>
  <c r="Q593" i="20"/>
  <c r="N1210" i="20"/>
  <c r="M1213" i="20"/>
  <c r="M1216" i="20" s="1"/>
  <c r="E66" i="25" s="1"/>
  <c r="X1210" i="20"/>
  <c r="R1210" i="20"/>
  <c r="P2011" i="16"/>
  <c r="T2222" i="16"/>
  <c r="W1213" i="20"/>
  <c r="W1216" i="20" s="1"/>
  <c r="O66" i="25" s="1"/>
  <c r="V1989" i="16"/>
  <c r="W1989" i="16" s="1"/>
  <c r="T2226" i="16"/>
  <c r="L1210" i="20"/>
  <c r="Q1213" i="20"/>
  <c r="Q1216" i="20" s="1"/>
  <c r="I66" i="25" s="1"/>
  <c r="U2226" i="16"/>
  <c r="V1210" i="20"/>
  <c r="S1213" i="20"/>
  <c r="S1216" i="20" s="1"/>
  <c r="K66" i="25" s="1"/>
  <c r="O1210" i="20"/>
  <c r="T1210" i="20"/>
  <c r="T2018" i="16"/>
  <c r="U2018" i="16" s="1"/>
  <c r="V2018" i="16" s="1"/>
  <c r="Q2010" i="16"/>
  <c r="P1210" i="20"/>
  <c r="P2225" i="16"/>
  <c r="O1874" i="16"/>
  <c r="P1996" i="16"/>
  <c r="N1875" i="16"/>
  <c r="O2223" i="16"/>
  <c r="P2218" i="16"/>
  <c r="Q1961" i="16"/>
  <c r="P1962" i="16"/>
  <c r="P1963" i="16" s="1"/>
  <c r="U1969" i="16"/>
  <c r="U2219" i="16"/>
  <c r="V1968" i="16"/>
  <c r="U1983" i="16"/>
  <c r="V2226" i="16"/>
  <c r="W2017" i="16"/>
  <c r="U2221" i="16"/>
  <c r="V1982" i="16"/>
  <c r="O1997" i="16"/>
  <c r="O1998" i="16" s="1"/>
  <c r="V960" i="16"/>
  <c r="M342" i="20"/>
  <c r="L344" i="20"/>
  <c r="K343" i="20"/>
  <c r="L343" i="20" s="1"/>
  <c r="K344" i="20"/>
  <c r="U2244" i="16"/>
  <c r="U2240" i="16"/>
  <c r="U91" i="16" s="1"/>
  <c r="U101" i="12" s="1"/>
  <c r="U109" i="12" s="1"/>
  <c r="T20" i="16"/>
  <c r="T81" i="16" s="1"/>
  <c r="T2264" i="16"/>
  <c r="S49" i="10"/>
  <c r="S48" i="10" s="1"/>
  <c r="S47" i="10" s="1"/>
  <c r="W954" i="16"/>
  <c r="X50" i="10"/>
  <c r="X338" i="10" s="1"/>
  <c r="X953" i="16"/>
  <c r="V966" i="16"/>
  <c r="T983" i="16"/>
  <c r="V442" i="20"/>
  <c r="W441" i="20"/>
  <c r="U449" i="20"/>
  <c r="V448" i="20"/>
  <c r="U996" i="16"/>
  <c r="S978" i="16"/>
  <c r="T977" i="16"/>
  <c r="N1008" i="16"/>
  <c r="O1008" i="16" s="1"/>
  <c r="S990" i="16"/>
  <c r="T990" i="16" s="1"/>
  <c r="U990" i="16" s="1"/>
  <c r="W965" i="16"/>
  <c r="X964" i="16"/>
  <c r="M2111" i="16"/>
  <c r="P1007" i="16"/>
  <c r="X958" i="16"/>
  <c r="W959" i="16"/>
  <c r="D1035" i="16"/>
  <c r="D1036" i="16" s="1"/>
  <c r="C1042" i="16"/>
  <c r="B1039" i="16"/>
  <c r="D1045" i="16"/>
  <c r="D1051" i="16" s="1"/>
  <c r="J1044" i="16"/>
  <c r="E1041" i="16"/>
  <c r="D1040" i="16"/>
  <c r="E1040" i="16"/>
  <c r="F1040" i="16" s="1"/>
  <c r="D1030" i="16"/>
  <c r="Q1006" i="16"/>
  <c r="W994" i="16"/>
  <c r="V982" i="16"/>
  <c r="N1120" i="16"/>
  <c r="N218" i="16" s="1"/>
  <c r="R979" i="20"/>
  <c r="S979" i="20" s="1"/>
  <c r="T978" i="20"/>
  <c r="U978" i="20" s="1"/>
  <c r="V978" i="20" s="1"/>
  <c r="W978" i="20" s="1"/>
  <c r="R980" i="20"/>
  <c r="S875" i="20"/>
  <c r="S874" i="20"/>
  <c r="T874" i="20" s="1"/>
  <c r="X817" i="20"/>
  <c r="X819" i="20" s="1"/>
  <c r="U873" i="20"/>
  <c r="V873" i="20" s="1"/>
  <c r="T875" i="20"/>
  <c r="L316" i="20"/>
  <c r="W818" i="20"/>
  <c r="P314" i="20"/>
  <c r="V674" i="20"/>
  <c r="W674" i="20" s="1"/>
  <c r="U944" i="20"/>
  <c r="V943" i="20"/>
  <c r="X673" i="20"/>
  <c r="X675" i="20" s="1"/>
  <c r="V675" i="20"/>
  <c r="X660" i="20"/>
  <c r="U859" i="20"/>
  <c r="U861" i="20" s="1"/>
  <c r="T860" i="20"/>
  <c r="S784" i="20"/>
  <c r="S783" i="20"/>
  <c r="T783" i="20" s="1"/>
  <c r="S930" i="20"/>
  <c r="T930" i="20" s="1"/>
  <c r="S931" i="20"/>
  <c r="U929" i="20"/>
  <c r="R887" i="20"/>
  <c r="R889" i="20" s="1"/>
  <c r="Q889" i="20"/>
  <c r="Q888" i="20"/>
  <c r="T854" i="20"/>
  <c r="U852" i="20"/>
  <c r="S588" i="20"/>
  <c r="T586" i="20"/>
  <c r="R587" i="20"/>
  <c r="Q804" i="20"/>
  <c r="S770" i="20"/>
  <c r="S769" i="20"/>
  <c r="T769" i="20" s="1"/>
  <c r="U923" i="20"/>
  <c r="V923" i="20" s="1"/>
  <c r="U924" i="20"/>
  <c r="W922" i="20"/>
  <c r="S881" i="20"/>
  <c r="S791" i="20"/>
  <c r="Q805" i="20"/>
  <c r="R803" i="20"/>
  <c r="C645" i="20"/>
  <c r="D643" i="20"/>
  <c r="C643" i="20"/>
  <c r="D823" i="20" s="1"/>
  <c r="U782" i="20"/>
  <c r="T784" i="20"/>
  <c r="E554" i="20"/>
  <c r="K555" i="20" s="1"/>
  <c r="L555" i="20" s="1"/>
  <c r="S790" i="20"/>
  <c r="T790" i="20" s="1"/>
  <c r="W653" i="20"/>
  <c r="X653" i="20" s="1"/>
  <c r="W654" i="20"/>
  <c r="S882" i="20"/>
  <c r="T880" i="20"/>
  <c r="R812" i="20"/>
  <c r="S810" i="20"/>
  <c r="R811" i="20"/>
  <c r="T776" i="20"/>
  <c r="X681" i="20"/>
  <c r="X654" i="20"/>
  <c r="E1032" i="20"/>
  <c r="E1033" i="20" s="1"/>
  <c r="D1105" i="20"/>
  <c r="C1105" i="20"/>
  <c r="C1107" i="20"/>
  <c r="T761" i="20"/>
  <c r="U761" i="20" s="1"/>
  <c r="U763" i="20" s="1"/>
  <c r="T791" i="20"/>
  <c r="U789" i="20"/>
  <c r="W632" i="20"/>
  <c r="D1099" i="20"/>
  <c r="D1106" i="20"/>
  <c r="R748" i="20"/>
  <c r="C1098" i="20"/>
  <c r="D1098" i="20"/>
  <c r="C1100" i="20"/>
  <c r="X618" i="20"/>
  <c r="X625" i="20"/>
  <c r="X626" i="20" s="1"/>
  <c r="C1091" i="20"/>
  <c r="D1091" i="20"/>
  <c r="E1091" i="20" s="1"/>
  <c r="C1093" i="20"/>
  <c r="R727" i="20"/>
  <c r="R728" i="20" s="1"/>
  <c r="S762" i="20"/>
  <c r="T777" i="20"/>
  <c r="U775" i="20"/>
  <c r="D1085" i="20"/>
  <c r="D1092" i="20"/>
  <c r="D1084" i="20"/>
  <c r="E1084" i="20" s="1"/>
  <c r="C1084" i="20"/>
  <c r="C1086" i="20"/>
  <c r="U768" i="20"/>
  <c r="S726" i="20"/>
  <c r="C1077" i="20"/>
  <c r="D1077" i="20"/>
  <c r="E1077" i="20" s="1"/>
  <c r="C1079" i="20"/>
  <c r="R749" i="20"/>
  <c r="S747" i="20"/>
  <c r="T747" i="20" s="1"/>
  <c r="T749" i="20" s="1"/>
  <c r="C1070" i="20"/>
  <c r="D1070" i="20"/>
  <c r="E1070" i="20" s="1"/>
  <c r="C1072" i="20"/>
  <c r="D1071" i="20"/>
  <c r="D1078" i="20"/>
  <c r="W633" i="20"/>
  <c r="X631" i="20"/>
  <c r="X633" i="20" s="1"/>
  <c r="U741" i="20"/>
  <c r="D1063" i="20"/>
  <c r="E1063" i="20" s="1"/>
  <c r="C1063" i="20"/>
  <c r="C1065" i="20"/>
  <c r="D1057" i="20"/>
  <c r="D1064" i="20"/>
  <c r="D1056" i="20"/>
  <c r="E1056" i="20" s="1"/>
  <c r="C1056" i="20"/>
  <c r="C1058" i="20"/>
  <c r="V740" i="20"/>
  <c r="W733" i="20"/>
  <c r="C1051" i="20"/>
  <c r="C1049" i="20"/>
  <c r="D1049" i="20"/>
  <c r="E1049" i="20" s="1"/>
  <c r="D1043" i="20"/>
  <c r="D1050" i="20"/>
  <c r="D1042" i="20"/>
  <c r="E1042" i="20" s="1"/>
  <c r="C1042" i="20"/>
  <c r="C1044" i="20"/>
  <c r="X580" i="20"/>
  <c r="M1121" i="16"/>
  <c r="M219" i="16" s="1"/>
  <c r="M315" i="20"/>
  <c r="M1129" i="16"/>
  <c r="N1129" i="16" s="1"/>
  <c r="L2182" i="16"/>
  <c r="O1008" i="20"/>
  <c r="L1717" i="16"/>
  <c r="R985" i="20"/>
  <c r="Q987" i="20"/>
  <c r="Q986" i="20"/>
  <c r="O1007" i="20"/>
  <c r="P1007" i="20" s="1"/>
  <c r="P1695" i="16"/>
  <c r="L1716" i="16"/>
  <c r="M1716" i="16" s="1"/>
  <c r="N1715" i="16"/>
  <c r="O1715" i="16" s="1"/>
  <c r="O2182" i="16" s="1"/>
  <c r="N2180" i="16"/>
  <c r="Q1006" i="20"/>
  <c r="R1006" i="20" s="1"/>
  <c r="X569" i="20"/>
  <c r="W571" i="20"/>
  <c r="L1027" i="20"/>
  <c r="M1027" i="20" s="1"/>
  <c r="N1702" i="16"/>
  <c r="O1702" i="16" s="1"/>
  <c r="R999" i="20"/>
  <c r="R1001" i="20" s="1"/>
  <c r="M1020" i="20"/>
  <c r="M1021" i="20" s="1"/>
  <c r="S994" i="20"/>
  <c r="T994" i="20"/>
  <c r="L1022" i="20"/>
  <c r="W1372" i="16"/>
  <c r="W1373" i="16" s="1"/>
  <c r="W959" i="20"/>
  <c r="X959" i="20"/>
  <c r="K1034" i="20"/>
  <c r="K1035" i="20" s="1"/>
  <c r="L1722" i="16"/>
  <c r="L1723" i="16" s="1"/>
  <c r="K1028" i="20"/>
  <c r="W570" i="20"/>
  <c r="O1000" i="20"/>
  <c r="K2183" i="16"/>
  <c r="T973" i="20"/>
  <c r="U972" i="20"/>
  <c r="R993" i="20"/>
  <c r="S993" i="20" s="1"/>
  <c r="T993" i="20" s="1"/>
  <c r="R994" i="20"/>
  <c r="K1724" i="16"/>
  <c r="P1008" i="20"/>
  <c r="X958" i="20"/>
  <c r="Q1001" i="20"/>
  <c r="P1127" i="16"/>
  <c r="Q1694" i="16"/>
  <c r="K1729" i="16"/>
  <c r="O1128" i="16"/>
  <c r="Q1701" i="16"/>
  <c r="R1701" i="16" s="1"/>
  <c r="X1371" i="16"/>
  <c r="W2131" i="16"/>
  <c r="W285" i="16"/>
  <c r="W58" i="10"/>
  <c r="K787" i="16"/>
  <c r="X2173" i="16"/>
  <c r="V1688" i="16"/>
  <c r="W1653" i="16"/>
  <c r="M2182" i="16"/>
  <c r="O2180" i="16"/>
  <c r="T2177" i="16"/>
  <c r="V2178" i="16"/>
  <c r="E1735" i="16"/>
  <c r="D1735" i="16" s="1"/>
  <c r="D1736" i="16" s="1"/>
  <c r="Q1739" i="16"/>
  <c r="R1739" i="16"/>
  <c r="K1739" i="16"/>
  <c r="S1739" i="16"/>
  <c r="V1739" i="16"/>
  <c r="L1739" i="16"/>
  <c r="T1739" i="16"/>
  <c r="D1740" i="16"/>
  <c r="M1739" i="16"/>
  <c r="U1739" i="16"/>
  <c r="B1733" i="16"/>
  <c r="N1739" i="16"/>
  <c r="E1734" i="16"/>
  <c r="F1734" i="16" s="1"/>
  <c r="O1739" i="16"/>
  <c r="W1739" i="16"/>
  <c r="D1734" i="16"/>
  <c r="P1739" i="16"/>
  <c r="X1739" i="16"/>
  <c r="W2178" i="16"/>
  <c r="U286" i="16"/>
  <c r="V1379" i="16"/>
  <c r="V1380" i="16" s="1"/>
  <c r="T716" i="20"/>
  <c r="T717" i="20"/>
  <c r="U717" i="20"/>
  <c r="S709" i="20"/>
  <c r="O200" i="10"/>
  <c r="P1508" i="16"/>
  <c r="P371" i="16" s="1"/>
  <c r="P792" i="16" s="1"/>
  <c r="Q1543" i="16"/>
  <c r="W1535" i="16"/>
  <c r="T702" i="20"/>
  <c r="S2152" i="16"/>
  <c r="T703" i="20"/>
  <c r="W2155" i="16"/>
  <c r="Q688" i="20"/>
  <c r="S2156" i="16"/>
  <c r="Q689" i="20"/>
  <c r="K337" i="10"/>
  <c r="K336" i="10" s="1"/>
  <c r="K192" i="10"/>
  <c r="S710" i="20"/>
  <c r="S1528" i="16"/>
  <c r="S1514" i="16"/>
  <c r="R696" i="20"/>
  <c r="S1542" i="16"/>
  <c r="S2154" i="16"/>
  <c r="R695" i="20"/>
  <c r="X988" i="16" l="1"/>
  <c r="P1708" i="16"/>
  <c r="N1709" i="16"/>
  <c r="N2181" i="16"/>
  <c r="L1025" i="16"/>
  <c r="M1025" i="16" s="1"/>
  <c r="V989" i="16"/>
  <c r="W989" i="16" s="1"/>
  <c r="P1018" i="16"/>
  <c r="Q1018" i="16" s="1"/>
  <c r="L1026" i="16"/>
  <c r="N1019" i="16"/>
  <c r="O1019" i="16" s="1"/>
  <c r="U735" i="20"/>
  <c r="Q1674" i="16"/>
  <c r="R1673" i="16"/>
  <c r="R2025" i="16"/>
  <c r="S2025" i="16" s="1"/>
  <c r="L1014" i="16"/>
  <c r="M1014" i="16" s="1"/>
  <c r="M1013" i="16"/>
  <c r="N1012" i="16"/>
  <c r="O1012" i="16" s="1"/>
  <c r="Q2176" i="16"/>
  <c r="Q1675" i="16"/>
  <c r="W587" i="16"/>
  <c r="W794" i="16" s="1"/>
  <c r="W202" i="10" s="1"/>
  <c r="W346" i="10" s="1"/>
  <c r="X1951" i="16"/>
  <c r="X587" i="16" s="1"/>
  <c r="X794" i="16" s="1"/>
  <c r="X202" i="10" s="1"/>
  <c r="R1975" i="16"/>
  <c r="S1975" i="16" s="1"/>
  <c r="S2220" i="16" s="1"/>
  <c r="Q2220" i="16"/>
  <c r="L627" i="16"/>
  <c r="L2005" i="16"/>
  <c r="L629" i="16" s="1"/>
  <c r="L795" i="16" s="1"/>
  <c r="L203" i="10" s="1"/>
  <c r="L347" i="10" s="1"/>
  <c r="L2224" i="16"/>
  <c r="M2003" i="16"/>
  <c r="P1977" i="16"/>
  <c r="Q1977" i="16" s="1"/>
  <c r="Q1976" i="16"/>
  <c r="K628" i="16"/>
  <c r="L2004" i="16"/>
  <c r="T1660" i="16"/>
  <c r="R2227" i="16"/>
  <c r="T2024" i="16"/>
  <c r="U1659" i="16"/>
  <c r="T2174" i="16"/>
  <c r="T1661" i="16"/>
  <c r="R2026" i="16"/>
  <c r="S2026" i="16" s="1"/>
  <c r="K1213" i="20"/>
  <c r="K1216" i="20" s="1"/>
  <c r="C66" i="25" s="1"/>
  <c r="H1753" i="16"/>
  <c r="I1746" i="16" a="1"/>
  <c r="I1746" i="16" s="1"/>
  <c r="V1268" i="16"/>
  <c r="V1269" i="16" s="1"/>
  <c r="W1267" i="16"/>
  <c r="W1270" i="16" s="1"/>
  <c r="V1270" i="16"/>
  <c r="M555" i="20"/>
  <c r="M74" i="20" s="1"/>
  <c r="L74" i="20"/>
  <c r="X667" i="20"/>
  <c r="D606" i="20"/>
  <c r="E606" i="20" s="1"/>
  <c r="K607" i="20" s="1"/>
  <c r="L607" i="20" s="1"/>
  <c r="K321" i="20"/>
  <c r="L321" i="20" s="1"/>
  <c r="L51" i="20" s="1"/>
  <c r="W976" i="16"/>
  <c r="X976" i="16" s="1"/>
  <c r="T80" i="16"/>
  <c r="T176" i="16"/>
  <c r="T175" i="16" s="1"/>
  <c r="M1020" i="16"/>
  <c r="N1020" i="16" s="1"/>
  <c r="O1020" i="16" s="1"/>
  <c r="Q1001" i="16"/>
  <c r="R1001" i="16" s="1"/>
  <c r="O1002" i="16"/>
  <c r="P1002" i="16" s="1"/>
  <c r="S755" i="20"/>
  <c r="T754" i="20"/>
  <c r="T756" i="20" s="1"/>
  <c r="T866" i="20"/>
  <c r="T868" i="20" s="1"/>
  <c r="S867" i="20"/>
  <c r="R832" i="20"/>
  <c r="U796" i="20"/>
  <c r="V796" i="20" s="1"/>
  <c r="V798" i="20" s="1"/>
  <c r="S831" i="20"/>
  <c r="S833" i="20" s="1"/>
  <c r="W1654" i="16"/>
  <c r="Q1166" i="20"/>
  <c r="R1166" i="20" s="1"/>
  <c r="P1167" i="20"/>
  <c r="T936" i="20"/>
  <c r="U936" i="20" s="1"/>
  <c r="T797" i="20"/>
  <c r="L549" i="20"/>
  <c r="M549" i="20" s="1"/>
  <c r="L550" i="20"/>
  <c r="S1529" i="16"/>
  <c r="R938" i="20"/>
  <c r="R937" i="20"/>
  <c r="S937" i="20" s="1"/>
  <c r="K556" i="20"/>
  <c r="L556" i="20" s="1"/>
  <c r="K74" i="20"/>
  <c r="W1536" i="16"/>
  <c r="Q1522" i="16"/>
  <c r="Q1508" i="16" s="1"/>
  <c r="Q371" i="16" s="1"/>
  <c r="Q792" i="16" s="1"/>
  <c r="R1521" i="16"/>
  <c r="Q1507" i="16"/>
  <c r="Q370" i="16" s="1"/>
  <c r="S1520" i="16"/>
  <c r="R2153" i="16"/>
  <c r="R1506" i="16"/>
  <c r="R369" i="16" s="1"/>
  <c r="P2012" i="16"/>
  <c r="P1696" i="16"/>
  <c r="U1970" i="16"/>
  <c r="T984" i="16"/>
  <c r="T1682" i="16"/>
  <c r="N1710" i="16"/>
  <c r="T1991" i="16"/>
  <c r="U1991" i="16" s="1"/>
  <c r="U1984" i="16"/>
  <c r="T2019" i="16"/>
  <c r="U2019" i="16" s="1"/>
  <c r="V2019" i="16" s="1"/>
  <c r="V1689" i="16"/>
  <c r="N1703" i="16"/>
  <c r="O1703" i="16" s="1"/>
  <c r="M1717" i="16"/>
  <c r="V287" i="16"/>
  <c r="V789" i="16" s="1"/>
  <c r="V195" i="10" s="1"/>
  <c r="V339" i="10" s="1"/>
  <c r="S1515" i="16"/>
  <c r="M1122" i="16"/>
  <c r="M220" i="16" s="1"/>
  <c r="M788" i="16" s="1"/>
  <c r="M193" i="10" s="1"/>
  <c r="N1876" i="16"/>
  <c r="E1012" i="20"/>
  <c r="K1013" i="20" s="1"/>
  <c r="L1013" i="20" s="1"/>
  <c r="L964" i="20"/>
  <c r="K965" i="20"/>
  <c r="P594" i="20"/>
  <c r="R593" i="20"/>
  <c r="S593" i="20" s="1"/>
  <c r="Q595" i="20"/>
  <c r="E599" i="20"/>
  <c r="K600" i="20" s="1"/>
  <c r="L600" i="20" s="1"/>
  <c r="M600" i="20" s="1"/>
  <c r="Q2011" i="16"/>
  <c r="F1735" i="16"/>
  <c r="V2222" i="16"/>
  <c r="V1990" i="16"/>
  <c r="W1990" i="16" s="1"/>
  <c r="W960" i="16"/>
  <c r="R2010" i="16"/>
  <c r="S2010" i="16" s="1"/>
  <c r="O1875" i="16"/>
  <c r="Q1996" i="16"/>
  <c r="Q2225" i="16"/>
  <c r="P2223" i="16"/>
  <c r="P1874" i="16"/>
  <c r="Q1874" i="16" s="1"/>
  <c r="O2203" i="16"/>
  <c r="Q1962" i="16"/>
  <c r="Q1963" i="16" s="1"/>
  <c r="R1961" i="16"/>
  <c r="S1961" i="16" s="1"/>
  <c r="Q2218" i="16"/>
  <c r="V2219" i="16"/>
  <c r="V1969" i="16"/>
  <c r="W1968" i="16"/>
  <c r="W2018" i="16"/>
  <c r="W2226" i="16"/>
  <c r="X2017" i="16"/>
  <c r="V2221" i="16"/>
  <c r="W1982" i="16"/>
  <c r="V1983" i="16"/>
  <c r="P1997" i="16"/>
  <c r="P1998" i="16" s="1"/>
  <c r="W2222" i="16"/>
  <c r="X1989" i="16"/>
  <c r="M343" i="20"/>
  <c r="M344" i="20" s="1"/>
  <c r="N342" i="20"/>
  <c r="O342" i="20" s="1"/>
  <c r="P342" i="20" s="1"/>
  <c r="Q342" i="20" s="1"/>
  <c r="U19" i="16"/>
  <c r="V17" i="16" s="1"/>
  <c r="V2232" i="16" s="1"/>
  <c r="V2240" i="16" s="1"/>
  <c r="V91" i="16" s="1"/>
  <c r="V101" i="12" s="1"/>
  <c r="V109" i="12" s="1"/>
  <c r="U2256" i="16"/>
  <c r="U2252" i="16"/>
  <c r="X954" i="16"/>
  <c r="W966" i="16"/>
  <c r="U983" i="16"/>
  <c r="V449" i="20"/>
  <c r="W448" i="20"/>
  <c r="W442" i="20"/>
  <c r="X441" i="20"/>
  <c r="X442" i="20" s="1"/>
  <c r="V996" i="16"/>
  <c r="P1008" i="16"/>
  <c r="U977" i="16"/>
  <c r="N1024" i="16"/>
  <c r="S1000" i="16"/>
  <c r="T978" i="16"/>
  <c r="V990" i="16"/>
  <c r="W990" i="16" s="1"/>
  <c r="X965" i="16"/>
  <c r="F1029" i="16"/>
  <c r="K1030" i="16" s="1"/>
  <c r="K1031" i="16" s="1"/>
  <c r="K1032" i="16" s="1"/>
  <c r="Q1007" i="16"/>
  <c r="D1052" i="16"/>
  <c r="C1054" i="16"/>
  <c r="B1051" i="16"/>
  <c r="D1057" i="16"/>
  <c r="J1056" i="16"/>
  <c r="E1053" i="16"/>
  <c r="E1052" i="16"/>
  <c r="F1052" i="16" s="1"/>
  <c r="X959" i="16"/>
  <c r="E1046" i="16"/>
  <c r="F1046" i="16" s="1"/>
  <c r="D1046" i="16"/>
  <c r="C1048" i="16"/>
  <c r="B1045" i="16"/>
  <c r="J1050" i="16"/>
  <c r="E1047" i="16"/>
  <c r="F1035" i="16"/>
  <c r="K1036" i="16" s="1"/>
  <c r="K1037" i="16" s="1"/>
  <c r="K1038" i="16" s="1"/>
  <c r="X994" i="16"/>
  <c r="W995" i="16"/>
  <c r="R1006" i="16"/>
  <c r="D1041" i="16"/>
  <c r="D1042" i="16" s="1"/>
  <c r="T980" i="20"/>
  <c r="W982" i="16"/>
  <c r="N2111" i="16"/>
  <c r="O1120" i="16"/>
  <c r="O218" i="16" s="1"/>
  <c r="T979" i="20"/>
  <c r="U979" i="20" s="1"/>
  <c r="V979" i="20" s="1"/>
  <c r="X978" i="20"/>
  <c r="U980" i="20"/>
  <c r="N1121" i="16"/>
  <c r="N219" i="16" s="1"/>
  <c r="X818" i="20"/>
  <c r="V875" i="20"/>
  <c r="U874" i="20"/>
  <c r="V874" i="20" s="1"/>
  <c r="U875" i="20"/>
  <c r="W873" i="20"/>
  <c r="W875" i="20" s="1"/>
  <c r="M316" i="20"/>
  <c r="Q314" i="20"/>
  <c r="E1071" i="20"/>
  <c r="K1072" i="20" s="1"/>
  <c r="E1085" i="20"/>
  <c r="K1086" i="20" s="1"/>
  <c r="X674" i="20"/>
  <c r="W943" i="20"/>
  <c r="V945" i="20"/>
  <c r="V859" i="20"/>
  <c r="V861" i="20" s="1"/>
  <c r="V944" i="20"/>
  <c r="U860" i="20"/>
  <c r="U853" i="20"/>
  <c r="U931" i="20"/>
  <c r="U930" i="20"/>
  <c r="V929" i="20"/>
  <c r="D837" i="20"/>
  <c r="E837" i="20" s="1"/>
  <c r="K838" i="20" s="1"/>
  <c r="K839" i="20" s="1"/>
  <c r="K840" i="20" s="1"/>
  <c r="U854" i="20"/>
  <c r="V852" i="20"/>
  <c r="R888" i="20"/>
  <c r="R804" i="20"/>
  <c r="S887" i="20"/>
  <c r="S889" i="20" s="1"/>
  <c r="S587" i="20"/>
  <c r="U586" i="20"/>
  <c r="V586" i="20" s="1"/>
  <c r="T588" i="20"/>
  <c r="W924" i="20"/>
  <c r="X922" i="20"/>
  <c r="X924" i="20" s="1"/>
  <c r="W923" i="20"/>
  <c r="E643" i="20"/>
  <c r="E644" i="20" s="1"/>
  <c r="K645" i="20" s="1"/>
  <c r="D822" i="20"/>
  <c r="E822" i="20" s="1"/>
  <c r="C822" i="20"/>
  <c r="C824" i="20"/>
  <c r="R805" i="20"/>
  <c r="S803" i="20"/>
  <c r="D1123" i="20"/>
  <c r="U783" i="20"/>
  <c r="N548" i="20"/>
  <c r="N550" i="20" s="1"/>
  <c r="E1043" i="20"/>
  <c r="K1044" i="20" s="1"/>
  <c r="L557" i="20"/>
  <c r="U784" i="20"/>
  <c r="V782" i="20"/>
  <c r="D1137" i="20"/>
  <c r="D1172" i="20"/>
  <c r="T882" i="20"/>
  <c r="U880" i="20"/>
  <c r="T881" i="20"/>
  <c r="D1150" i="20"/>
  <c r="E1150" i="20" s="1"/>
  <c r="C1150" i="20"/>
  <c r="C1152" i="20"/>
  <c r="S811" i="20"/>
  <c r="D1151" i="20"/>
  <c r="D1158" i="20"/>
  <c r="S812" i="20"/>
  <c r="T810" i="20"/>
  <c r="T726" i="20"/>
  <c r="V761" i="20"/>
  <c r="W761" i="20" s="1"/>
  <c r="U769" i="20"/>
  <c r="T762" i="20"/>
  <c r="U762" i="20" s="1"/>
  <c r="D1143" i="20"/>
  <c r="E1143" i="20" s="1"/>
  <c r="C1143" i="20"/>
  <c r="C1145" i="20"/>
  <c r="T763" i="20"/>
  <c r="D1179" i="20"/>
  <c r="E1105" i="20"/>
  <c r="E1106" i="20" s="1"/>
  <c r="K1107" i="20" s="1"/>
  <c r="K1108" i="20" s="1"/>
  <c r="C1178" i="20"/>
  <c r="D1178" i="20"/>
  <c r="E1178" i="20" s="1"/>
  <c r="C1180" i="20"/>
  <c r="S727" i="20"/>
  <c r="S728" i="20" s="1"/>
  <c r="U791" i="20"/>
  <c r="V789" i="20"/>
  <c r="D1130" i="20"/>
  <c r="D1144" i="20"/>
  <c r="E1098" i="20"/>
  <c r="E1099" i="20" s="1"/>
  <c r="K1100" i="20" s="1"/>
  <c r="C1129" i="20"/>
  <c r="C1131" i="20"/>
  <c r="D1129" i="20"/>
  <c r="E1129" i="20" s="1"/>
  <c r="C1136" i="20"/>
  <c r="C1138" i="20"/>
  <c r="D1136" i="20"/>
  <c r="E1136" i="20" s="1"/>
  <c r="U790" i="20"/>
  <c r="D1116" i="20"/>
  <c r="C1115" i="20"/>
  <c r="D1115" i="20"/>
  <c r="E1115" i="20" s="1"/>
  <c r="C1171" i="20"/>
  <c r="D1171" i="20"/>
  <c r="E1171" i="20" s="1"/>
  <c r="C1173" i="20"/>
  <c r="C1117" i="20"/>
  <c r="C1122" i="20"/>
  <c r="D1122" i="20"/>
  <c r="E1122" i="20" s="1"/>
  <c r="C1124" i="20"/>
  <c r="U777" i="20"/>
  <c r="V775" i="20"/>
  <c r="U776" i="20"/>
  <c r="E1092" i="20"/>
  <c r="K1093" i="20" s="1"/>
  <c r="K1094" i="20" s="1"/>
  <c r="K1095" i="20" s="1"/>
  <c r="U770" i="20"/>
  <c r="V768" i="20"/>
  <c r="X632" i="20"/>
  <c r="E1057" i="20"/>
  <c r="K1058" i="20" s="1"/>
  <c r="S749" i="20"/>
  <c r="U747" i="20"/>
  <c r="S748" i="20"/>
  <c r="T748" i="20" s="1"/>
  <c r="E1078" i="20"/>
  <c r="K1079" i="20" s="1"/>
  <c r="K1080" i="20" s="1"/>
  <c r="V742" i="20"/>
  <c r="W740" i="20"/>
  <c r="E1064" i="20"/>
  <c r="K1065" i="20" s="1"/>
  <c r="K1066" i="20" s="1"/>
  <c r="V741" i="20"/>
  <c r="X733" i="20"/>
  <c r="W734" i="20"/>
  <c r="W735" i="20" s="1"/>
  <c r="E1050" i="20"/>
  <c r="K1051" i="20" s="1"/>
  <c r="K1052" i="20" s="1"/>
  <c r="N315" i="20"/>
  <c r="O1129" i="16"/>
  <c r="Q1695" i="16"/>
  <c r="X1372" i="16"/>
  <c r="X1373" i="16" s="1"/>
  <c r="M1722" i="16"/>
  <c r="N1722" i="16" s="1"/>
  <c r="O1722" i="16" s="1"/>
  <c r="P1722" i="16" s="1"/>
  <c r="Q1722" i="16" s="1"/>
  <c r="R1722" i="16" s="1"/>
  <c r="Q1007" i="20"/>
  <c r="R1007" i="20" s="1"/>
  <c r="Q2179" i="16"/>
  <c r="L1724" i="16"/>
  <c r="L2183" i="16"/>
  <c r="R986" i="20"/>
  <c r="R987" i="20"/>
  <c r="S985" i="20"/>
  <c r="L1029" i="20"/>
  <c r="P1715" i="16"/>
  <c r="Q1715" i="16" s="1"/>
  <c r="S999" i="20"/>
  <c r="T999" i="20" s="1"/>
  <c r="N1020" i="20"/>
  <c r="N1021" i="20" s="1"/>
  <c r="L1034" i="20"/>
  <c r="L1035" i="20" s="1"/>
  <c r="N1027" i="20"/>
  <c r="S1006" i="20"/>
  <c r="T1006" i="20" s="1"/>
  <c r="U1006" i="20" s="1"/>
  <c r="V1006" i="20" s="1"/>
  <c r="W1006" i="20" s="1"/>
  <c r="X1006" i="20" s="1"/>
  <c r="Q1008" i="20"/>
  <c r="P1128" i="16"/>
  <c r="X571" i="20"/>
  <c r="X570" i="20"/>
  <c r="U973" i="20"/>
  <c r="V972" i="20"/>
  <c r="K1036" i="20"/>
  <c r="K1029" i="20"/>
  <c r="L1028" i="20"/>
  <c r="M1022" i="20"/>
  <c r="R1008" i="20"/>
  <c r="U994" i="20"/>
  <c r="V980" i="20"/>
  <c r="U993" i="20"/>
  <c r="P1000" i="20"/>
  <c r="R1694" i="16"/>
  <c r="R2179" i="16" s="1"/>
  <c r="Q1708" i="16"/>
  <c r="R1708" i="16" s="1"/>
  <c r="K1730" i="16"/>
  <c r="K1731" i="16" s="1"/>
  <c r="X2131" i="16"/>
  <c r="X285" i="16"/>
  <c r="L1729" i="16"/>
  <c r="M1729" i="16" s="1"/>
  <c r="S1701" i="16"/>
  <c r="T1701" i="16" s="1"/>
  <c r="U1701" i="16" s="1"/>
  <c r="V1701" i="16" s="1"/>
  <c r="W1701" i="16" s="1"/>
  <c r="X1701" i="16" s="1"/>
  <c r="Q1127" i="16"/>
  <c r="K2184" i="16"/>
  <c r="X58" i="10"/>
  <c r="L787" i="16"/>
  <c r="X1653" i="16"/>
  <c r="O1709" i="16"/>
  <c r="V2177" i="16"/>
  <c r="W2177" i="16"/>
  <c r="P2180" i="16"/>
  <c r="P1702" i="16"/>
  <c r="X2178" i="16"/>
  <c r="W1688" i="16"/>
  <c r="N1716" i="16"/>
  <c r="O1716" i="16" s="1"/>
  <c r="U1681" i="16"/>
  <c r="V1681" i="16" s="1"/>
  <c r="U2177" i="16"/>
  <c r="K1736" i="16"/>
  <c r="E1742" i="16"/>
  <c r="D1742" i="16" s="1"/>
  <c r="N1746" i="16"/>
  <c r="V1746" i="16"/>
  <c r="E1741" i="16"/>
  <c r="F1741" i="16" s="1"/>
  <c r="O1746" i="16"/>
  <c r="W1746" i="16"/>
  <c r="B1740" i="16"/>
  <c r="P1746" i="16"/>
  <c r="X1746" i="16"/>
  <c r="K1746" i="16"/>
  <c r="S1746" i="16"/>
  <c r="U1746" i="16"/>
  <c r="D1741" i="16"/>
  <c r="Q1746" i="16"/>
  <c r="D1747" i="16"/>
  <c r="R1746" i="16"/>
  <c r="L1746" i="16"/>
  <c r="T1746" i="16"/>
  <c r="M1746" i="16"/>
  <c r="O2181" i="16"/>
  <c r="N2182" i="16"/>
  <c r="W1379" i="16"/>
  <c r="W1380" i="16" s="1"/>
  <c r="V286" i="16"/>
  <c r="W54" i="10"/>
  <c r="W53" i="10" s="1"/>
  <c r="V717" i="20"/>
  <c r="U716" i="20"/>
  <c r="R1543" i="16"/>
  <c r="X1535" i="16"/>
  <c r="P200" i="10"/>
  <c r="O344" i="10"/>
  <c r="U702" i="20"/>
  <c r="S695" i="20"/>
  <c r="T1542" i="16"/>
  <c r="T2154" i="16"/>
  <c r="L337" i="10"/>
  <c r="L336" i="10" s="1"/>
  <c r="L192" i="10"/>
  <c r="T710" i="20"/>
  <c r="T2156" i="16"/>
  <c r="S696" i="20"/>
  <c r="T1514" i="16"/>
  <c r="T1528" i="16"/>
  <c r="R688" i="20"/>
  <c r="X2155" i="16"/>
  <c r="T709" i="20"/>
  <c r="R689" i="20"/>
  <c r="T2152" i="16"/>
  <c r="U703" i="20"/>
  <c r="X989" i="16" l="1"/>
  <c r="P1019" i="16"/>
  <c r="Q1019" i="16" s="1"/>
  <c r="R1674" i="16"/>
  <c r="R1977" i="16"/>
  <c r="S1977" i="16" s="1"/>
  <c r="R1675" i="16"/>
  <c r="R2176" i="16"/>
  <c r="S1673" i="16"/>
  <c r="N1014" i="16"/>
  <c r="O1014" i="16" s="1"/>
  <c r="T2026" i="16"/>
  <c r="U1660" i="16"/>
  <c r="P1012" i="16"/>
  <c r="Q1012" i="16" s="1"/>
  <c r="M2004" i="16"/>
  <c r="L628" i="16"/>
  <c r="N2003" i="16"/>
  <c r="M627" i="16"/>
  <c r="M2224" i="16"/>
  <c r="M2005" i="16"/>
  <c r="M629" i="16" s="1"/>
  <c r="M795" i="16" s="1"/>
  <c r="M203" i="10" s="1"/>
  <c r="M347" i="10" s="1"/>
  <c r="R2220" i="16"/>
  <c r="T1975" i="16"/>
  <c r="L1036" i="16"/>
  <c r="M1036" i="16" s="1"/>
  <c r="N1036" i="16" s="1"/>
  <c r="V1659" i="16"/>
  <c r="U2174" i="16"/>
  <c r="U1661" i="16"/>
  <c r="L1030" i="16"/>
  <c r="M1030" i="16" s="1"/>
  <c r="N1013" i="16"/>
  <c r="O1013" i="16" s="1"/>
  <c r="U2024" i="16"/>
  <c r="T2025" i="16"/>
  <c r="T2227" i="16"/>
  <c r="R1976" i="16"/>
  <c r="S1976" i="16" s="1"/>
  <c r="H1760" i="16"/>
  <c r="I1753" i="16" a="1"/>
  <c r="I1753" i="16" s="1"/>
  <c r="X1267" i="16"/>
  <c r="X1270" i="16" s="1"/>
  <c r="I216" i="16" s="1"/>
  <c r="W1268" i="16"/>
  <c r="W1269" i="16" s="1"/>
  <c r="N555" i="20"/>
  <c r="O555" i="20" s="1"/>
  <c r="P555" i="20" s="1"/>
  <c r="K322" i="20"/>
  <c r="K52" i="20" s="1"/>
  <c r="K323" i="20"/>
  <c r="K54" i="20" s="1"/>
  <c r="K1190" i="20" s="1"/>
  <c r="K51" i="20"/>
  <c r="T1000" i="16"/>
  <c r="O1024" i="16"/>
  <c r="P1024" i="16" s="1"/>
  <c r="Q1002" i="16"/>
  <c r="R1002" i="16" s="1"/>
  <c r="M1026" i="16"/>
  <c r="T755" i="20"/>
  <c r="U754" i="20"/>
  <c r="V754" i="20" s="1"/>
  <c r="V756" i="20" s="1"/>
  <c r="T867" i="20"/>
  <c r="U866" i="20"/>
  <c r="U868" i="20" s="1"/>
  <c r="U798" i="20"/>
  <c r="X1654" i="16"/>
  <c r="Q1168" i="20"/>
  <c r="T938" i="20"/>
  <c r="T831" i="20"/>
  <c r="T833" i="20" s="1"/>
  <c r="S832" i="20"/>
  <c r="U797" i="20"/>
  <c r="V797" i="20" s="1"/>
  <c r="W796" i="20"/>
  <c r="X796" i="20" s="1"/>
  <c r="X798" i="20" s="1"/>
  <c r="Q1167" i="20"/>
  <c r="R1167" i="20" s="1"/>
  <c r="T1529" i="16"/>
  <c r="L77" i="20"/>
  <c r="L1191" i="20" s="1"/>
  <c r="T937" i="20"/>
  <c r="U937" i="20" s="1"/>
  <c r="X1536" i="16"/>
  <c r="K1073" i="20"/>
  <c r="K1074" i="20" s="1"/>
  <c r="L1072" i="20"/>
  <c r="M1072" i="20" s="1"/>
  <c r="K1059" i="20"/>
  <c r="K1060" i="20" s="1"/>
  <c r="L1058" i="20"/>
  <c r="L1060" i="20" s="1"/>
  <c r="K608" i="20"/>
  <c r="L608" i="20" s="1"/>
  <c r="K557" i="20"/>
  <c r="K77" i="20" s="1"/>
  <c r="K1191" i="20" s="1"/>
  <c r="K75" i="20"/>
  <c r="K601" i="20"/>
  <c r="L601" i="20" s="1"/>
  <c r="K87" i="20"/>
  <c r="T1520" i="16"/>
  <c r="S2153" i="16"/>
  <c r="S1506" i="16"/>
  <c r="S369" i="16" s="1"/>
  <c r="R1522" i="16"/>
  <c r="R1508" i="16" s="1"/>
  <c r="R371" i="16" s="1"/>
  <c r="R792" i="16" s="1"/>
  <c r="S1521" i="16"/>
  <c r="R1507" i="16"/>
  <c r="R370" i="16" s="1"/>
  <c r="Q2012" i="16"/>
  <c r="Q1696" i="16"/>
  <c r="L323" i="20"/>
  <c r="L54" i="20" s="1"/>
  <c r="L1190" i="20" s="1"/>
  <c r="M321" i="20"/>
  <c r="M51" i="20" s="1"/>
  <c r="O1710" i="16"/>
  <c r="V1970" i="16"/>
  <c r="T1515" i="16"/>
  <c r="U984" i="16"/>
  <c r="X960" i="16"/>
  <c r="X990" i="16"/>
  <c r="X966" i="16"/>
  <c r="W1689" i="16"/>
  <c r="W2019" i="16"/>
  <c r="P1703" i="16"/>
  <c r="V1984" i="16"/>
  <c r="V1991" i="16"/>
  <c r="W1991" i="16" s="1"/>
  <c r="N1717" i="16"/>
  <c r="O1717" i="16" s="1"/>
  <c r="D1743" i="16"/>
  <c r="F1742" i="16" s="1"/>
  <c r="U1682" i="16"/>
  <c r="V1682" i="16" s="1"/>
  <c r="W287" i="16"/>
  <c r="W789" i="16" s="1"/>
  <c r="W195" i="10" s="1"/>
  <c r="W339" i="10" s="1"/>
  <c r="O1876" i="16"/>
  <c r="M1013" i="20"/>
  <c r="N1013" i="20" s="1"/>
  <c r="N600" i="20"/>
  <c r="O600" i="20" s="1"/>
  <c r="O602" i="20" s="1"/>
  <c r="L1015" i="20"/>
  <c r="K1014" i="20"/>
  <c r="L1014" i="20" s="1"/>
  <c r="K966" i="20"/>
  <c r="L965" i="20"/>
  <c r="M964" i="20"/>
  <c r="N964" i="20" s="1"/>
  <c r="L966" i="20"/>
  <c r="M607" i="20"/>
  <c r="L609" i="20"/>
  <c r="S595" i="20"/>
  <c r="R595" i="20"/>
  <c r="T593" i="20"/>
  <c r="U593" i="20" s="1"/>
  <c r="U595" i="20" s="1"/>
  <c r="L602" i="20"/>
  <c r="L87" i="20"/>
  <c r="Q594" i="20"/>
  <c r="R2011" i="16"/>
  <c r="S2011" i="16" s="1"/>
  <c r="R2225" i="16"/>
  <c r="Q2223" i="16"/>
  <c r="R1996" i="16"/>
  <c r="S2225" i="16"/>
  <c r="T2010" i="16"/>
  <c r="U2010" i="16" s="1"/>
  <c r="V2010" i="16" s="1"/>
  <c r="Q2203" i="16"/>
  <c r="R1874" i="16"/>
  <c r="S1874" i="16" s="1"/>
  <c r="P2203" i="16"/>
  <c r="P1875" i="16"/>
  <c r="Q1875" i="16" s="1"/>
  <c r="T1961" i="16"/>
  <c r="T2218" i="16" s="1"/>
  <c r="S2218" i="16"/>
  <c r="R2218" i="16"/>
  <c r="R1962" i="16"/>
  <c r="S1962" i="16" s="1"/>
  <c r="W2219" i="16"/>
  <c r="X1990" i="16"/>
  <c r="W1969" i="16"/>
  <c r="X1968" i="16"/>
  <c r="X2226" i="16"/>
  <c r="X2018" i="16"/>
  <c r="W1983" i="16"/>
  <c r="W2221" i="16"/>
  <c r="X1982" i="16"/>
  <c r="Q1997" i="16"/>
  <c r="Q1998" i="16" s="1"/>
  <c r="X2222" i="16"/>
  <c r="R342" i="20"/>
  <c r="S342" i="20" s="1"/>
  <c r="T342" i="20" s="1"/>
  <c r="N343" i="20"/>
  <c r="O343" i="20" s="1"/>
  <c r="P343" i="20" s="1"/>
  <c r="V2244" i="16"/>
  <c r="V2256" i="16" s="1"/>
  <c r="V983" i="16"/>
  <c r="T49" i="10"/>
  <c r="T48" i="10" s="1"/>
  <c r="T47" i="10" s="1"/>
  <c r="U20" i="16"/>
  <c r="U81" i="16" s="1"/>
  <c r="U2264" i="16"/>
  <c r="N1122" i="16"/>
  <c r="N220" i="16" s="1"/>
  <c r="N788" i="16" s="1"/>
  <c r="N193" i="10" s="1"/>
  <c r="W996" i="16"/>
  <c r="W449" i="20"/>
  <c r="X448" i="20"/>
  <c r="X449" i="20" s="1"/>
  <c r="Q1008" i="16"/>
  <c r="V977" i="16"/>
  <c r="U978" i="16"/>
  <c r="S1001" i="16"/>
  <c r="N1025" i="16"/>
  <c r="P1020" i="16"/>
  <c r="O2111" i="16"/>
  <c r="D1053" i="16"/>
  <c r="E1058" i="16"/>
  <c r="F1058" i="16" s="1"/>
  <c r="D1058" i="16"/>
  <c r="D1063" i="16"/>
  <c r="C1060" i="16"/>
  <c r="E1059" i="16"/>
  <c r="B1057" i="16"/>
  <c r="J1062" i="16"/>
  <c r="F1041" i="16"/>
  <c r="K1042" i="16" s="1"/>
  <c r="K1043" i="16" s="1"/>
  <c r="D1047" i="16"/>
  <c r="S1006" i="16"/>
  <c r="R1007" i="16"/>
  <c r="R1018" i="16"/>
  <c r="S1018" i="16" s="1"/>
  <c r="X995" i="16"/>
  <c r="X982" i="16"/>
  <c r="O1121" i="16"/>
  <c r="O219" i="16" s="1"/>
  <c r="P1120" i="16"/>
  <c r="P218" i="16" s="1"/>
  <c r="W874" i="20"/>
  <c r="X873" i="20"/>
  <c r="X875" i="20" s="1"/>
  <c r="U938" i="20"/>
  <c r="V936" i="20"/>
  <c r="W936" i="20" s="1"/>
  <c r="N316" i="20"/>
  <c r="R314" i="20"/>
  <c r="V860" i="20"/>
  <c r="W944" i="20"/>
  <c r="R1168" i="20"/>
  <c r="S1166" i="20"/>
  <c r="S1168" i="20" s="1"/>
  <c r="W859" i="20"/>
  <c r="X943" i="20"/>
  <c r="W945" i="20"/>
  <c r="L838" i="20"/>
  <c r="L840" i="20" s="1"/>
  <c r="T887" i="20"/>
  <c r="T889" i="20" s="1"/>
  <c r="V931" i="20"/>
  <c r="W929" i="20"/>
  <c r="V930" i="20"/>
  <c r="P1129" i="16"/>
  <c r="S888" i="20"/>
  <c r="V854" i="20"/>
  <c r="W852" i="20"/>
  <c r="V853" i="20"/>
  <c r="W586" i="20"/>
  <c r="V588" i="20"/>
  <c r="U588" i="20"/>
  <c r="T587" i="20"/>
  <c r="E823" i="20"/>
  <c r="K824" i="20" s="1"/>
  <c r="U726" i="20"/>
  <c r="V726" i="20" s="1"/>
  <c r="E1151" i="20"/>
  <c r="K1152" i="20" s="1"/>
  <c r="X923" i="20"/>
  <c r="L645" i="20"/>
  <c r="L110" i="20" s="1"/>
  <c r="T803" i="20"/>
  <c r="U803" i="20" s="1"/>
  <c r="U805" i="20" s="1"/>
  <c r="S805" i="20"/>
  <c r="S804" i="20"/>
  <c r="E1172" i="20"/>
  <c r="K1173" i="20" s="1"/>
  <c r="K1174" i="20" s="1"/>
  <c r="O548" i="20"/>
  <c r="O550" i="20" s="1"/>
  <c r="K646" i="20"/>
  <c r="K647" i="20" s="1"/>
  <c r="K113" i="20" s="1"/>
  <c r="K1194" i="20" s="1"/>
  <c r="K110" i="20"/>
  <c r="M556" i="20"/>
  <c r="L75" i="20"/>
  <c r="M550" i="20"/>
  <c r="N549" i="20"/>
  <c r="V784" i="20"/>
  <c r="V783" i="20"/>
  <c r="V776" i="20"/>
  <c r="W782" i="20"/>
  <c r="W784" i="20" s="1"/>
  <c r="E1123" i="20"/>
  <c r="K1124" i="20" s="1"/>
  <c r="K1125" i="20" s="1"/>
  <c r="U881" i="20"/>
  <c r="U882" i="20"/>
  <c r="V880" i="20"/>
  <c r="L1093" i="20"/>
  <c r="M1093" i="20" s="1"/>
  <c r="E1116" i="20"/>
  <c r="K1117" i="20" s="1"/>
  <c r="E1158" i="20"/>
  <c r="K1159" i="20" s="1"/>
  <c r="K1160" i="20" s="1"/>
  <c r="K1161" i="20" s="1"/>
  <c r="T811" i="20"/>
  <c r="T812" i="20"/>
  <c r="U810" i="20"/>
  <c r="T727" i="20"/>
  <c r="T728" i="20" s="1"/>
  <c r="E1137" i="20"/>
  <c r="K1138" i="20" s="1"/>
  <c r="K1139" i="20" s="1"/>
  <c r="V763" i="20"/>
  <c r="E1130" i="20"/>
  <c r="K1131" i="20" s="1"/>
  <c r="V790" i="20"/>
  <c r="L1107" i="20"/>
  <c r="M1107" i="20" s="1"/>
  <c r="V762" i="20"/>
  <c r="W762" i="20" s="1"/>
  <c r="E1179" i="20"/>
  <c r="K1180" i="20" s="1"/>
  <c r="L1079" i="20"/>
  <c r="M1079" i="20" s="1"/>
  <c r="V791" i="20"/>
  <c r="W789" i="20"/>
  <c r="K1109" i="20"/>
  <c r="E1144" i="20"/>
  <c r="K1145" i="20" s="1"/>
  <c r="K1146" i="20" s="1"/>
  <c r="K1101" i="20"/>
  <c r="K1102" i="20" s="1"/>
  <c r="L1100" i="20"/>
  <c r="M1100" i="20" s="1"/>
  <c r="V777" i="20"/>
  <c r="W775" i="20"/>
  <c r="V770" i="20"/>
  <c r="W768" i="20"/>
  <c r="U748" i="20"/>
  <c r="K1081" i="20"/>
  <c r="K1087" i="20"/>
  <c r="K1088" i="20" s="1"/>
  <c r="L1086" i="20"/>
  <c r="V769" i="20"/>
  <c r="V747" i="20"/>
  <c r="U749" i="20"/>
  <c r="W763" i="20"/>
  <c r="X761" i="20"/>
  <c r="X763" i="20" s="1"/>
  <c r="L1051" i="20"/>
  <c r="M1051" i="20" s="1"/>
  <c r="L1065" i="20"/>
  <c r="M1065" i="20" s="1"/>
  <c r="K1067" i="20"/>
  <c r="W741" i="20"/>
  <c r="W742" i="20"/>
  <c r="X740" i="20"/>
  <c r="X742" i="20" s="1"/>
  <c r="L1044" i="20"/>
  <c r="M1044" i="20" s="1"/>
  <c r="X734" i="20"/>
  <c r="X735" i="20" s="1"/>
  <c r="K1053" i="20"/>
  <c r="K1045" i="20"/>
  <c r="K1046" i="20" s="1"/>
  <c r="K181" i="20"/>
  <c r="O315" i="20"/>
  <c r="M1723" i="16"/>
  <c r="N1723" i="16" s="1"/>
  <c r="O1723" i="16" s="1"/>
  <c r="M2183" i="16"/>
  <c r="N2183" i="16"/>
  <c r="S1001" i="20"/>
  <c r="S1708" i="16"/>
  <c r="T1708" i="16" s="1"/>
  <c r="U1708" i="16" s="1"/>
  <c r="V1708" i="16" s="1"/>
  <c r="W1708" i="16" s="1"/>
  <c r="X1708" i="16" s="1"/>
  <c r="T985" i="20"/>
  <c r="S987" i="20"/>
  <c r="S986" i="20"/>
  <c r="L1730" i="16"/>
  <c r="M1730" i="16" s="1"/>
  <c r="S1007" i="20"/>
  <c r="S1694" i="16"/>
  <c r="L1731" i="16"/>
  <c r="O1027" i="20"/>
  <c r="P1027" i="20" s="1"/>
  <c r="N1022" i="20"/>
  <c r="O1020" i="20"/>
  <c r="R1695" i="16"/>
  <c r="U999" i="20"/>
  <c r="V999" i="20" s="1"/>
  <c r="W999" i="20" s="1"/>
  <c r="X999" i="20" s="1"/>
  <c r="M1034" i="20"/>
  <c r="M1035" i="20" s="1"/>
  <c r="L1036" i="20"/>
  <c r="M2184" i="16"/>
  <c r="N1729" i="16"/>
  <c r="M1028" i="20"/>
  <c r="M1029" i="20" s="1"/>
  <c r="L2184" i="16"/>
  <c r="Q1000" i="20"/>
  <c r="T1001" i="20"/>
  <c r="V994" i="20"/>
  <c r="W980" i="20"/>
  <c r="X980" i="20"/>
  <c r="S1008" i="20"/>
  <c r="T1008" i="20"/>
  <c r="V993" i="20"/>
  <c r="W993" i="20" s="1"/>
  <c r="V973" i="20"/>
  <c r="W972" i="20"/>
  <c r="N1029" i="20"/>
  <c r="W979" i="20"/>
  <c r="R1127" i="16"/>
  <c r="R1715" i="16"/>
  <c r="S1715" i="16" s="1"/>
  <c r="T1715" i="16" s="1"/>
  <c r="U1715" i="16" s="1"/>
  <c r="V1715" i="16" s="1"/>
  <c r="W1715" i="16" s="1"/>
  <c r="K1743" i="16"/>
  <c r="K1744" i="16" s="1"/>
  <c r="Q1128" i="16"/>
  <c r="L1736" i="16"/>
  <c r="S1722" i="16"/>
  <c r="M787" i="16"/>
  <c r="P1709" i="16"/>
  <c r="X1688" i="16"/>
  <c r="Q1702" i="16"/>
  <c r="R1702" i="16" s="1"/>
  <c r="X2177" i="16"/>
  <c r="R2180" i="16"/>
  <c r="P2181" i="16"/>
  <c r="K2185" i="16"/>
  <c r="K1738" i="16"/>
  <c r="K1737" i="16"/>
  <c r="P1716" i="16"/>
  <c r="P2182" i="16"/>
  <c r="B1747" i="16"/>
  <c r="N1753" i="16"/>
  <c r="V1753" i="16"/>
  <c r="O1753" i="16"/>
  <c r="W1753" i="16"/>
  <c r="K1753" i="16"/>
  <c r="D1748" i="16"/>
  <c r="P1753" i="16"/>
  <c r="X1753" i="16"/>
  <c r="E1749" i="16"/>
  <c r="D1749" i="16" s="1"/>
  <c r="D1750" i="16" s="1"/>
  <c r="Q1753" i="16"/>
  <c r="E1748" i="16"/>
  <c r="F1748" i="16" s="1"/>
  <c r="R1753" i="16"/>
  <c r="S1753" i="16"/>
  <c r="L1753" i="16"/>
  <c r="T1753" i="16"/>
  <c r="D1754" i="16"/>
  <c r="M1753" i="16"/>
  <c r="U1753" i="16"/>
  <c r="Q2180" i="16"/>
  <c r="W1681" i="16"/>
  <c r="W286" i="16"/>
  <c r="X1379" i="16"/>
  <c r="X286" i="16" s="1"/>
  <c r="O2183" i="16"/>
  <c r="X717" i="20"/>
  <c r="V716" i="20"/>
  <c r="X54" i="10"/>
  <c r="X53" i="10" s="1"/>
  <c r="X346" i="10"/>
  <c r="V702" i="20"/>
  <c r="T695" i="20"/>
  <c r="U1542" i="16"/>
  <c r="P344" i="10"/>
  <c r="S1543" i="16"/>
  <c r="Q200" i="10"/>
  <c r="U1528" i="16"/>
  <c r="U709" i="20"/>
  <c r="U2152" i="16"/>
  <c r="S689" i="20"/>
  <c r="U1514" i="16"/>
  <c r="S688" i="20"/>
  <c r="U2154" i="16"/>
  <c r="T696" i="20"/>
  <c r="U2156" i="16"/>
  <c r="U710" i="20"/>
  <c r="V703" i="20"/>
  <c r="M192" i="10"/>
  <c r="M337" i="10"/>
  <c r="M336" i="10" s="1"/>
  <c r="S1675" i="16" l="1"/>
  <c r="S1674" i="16"/>
  <c r="S2176" i="16"/>
  <c r="T1673" i="16"/>
  <c r="V1660" i="16"/>
  <c r="N1030" i="16"/>
  <c r="O1030" i="16" s="1"/>
  <c r="P1013" i="16"/>
  <c r="Q1013" i="16" s="1"/>
  <c r="K1044" i="16"/>
  <c r="L1038" i="16"/>
  <c r="L1031" i="16"/>
  <c r="L1037" i="16"/>
  <c r="M1037" i="16" s="1"/>
  <c r="N1037" i="16" s="1"/>
  <c r="R1012" i="16"/>
  <c r="S1012" i="16" s="1"/>
  <c r="T1012" i="16" s="1"/>
  <c r="U1012" i="16" s="1"/>
  <c r="V1012" i="16" s="1"/>
  <c r="U2025" i="16"/>
  <c r="V2024" i="16"/>
  <c r="V2227" i="16" s="1"/>
  <c r="U2227" i="16"/>
  <c r="N627" i="16"/>
  <c r="N2224" i="16"/>
  <c r="N2005" i="16"/>
  <c r="N629" i="16" s="1"/>
  <c r="N795" i="16" s="1"/>
  <c r="N203" i="10" s="1"/>
  <c r="N347" i="10" s="1"/>
  <c r="O2003" i="16"/>
  <c r="P2003" i="16" s="1"/>
  <c r="L1042" i="16"/>
  <c r="M1042" i="16" s="1"/>
  <c r="T2220" i="16"/>
  <c r="U1975" i="16"/>
  <c r="N2004" i="16"/>
  <c r="M628" i="16"/>
  <c r="T1976" i="16"/>
  <c r="U2026" i="16"/>
  <c r="W1659" i="16"/>
  <c r="V2174" i="16"/>
  <c r="V1661" i="16"/>
  <c r="O344" i="20"/>
  <c r="N344" i="20"/>
  <c r="H1767" i="16"/>
  <c r="I1760" i="16" a="1"/>
  <c r="I1760" i="16" s="1"/>
  <c r="X1268" i="16"/>
  <c r="X1269" i="16" s="1"/>
  <c r="G49" i="20"/>
  <c r="I217" i="16"/>
  <c r="N557" i="20"/>
  <c r="N77" i="20" s="1"/>
  <c r="N1191" i="20" s="1"/>
  <c r="N74" i="20"/>
  <c r="O557" i="20"/>
  <c r="O77" i="20" s="1"/>
  <c r="O1191" i="20" s="1"/>
  <c r="L322" i="20"/>
  <c r="L52" i="20" s="1"/>
  <c r="K1189" i="20"/>
  <c r="K1015" i="20"/>
  <c r="K609" i="20"/>
  <c r="U80" i="16"/>
  <c r="U176" i="16"/>
  <c r="U175" i="16" s="1"/>
  <c r="U756" i="20"/>
  <c r="U1000" i="16"/>
  <c r="V1000" i="16" s="1"/>
  <c r="O1025" i="16"/>
  <c r="P1025" i="16" s="1"/>
  <c r="T1001" i="16"/>
  <c r="W754" i="20"/>
  <c r="W756" i="20" s="1"/>
  <c r="U755" i="20"/>
  <c r="V755" i="20" s="1"/>
  <c r="V866" i="20"/>
  <c r="W866" i="20" s="1"/>
  <c r="U867" i="20"/>
  <c r="T832" i="20"/>
  <c r="W798" i="20"/>
  <c r="U831" i="20"/>
  <c r="V831" i="20" s="1"/>
  <c r="V833" i="20" s="1"/>
  <c r="W797" i="20"/>
  <c r="X797" i="20" s="1"/>
  <c r="U1529" i="16"/>
  <c r="L1189" i="20"/>
  <c r="N1072" i="20"/>
  <c r="O1072" i="20" s="1"/>
  <c r="O1074" i="20" s="1"/>
  <c r="L1074" i="20"/>
  <c r="M1058" i="20"/>
  <c r="N1058" i="20" s="1"/>
  <c r="O1058" i="20" s="1"/>
  <c r="O1060" i="20" s="1"/>
  <c r="L1073" i="20"/>
  <c r="M1073" i="20" s="1"/>
  <c r="M1074" i="20" s="1"/>
  <c r="L1059" i="20"/>
  <c r="L1117" i="20"/>
  <c r="M1117" i="20" s="1"/>
  <c r="K1118" i="20"/>
  <c r="K1119" i="20" s="1"/>
  <c r="K1132" i="20"/>
  <c r="K1133" i="20" s="1"/>
  <c r="L1131" i="20"/>
  <c r="L1133" i="20" s="1"/>
  <c r="L1159" i="20"/>
  <c r="M1159" i="20" s="1"/>
  <c r="K602" i="20"/>
  <c r="K88" i="20"/>
  <c r="R1696" i="16"/>
  <c r="S1522" i="16"/>
  <c r="S1508" i="16" s="1"/>
  <c r="S371" i="16" s="1"/>
  <c r="S792" i="16" s="1"/>
  <c r="T1521" i="16"/>
  <c r="S1507" i="16"/>
  <c r="S370" i="16" s="1"/>
  <c r="U1520" i="16"/>
  <c r="T2153" i="16"/>
  <c r="T1506" i="16"/>
  <c r="T369" i="16" s="1"/>
  <c r="P1710" i="16"/>
  <c r="N321" i="20"/>
  <c r="N51" i="20" s="1"/>
  <c r="M323" i="20"/>
  <c r="M54" i="20" s="1"/>
  <c r="M1190" i="20" s="1"/>
  <c r="U1515" i="16"/>
  <c r="W1970" i="16"/>
  <c r="X1689" i="16"/>
  <c r="V984" i="16"/>
  <c r="W1682" i="16"/>
  <c r="X996" i="16"/>
  <c r="W1984" i="16"/>
  <c r="P1717" i="16"/>
  <c r="X1991" i="16"/>
  <c r="X2019" i="16"/>
  <c r="R1963" i="16"/>
  <c r="S1963" i="16" s="1"/>
  <c r="M1724" i="16"/>
  <c r="N1724" i="16" s="1"/>
  <c r="O1724" i="16" s="1"/>
  <c r="R2012" i="16"/>
  <c r="S2012" i="16" s="1"/>
  <c r="M1731" i="16"/>
  <c r="Q1703" i="16"/>
  <c r="R1703" i="16" s="1"/>
  <c r="M1014" i="20"/>
  <c r="M1015" i="20" s="1"/>
  <c r="X1380" i="16"/>
  <c r="X287" i="16" s="1"/>
  <c r="X789" i="16" s="1"/>
  <c r="X195" i="10" s="1"/>
  <c r="X339" i="10" s="1"/>
  <c r="N602" i="20"/>
  <c r="P600" i="20"/>
  <c r="Q600" i="20" s="1"/>
  <c r="R600" i="20" s="1"/>
  <c r="L90" i="20"/>
  <c r="L1193" i="20" s="1"/>
  <c r="M965" i="20"/>
  <c r="N965" i="20" s="1"/>
  <c r="O1013" i="20"/>
  <c r="P1013" i="20" s="1"/>
  <c r="P1015" i="20" s="1"/>
  <c r="N1015" i="20"/>
  <c r="O964" i="20"/>
  <c r="N966" i="20"/>
  <c r="M601" i="20"/>
  <c r="M602" i="20" s="1"/>
  <c r="L88" i="20"/>
  <c r="T595" i="20"/>
  <c r="V593" i="20"/>
  <c r="W593" i="20" s="1"/>
  <c r="W595" i="20" s="1"/>
  <c r="N607" i="20"/>
  <c r="M87" i="20"/>
  <c r="R594" i="20"/>
  <c r="M608" i="20"/>
  <c r="M609" i="20" s="1"/>
  <c r="P1876" i="16"/>
  <c r="Q1876" i="16" s="1"/>
  <c r="S1996" i="16"/>
  <c r="S2223" i="16" s="1"/>
  <c r="R2223" i="16"/>
  <c r="T2011" i="16"/>
  <c r="U2011" i="16" s="1"/>
  <c r="V2011" i="16" s="1"/>
  <c r="T2225" i="16"/>
  <c r="U2225" i="16"/>
  <c r="R1875" i="16"/>
  <c r="S1875" i="16" s="1"/>
  <c r="S2203" i="16"/>
  <c r="R2203" i="16"/>
  <c r="T1874" i="16"/>
  <c r="T1962" i="16"/>
  <c r="U1961" i="16"/>
  <c r="U2218" i="16" s="1"/>
  <c r="F1749" i="16"/>
  <c r="X2219" i="16"/>
  <c r="X1969" i="16"/>
  <c r="X2221" i="16"/>
  <c r="X1983" i="16"/>
  <c r="W2010" i="16"/>
  <c r="V2225" i="16"/>
  <c r="R1997" i="16"/>
  <c r="R1998" i="16" s="1"/>
  <c r="V2252" i="16"/>
  <c r="V19" i="16"/>
  <c r="W17" i="16" s="1"/>
  <c r="W2232" i="16" s="1"/>
  <c r="W2240" i="16" s="1"/>
  <c r="W91" i="16" s="1"/>
  <c r="W101" i="12" s="1"/>
  <c r="W109" i="12" s="1"/>
  <c r="P344" i="20"/>
  <c r="Q343" i="20"/>
  <c r="R343" i="20" s="1"/>
  <c r="R344" i="20" s="1"/>
  <c r="W983" i="16"/>
  <c r="W977" i="16"/>
  <c r="V20" i="16"/>
  <c r="V81" i="16" s="1"/>
  <c r="V2264" i="16"/>
  <c r="O1122" i="16"/>
  <c r="O220" i="16" s="1"/>
  <c r="O788" i="16" s="1"/>
  <c r="O193" i="10" s="1"/>
  <c r="Q1020" i="16"/>
  <c r="R1008" i="16"/>
  <c r="S1002" i="16"/>
  <c r="P1014" i="16"/>
  <c r="N1026" i="16"/>
  <c r="Q1024" i="16"/>
  <c r="V978" i="16"/>
  <c r="P1121" i="16"/>
  <c r="P219" i="16" s="1"/>
  <c r="D1054" i="16"/>
  <c r="F1053" i="16" s="1"/>
  <c r="K1054" i="16" s="1"/>
  <c r="K1055" i="16" s="1"/>
  <c r="D1048" i="16"/>
  <c r="F1047" i="16" s="1"/>
  <c r="K1048" i="16" s="1"/>
  <c r="K1049" i="16" s="1"/>
  <c r="K1050" i="16" s="1"/>
  <c r="R1019" i="16"/>
  <c r="S1019" i="16" s="1"/>
  <c r="D1059" i="16"/>
  <c r="C1066" i="16"/>
  <c r="B1063" i="16"/>
  <c r="D1069" i="16"/>
  <c r="J1068" i="16"/>
  <c r="E1065" i="16"/>
  <c r="E1064" i="16"/>
  <c r="F1064" i="16" s="1"/>
  <c r="D1064" i="16"/>
  <c r="O1036" i="16"/>
  <c r="S1007" i="16"/>
  <c r="T1006" i="16"/>
  <c r="T1018" i="16"/>
  <c r="P2111" i="16"/>
  <c r="Q1120" i="16"/>
  <c r="Q218" i="16" s="1"/>
  <c r="V937" i="20"/>
  <c r="W937" i="20" s="1"/>
  <c r="V938" i="20"/>
  <c r="X874" i="20"/>
  <c r="M838" i="20"/>
  <c r="O316" i="20"/>
  <c r="L839" i="20"/>
  <c r="T888" i="20"/>
  <c r="S314" i="20"/>
  <c r="U727" i="20"/>
  <c r="V727" i="20" s="1"/>
  <c r="V728" i="20" s="1"/>
  <c r="X945" i="20"/>
  <c r="X944" i="20"/>
  <c r="W860" i="20"/>
  <c r="X859" i="20"/>
  <c r="X861" i="20" s="1"/>
  <c r="T1166" i="20"/>
  <c r="W861" i="20"/>
  <c r="S1167" i="20"/>
  <c r="U887" i="20"/>
  <c r="U889" i="20" s="1"/>
  <c r="Q1129" i="16"/>
  <c r="W930" i="20"/>
  <c r="X929" i="20"/>
  <c r="X931" i="20" s="1"/>
  <c r="W931" i="20"/>
  <c r="W853" i="20"/>
  <c r="W854" i="20"/>
  <c r="X852" i="20"/>
  <c r="X854" i="20" s="1"/>
  <c r="U587" i="20"/>
  <c r="W588" i="20"/>
  <c r="X586" i="20"/>
  <c r="M645" i="20"/>
  <c r="T804" i="20"/>
  <c r="U804" i="20" s="1"/>
  <c r="X782" i="20"/>
  <c r="X784" i="20" s="1"/>
  <c r="L824" i="20"/>
  <c r="K825" i="20"/>
  <c r="K163" i="20"/>
  <c r="T805" i="20"/>
  <c r="V803" i="20"/>
  <c r="V805" i="20" s="1"/>
  <c r="N1093" i="20"/>
  <c r="O1093" i="20" s="1"/>
  <c r="O1095" i="20" s="1"/>
  <c r="L1094" i="20"/>
  <c r="M1094" i="20" s="1"/>
  <c r="M1095" i="20" s="1"/>
  <c r="L1081" i="20"/>
  <c r="L1095" i="20"/>
  <c r="K826" i="20"/>
  <c r="O549" i="20"/>
  <c r="P548" i="20"/>
  <c r="P74" i="20" s="1"/>
  <c r="L646" i="20"/>
  <c r="L647" i="20" s="1"/>
  <c r="L113" i="20" s="1"/>
  <c r="L1194" i="20" s="1"/>
  <c r="K111" i="20"/>
  <c r="O74" i="20"/>
  <c r="X936" i="20"/>
  <c r="X938" i="20" s="1"/>
  <c r="W938" i="20"/>
  <c r="Q555" i="20"/>
  <c r="P557" i="20"/>
  <c r="M557" i="20"/>
  <c r="M77" i="20" s="1"/>
  <c r="M1191" i="20" s="1"/>
  <c r="N556" i="20"/>
  <c r="M75" i="20"/>
  <c r="W783" i="20"/>
  <c r="U342" i="20"/>
  <c r="V881" i="20"/>
  <c r="V882" i="20"/>
  <c r="W880" i="20"/>
  <c r="L1108" i="20"/>
  <c r="M1108" i="20" s="1"/>
  <c r="M1109" i="20" s="1"/>
  <c r="U811" i="20"/>
  <c r="U812" i="20"/>
  <c r="V810" i="20"/>
  <c r="K1153" i="20"/>
  <c r="K1154" i="20" s="1"/>
  <c r="L1152" i="20"/>
  <c r="W790" i="20"/>
  <c r="L1109" i="20"/>
  <c r="L1138" i="20"/>
  <c r="L1140" i="20" s="1"/>
  <c r="N1107" i="20"/>
  <c r="N1109" i="20" s="1"/>
  <c r="K1147" i="20"/>
  <c r="L1080" i="20"/>
  <c r="M1080" i="20" s="1"/>
  <c r="M1081" i="20" s="1"/>
  <c r="K1175" i="20"/>
  <c r="L1173" i="20"/>
  <c r="L1175" i="20" s="1"/>
  <c r="L1145" i="20"/>
  <c r="L1146" i="20" s="1"/>
  <c r="N1079" i="20"/>
  <c r="N1081" i="20" s="1"/>
  <c r="W791" i="20"/>
  <c r="X789" i="20"/>
  <c r="X791" i="20" s="1"/>
  <c r="K1140" i="20"/>
  <c r="L1180" i="20"/>
  <c r="M1180" i="20" s="1"/>
  <c r="K1181" i="20"/>
  <c r="K1182" i="20" s="1"/>
  <c r="W769" i="20"/>
  <c r="K199" i="20"/>
  <c r="L1101" i="20"/>
  <c r="M1101" i="20" s="1"/>
  <c r="M1102" i="20" s="1"/>
  <c r="K1126" i="20"/>
  <c r="N1100" i="20"/>
  <c r="N1102" i="20" s="1"/>
  <c r="L1102" i="20"/>
  <c r="L1124" i="20"/>
  <c r="L1087" i="20"/>
  <c r="W777" i="20"/>
  <c r="X775" i="20"/>
  <c r="X777" i="20" s="1"/>
  <c r="W776" i="20"/>
  <c r="L1066" i="20"/>
  <c r="M1066" i="20" s="1"/>
  <c r="M1067" i="20" s="1"/>
  <c r="K184" i="20"/>
  <c r="K1196" i="20" s="1"/>
  <c r="L1088" i="20"/>
  <c r="L1053" i="20"/>
  <c r="L1067" i="20"/>
  <c r="M1086" i="20"/>
  <c r="L1052" i="20"/>
  <c r="M1052" i="20" s="1"/>
  <c r="M1053" i="20" s="1"/>
  <c r="W770" i="20"/>
  <c r="X768" i="20"/>
  <c r="X770" i="20" s="1"/>
  <c r="V749" i="20"/>
  <c r="W747" i="20"/>
  <c r="X762" i="20"/>
  <c r="V748" i="20"/>
  <c r="N1065" i="20"/>
  <c r="O1065" i="20" s="1"/>
  <c r="N1044" i="20"/>
  <c r="O1044" i="20" s="1"/>
  <c r="O1046" i="20" s="1"/>
  <c r="L181" i="20"/>
  <c r="L1046" i="20"/>
  <c r="X741" i="20"/>
  <c r="W726" i="20"/>
  <c r="N1051" i="20"/>
  <c r="K182" i="20"/>
  <c r="L1045" i="20"/>
  <c r="P315" i="20"/>
  <c r="L1743" i="16"/>
  <c r="L2186" i="16" s="1"/>
  <c r="L1738" i="16"/>
  <c r="S1695" i="16"/>
  <c r="T986" i="20"/>
  <c r="N2184" i="16"/>
  <c r="M1036" i="20"/>
  <c r="U985" i="20"/>
  <c r="T987" i="20"/>
  <c r="Q1027" i="20"/>
  <c r="R1027" i="20" s="1"/>
  <c r="P1029" i="20"/>
  <c r="N1730" i="16"/>
  <c r="O1729" i="16"/>
  <c r="K2186" i="16"/>
  <c r="L1737" i="16"/>
  <c r="T1694" i="16"/>
  <c r="S2179" i="16"/>
  <c r="O1022" i="20"/>
  <c r="O1021" i="20"/>
  <c r="N1034" i="20"/>
  <c r="N1036" i="20" s="1"/>
  <c r="K1745" i="16"/>
  <c r="R1128" i="16"/>
  <c r="P1020" i="20"/>
  <c r="Q1020" i="20" s="1"/>
  <c r="R1000" i="20"/>
  <c r="U1001" i="20"/>
  <c r="T1007" i="20"/>
  <c r="U1007" i="20" s="1"/>
  <c r="W973" i="20"/>
  <c r="X973" i="20"/>
  <c r="U1008" i="20"/>
  <c r="X979" i="20"/>
  <c r="O1029" i="20"/>
  <c r="W994" i="20"/>
  <c r="X994" i="20"/>
  <c r="N1028" i="20"/>
  <c r="L2185" i="16"/>
  <c r="M1736" i="16"/>
  <c r="X1715" i="16"/>
  <c r="T1722" i="16"/>
  <c r="U1722" i="16" s="1"/>
  <c r="V1722" i="16" s="1"/>
  <c r="W1722" i="16" s="1"/>
  <c r="X1722" i="16" s="1"/>
  <c r="S1127" i="16"/>
  <c r="N787" i="16"/>
  <c r="T2180" i="16"/>
  <c r="U2180" i="16"/>
  <c r="X1681" i="16"/>
  <c r="Q2181" i="16"/>
  <c r="S1702" i="16"/>
  <c r="T1702" i="16" s="1"/>
  <c r="S2180" i="16"/>
  <c r="O1760" i="16"/>
  <c r="W1760" i="16"/>
  <c r="D1755" i="16"/>
  <c r="P1760" i="16"/>
  <c r="X1760" i="16"/>
  <c r="L1760" i="16"/>
  <c r="D1761" i="16"/>
  <c r="Q1760" i="16"/>
  <c r="B1754" i="16"/>
  <c r="R1760" i="16"/>
  <c r="K1760" i="16"/>
  <c r="S1760" i="16"/>
  <c r="T1760" i="16"/>
  <c r="E1756" i="16"/>
  <c r="D1756" i="16" s="1"/>
  <c r="M1760" i="16"/>
  <c r="U1760" i="16"/>
  <c r="E1755" i="16"/>
  <c r="F1755" i="16" s="1"/>
  <c r="N1760" i="16"/>
  <c r="V1760" i="16"/>
  <c r="Q1716" i="16"/>
  <c r="Q2182" i="16"/>
  <c r="K1750" i="16"/>
  <c r="Q1709" i="16"/>
  <c r="P2183" i="16"/>
  <c r="P1723" i="16"/>
  <c r="W717" i="20"/>
  <c r="W716" i="20"/>
  <c r="X716" i="20" s="1"/>
  <c r="Q344" i="10"/>
  <c r="T1543" i="16"/>
  <c r="R200" i="10"/>
  <c r="V2156" i="16"/>
  <c r="W703" i="20"/>
  <c r="X703" i="20"/>
  <c r="V710" i="20"/>
  <c r="U696" i="20"/>
  <c r="V2154" i="16"/>
  <c r="T689" i="20"/>
  <c r="V709" i="20"/>
  <c r="T688" i="20"/>
  <c r="V1528" i="16"/>
  <c r="N192" i="10"/>
  <c r="N337" i="10"/>
  <c r="N336" i="10" s="1"/>
  <c r="V2152" i="16"/>
  <c r="U695" i="20"/>
  <c r="V1514" i="16"/>
  <c r="V1542" i="16"/>
  <c r="W702" i="20"/>
  <c r="T1674" i="16" l="1"/>
  <c r="L1043" i="16"/>
  <c r="M1043" i="16" s="1"/>
  <c r="U728" i="20"/>
  <c r="V2026" i="16"/>
  <c r="T1675" i="16"/>
  <c r="T2176" i="16"/>
  <c r="U1673" i="16"/>
  <c r="V1673" i="16" s="1"/>
  <c r="R1013" i="16"/>
  <c r="S1013" i="16" s="1"/>
  <c r="T1013" i="16" s="1"/>
  <c r="U1013" i="16" s="1"/>
  <c r="V1013" i="16" s="1"/>
  <c r="W2024" i="16"/>
  <c r="L1032" i="16"/>
  <c r="M1031" i="16"/>
  <c r="K1056" i="16"/>
  <c r="W1012" i="16"/>
  <c r="X1012" i="16" s="1"/>
  <c r="P2224" i="16"/>
  <c r="P627" i="16"/>
  <c r="O2004" i="16"/>
  <c r="N628" i="16"/>
  <c r="T1977" i="16"/>
  <c r="U1976" i="16"/>
  <c r="V1975" i="16"/>
  <c r="U2220" i="16"/>
  <c r="V2025" i="16"/>
  <c r="O627" i="16"/>
  <c r="O2224" i="16"/>
  <c r="O2005" i="16"/>
  <c r="Q2003" i="16"/>
  <c r="X1659" i="16"/>
  <c r="W2174" i="16"/>
  <c r="W1661" i="16"/>
  <c r="W1660" i="16"/>
  <c r="Q344" i="20"/>
  <c r="H1774" i="16"/>
  <c r="I1767" i="16" a="1"/>
  <c r="I1767" i="16" s="1"/>
  <c r="M322" i="20"/>
  <c r="M52" i="20" s="1"/>
  <c r="K90" i="20"/>
  <c r="K1193" i="20" s="1"/>
  <c r="K166" i="20"/>
  <c r="K1195" i="20" s="1"/>
  <c r="V80" i="16"/>
  <c r="V176" i="16"/>
  <c r="V175" i="16" s="1"/>
  <c r="X977" i="16"/>
  <c r="X754" i="20"/>
  <c r="X756" i="20" s="1"/>
  <c r="U1001" i="16"/>
  <c r="V1001" i="16" s="1"/>
  <c r="W755" i="20"/>
  <c r="L1044" i="16"/>
  <c r="T1002" i="16"/>
  <c r="U1002" i="16" s="1"/>
  <c r="V868" i="20"/>
  <c r="V867" i="20"/>
  <c r="W867" i="20" s="1"/>
  <c r="V1529" i="16"/>
  <c r="U832" i="20"/>
  <c r="V832" i="20" s="1"/>
  <c r="P1072" i="20"/>
  <c r="P1074" i="20" s="1"/>
  <c r="U833" i="20"/>
  <c r="W831" i="20"/>
  <c r="W833" i="20" s="1"/>
  <c r="M1131" i="20"/>
  <c r="N1131" i="20" s="1"/>
  <c r="N1074" i="20"/>
  <c r="M181" i="20"/>
  <c r="M1059" i="20"/>
  <c r="M1060" i="20" s="1"/>
  <c r="S1696" i="16"/>
  <c r="L1119" i="20"/>
  <c r="N1073" i="20"/>
  <c r="O1073" i="20" s="1"/>
  <c r="L1132" i="20"/>
  <c r="L1118" i="20"/>
  <c r="M1118" i="20" s="1"/>
  <c r="M1119" i="20" s="1"/>
  <c r="N1159" i="20"/>
  <c r="N1161" i="20" s="1"/>
  <c r="L1160" i="20"/>
  <c r="M1160" i="20" s="1"/>
  <c r="M1161" i="20" s="1"/>
  <c r="L1161" i="20"/>
  <c r="L1054" i="16"/>
  <c r="M1054" i="16" s="1"/>
  <c r="N1054" i="16" s="1"/>
  <c r="V1520" i="16"/>
  <c r="U2153" i="16"/>
  <c r="U1506" i="16"/>
  <c r="U369" i="16" s="1"/>
  <c r="T1522" i="16"/>
  <c r="T1508" i="16" s="1"/>
  <c r="T371" i="16" s="1"/>
  <c r="T792" i="16" s="1"/>
  <c r="U1521" i="16"/>
  <c r="T1507" i="16"/>
  <c r="T370" i="16" s="1"/>
  <c r="Q1710" i="16"/>
  <c r="N323" i="20"/>
  <c r="N54" i="20" s="1"/>
  <c r="N1190" i="20" s="1"/>
  <c r="N1189" i="20" s="1"/>
  <c r="O321" i="20"/>
  <c r="O51" i="20" s="1"/>
  <c r="V1515" i="16"/>
  <c r="W984" i="16"/>
  <c r="X1682" i="16"/>
  <c r="X1970" i="16"/>
  <c r="X1984" i="16"/>
  <c r="N1731" i="16"/>
  <c r="Q1717" i="16"/>
  <c r="M1038" i="16"/>
  <c r="P1724" i="16"/>
  <c r="T1963" i="16"/>
  <c r="T2012" i="16"/>
  <c r="U2012" i="16" s="1"/>
  <c r="V2012" i="16" s="1"/>
  <c r="S1703" i="16"/>
  <c r="T1703" i="16" s="1"/>
  <c r="D1757" i="16"/>
  <c r="F1756" i="16" s="1"/>
  <c r="M966" i="20"/>
  <c r="M90" i="20"/>
  <c r="M1193" i="20" s="1"/>
  <c r="N1014" i="20"/>
  <c r="O1014" i="20" s="1"/>
  <c r="P1014" i="20" s="1"/>
  <c r="P602" i="20"/>
  <c r="N608" i="20"/>
  <c r="O966" i="20"/>
  <c r="P964" i="20"/>
  <c r="Q964" i="20" s="1"/>
  <c r="O1015" i="20"/>
  <c r="Q1013" i="20"/>
  <c r="O965" i="20"/>
  <c r="R602" i="20"/>
  <c r="S594" i="20"/>
  <c r="N609" i="20"/>
  <c r="N90" i="20" s="1"/>
  <c r="N1193" i="20" s="1"/>
  <c r="N87" i="20"/>
  <c r="O607" i="20"/>
  <c r="V595" i="20"/>
  <c r="X593" i="20"/>
  <c r="X595" i="20" s="1"/>
  <c r="Q602" i="20"/>
  <c r="S600" i="20"/>
  <c r="N601" i="20"/>
  <c r="M88" i="20"/>
  <c r="R1876" i="16"/>
  <c r="S1876" i="16" s="1"/>
  <c r="T1996" i="16"/>
  <c r="T2223" i="16" s="1"/>
  <c r="U1962" i="16"/>
  <c r="T1875" i="16"/>
  <c r="U1874" i="16"/>
  <c r="T2203" i="16"/>
  <c r="V1961" i="16"/>
  <c r="V2218" i="16" s="1"/>
  <c r="W2011" i="16"/>
  <c r="S1997" i="16"/>
  <c r="S1998" i="16" s="1"/>
  <c r="W2225" i="16"/>
  <c r="X2010" i="16"/>
  <c r="S343" i="20"/>
  <c r="S344" i="20" s="1"/>
  <c r="X983" i="16"/>
  <c r="W2244" i="16"/>
  <c r="W2256" i="16" s="1"/>
  <c r="U49" i="10"/>
  <c r="U48" i="10" s="1"/>
  <c r="U47" i="10" s="1"/>
  <c r="W978" i="16"/>
  <c r="P1122" i="16"/>
  <c r="P220" i="16" s="1"/>
  <c r="P788" i="16" s="1"/>
  <c r="P193" i="10" s="1"/>
  <c r="Q1121" i="16"/>
  <c r="Q219" i="16" s="1"/>
  <c r="S1008" i="16"/>
  <c r="L1048" i="16"/>
  <c r="Q1025" i="16"/>
  <c r="O1026" i="16"/>
  <c r="R1024" i="16"/>
  <c r="Q1014" i="16"/>
  <c r="R1020" i="16"/>
  <c r="S1020" i="16" s="1"/>
  <c r="D1060" i="16"/>
  <c r="F1059" i="16" s="1"/>
  <c r="K1060" i="16" s="1"/>
  <c r="K1061" i="16" s="1"/>
  <c r="O1037" i="16"/>
  <c r="P1036" i="16"/>
  <c r="Q1036" i="16" s="1"/>
  <c r="E1070" i="16"/>
  <c r="F1070" i="16" s="1"/>
  <c r="D1070" i="16"/>
  <c r="D1075" i="16"/>
  <c r="J1074" i="16"/>
  <c r="C1072" i="16"/>
  <c r="B1069" i="16"/>
  <c r="E1071" i="16"/>
  <c r="D1065" i="16"/>
  <c r="D1066" i="16" s="1"/>
  <c r="N1042" i="16"/>
  <c r="U1006" i="16"/>
  <c r="P1030" i="16"/>
  <c r="T1019" i="16"/>
  <c r="W1000" i="16"/>
  <c r="U1018" i="16"/>
  <c r="T1007" i="16"/>
  <c r="Q2111" i="16"/>
  <c r="R1120" i="16"/>
  <c r="R2111" i="16" s="1"/>
  <c r="N838" i="20"/>
  <c r="O838" i="20" s="1"/>
  <c r="P838" i="20" s="1"/>
  <c r="P840" i="20" s="1"/>
  <c r="M839" i="20"/>
  <c r="M840" i="20" s="1"/>
  <c r="P316" i="20"/>
  <c r="R1129" i="16"/>
  <c r="V887" i="20"/>
  <c r="V889" i="20" s="1"/>
  <c r="T314" i="20"/>
  <c r="T1167" i="20"/>
  <c r="U1166" i="20"/>
  <c r="T1168" i="20"/>
  <c r="X860" i="20"/>
  <c r="U888" i="20"/>
  <c r="W868" i="20"/>
  <c r="X866" i="20"/>
  <c r="X868" i="20" s="1"/>
  <c r="X930" i="20"/>
  <c r="N1094" i="20"/>
  <c r="O1094" i="20" s="1"/>
  <c r="N645" i="20"/>
  <c r="O645" i="20" s="1"/>
  <c r="O110" i="20" s="1"/>
  <c r="X783" i="20"/>
  <c r="X853" i="20"/>
  <c r="M110" i="20"/>
  <c r="X588" i="20"/>
  <c r="V587" i="20"/>
  <c r="K249" i="20"/>
  <c r="V804" i="20"/>
  <c r="Q548" i="20"/>
  <c r="R548" i="20" s="1"/>
  <c r="R550" i="20" s="1"/>
  <c r="P1093" i="20"/>
  <c r="P1095" i="20" s="1"/>
  <c r="N1095" i="20"/>
  <c r="W803" i="20"/>
  <c r="P550" i="20"/>
  <c r="P77" i="20" s="1"/>
  <c r="P1191" i="20" s="1"/>
  <c r="P549" i="20"/>
  <c r="L825" i="20"/>
  <c r="K164" i="20"/>
  <c r="L826" i="20"/>
  <c r="L166" i="20" s="1"/>
  <c r="L1195" i="20" s="1"/>
  <c r="L163" i="20"/>
  <c r="M824" i="20"/>
  <c r="M646" i="20"/>
  <c r="M647" i="20" s="1"/>
  <c r="M113" i="20" s="1"/>
  <c r="M1194" i="20" s="1"/>
  <c r="L111" i="20"/>
  <c r="M1189" i="20"/>
  <c r="V342" i="20"/>
  <c r="Q557" i="20"/>
  <c r="R555" i="20"/>
  <c r="S555" i="20" s="1"/>
  <c r="X937" i="20"/>
  <c r="O556" i="20"/>
  <c r="N75" i="20"/>
  <c r="O1107" i="20"/>
  <c r="O1109" i="20" s="1"/>
  <c r="W882" i="20"/>
  <c r="X880" i="20"/>
  <c r="X882" i="20" s="1"/>
  <c r="W881" i="20"/>
  <c r="V812" i="20"/>
  <c r="W810" i="20"/>
  <c r="V811" i="20"/>
  <c r="M1152" i="20"/>
  <c r="N1152" i="20" s="1"/>
  <c r="L1154" i="20"/>
  <c r="L1153" i="20"/>
  <c r="L1147" i="20"/>
  <c r="M1138" i="20"/>
  <c r="L1139" i="20"/>
  <c r="N1080" i="20"/>
  <c r="O1079" i="20"/>
  <c r="O1081" i="20" s="1"/>
  <c r="N1108" i="20"/>
  <c r="K202" i="20"/>
  <c r="K1197" i="20" s="1"/>
  <c r="M1173" i="20"/>
  <c r="N1173" i="20" s="1"/>
  <c r="N1175" i="20" s="1"/>
  <c r="L1174" i="20"/>
  <c r="M1145" i="20"/>
  <c r="N1145" i="20" s="1"/>
  <c r="O1100" i="20"/>
  <c r="O1102" i="20" s="1"/>
  <c r="L1181" i="20"/>
  <c r="M1181" i="20" s="1"/>
  <c r="M1182" i="20" s="1"/>
  <c r="N1060" i="20"/>
  <c r="P1058" i="20"/>
  <c r="P1060" i="20" s="1"/>
  <c r="K200" i="20"/>
  <c r="X790" i="20"/>
  <c r="L1182" i="20"/>
  <c r="N1180" i="20"/>
  <c r="N1182" i="20" s="1"/>
  <c r="L1125" i="20"/>
  <c r="N1101" i="20"/>
  <c r="L199" i="20"/>
  <c r="L1126" i="20"/>
  <c r="M1124" i="20"/>
  <c r="N1117" i="20"/>
  <c r="X776" i="20"/>
  <c r="L184" i="20"/>
  <c r="L1196" i="20" s="1"/>
  <c r="M1087" i="20"/>
  <c r="M1088" i="20" s="1"/>
  <c r="X769" i="20"/>
  <c r="N1086" i="20"/>
  <c r="N1088" i="20" s="1"/>
  <c r="N1066" i="20"/>
  <c r="O1066" i="20" s="1"/>
  <c r="X747" i="20"/>
  <c r="X749" i="20" s="1"/>
  <c r="W749" i="20"/>
  <c r="N1067" i="20"/>
  <c r="W748" i="20"/>
  <c r="W727" i="20"/>
  <c r="W728" i="20" s="1"/>
  <c r="N1046" i="20"/>
  <c r="P1044" i="20"/>
  <c r="O1067" i="20"/>
  <c r="P1065" i="20"/>
  <c r="X726" i="20"/>
  <c r="L182" i="20"/>
  <c r="M1045" i="20"/>
  <c r="M1046" i="20" s="1"/>
  <c r="N1053" i="20"/>
  <c r="O1051" i="20"/>
  <c r="P1051" i="20" s="1"/>
  <c r="N1052" i="20"/>
  <c r="Q315" i="20"/>
  <c r="L1745" i="16"/>
  <c r="M1743" i="16"/>
  <c r="N1743" i="16" s="1"/>
  <c r="N2186" i="16" s="1"/>
  <c r="L1744" i="16"/>
  <c r="S1128" i="16"/>
  <c r="V985" i="20"/>
  <c r="V987" i="20" s="1"/>
  <c r="U987" i="20"/>
  <c r="O1730" i="16"/>
  <c r="U986" i="20"/>
  <c r="P1729" i="16"/>
  <c r="O2184" i="16"/>
  <c r="M1737" i="16"/>
  <c r="M1738" i="16" s="1"/>
  <c r="P1022" i="20"/>
  <c r="P1021" i="20"/>
  <c r="Q1021" i="20" s="1"/>
  <c r="U1694" i="16"/>
  <c r="T2179" i="16"/>
  <c r="T1695" i="16"/>
  <c r="Q1022" i="20"/>
  <c r="R1020" i="20"/>
  <c r="O1034" i="20"/>
  <c r="N1035" i="20"/>
  <c r="S1027" i="20"/>
  <c r="T1027" i="20" s="1"/>
  <c r="U1027" i="20" s="1"/>
  <c r="V1027" i="20" s="1"/>
  <c r="W1027" i="20" s="1"/>
  <c r="X1027" i="20" s="1"/>
  <c r="X993" i="20"/>
  <c r="M2185" i="16"/>
  <c r="Q1029" i="20"/>
  <c r="V1008" i="20"/>
  <c r="O1028" i="20"/>
  <c r="V1001" i="20"/>
  <c r="S1000" i="20"/>
  <c r="V1007" i="20"/>
  <c r="W1007" i="20" s="1"/>
  <c r="X972" i="20"/>
  <c r="T1127" i="16"/>
  <c r="U1127" i="16" s="1"/>
  <c r="L1750" i="16"/>
  <c r="L2187" i="16" s="1"/>
  <c r="K1757" i="16"/>
  <c r="K2188" i="16" s="1"/>
  <c r="N1736" i="16"/>
  <c r="O787" i="16"/>
  <c r="V2180" i="16"/>
  <c r="R1709" i="16"/>
  <c r="U1702" i="16"/>
  <c r="R1716" i="16"/>
  <c r="E1763" i="16"/>
  <c r="D1763" i="16" s="1"/>
  <c r="Q1767" i="16"/>
  <c r="N1767" i="16"/>
  <c r="B1761" i="16"/>
  <c r="E1762" i="16"/>
  <c r="F1762" i="16" s="1"/>
  <c r="R1767" i="16"/>
  <c r="K1767" i="16"/>
  <c r="S1767" i="16"/>
  <c r="D1762" i="16"/>
  <c r="L1767" i="16"/>
  <c r="T1767" i="16"/>
  <c r="V1767" i="16"/>
  <c r="D1768" i="16"/>
  <c r="M1767" i="16"/>
  <c r="U1767" i="16"/>
  <c r="O1767" i="16"/>
  <c r="W1767" i="16"/>
  <c r="P1767" i="16"/>
  <c r="X1767" i="16"/>
  <c r="K1752" i="16"/>
  <c r="K2187" i="16"/>
  <c r="K1751" i="16"/>
  <c r="R2182" i="16"/>
  <c r="R2181" i="16"/>
  <c r="Q1723" i="16"/>
  <c r="Q2183" i="16"/>
  <c r="R344" i="10"/>
  <c r="V695" i="20"/>
  <c r="S200" i="10"/>
  <c r="U1543" i="16"/>
  <c r="W1542" i="16"/>
  <c r="X702" i="20"/>
  <c r="W1514" i="16"/>
  <c r="U689" i="20"/>
  <c r="W709" i="20"/>
  <c r="W2154" i="16"/>
  <c r="U688" i="20"/>
  <c r="O337" i="10"/>
  <c r="O336" i="10" s="1"/>
  <c r="O192" i="10"/>
  <c r="W2152" i="16"/>
  <c r="W710" i="20"/>
  <c r="X710" i="20"/>
  <c r="V696" i="20"/>
  <c r="W2156" i="16"/>
  <c r="W1528" i="16"/>
  <c r="W2026" i="16" l="1"/>
  <c r="U1675" i="16"/>
  <c r="V1675" i="16" s="1"/>
  <c r="U2176" i="16"/>
  <c r="U1674" i="16"/>
  <c r="V1674" i="16" s="1"/>
  <c r="W2025" i="16"/>
  <c r="K1062" i="16"/>
  <c r="M1032" i="16"/>
  <c r="N1031" i="16"/>
  <c r="W2227" i="16"/>
  <c r="X2024" i="16"/>
  <c r="X1660" i="16"/>
  <c r="O628" i="16"/>
  <c r="P2004" i="16"/>
  <c r="Q2224" i="16"/>
  <c r="Q627" i="16"/>
  <c r="R2003" i="16"/>
  <c r="V2220" i="16"/>
  <c r="W1975" i="16"/>
  <c r="W1013" i="16"/>
  <c r="X1013" i="16" s="1"/>
  <c r="W1673" i="16"/>
  <c r="V2176" i="16"/>
  <c r="U1977" i="16"/>
  <c r="V1977" i="16" s="1"/>
  <c r="V1976" i="16"/>
  <c r="O629" i="16"/>
  <c r="O795" i="16" s="1"/>
  <c r="O203" i="10" s="1"/>
  <c r="O347" i="10" s="1"/>
  <c r="P2005" i="16"/>
  <c r="X2174" i="16"/>
  <c r="X1661" i="16"/>
  <c r="H1781" i="16"/>
  <c r="I1774" i="16" a="1"/>
  <c r="I1774" i="16" s="1"/>
  <c r="K252" i="20"/>
  <c r="K227" i="11" s="1"/>
  <c r="K228" i="11" s="1"/>
  <c r="K247" i="11" s="1"/>
  <c r="K174" i="10" s="1"/>
  <c r="K318" i="10" s="1"/>
  <c r="C70" i="25"/>
  <c r="N322" i="20"/>
  <c r="N52" i="20" s="1"/>
  <c r="K1192" i="20"/>
  <c r="X755" i="20"/>
  <c r="M1044" i="16"/>
  <c r="M1048" i="16"/>
  <c r="N1048" i="16" s="1"/>
  <c r="O1048" i="16" s="1"/>
  <c r="N1038" i="16"/>
  <c r="O1038" i="16" s="1"/>
  <c r="W1529" i="16"/>
  <c r="Q1072" i="20"/>
  <c r="Q1074" i="20" s="1"/>
  <c r="W832" i="20"/>
  <c r="P1073" i="20"/>
  <c r="X831" i="20"/>
  <c r="X833" i="20" s="1"/>
  <c r="M1132" i="20"/>
  <c r="M1133" i="20" s="1"/>
  <c r="T1696" i="16"/>
  <c r="N1059" i="20"/>
  <c r="O1059" i="20" s="1"/>
  <c r="P1059" i="20" s="1"/>
  <c r="O1159" i="20"/>
  <c r="O1161" i="20" s="1"/>
  <c r="N1160" i="20"/>
  <c r="L1055" i="16"/>
  <c r="L1056" i="16" s="1"/>
  <c r="P321" i="20"/>
  <c r="Q321" i="20" s="1"/>
  <c r="Q51" i="20" s="1"/>
  <c r="O323" i="20"/>
  <c r="O54" i="20" s="1"/>
  <c r="O1190" i="20" s="1"/>
  <c r="O1189" i="20" s="1"/>
  <c r="R1710" i="16"/>
  <c r="U1522" i="16"/>
  <c r="U1508" i="16" s="1"/>
  <c r="U371" i="16" s="1"/>
  <c r="U792" i="16" s="1"/>
  <c r="V1521" i="16"/>
  <c r="U1507" i="16"/>
  <c r="U370" i="16" s="1"/>
  <c r="W1520" i="16"/>
  <c r="V2153" i="16"/>
  <c r="V1506" i="16"/>
  <c r="V369" i="16" s="1"/>
  <c r="W1515" i="16"/>
  <c r="X984" i="16"/>
  <c r="O1731" i="16"/>
  <c r="R1717" i="16"/>
  <c r="Q1724" i="16"/>
  <c r="W2012" i="16"/>
  <c r="X2012" i="16" s="1"/>
  <c r="U1703" i="16"/>
  <c r="U1963" i="16"/>
  <c r="M184" i="20"/>
  <c r="M1196" i="20" s="1"/>
  <c r="D1764" i="16"/>
  <c r="F1763" i="16" s="1"/>
  <c r="Q1014" i="20"/>
  <c r="P965" i="20"/>
  <c r="Q965" i="20" s="1"/>
  <c r="Q966" i="20"/>
  <c r="R964" i="20"/>
  <c r="Q1015" i="20"/>
  <c r="R1013" i="20"/>
  <c r="P966" i="20"/>
  <c r="O601" i="20"/>
  <c r="N88" i="20"/>
  <c r="T594" i="20"/>
  <c r="T600" i="20"/>
  <c r="S602" i="20"/>
  <c r="P607" i="20"/>
  <c r="O609" i="20"/>
  <c r="O90" i="20" s="1"/>
  <c r="O1193" i="20" s="1"/>
  <c r="O87" i="20"/>
  <c r="T1876" i="16"/>
  <c r="O608" i="20"/>
  <c r="U1996" i="16"/>
  <c r="V1962" i="16"/>
  <c r="W1961" i="16"/>
  <c r="X2011" i="16"/>
  <c r="V1874" i="16"/>
  <c r="U2203" i="16"/>
  <c r="U1875" i="16"/>
  <c r="X2225" i="16"/>
  <c r="T1997" i="16"/>
  <c r="T1998" i="16" s="1"/>
  <c r="T343" i="20"/>
  <c r="T344" i="20" s="1"/>
  <c r="W19" i="16"/>
  <c r="X17" i="16" s="1"/>
  <c r="X2232" i="16" s="1"/>
  <c r="X2240" i="16" s="1"/>
  <c r="X91" i="16" s="1"/>
  <c r="X101" i="12" s="1"/>
  <c r="X109" i="12" s="1"/>
  <c r="W2252" i="16"/>
  <c r="X978" i="16"/>
  <c r="W20" i="16"/>
  <c r="W81" i="16" s="1"/>
  <c r="W2264" i="16"/>
  <c r="V49" i="10"/>
  <c r="V48" i="10" s="1"/>
  <c r="V47" i="10" s="1"/>
  <c r="Q1122" i="16"/>
  <c r="Q220" i="16" s="1"/>
  <c r="Q788" i="16" s="1"/>
  <c r="Q787" i="16" s="1"/>
  <c r="V1002" i="16"/>
  <c r="L1049" i="16"/>
  <c r="L1060" i="16"/>
  <c r="L1061" i="16" s="1"/>
  <c r="T1020" i="16"/>
  <c r="R1025" i="16"/>
  <c r="R1014" i="16"/>
  <c r="T1008" i="16"/>
  <c r="S1024" i="16"/>
  <c r="P1026" i="16"/>
  <c r="P1037" i="16"/>
  <c r="Q1037" i="16" s="1"/>
  <c r="W1001" i="16"/>
  <c r="U1019" i="16"/>
  <c r="O1042" i="16"/>
  <c r="D1081" i="16"/>
  <c r="J1080" i="16"/>
  <c r="E1077" i="16"/>
  <c r="E1076" i="16"/>
  <c r="F1076" i="16" s="1"/>
  <c r="D1076" i="16"/>
  <c r="B1075" i="16"/>
  <c r="C1078" i="16"/>
  <c r="F1065" i="16"/>
  <c r="K1066" i="16" s="1"/>
  <c r="K1067" i="16" s="1"/>
  <c r="K1068" i="16" s="1"/>
  <c r="D1071" i="16"/>
  <c r="O1054" i="16"/>
  <c r="N1043" i="16"/>
  <c r="U1007" i="16"/>
  <c r="V1018" i="16"/>
  <c r="X1000" i="16"/>
  <c r="V1006" i="16"/>
  <c r="R1036" i="16"/>
  <c r="Q1030" i="16"/>
  <c r="S1120" i="16"/>
  <c r="S218" i="16" s="1"/>
  <c r="R218" i="16"/>
  <c r="R1121" i="16"/>
  <c r="R219" i="16" s="1"/>
  <c r="N840" i="20"/>
  <c r="N839" i="20"/>
  <c r="O839" i="20" s="1"/>
  <c r="P839" i="20" s="1"/>
  <c r="S1129" i="16"/>
  <c r="Q316" i="20"/>
  <c r="W887" i="20"/>
  <c r="W889" i="20" s="1"/>
  <c r="U314" i="20"/>
  <c r="V888" i="20"/>
  <c r="U1168" i="20"/>
  <c r="V1166" i="20"/>
  <c r="U1167" i="20"/>
  <c r="X867" i="20"/>
  <c r="P645" i="20"/>
  <c r="N110" i="20"/>
  <c r="L249" i="20"/>
  <c r="D70" i="25" s="1"/>
  <c r="P1094" i="20"/>
  <c r="Q550" i="20"/>
  <c r="Q77" i="20" s="1"/>
  <c r="Q1191" i="20" s="1"/>
  <c r="Q74" i="20"/>
  <c r="W587" i="20"/>
  <c r="Q549" i="20"/>
  <c r="R549" i="20" s="1"/>
  <c r="Q1093" i="20"/>
  <c r="Q1095" i="20" s="1"/>
  <c r="O1108" i="20"/>
  <c r="N1138" i="20"/>
  <c r="N1140" i="20" s="1"/>
  <c r="X803" i="20"/>
  <c r="X805" i="20" s="1"/>
  <c r="W805" i="20"/>
  <c r="W804" i="20"/>
  <c r="Q838" i="20"/>
  <c r="Q840" i="20" s="1"/>
  <c r="S548" i="20"/>
  <c r="S550" i="20" s="1"/>
  <c r="M825" i="20"/>
  <c r="M826" i="20" s="1"/>
  <c r="M166" i="20" s="1"/>
  <c r="M1195" i="20" s="1"/>
  <c r="L164" i="20"/>
  <c r="M163" i="20"/>
  <c r="N824" i="20"/>
  <c r="P1107" i="20"/>
  <c r="O840" i="20"/>
  <c r="N646" i="20"/>
  <c r="N647" i="20" s="1"/>
  <c r="N113" i="20" s="1"/>
  <c r="N1194" i="20" s="1"/>
  <c r="M111" i="20"/>
  <c r="M1153" i="20"/>
  <c r="N1153" i="20" s="1"/>
  <c r="S557" i="20"/>
  <c r="T555" i="20"/>
  <c r="R557" i="20"/>
  <c r="R77" i="20" s="1"/>
  <c r="R1191" i="20" s="1"/>
  <c r="R74" i="20"/>
  <c r="P556" i="20"/>
  <c r="O75" i="20"/>
  <c r="W342" i="20"/>
  <c r="X881" i="20"/>
  <c r="N1154" i="20"/>
  <c r="W811" i="20"/>
  <c r="W812" i="20"/>
  <c r="X810" i="20"/>
  <c r="X812" i="20" s="1"/>
  <c r="O1152" i="20"/>
  <c r="O1154" i="20" s="1"/>
  <c r="K255" i="20"/>
  <c r="K258" i="20" s="1"/>
  <c r="K236" i="10" s="1"/>
  <c r="K235" i="10" s="1"/>
  <c r="O1080" i="20"/>
  <c r="M1139" i="20"/>
  <c r="M1140" i="20" s="1"/>
  <c r="P1079" i="20"/>
  <c r="M1146" i="20"/>
  <c r="N1146" i="20" s="1"/>
  <c r="Q1058" i="20"/>
  <c r="R1058" i="20" s="1"/>
  <c r="R1060" i="20" s="1"/>
  <c r="M199" i="20"/>
  <c r="L200" i="20"/>
  <c r="M1174" i="20"/>
  <c r="N1174" i="20" s="1"/>
  <c r="O1173" i="20"/>
  <c r="O1175" i="20" s="1"/>
  <c r="P1100" i="20"/>
  <c r="Q1100" i="20" s="1"/>
  <c r="Q1102" i="20" s="1"/>
  <c r="O1101" i="20"/>
  <c r="O1145" i="20"/>
  <c r="O1147" i="20" s="1"/>
  <c r="N1147" i="20"/>
  <c r="N181" i="20"/>
  <c r="N1181" i="20"/>
  <c r="L202" i="20"/>
  <c r="L1197" i="20" s="1"/>
  <c r="L1192" i="20" s="1"/>
  <c r="N1133" i="20"/>
  <c r="O1180" i="20"/>
  <c r="O1131" i="20"/>
  <c r="M1125" i="20"/>
  <c r="M1126" i="20" s="1"/>
  <c r="N1124" i="20"/>
  <c r="N184" i="20"/>
  <c r="N1196" i="20" s="1"/>
  <c r="N1118" i="20"/>
  <c r="N1119" i="20"/>
  <c r="O1117" i="20"/>
  <c r="O1086" i="20"/>
  <c r="O181" i="20" s="1"/>
  <c r="N1087" i="20"/>
  <c r="X748" i="20"/>
  <c r="Q1044" i="20"/>
  <c r="R1044" i="20" s="1"/>
  <c r="P1046" i="20"/>
  <c r="P1067" i="20"/>
  <c r="Q1065" i="20"/>
  <c r="Q1067" i="20" s="1"/>
  <c r="P1066" i="20"/>
  <c r="X727" i="20"/>
  <c r="X728" i="20" s="1"/>
  <c r="P1053" i="20"/>
  <c r="Q1051" i="20"/>
  <c r="M182" i="20"/>
  <c r="N1045" i="20"/>
  <c r="O1053" i="20"/>
  <c r="O1052" i="20"/>
  <c r="P1052" i="20" s="1"/>
  <c r="R315" i="20"/>
  <c r="O1743" i="16"/>
  <c r="P1743" i="16" s="1"/>
  <c r="Q1743" i="16" s="1"/>
  <c r="M1744" i="16"/>
  <c r="N1744" i="16" s="1"/>
  <c r="M2186" i="16"/>
  <c r="V986" i="20"/>
  <c r="N1737" i="16"/>
  <c r="N1738" i="16" s="1"/>
  <c r="W985" i="20"/>
  <c r="R1021" i="20"/>
  <c r="P2184" i="16"/>
  <c r="Q1729" i="16"/>
  <c r="O1035" i="20"/>
  <c r="P1730" i="16"/>
  <c r="U1695" i="16"/>
  <c r="V1694" i="16"/>
  <c r="U2179" i="16"/>
  <c r="L1751" i="16"/>
  <c r="O1036" i="20"/>
  <c r="L1752" i="16"/>
  <c r="K1758" i="16"/>
  <c r="R1022" i="20"/>
  <c r="S1020" i="20"/>
  <c r="L1757" i="16"/>
  <c r="P1034" i="20"/>
  <c r="Q1034" i="20" s="1"/>
  <c r="P1028" i="20"/>
  <c r="W1008" i="20"/>
  <c r="X1008" i="20"/>
  <c r="T1000" i="20"/>
  <c r="R1029" i="20"/>
  <c r="O1736" i="16"/>
  <c r="O2185" i="16" s="1"/>
  <c r="W1001" i="20"/>
  <c r="N2185" i="16"/>
  <c r="T1128" i="16"/>
  <c r="U1128" i="16" s="1"/>
  <c r="M1750" i="16"/>
  <c r="N1750" i="16" s="1"/>
  <c r="V1127" i="16"/>
  <c r="W1127" i="16" s="1"/>
  <c r="K1759" i="16"/>
  <c r="P787" i="16"/>
  <c r="W2180" i="16"/>
  <c r="V1702" i="16"/>
  <c r="S1709" i="16"/>
  <c r="T2182" i="16"/>
  <c r="S2182" i="16"/>
  <c r="K1764" i="16"/>
  <c r="S1716" i="16"/>
  <c r="S2181" i="16"/>
  <c r="B1768" i="16"/>
  <c r="O1774" i="16"/>
  <c r="W1774" i="16"/>
  <c r="D1769" i="16"/>
  <c r="P1774" i="16"/>
  <c r="X1774" i="16"/>
  <c r="D1775" i="16"/>
  <c r="Q1774" i="16"/>
  <c r="L1774" i="16"/>
  <c r="T1774" i="16"/>
  <c r="R1774" i="16"/>
  <c r="K1774" i="16"/>
  <c r="S1774" i="16"/>
  <c r="E1770" i="16"/>
  <c r="D1770" i="16" s="1"/>
  <c r="M1774" i="16"/>
  <c r="U1774" i="16"/>
  <c r="E1769" i="16"/>
  <c r="F1769" i="16" s="1"/>
  <c r="N1774" i="16"/>
  <c r="V1774" i="16"/>
  <c r="R2183" i="16"/>
  <c r="R1723" i="16"/>
  <c r="X1542" i="16"/>
  <c r="W695" i="20"/>
  <c r="T200" i="10"/>
  <c r="S344" i="10"/>
  <c r="V1543" i="16"/>
  <c r="X1528" i="16"/>
  <c r="X2156" i="16"/>
  <c r="X2154" i="16"/>
  <c r="X2152" i="16"/>
  <c r="V688" i="20"/>
  <c r="X1514" i="16"/>
  <c r="W696" i="20"/>
  <c r="X696" i="20"/>
  <c r="X709" i="20"/>
  <c r="V689" i="20"/>
  <c r="P192" i="10"/>
  <c r="P337" i="10"/>
  <c r="P336" i="10" s="1"/>
  <c r="X2026" i="16" l="1"/>
  <c r="X2227" i="16"/>
  <c r="X2025" i="16"/>
  <c r="W1976" i="16"/>
  <c r="N1032" i="16"/>
  <c r="O1031" i="16"/>
  <c r="W1977" i="16"/>
  <c r="R627" i="16"/>
  <c r="R2224" i="16"/>
  <c r="L1066" i="16"/>
  <c r="L1067" i="16" s="1"/>
  <c r="S2003" i="16"/>
  <c r="X1673" i="16"/>
  <c r="X2176" i="16" s="1"/>
  <c r="W2176" i="16"/>
  <c r="W1675" i="16"/>
  <c r="Q2004" i="16"/>
  <c r="P628" i="16"/>
  <c r="X1975" i="16"/>
  <c r="X2220" i="16" s="1"/>
  <c r="W2220" i="16"/>
  <c r="P629" i="16"/>
  <c r="P795" i="16" s="1"/>
  <c r="P203" i="10" s="1"/>
  <c r="P347" i="10" s="1"/>
  <c r="Q2005" i="16"/>
  <c r="W1674" i="16"/>
  <c r="K175" i="10"/>
  <c r="K319" i="10" s="1"/>
  <c r="H1788" i="16"/>
  <c r="I1781" i="16" a="1"/>
  <c r="I1781" i="16" s="1"/>
  <c r="O322" i="20"/>
  <c r="P322" i="20" s="1"/>
  <c r="P52" i="20" s="1"/>
  <c r="W80" i="16"/>
  <c r="W176" i="16"/>
  <c r="W175" i="16" s="1"/>
  <c r="M1049" i="16"/>
  <c r="N1049" i="16" s="1"/>
  <c r="O1049" i="16" s="1"/>
  <c r="R1072" i="20"/>
  <c r="S1072" i="20" s="1"/>
  <c r="S1074" i="20" s="1"/>
  <c r="X1529" i="16"/>
  <c r="Q1073" i="20"/>
  <c r="N1132" i="20"/>
  <c r="O1132" i="20" s="1"/>
  <c r="P1159" i="20"/>
  <c r="Q1159" i="20" s="1"/>
  <c r="X832" i="20"/>
  <c r="Q323" i="20"/>
  <c r="Q54" i="20" s="1"/>
  <c r="Q1190" i="20" s="1"/>
  <c r="Q1189" i="20" s="1"/>
  <c r="U1696" i="16"/>
  <c r="O1160" i="20"/>
  <c r="R321" i="20"/>
  <c r="S321" i="20" s="1"/>
  <c r="M1055" i="16"/>
  <c r="N1055" i="16" s="1"/>
  <c r="O1055" i="16" s="1"/>
  <c r="P323" i="20"/>
  <c r="P54" i="20" s="1"/>
  <c r="P1190" i="20" s="1"/>
  <c r="P1189" i="20" s="1"/>
  <c r="P51" i="20"/>
  <c r="P1731" i="16"/>
  <c r="S1710" i="16"/>
  <c r="X1520" i="16"/>
  <c r="W2153" i="16"/>
  <c r="W1506" i="16"/>
  <c r="W369" i="16" s="1"/>
  <c r="V1522" i="16"/>
  <c r="V1508" i="16" s="1"/>
  <c r="V371" i="16" s="1"/>
  <c r="V792" i="16" s="1"/>
  <c r="W1521" i="16"/>
  <c r="V1507" i="16"/>
  <c r="V370" i="16" s="1"/>
  <c r="X1515" i="16"/>
  <c r="S1717" i="16"/>
  <c r="R1724" i="16"/>
  <c r="L1050" i="16"/>
  <c r="V1703" i="16"/>
  <c r="M1056" i="16"/>
  <c r="N1056" i="16" s="1"/>
  <c r="V1963" i="16"/>
  <c r="M1147" i="20"/>
  <c r="M1154" i="20"/>
  <c r="M1175" i="20"/>
  <c r="D1771" i="16"/>
  <c r="F1770" i="16" s="1"/>
  <c r="M1745" i="16"/>
  <c r="N1745" i="16" s="1"/>
  <c r="R1014" i="20"/>
  <c r="S1013" i="20"/>
  <c r="R1015" i="20"/>
  <c r="R965" i="20"/>
  <c r="S964" i="20"/>
  <c r="R966" i="20"/>
  <c r="P608" i="20"/>
  <c r="T602" i="20"/>
  <c r="U594" i="20"/>
  <c r="U1876" i="16"/>
  <c r="P609" i="20"/>
  <c r="P90" i="20" s="1"/>
  <c r="P1193" i="20" s="1"/>
  <c r="P87" i="20"/>
  <c r="Q607" i="20"/>
  <c r="R607" i="20" s="1"/>
  <c r="P601" i="20"/>
  <c r="O88" i="20"/>
  <c r="U600" i="20"/>
  <c r="U2223" i="16"/>
  <c r="V1996" i="16"/>
  <c r="V2223" i="16" s="1"/>
  <c r="W1962" i="16"/>
  <c r="X1961" i="16"/>
  <c r="X2218" i="16" s="1"/>
  <c r="W2218" i="16"/>
  <c r="V1875" i="16"/>
  <c r="W1874" i="16"/>
  <c r="V2203" i="16"/>
  <c r="U1997" i="16"/>
  <c r="U1998" i="16" s="1"/>
  <c r="U343" i="20"/>
  <c r="V343" i="20" s="1"/>
  <c r="V344" i="20" s="1"/>
  <c r="X2244" i="16"/>
  <c r="X2256" i="16" s="1"/>
  <c r="R1122" i="16"/>
  <c r="R220" i="16" s="1"/>
  <c r="R788" i="16" s="1"/>
  <c r="R787" i="16" s="1"/>
  <c r="W1002" i="16"/>
  <c r="L1062" i="16"/>
  <c r="M1060" i="16"/>
  <c r="N1060" i="16" s="1"/>
  <c r="U1020" i="16"/>
  <c r="S1025" i="16"/>
  <c r="S1014" i="16"/>
  <c r="T1024" i="16"/>
  <c r="U1008" i="16"/>
  <c r="N1044" i="16"/>
  <c r="Q1026" i="16"/>
  <c r="P1038" i="16"/>
  <c r="Q1038" i="16" s="1"/>
  <c r="D1072" i="16"/>
  <c r="F1071" i="16" s="1"/>
  <c r="K1072" i="16" s="1"/>
  <c r="K1073" i="16" s="1"/>
  <c r="V1019" i="16"/>
  <c r="O1043" i="16"/>
  <c r="P1048" i="16"/>
  <c r="P1042" i="16"/>
  <c r="L1068" i="16"/>
  <c r="V1007" i="16"/>
  <c r="D1077" i="16"/>
  <c r="C1084" i="16"/>
  <c r="B1081" i="16"/>
  <c r="D1087" i="16"/>
  <c r="J1086" i="16"/>
  <c r="E1083" i="16"/>
  <c r="E1082" i="16"/>
  <c r="F1082" i="16" s="1"/>
  <c r="D1082" i="16"/>
  <c r="P1054" i="16"/>
  <c r="R1037" i="16"/>
  <c r="S1036" i="16"/>
  <c r="X1001" i="16"/>
  <c r="W1018" i="16"/>
  <c r="W1006" i="16"/>
  <c r="R1030" i="16"/>
  <c r="T1120" i="16"/>
  <c r="T2111" i="16" s="1"/>
  <c r="S2111" i="16"/>
  <c r="S1121" i="16"/>
  <c r="S219" i="16" s="1"/>
  <c r="K261" i="10"/>
  <c r="K404" i="10" s="1"/>
  <c r="K399" i="10" s="1"/>
  <c r="W888" i="20"/>
  <c r="R316" i="20"/>
  <c r="Q645" i="20"/>
  <c r="R645" i="20" s="1"/>
  <c r="R110" i="20" s="1"/>
  <c r="X887" i="20"/>
  <c r="X889" i="20" s="1"/>
  <c r="P1108" i="20"/>
  <c r="V314" i="20"/>
  <c r="P110" i="20"/>
  <c r="V1167" i="20"/>
  <c r="V1168" i="20"/>
  <c r="W1166" i="20"/>
  <c r="W1168" i="20" s="1"/>
  <c r="Q1094" i="20"/>
  <c r="L252" i="20"/>
  <c r="L227" i="11" s="1"/>
  <c r="L228" i="11" s="1"/>
  <c r="L247" i="11" s="1"/>
  <c r="L174" i="10" s="1"/>
  <c r="L318" i="10" s="1"/>
  <c r="R1093" i="20"/>
  <c r="S1093" i="20" s="1"/>
  <c r="S1095" i="20" s="1"/>
  <c r="Q1107" i="20"/>
  <c r="Q1109" i="20" s="1"/>
  <c r="S74" i="20"/>
  <c r="N1139" i="20"/>
  <c r="X587" i="20"/>
  <c r="S549" i="20"/>
  <c r="O1138" i="20"/>
  <c r="O1140" i="20" s="1"/>
  <c r="T548" i="20"/>
  <c r="T550" i="20" s="1"/>
  <c r="P1102" i="20"/>
  <c r="P1109" i="20"/>
  <c r="Q839" i="20"/>
  <c r="X804" i="20"/>
  <c r="R838" i="20"/>
  <c r="R840" i="20" s="1"/>
  <c r="O824" i="20"/>
  <c r="M249" i="20"/>
  <c r="M252" i="20" s="1"/>
  <c r="M175" i="10" s="1"/>
  <c r="M319" i="10" s="1"/>
  <c r="N826" i="20"/>
  <c r="N166" i="20" s="1"/>
  <c r="N1195" i="20" s="1"/>
  <c r="N163" i="20"/>
  <c r="N825" i="20"/>
  <c r="M164" i="20"/>
  <c r="O1153" i="20"/>
  <c r="O646" i="20"/>
  <c r="O647" i="20" s="1"/>
  <c r="O113" i="20" s="1"/>
  <c r="O1194" i="20" s="1"/>
  <c r="N111" i="20"/>
  <c r="X342" i="20"/>
  <c r="S77" i="20"/>
  <c r="S1191" i="20" s="1"/>
  <c r="Q556" i="20"/>
  <c r="P75" i="20"/>
  <c r="T557" i="20"/>
  <c r="U555" i="20"/>
  <c r="K379" i="10"/>
  <c r="K378" i="10" s="1"/>
  <c r="X811" i="20"/>
  <c r="P1080" i="20"/>
  <c r="P1152" i="20"/>
  <c r="Q1060" i="20"/>
  <c r="S1058" i="20"/>
  <c r="S1060" i="20" s="1"/>
  <c r="Q1059" i="20"/>
  <c r="R1059" i="20" s="1"/>
  <c r="P1173" i="20"/>
  <c r="P1175" i="20" s="1"/>
  <c r="R1100" i="20"/>
  <c r="R1102" i="20" s="1"/>
  <c r="P1081" i="20"/>
  <c r="Q1079" i="20"/>
  <c r="P1101" i="20"/>
  <c r="Q1101" i="20" s="1"/>
  <c r="O1174" i="20"/>
  <c r="M200" i="20"/>
  <c r="P1145" i="20"/>
  <c r="P1147" i="20" s="1"/>
  <c r="O1146" i="20"/>
  <c r="L255" i="20"/>
  <c r="L258" i="20" s="1"/>
  <c r="L236" i="10" s="1"/>
  <c r="P1131" i="20"/>
  <c r="P1133" i="20" s="1"/>
  <c r="O1182" i="20"/>
  <c r="P1180" i="20"/>
  <c r="Q1180" i="20" s="1"/>
  <c r="Q1182" i="20" s="1"/>
  <c r="O1181" i="20"/>
  <c r="O1133" i="20"/>
  <c r="O1124" i="20"/>
  <c r="O1126" i="20" s="1"/>
  <c r="N1126" i="20"/>
  <c r="N202" i="20" s="1"/>
  <c r="N1125" i="20"/>
  <c r="L261" i="10"/>
  <c r="O1087" i="20"/>
  <c r="N199" i="20"/>
  <c r="O1119" i="20"/>
  <c r="P1117" i="20"/>
  <c r="O1118" i="20"/>
  <c r="O1088" i="20"/>
  <c r="O184" i="20" s="1"/>
  <c r="P1086" i="20"/>
  <c r="Q1086" i="20" s="1"/>
  <c r="S1044" i="20"/>
  <c r="S1046" i="20" s="1"/>
  <c r="R1046" i="20"/>
  <c r="Q1066" i="20"/>
  <c r="Q1046" i="20"/>
  <c r="R1065" i="20"/>
  <c r="Q1052" i="20"/>
  <c r="O1045" i="20"/>
  <c r="N182" i="20"/>
  <c r="Q1053" i="20"/>
  <c r="R1051" i="20"/>
  <c r="S315" i="20"/>
  <c r="T1129" i="16"/>
  <c r="U1129" i="16" s="1"/>
  <c r="L1759" i="16"/>
  <c r="Q1730" i="16"/>
  <c r="M2187" i="16"/>
  <c r="X985" i="20"/>
  <c r="X987" i="20" s="1"/>
  <c r="W987" i="20"/>
  <c r="L1758" i="16"/>
  <c r="W986" i="20"/>
  <c r="L2188" i="16"/>
  <c r="V1695" i="16"/>
  <c r="M1757" i="16"/>
  <c r="N1757" i="16" s="1"/>
  <c r="O1757" i="16" s="1"/>
  <c r="P1757" i="16" s="1"/>
  <c r="R1729" i="16"/>
  <c r="Q2184" i="16"/>
  <c r="P1036" i="20"/>
  <c r="W1694" i="16"/>
  <c r="V2179" i="16"/>
  <c r="R1034" i="20"/>
  <c r="Q1036" i="20"/>
  <c r="P1736" i="16"/>
  <c r="P2185" i="16" s="1"/>
  <c r="P1035" i="20"/>
  <c r="Q1035" i="20" s="1"/>
  <c r="S1022" i="20"/>
  <c r="T1020" i="20"/>
  <c r="S1021" i="20"/>
  <c r="X1001" i="20"/>
  <c r="S1029" i="20"/>
  <c r="M1751" i="16"/>
  <c r="N1751" i="16" s="1"/>
  <c r="Q1028" i="20"/>
  <c r="O1737" i="16"/>
  <c r="O1738" i="16" s="1"/>
  <c r="X1007" i="20"/>
  <c r="T1029" i="20"/>
  <c r="U1000" i="20"/>
  <c r="L1764" i="16"/>
  <c r="O1750" i="16"/>
  <c r="P1750" i="16" s="1"/>
  <c r="R1743" i="16"/>
  <c r="S1743" i="16" s="1"/>
  <c r="K1771" i="16"/>
  <c r="K2190" i="16" s="1"/>
  <c r="P2186" i="16"/>
  <c r="V1128" i="16"/>
  <c r="W1128" i="16" s="1"/>
  <c r="X1127" i="16"/>
  <c r="X2180" i="16"/>
  <c r="W1702" i="16"/>
  <c r="Q193" i="10"/>
  <c r="Q337" i="10" s="1"/>
  <c r="Q336" i="10" s="1"/>
  <c r="T1709" i="16"/>
  <c r="O2186" i="16"/>
  <c r="Q2186" i="16"/>
  <c r="O1744" i="16"/>
  <c r="P1744" i="16" s="1"/>
  <c r="S1723" i="16"/>
  <c r="U2182" i="16"/>
  <c r="T1716" i="16"/>
  <c r="E1777" i="16"/>
  <c r="D1777" i="16" s="1"/>
  <c r="D1778" i="16" s="1"/>
  <c r="N1781" i="16"/>
  <c r="V1781" i="16"/>
  <c r="D1776" i="16"/>
  <c r="O1781" i="16"/>
  <c r="W1781" i="16"/>
  <c r="K1781" i="16"/>
  <c r="S1781" i="16"/>
  <c r="L1781" i="16"/>
  <c r="E1776" i="16"/>
  <c r="F1776" i="16" s="1"/>
  <c r="D1782" i="16"/>
  <c r="P1781" i="16"/>
  <c r="X1781" i="16"/>
  <c r="T1781" i="16"/>
  <c r="U1781" i="16"/>
  <c r="B1775" i="16"/>
  <c r="Q1781" i="16"/>
  <c r="R1781" i="16"/>
  <c r="M1781" i="16"/>
  <c r="T2181" i="16"/>
  <c r="K1765" i="16"/>
  <c r="K1766" i="16" s="1"/>
  <c r="K2189" i="16"/>
  <c r="N2187" i="16"/>
  <c r="S2183" i="16"/>
  <c r="U200" i="10"/>
  <c r="W1543" i="16"/>
  <c r="T344" i="10"/>
  <c r="W688" i="20"/>
  <c r="W689" i="20"/>
  <c r="X695" i="20"/>
  <c r="M1066" i="16" l="1"/>
  <c r="N1066" i="16" s="1"/>
  <c r="O1032" i="16"/>
  <c r="P1032" i="16" s="1"/>
  <c r="Q1032" i="16" s="1"/>
  <c r="P1031" i="16"/>
  <c r="Q1031" i="16" s="1"/>
  <c r="R1031" i="16" s="1"/>
  <c r="K1074" i="16"/>
  <c r="Q629" i="16"/>
  <c r="Q795" i="16" s="1"/>
  <c r="Q203" i="10" s="1"/>
  <c r="Q347" i="10" s="1"/>
  <c r="R2005" i="16"/>
  <c r="S627" i="16"/>
  <c r="S2224" i="16"/>
  <c r="T2003" i="16"/>
  <c r="Q628" i="16"/>
  <c r="R2004" i="16"/>
  <c r="X1675" i="16"/>
  <c r="X1976" i="16"/>
  <c r="X1674" i="16"/>
  <c r="X1977" i="16"/>
  <c r="U344" i="20"/>
  <c r="H1795" i="16"/>
  <c r="I1788" i="16" a="1"/>
  <c r="I1788" i="16" s="1"/>
  <c r="O52" i="20"/>
  <c r="T1072" i="20"/>
  <c r="T1074" i="20" s="1"/>
  <c r="U1024" i="16"/>
  <c r="V1024" i="16" s="1"/>
  <c r="M1050" i="16"/>
  <c r="N1050" i="16" s="1"/>
  <c r="O1050" i="16" s="1"/>
  <c r="R1074" i="20"/>
  <c r="R1073" i="20"/>
  <c r="S1073" i="20" s="1"/>
  <c r="P1161" i="20"/>
  <c r="P1160" i="20"/>
  <c r="Q1160" i="20" s="1"/>
  <c r="R323" i="20"/>
  <c r="R54" i="20" s="1"/>
  <c r="R1190" i="20" s="1"/>
  <c r="R1189" i="20" s="1"/>
  <c r="V1696" i="16"/>
  <c r="R51" i="20"/>
  <c r="Q1731" i="16"/>
  <c r="X19" i="16"/>
  <c r="T1717" i="16"/>
  <c r="T1710" i="16"/>
  <c r="Q322" i="20"/>
  <c r="Q52" i="20" s="1"/>
  <c r="S1724" i="16"/>
  <c r="W1703" i="16"/>
  <c r="W1522" i="16"/>
  <c r="W1508" i="16" s="1"/>
  <c r="W371" i="16" s="1"/>
  <c r="W792" i="16" s="1"/>
  <c r="X1521" i="16"/>
  <c r="W1507" i="16"/>
  <c r="W370" i="16" s="1"/>
  <c r="X2153" i="16"/>
  <c r="X1506" i="16"/>
  <c r="V1008" i="16"/>
  <c r="W1963" i="16"/>
  <c r="M202" i="20"/>
  <c r="M1197" i="20" s="1"/>
  <c r="M1192" i="20" s="1"/>
  <c r="S1014" i="20"/>
  <c r="O1745" i="16"/>
  <c r="P1745" i="16" s="1"/>
  <c r="M1752" i="16"/>
  <c r="N1752" i="16" s="1"/>
  <c r="S966" i="20"/>
  <c r="T964" i="20"/>
  <c r="S965" i="20"/>
  <c r="T1013" i="20"/>
  <c r="S1015" i="20"/>
  <c r="U602" i="20"/>
  <c r="V600" i="20"/>
  <c r="R609" i="20"/>
  <c r="R90" i="20" s="1"/>
  <c r="R1193" i="20" s="1"/>
  <c r="R87" i="20"/>
  <c r="V594" i="20"/>
  <c r="Q601" i="20"/>
  <c r="P88" i="20"/>
  <c r="Q609" i="20"/>
  <c r="Q90" i="20" s="1"/>
  <c r="Q1193" i="20" s="1"/>
  <c r="Q87" i="20"/>
  <c r="S607" i="20"/>
  <c r="V1876" i="16"/>
  <c r="Q608" i="20"/>
  <c r="R608" i="20" s="1"/>
  <c r="W1996" i="16"/>
  <c r="X1996" i="16" s="1"/>
  <c r="F1777" i="16"/>
  <c r="X1962" i="16"/>
  <c r="W1875" i="16"/>
  <c r="X1874" i="16"/>
  <c r="W2203" i="16"/>
  <c r="V1997" i="16"/>
  <c r="V1998" i="16" s="1"/>
  <c r="X2252" i="16"/>
  <c r="W343" i="20"/>
  <c r="X343" i="20" s="1"/>
  <c r="X344" i="20" s="1"/>
  <c r="W49" i="10"/>
  <c r="W48" i="10" s="1"/>
  <c r="W47" i="10" s="1"/>
  <c r="X1002" i="16"/>
  <c r="X20" i="16"/>
  <c r="X81" i="16" s="1"/>
  <c r="X2264" i="16"/>
  <c r="K249" i="10"/>
  <c r="K392" i="10" s="1"/>
  <c r="N255" i="20"/>
  <c r="N258" i="20" s="1"/>
  <c r="N236" i="10" s="1"/>
  <c r="S1122" i="16"/>
  <c r="S220" i="16" s="1"/>
  <c r="S788" i="16" s="1"/>
  <c r="S193" i="10" s="1"/>
  <c r="M1061" i="16"/>
  <c r="N1061" i="16" s="1"/>
  <c r="V1020" i="16"/>
  <c r="L1072" i="16"/>
  <c r="T1014" i="16"/>
  <c r="O1044" i="16"/>
  <c r="T1025" i="16"/>
  <c r="R1026" i="16"/>
  <c r="R1038" i="16"/>
  <c r="O1060" i="16"/>
  <c r="O1056" i="16"/>
  <c r="D1078" i="16"/>
  <c r="F1077" i="16" s="1"/>
  <c r="K1078" i="16" s="1"/>
  <c r="K1079" i="16" s="1"/>
  <c r="K1080" i="16" s="1"/>
  <c r="P1049" i="16"/>
  <c r="Q1048" i="16"/>
  <c r="W1007" i="16"/>
  <c r="P1043" i="16"/>
  <c r="Q1042" i="16"/>
  <c r="P1055" i="16"/>
  <c r="S1037" i="16"/>
  <c r="E1088" i="16"/>
  <c r="F1088" i="16" s="1"/>
  <c r="D1088" i="16"/>
  <c r="C1090" i="16"/>
  <c r="B1087" i="16"/>
  <c r="D1093" i="16"/>
  <c r="J1092" i="16"/>
  <c r="E1089" i="16"/>
  <c r="Q1054" i="16"/>
  <c r="D1083" i="16"/>
  <c r="D1084" i="16" s="1"/>
  <c r="X1018" i="16"/>
  <c r="S1030" i="16"/>
  <c r="W1019" i="16"/>
  <c r="X1006" i="16"/>
  <c r="T1036" i="16"/>
  <c r="U1120" i="16"/>
  <c r="U2111" i="16" s="1"/>
  <c r="T218" i="16"/>
  <c r="T1121" i="16"/>
  <c r="T219" i="16" s="1"/>
  <c r="K256" i="10"/>
  <c r="Q110" i="20"/>
  <c r="X888" i="20"/>
  <c r="S645" i="20"/>
  <c r="S110" i="20" s="1"/>
  <c r="S316" i="20"/>
  <c r="T321" i="20"/>
  <c r="S51" i="20"/>
  <c r="W314" i="20"/>
  <c r="L175" i="10"/>
  <c r="L319" i="10" s="1"/>
  <c r="R1095" i="20"/>
  <c r="R1094" i="20"/>
  <c r="S1094" i="20" s="1"/>
  <c r="X1166" i="20"/>
  <c r="X1168" i="20" s="1"/>
  <c r="W1167" i="20"/>
  <c r="Q1108" i="20"/>
  <c r="R1107" i="20"/>
  <c r="U548" i="20"/>
  <c r="U550" i="20" s="1"/>
  <c r="N200" i="20"/>
  <c r="T549" i="20"/>
  <c r="O1139" i="20"/>
  <c r="P1138" i="20"/>
  <c r="P1140" i="20" s="1"/>
  <c r="T74" i="20"/>
  <c r="R839" i="20"/>
  <c r="S838" i="20"/>
  <c r="S840" i="20" s="1"/>
  <c r="M227" i="11"/>
  <c r="M228" i="11" s="1"/>
  <c r="M247" i="11" s="1"/>
  <c r="M174" i="10" s="1"/>
  <c r="M318" i="10" s="1"/>
  <c r="E70" i="25"/>
  <c r="P824" i="20"/>
  <c r="Q824" i="20" s="1"/>
  <c r="O826" i="20"/>
  <c r="O166" i="20" s="1"/>
  <c r="O1195" i="20" s="1"/>
  <c r="O163" i="20"/>
  <c r="N249" i="20"/>
  <c r="N252" i="20" s="1"/>
  <c r="N175" i="10" s="1"/>
  <c r="N319" i="10" s="1"/>
  <c r="O825" i="20"/>
  <c r="N164" i="20"/>
  <c r="P646" i="20"/>
  <c r="P647" i="20" s="1"/>
  <c r="P113" i="20" s="1"/>
  <c r="P1194" i="20" s="1"/>
  <c r="O111" i="20"/>
  <c r="T77" i="20"/>
  <c r="T1191" i="20" s="1"/>
  <c r="P1174" i="20"/>
  <c r="R556" i="20"/>
  <c r="Q75" i="20"/>
  <c r="U557" i="20"/>
  <c r="V555" i="20"/>
  <c r="Q1161" i="20"/>
  <c r="R1159" i="20"/>
  <c r="R1161" i="20" s="1"/>
  <c r="Q1173" i="20"/>
  <c r="Q1175" i="20" s="1"/>
  <c r="Q1152" i="20"/>
  <c r="P1154" i="20"/>
  <c r="P1153" i="20"/>
  <c r="S1059" i="20"/>
  <c r="T1058" i="20"/>
  <c r="T1060" i="20" s="1"/>
  <c r="S1100" i="20"/>
  <c r="S1102" i="20" s="1"/>
  <c r="R1101" i="20"/>
  <c r="Q1145" i="20"/>
  <c r="R1145" i="20" s="1"/>
  <c r="Q1081" i="20"/>
  <c r="R1079" i="20"/>
  <c r="Q1080" i="20"/>
  <c r="P1146" i="20"/>
  <c r="O199" i="20"/>
  <c r="Q1131" i="20"/>
  <c r="Q1133" i="20" s="1"/>
  <c r="P1181" i="20"/>
  <c r="Q1181" i="20" s="1"/>
  <c r="P1124" i="20"/>
  <c r="P1132" i="20"/>
  <c r="L379" i="10"/>
  <c r="L378" i="10" s="1"/>
  <c r="L235" i="10"/>
  <c r="L249" i="10" s="1"/>
  <c r="O1125" i="20"/>
  <c r="P1182" i="20"/>
  <c r="R1180" i="20"/>
  <c r="R1182" i="20" s="1"/>
  <c r="O202" i="20"/>
  <c r="O1197" i="20" s="1"/>
  <c r="L256" i="10"/>
  <c r="L404" i="10"/>
  <c r="L399" i="10" s="1"/>
  <c r="N1197" i="20"/>
  <c r="N1192" i="20" s="1"/>
  <c r="P1118" i="20"/>
  <c r="P1119" i="20"/>
  <c r="Q1117" i="20"/>
  <c r="O1196" i="20"/>
  <c r="Q1088" i="20"/>
  <c r="Q181" i="20"/>
  <c r="P1087" i="20"/>
  <c r="Q1087" i="20" s="1"/>
  <c r="P1088" i="20"/>
  <c r="P184" i="20" s="1"/>
  <c r="P1196" i="20" s="1"/>
  <c r="R1086" i="20"/>
  <c r="R1088" i="20" s="1"/>
  <c r="P181" i="20"/>
  <c r="T1093" i="20"/>
  <c r="T1044" i="20"/>
  <c r="T1046" i="20" s="1"/>
  <c r="R1067" i="20"/>
  <c r="S1065" i="20"/>
  <c r="R1066" i="20"/>
  <c r="S1051" i="20"/>
  <c r="T1051" i="20" s="1"/>
  <c r="P1045" i="20"/>
  <c r="O182" i="20"/>
  <c r="R1053" i="20"/>
  <c r="R1052" i="20"/>
  <c r="T315" i="20"/>
  <c r="V1129" i="16"/>
  <c r="W1129" i="16" s="1"/>
  <c r="M1758" i="16"/>
  <c r="N1758" i="16" s="1"/>
  <c r="M2188" i="16"/>
  <c r="X986" i="20"/>
  <c r="Q1736" i="16"/>
  <c r="Q2185" i="16" s="1"/>
  <c r="P1737" i="16"/>
  <c r="P1738" i="16" s="1"/>
  <c r="R2184" i="16"/>
  <c r="R1730" i="16"/>
  <c r="S1729" i="16"/>
  <c r="T1729" i="16" s="1"/>
  <c r="X1128" i="16"/>
  <c r="X1694" i="16"/>
  <c r="X2179" i="16" s="1"/>
  <c r="W2179" i="16"/>
  <c r="W1695" i="16"/>
  <c r="R1035" i="20"/>
  <c r="T1022" i="20"/>
  <c r="U1020" i="20"/>
  <c r="T1021" i="20"/>
  <c r="S1034" i="20"/>
  <c r="R1036" i="20"/>
  <c r="V1000" i="20"/>
  <c r="R1028" i="20"/>
  <c r="U1029" i="20"/>
  <c r="L1771" i="16"/>
  <c r="M1771" i="16" s="1"/>
  <c r="N1771" i="16" s="1"/>
  <c r="K1772" i="16"/>
  <c r="K1773" i="16" s="1"/>
  <c r="M1764" i="16"/>
  <c r="N1764" i="16" s="1"/>
  <c r="N2189" i="16" s="1"/>
  <c r="K1778" i="16"/>
  <c r="T1743" i="16"/>
  <c r="U1743" i="16" s="1"/>
  <c r="V1743" i="16" s="1"/>
  <c r="W1743" i="16" s="1"/>
  <c r="X1743" i="16" s="1"/>
  <c r="Q1757" i="16"/>
  <c r="L1765" i="16"/>
  <c r="L1766" i="16"/>
  <c r="L2189" i="16"/>
  <c r="Q1750" i="16"/>
  <c r="R193" i="10"/>
  <c r="R337" i="10" s="1"/>
  <c r="R336" i="10" s="1"/>
  <c r="X1702" i="16"/>
  <c r="Q192" i="10"/>
  <c r="R2186" i="16"/>
  <c r="Q1744" i="16"/>
  <c r="U1716" i="16"/>
  <c r="T1723" i="16"/>
  <c r="P2187" i="16"/>
  <c r="N2188" i="16"/>
  <c r="K1788" i="16"/>
  <c r="S1788" i="16"/>
  <c r="L1788" i="16"/>
  <c r="T1788" i="16"/>
  <c r="B1782" i="16"/>
  <c r="V1788" i="16"/>
  <c r="D1789" i="16"/>
  <c r="M1788" i="16"/>
  <c r="U1788" i="16"/>
  <c r="N1788" i="16"/>
  <c r="E1784" i="16"/>
  <c r="D1784" i="16" s="1"/>
  <c r="D1785" i="16" s="1"/>
  <c r="O1788" i="16"/>
  <c r="W1788" i="16"/>
  <c r="E1783" i="16"/>
  <c r="F1783" i="16" s="1"/>
  <c r="Q1788" i="16"/>
  <c r="D1783" i="16"/>
  <c r="P1788" i="16"/>
  <c r="X1788" i="16"/>
  <c r="R1788" i="16"/>
  <c r="U2181" i="16"/>
  <c r="V2181" i="16"/>
  <c r="O2187" i="16"/>
  <c r="U1709" i="16"/>
  <c r="V1709" i="16" s="1"/>
  <c r="O1751" i="16"/>
  <c r="P1751" i="16" s="1"/>
  <c r="T2183" i="16"/>
  <c r="S323" i="20"/>
  <c r="V200" i="10"/>
  <c r="X1543" i="16"/>
  <c r="U344" i="10"/>
  <c r="X689" i="20"/>
  <c r="X688" i="20"/>
  <c r="M1067" i="16" l="1"/>
  <c r="M1068" i="16" s="1"/>
  <c r="R628" i="16"/>
  <c r="S2004" i="16"/>
  <c r="T2224" i="16"/>
  <c r="T627" i="16"/>
  <c r="U2003" i="16"/>
  <c r="R629" i="16"/>
  <c r="R795" i="16" s="1"/>
  <c r="R203" i="10" s="1"/>
  <c r="R347" i="10" s="1"/>
  <c r="S2005" i="16"/>
  <c r="W344" i="20"/>
  <c r="H1802" i="16"/>
  <c r="I1795" i="16" a="1"/>
  <c r="I1795" i="16" s="1"/>
  <c r="X369" i="16"/>
  <c r="U1072" i="20"/>
  <c r="U1074" i="20" s="1"/>
  <c r="T1073" i="20"/>
  <c r="X80" i="16"/>
  <c r="X176" i="16"/>
  <c r="X175" i="16" s="1"/>
  <c r="O1066" i="16"/>
  <c r="P1066" i="16" s="1"/>
  <c r="M1072" i="16"/>
  <c r="R1731" i="16"/>
  <c r="W1696" i="16"/>
  <c r="U1717" i="16"/>
  <c r="T1724" i="16"/>
  <c r="R322" i="20"/>
  <c r="R52" i="20" s="1"/>
  <c r="X1703" i="16"/>
  <c r="X1522" i="16"/>
  <c r="X1508" i="16" s="1"/>
  <c r="X371" i="16" s="1"/>
  <c r="X792" i="16" s="1"/>
  <c r="X200" i="10" s="1"/>
  <c r="X1507" i="16"/>
  <c r="M255" i="20"/>
  <c r="M258" i="20" s="1"/>
  <c r="M236" i="10" s="1"/>
  <c r="M235" i="10" s="1"/>
  <c r="M1062" i="16"/>
  <c r="N1062" i="16" s="1"/>
  <c r="Q1745" i="16"/>
  <c r="T1014" i="20"/>
  <c r="X1963" i="16"/>
  <c r="M1759" i="16"/>
  <c r="N1759" i="16" s="1"/>
  <c r="U1710" i="16"/>
  <c r="V1710" i="16" s="1"/>
  <c r="O1752" i="16"/>
  <c r="P1752" i="16" s="1"/>
  <c r="W2223" i="16"/>
  <c r="U1013" i="20"/>
  <c r="T1015" i="20"/>
  <c r="T965" i="20"/>
  <c r="U964" i="20"/>
  <c r="T966" i="20"/>
  <c r="W1876" i="16"/>
  <c r="S609" i="20"/>
  <c r="S90" i="20" s="1"/>
  <c r="S1193" i="20" s="1"/>
  <c r="S87" i="20"/>
  <c r="W594" i="20"/>
  <c r="S608" i="20"/>
  <c r="V602" i="20"/>
  <c r="W600" i="20"/>
  <c r="T607" i="20"/>
  <c r="R601" i="20"/>
  <c r="Q88" i="20"/>
  <c r="F1784" i="16"/>
  <c r="X1875" i="16"/>
  <c r="X2203" i="16"/>
  <c r="W1997" i="16"/>
  <c r="W1998" i="16" s="1"/>
  <c r="X2223" i="16"/>
  <c r="W1008" i="16"/>
  <c r="S54" i="20"/>
  <c r="S1190" i="20" s="1"/>
  <c r="S1189" i="20" s="1"/>
  <c r="T1122" i="16"/>
  <c r="T220" i="16" s="1"/>
  <c r="T788" i="16" s="1"/>
  <c r="T193" i="10" s="1"/>
  <c r="L392" i="10"/>
  <c r="L1073" i="16"/>
  <c r="W1020" i="16"/>
  <c r="L1078" i="16"/>
  <c r="L1079" i="16" s="1"/>
  <c r="S1038" i="16"/>
  <c r="R1032" i="16"/>
  <c r="P1044" i="16"/>
  <c r="S1031" i="16"/>
  <c r="U1025" i="16"/>
  <c r="P1060" i="16"/>
  <c r="S1026" i="16"/>
  <c r="O1061" i="16"/>
  <c r="U1014" i="16"/>
  <c r="P1056" i="16"/>
  <c r="P1050" i="16"/>
  <c r="F1083" i="16"/>
  <c r="K1084" i="16" s="1"/>
  <c r="K1085" i="16" s="1"/>
  <c r="Q1049" i="16"/>
  <c r="R1042" i="16"/>
  <c r="T1037" i="16"/>
  <c r="R1048" i="16"/>
  <c r="Q1043" i="16"/>
  <c r="D1099" i="16"/>
  <c r="E1845" i="16" s="1"/>
  <c r="J1098" i="16"/>
  <c r="E1095" i="16"/>
  <c r="D1094" i="16"/>
  <c r="E1094" i="16"/>
  <c r="F1094" i="16" s="1"/>
  <c r="B1093" i="16"/>
  <c r="C1096" i="16"/>
  <c r="U218" i="16"/>
  <c r="V1120" i="16"/>
  <c r="R1054" i="16"/>
  <c r="D1089" i="16"/>
  <c r="Q1055" i="16"/>
  <c r="X1019" i="16"/>
  <c r="T1030" i="16"/>
  <c r="U1036" i="16"/>
  <c r="W1024" i="16"/>
  <c r="X1007" i="16"/>
  <c r="U1121" i="16"/>
  <c r="U219" i="16" s="1"/>
  <c r="T645" i="20"/>
  <c r="T110" i="20" s="1"/>
  <c r="R1108" i="20"/>
  <c r="O200" i="20"/>
  <c r="T316" i="20"/>
  <c r="X314" i="20"/>
  <c r="T51" i="20"/>
  <c r="U321" i="20"/>
  <c r="U323" i="20" s="1"/>
  <c r="P199" i="20"/>
  <c r="R1109" i="20"/>
  <c r="S1107" i="20"/>
  <c r="X1167" i="20"/>
  <c r="V548" i="20"/>
  <c r="V74" i="20" s="1"/>
  <c r="U74" i="20"/>
  <c r="U549" i="20"/>
  <c r="P1139" i="20"/>
  <c r="Q1138" i="20"/>
  <c r="Q1140" i="20" s="1"/>
  <c r="U1058" i="20"/>
  <c r="U1060" i="20" s="1"/>
  <c r="F70" i="25"/>
  <c r="T838" i="20"/>
  <c r="T840" i="20" s="1"/>
  <c r="M261" i="10"/>
  <c r="M404" i="10" s="1"/>
  <c r="M399" i="10" s="1"/>
  <c r="O1192" i="20"/>
  <c r="N227" i="11"/>
  <c r="N228" i="11" s="1"/>
  <c r="N247" i="11" s="1"/>
  <c r="N174" i="10" s="1"/>
  <c r="N318" i="10" s="1"/>
  <c r="O249" i="20"/>
  <c r="G70" i="25" s="1"/>
  <c r="S839" i="20"/>
  <c r="Q826" i="20"/>
  <c r="Q166" i="20" s="1"/>
  <c r="Q1195" i="20" s="1"/>
  <c r="Q163" i="20"/>
  <c r="R824" i="20"/>
  <c r="P825" i="20"/>
  <c r="O164" i="20"/>
  <c r="P826" i="20"/>
  <c r="P166" i="20" s="1"/>
  <c r="P1195" i="20" s="1"/>
  <c r="P163" i="20"/>
  <c r="Q184" i="20"/>
  <c r="Q1196" i="20" s="1"/>
  <c r="Q646" i="20"/>
  <c r="Q647" i="20" s="1"/>
  <c r="Q113" i="20" s="1"/>
  <c r="Q1194" i="20" s="1"/>
  <c r="P111" i="20"/>
  <c r="R1173" i="20"/>
  <c r="S1173" i="20" s="1"/>
  <c r="Q1147" i="20"/>
  <c r="U77" i="20"/>
  <c r="U1191" i="20" s="1"/>
  <c r="S556" i="20"/>
  <c r="R75" i="20"/>
  <c r="Q1174" i="20"/>
  <c r="V557" i="20"/>
  <c r="W555" i="20"/>
  <c r="R1160" i="20"/>
  <c r="T1100" i="20"/>
  <c r="T1102" i="20" s="1"/>
  <c r="S1159" i="20"/>
  <c r="R1152" i="20"/>
  <c r="Q1154" i="20"/>
  <c r="Q1153" i="20"/>
  <c r="S1101" i="20"/>
  <c r="Q1146" i="20"/>
  <c r="R1146" i="20" s="1"/>
  <c r="T1059" i="20"/>
  <c r="R1080" i="20"/>
  <c r="Q1132" i="20"/>
  <c r="S1079" i="20"/>
  <c r="R1081" i="20"/>
  <c r="R1131" i="20"/>
  <c r="S1131" i="20" s="1"/>
  <c r="S1133" i="20" s="1"/>
  <c r="Q1124" i="20"/>
  <c r="P1126" i="20"/>
  <c r="P202" i="20" s="1"/>
  <c r="P1197" i="20" s="1"/>
  <c r="P1125" i="20"/>
  <c r="R1147" i="20"/>
  <c r="S1145" i="20"/>
  <c r="O255" i="20"/>
  <c r="O258" i="20" s="1"/>
  <c r="O236" i="10" s="1"/>
  <c r="O235" i="10" s="1"/>
  <c r="R1181" i="20"/>
  <c r="S1180" i="20"/>
  <c r="N379" i="10"/>
  <c r="N378" i="10" s="1"/>
  <c r="N235" i="10"/>
  <c r="R1087" i="20"/>
  <c r="T1094" i="20"/>
  <c r="U1044" i="20"/>
  <c r="U1046" i="20" s="1"/>
  <c r="Q1119" i="20"/>
  <c r="Q1118" i="20"/>
  <c r="R1117" i="20"/>
  <c r="T1095" i="20"/>
  <c r="U1093" i="20"/>
  <c r="R181" i="20"/>
  <c r="S1086" i="20"/>
  <c r="S1053" i="20"/>
  <c r="S1052" i="20"/>
  <c r="T1052" i="20" s="1"/>
  <c r="S1067" i="20"/>
  <c r="T1065" i="20"/>
  <c r="S1066" i="20"/>
  <c r="U1051" i="20"/>
  <c r="V1051" i="20" s="1"/>
  <c r="T1053" i="20"/>
  <c r="P182" i="20"/>
  <c r="Q1045" i="20"/>
  <c r="U315" i="20"/>
  <c r="X1129" i="16"/>
  <c r="U1729" i="16"/>
  <c r="V1729" i="16" s="1"/>
  <c r="T2184" i="16"/>
  <c r="S1730" i="16"/>
  <c r="T1730" i="16" s="1"/>
  <c r="K1779" i="16"/>
  <c r="K1780" i="16" s="1"/>
  <c r="R1736" i="16"/>
  <c r="R2185" i="16" s="1"/>
  <c r="Q1737" i="16"/>
  <c r="Q1738" i="16" s="1"/>
  <c r="S2184" i="16"/>
  <c r="X1695" i="16"/>
  <c r="V1020" i="20"/>
  <c r="U1022" i="20"/>
  <c r="M1765" i="16"/>
  <c r="N1765" i="16" s="1"/>
  <c r="L1772" i="16"/>
  <c r="M1772" i="16" s="1"/>
  <c r="N1772" i="16" s="1"/>
  <c r="T1034" i="20"/>
  <c r="S1036" i="20"/>
  <c r="L1773" i="16"/>
  <c r="L2190" i="16"/>
  <c r="U1021" i="20"/>
  <c r="S1035" i="20"/>
  <c r="O1764" i="16"/>
  <c r="P1764" i="16" s="1"/>
  <c r="V1029" i="20"/>
  <c r="M2189" i="16"/>
  <c r="L1778" i="16"/>
  <c r="M1778" i="16" s="1"/>
  <c r="M2191" i="16" s="1"/>
  <c r="S1028" i="20"/>
  <c r="W1000" i="20"/>
  <c r="K2191" i="16"/>
  <c r="N2190" i="16"/>
  <c r="O1771" i="16"/>
  <c r="P1771" i="16" s="1"/>
  <c r="R1750" i="16"/>
  <c r="R1757" i="16"/>
  <c r="R192" i="10"/>
  <c r="S787" i="16"/>
  <c r="R1744" i="16"/>
  <c r="V2182" i="16"/>
  <c r="V1716" i="16"/>
  <c r="W1709" i="16"/>
  <c r="M2190" i="16"/>
  <c r="O1758" i="16"/>
  <c r="W2181" i="16"/>
  <c r="Q2187" i="16"/>
  <c r="O2188" i="16"/>
  <c r="K1785" i="16"/>
  <c r="D1790" i="16"/>
  <c r="P1795" i="16"/>
  <c r="X1795" i="16"/>
  <c r="D1796" i="16"/>
  <c r="Q1795" i="16"/>
  <c r="B1789" i="16"/>
  <c r="R1795" i="16"/>
  <c r="W1795" i="16"/>
  <c r="K1795" i="16"/>
  <c r="S1795" i="16"/>
  <c r="L1795" i="16"/>
  <c r="T1795" i="16"/>
  <c r="E1791" i="16"/>
  <c r="M1795" i="16"/>
  <c r="U1795" i="16"/>
  <c r="O1795" i="16"/>
  <c r="E1790" i="16"/>
  <c r="F1790" i="16" s="1"/>
  <c r="N1795" i="16"/>
  <c r="V1795" i="16"/>
  <c r="Q1751" i="16"/>
  <c r="U2183" i="16"/>
  <c r="U1723" i="16"/>
  <c r="T323" i="20"/>
  <c r="W200" i="10"/>
  <c r="V344" i="10"/>
  <c r="S192" i="10"/>
  <c r="S337" i="10"/>
  <c r="S336" i="10" s="1"/>
  <c r="N1067" i="16" l="1"/>
  <c r="N1068" i="16" s="1"/>
  <c r="L1084" i="16"/>
  <c r="L1085" i="16" s="1"/>
  <c r="K1086" i="16"/>
  <c r="U2224" i="16"/>
  <c r="U627" i="16"/>
  <c r="V2003" i="16"/>
  <c r="T2004" i="16"/>
  <c r="S628" i="16"/>
  <c r="S629" i="16"/>
  <c r="S795" i="16" s="1"/>
  <c r="S203" i="10" s="1"/>
  <c r="S347" i="10" s="1"/>
  <c r="T2005" i="16"/>
  <c r="T629" i="16" s="1"/>
  <c r="T795" i="16" s="1"/>
  <c r="T203" i="10" s="1"/>
  <c r="T347" i="10" s="1"/>
  <c r="V1072" i="20"/>
  <c r="V1074" i="20" s="1"/>
  <c r="H1809" i="16"/>
  <c r="I1802" i="16" a="1"/>
  <c r="I1802" i="16" s="1"/>
  <c r="X370" i="16"/>
  <c r="U1073" i="20"/>
  <c r="Q1066" i="16"/>
  <c r="R1066" i="16" s="1"/>
  <c r="N1072" i="16"/>
  <c r="V1025" i="16"/>
  <c r="M1073" i="16"/>
  <c r="X1696" i="16"/>
  <c r="V1717" i="16"/>
  <c r="U1724" i="16"/>
  <c r="S322" i="20"/>
  <c r="S52" i="20" s="1"/>
  <c r="R1745" i="16"/>
  <c r="O1759" i="16"/>
  <c r="M379" i="10"/>
  <c r="M378" i="10" s="1"/>
  <c r="W1710" i="16"/>
  <c r="U1014" i="20"/>
  <c r="S1032" i="16"/>
  <c r="X1008" i="16"/>
  <c r="L1074" i="16"/>
  <c r="M1773" i="16"/>
  <c r="N1773" i="16" s="1"/>
  <c r="Q1752" i="16"/>
  <c r="S1731" i="16"/>
  <c r="T1731" i="16" s="1"/>
  <c r="M1766" i="16"/>
  <c r="N1766" i="16" s="1"/>
  <c r="V964" i="20"/>
  <c r="U966" i="20"/>
  <c r="X1876" i="16"/>
  <c r="U965" i="20"/>
  <c r="V1013" i="20"/>
  <c r="U1015" i="20"/>
  <c r="W602" i="20"/>
  <c r="X600" i="20"/>
  <c r="T608" i="20"/>
  <c r="X594" i="20"/>
  <c r="S601" i="20"/>
  <c r="R88" i="20"/>
  <c r="U607" i="20"/>
  <c r="T609" i="20"/>
  <c r="T90" i="20" s="1"/>
  <c r="T1193" i="20" s="1"/>
  <c r="T87" i="20"/>
  <c r="D1845" i="16"/>
  <c r="D1846" i="16" s="1"/>
  <c r="X1997" i="16"/>
  <c r="X1998" i="16" s="1"/>
  <c r="X49" i="10"/>
  <c r="X48" i="10" s="1"/>
  <c r="X47" i="10" s="1"/>
  <c r="V2111" i="16"/>
  <c r="V218" i="16"/>
  <c r="M249" i="10"/>
  <c r="M392" i="10" s="1"/>
  <c r="T54" i="20"/>
  <c r="T1190" i="20" s="1"/>
  <c r="T1189" i="20" s="1"/>
  <c r="L1080" i="16"/>
  <c r="U1122" i="16"/>
  <c r="U220" i="16" s="1"/>
  <c r="U788" i="16" s="1"/>
  <c r="U193" i="10" s="1"/>
  <c r="X1020" i="16"/>
  <c r="P1061" i="16"/>
  <c r="M1078" i="16"/>
  <c r="M1079" i="16" s="1"/>
  <c r="T1038" i="16"/>
  <c r="Q1056" i="16"/>
  <c r="O1062" i="16"/>
  <c r="T1026" i="16"/>
  <c r="Q1044" i="16"/>
  <c r="V1014" i="16"/>
  <c r="Q1060" i="16"/>
  <c r="Q1050" i="16"/>
  <c r="D1090" i="16"/>
  <c r="F1089" i="16" s="1"/>
  <c r="K1090" i="16" s="1"/>
  <c r="K1091" i="16" s="1"/>
  <c r="K1092" i="16" s="1"/>
  <c r="R1049" i="16"/>
  <c r="S1042" i="16"/>
  <c r="R1043" i="16"/>
  <c r="S1048" i="16"/>
  <c r="T1048" i="16" s="1"/>
  <c r="W1120" i="16"/>
  <c r="R1055" i="16"/>
  <c r="S1054" i="16"/>
  <c r="D1095" i="16"/>
  <c r="D1100" i="16"/>
  <c r="E1852" i="16" s="1"/>
  <c r="B1099" i="16"/>
  <c r="B1843" i="16" s="1"/>
  <c r="E1101" i="16"/>
  <c r="D1105" i="16"/>
  <c r="C1102" i="16"/>
  <c r="J1104" i="16"/>
  <c r="E1100" i="16"/>
  <c r="U1030" i="16"/>
  <c r="X1024" i="16"/>
  <c r="V1036" i="16"/>
  <c r="T1031" i="16"/>
  <c r="U1037" i="16"/>
  <c r="V1121" i="16"/>
  <c r="V219" i="16" s="1"/>
  <c r="U645" i="20"/>
  <c r="S1108" i="20"/>
  <c r="M256" i="10"/>
  <c r="W548" i="20"/>
  <c r="W550" i="20" s="1"/>
  <c r="U316" i="20"/>
  <c r="V1058" i="20"/>
  <c r="W1058" i="20" s="1"/>
  <c r="R184" i="20"/>
  <c r="R1196" i="20" s="1"/>
  <c r="P249" i="20"/>
  <c r="P252" i="20" s="1"/>
  <c r="P227" i="11" s="1"/>
  <c r="P228" i="11" s="1"/>
  <c r="P247" i="11" s="1"/>
  <c r="P174" i="10" s="1"/>
  <c r="P318" i="10" s="1"/>
  <c r="V550" i="20"/>
  <c r="V77" i="20" s="1"/>
  <c r="V1191" i="20" s="1"/>
  <c r="T1107" i="20"/>
  <c r="U1107" i="20" s="1"/>
  <c r="S1109" i="20"/>
  <c r="V321" i="20"/>
  <c r="V323" i="20" s="1"/>
  <c r="U51" i="20"/>
  <c r="N261" i="10"/>
  <c r="N404" i="10" s="1"/>
  <c r="N399" i="10" s="1"/>
  <c r="V549" i="20"/>
  <c r="R1138" i="20"/>
  <c r="R1140" i="20" s="1"/>
  <c r="Q199" i="20"/>
  <c r="Q249" i="20" s="1"/>
  <c r="Q252" i="20" s="1"/>
  <c r="P1192" i="20"/>
  <c r="U1059" i="20"/>
  <c r="Q1139" i="20"/>
  <c r="R1174" i="20"/>
  <c r="S1174" i="20" s="1"/>
  <c r="R1175" i="20"/>
  <c r="T839" i="20"/>
  <c r="U838" i="20"/>
  <c r="O261" i="10"/>
  <c r="O256" i="10" s="1"/>
  <c r="O252" i="20"/>
  <c r="Q825" i="20"/>
  <c r="P164" i="20"/>
  <c r="R826" i="20"/>
  <c r="R166" i="20" s="1"/>
  <c r="R1195" i="20" s="1"/>
  <c r="S824" i="20"/>
  <c r="R163" i="20"/>
  <c r="R646" i="20"/>
  <c r="R647" i="20" s="1"/>
  <c r="R113" i="20" s="1"/>
  <c r="R1194" i="20" s="1"/>
  <c r="Q111" i="20"/>
  <c r="T556" i="20"/>
  <c r="S75" i="20"/>
  <c r="U1100" i="20"/>
  <c r="V1100" i="20" s="1"/>
  <c r="T1101" i="20"/>
  <c r="W557" i="20"/>
  <c r="X555" i="20"/>
  <c r="S1161" i="20"/>
  <c r="T1159" i="20"/>
  <c r="S1160" i="20"/>
  <c r="R1153" i="20"/>
  <c r="S1152" i="20"/>
  <c r="R1154" i="20"/>
  <c r="R1124" i="20"/>
  <c r="R1126" i="20" s="1"/>
  <c r="Q1126" i="20"/>
  <c r="Q202" i="20" s="1"/>
  <c r="Q1197" i="20" s="1"/>
  <c r="Q1192" i="20" s="1"/>
  <c r="T1131" i="20"/>
  <c r="T1133" i="20" s="1"/>
  <c r="R1132" i="20"/>
  <c r="S1132" i="20" s="1"/>
  <c r="S1081" i="20"/>
  <c r="R1133" i="20"/>
  <c r="S1080" i="20"/>
  <c r="T1079" i="20"/>
  <c r="U1079" i="20" s="1"/>
  <c r="U1081" i="20" s="1"/>
  <c r="Q1125" i="20"/>
  <c r="P200" i="20"/>
  <c r="P255" i="20"/>
  <c r="P258" i="20" s="1"/>
  <c r="P236" i="10" s="1"/>
  <c r="P379" i="10" s="1"/>
  <c r="P378" i="10" s="1"/>
  <c r="V1044" i="20"/>
  <c r="W1044" i="20" s="1"/>
  <c r="U1094" i="20"/>
  <c r="O379" i="10"/>
  <c r="O378" i="10" s="1"/>
  <c r="S1147" i="20"/>
  <c r="T1145" i="20"/>
  <c r="S1181" i="20"/>
  <c r="S1146" i="20"/>
  <c r="S1182" i="20"/>
  <c r="T1180" i="20"/>
  <c r="S1175" i="20"/>
  <c r="T1173" i="20"/>
  <c r="R1119" i="20"/>
  <c r="S1117" i="20"/>
  <c r="R1118" i="20"/>
  <c r="U1095" i="20"/>
  <c r="V1093" i="20"/>
  <c r="S1088" i="20"/>
  <c r="T1086" i="20"/>
  <c r="T1088" i="20" s="1"/>
  <c r="S181" i="20"/>
  <c r="S1087" i="20"/>
  <c r="T1067" i="20"/>
  <c r="U1065" i="20"/>
  <c r="U1052" i="20"/>
  <c r="V1052" i="20" s="1"/>
  <c r="T1066" i="20"/>
  <c r="V1053" i="20"/>
  <c r="U1053" i="20"/>
  <c r="W1051" i="20"/>
  <c r="Q182" i="20"/>
  <c r="R1045" i="20"/>
  <c r="V315" i="20"/>
  <c r="S1736" i="16"/>
  <c r="S2185" i="16" s="1"/>
  <c r="R1737" i="16"/>
  <c r="R1738" i="16" s="1"/>
  <c r="W1729" i="16"/>
  <c r="V2184" i="16"/>
  <c r="U1730" i="16"/>
  <c r="V1730" i="16" s="1"/>
  <c r="V1021" i="20"/>
  <c r="U2184" i="16"/>
  <c r="Q1764" i="16"/>
  <c r="R1764" i="16" s="1"/>
  <c r="S1764" i="16" s="1"/>
  <c r="W1020" i="20"/>
  <c r="V1022" i="20"/>
  <c r="L2191" i="16"/>
  <c r="U1034" i="20"/>
  <c r="T1036" i="20"/>
  <c r="T1035" i="20"/>
  <c r="L1780" i="16"/>
  <c r="Q1771" i="16"/>
  <c r="R1771" i="16" s="1"/>
  <c r="O2190" i="16"/>
  <c r="T1028" i="20"/>
  <c r="W1029" i="20"/>
  <c r="X1029" i="20"/>
  <c r="N1778" i="16"/>
  <c r="O1778" i="16" s="1"/>
  <c r="X1000" i="20"/>
  <c r="L1779" i="16"/>
  <c r="M1779" i="16" s="1"/>
  <c r="S1750" i="16"/>
  <c r="T1750" i="16" s="1"/>
  <c r="U1750" i="16" s="1"/>
  <c r="V1750" i="16" s="1"/>
  <c r="W1750" i="16" s="1"/>
  <c r="X1750" i="16" s="1"/>
  <c r="S1757" i="16"/>
  <c r="T1757" i="16" s="1"/>
  <c r="U1757" i="16" s="1"/>
  <c r="V1757" i="16" s="1"/>
  <c r="W1757" i="16" s="1"/>
  <c r="X1757" i="16" s="1"/>
  <c r="L1785" i="16"/>
  <c r="T787" i="16"/>
  <c r="W1716" i="16"/>
  <c r="X2182" i="16"/>
  <c r="S1744" i="16"/>
  <c r="W2182" i="16"/>
  <c r="S2186" i="16"/>
  <c r="O1765" i="16"/>
  <c r="P1765" i="16" s="1"/>
  <c r="P2190" i="16"/>
  <c r="O1772" i="16"/>
  <c r="V1723" i="16"/>
  <c r="R1751" i="16"/>
  <c r="P2188" i="16"/>
  <c r="X2181" i="16"/>
  <c r="K1786" i="16"/>
  <c r="K2192" i="16"/>
  <c r="P2189" i="16"/>
  <c r="D1803" i="16"/>
  <c r="N1802" i="16"/>
  <c r="V1802" i="16"/>
  <c r="P1802" i="16"/>
  <c r="X1802" i="16"/>
  <c r="D1797" i="16"/>
  <c r="O1802" i="16"/>
  <c r="W1802" i="16"/>
  <c r="B1796" i="16"/>
  <c r="Q1802" i="16"/>
  <c r="M1802" i="16"/>
  <c r="E1798" i="16"/>
  <c r="D1798" i="16" s="1"/>
  <c r="R1802" i="16"/>
  <c r="L1802" i="16"/>
  <c r="T1802" i="16"/>
  <c r="K1802" i="16"/>
  <c r="S1802" i="16"/>
  <c r="E1797" i="16"/>
  <c r="F1797" i="16" s="1"/>
  <c r="U1802" i="16"/>
  <c r="P1758" i="16"/>
  <c r="O2189" i="16"/>
  <c r="R2187" i="16"/>
  <c r="D1791" i="16"/>
  <c r="D1792" i="16" s="1"/>
  <c r="K1787" i="16"/>
  <c r="X1709" i="16"/>
  <c r="V2183" i="16"/>
  <c r="X344" i="10"/>
  <c r="W344" i="10"/>
  <c r="T337" i="10"/>
  <c r="T336" i="10" s="1"/>
  <c r="T192" i="10"/>
  <c r="O1067" i="16" l="1"/>
  <c r="P1067" i="16" s="1"/>
  <c r="Q1067" i="16" s="1"/>
  <c r="R1067" i="16" s="1"/>
  <c r="M1084" i="16"/>
  <c r="M1085" i="16" s="1"/>
  <c r="L1086" i="16"/>
  <c r="U2005" i="16"/>
  <c r="T628" i="16"/>
  <c r="U2004" i="16"/>
  <c r="V2224" i="16"/>
  <c r="V627" i="16"/>
  <c r="W2003" i="16"/>
  <c r="W1072" i="20"/>
  <c r="W1074" i="20" s="1"/>
  <c r="V1073" i="20"/>
  <c r="H1816" i="16"/>
  <c r="I1809" i="16" a="1"/>
  <c r="I1809" i="16" s="1"/>
  <c r="W1025" i="16"/>
  <c r="X1025" i="16" s="1"/>
  <c r="N1073" i="16"/>
  <c r="M1074" i="16"/>
  <c r="O1072" i="16"/>
  <c r="P1072" i="16" s="1"/>
  <c r="V1724" i="16"/>
  <c r="W1717" i="16"/>
  <c r="T322" i="20"/>
  <c r="T52" i="20" s="1"/>
  <c r="S1745" i="16"/>
  <c r="P1759" i="16"/>
  <c r="V1014" i="20"/>
  <c r="X1710" i="16"/>
  <c r="P1062" i="16"/>
  <c r="O1068" i="16"/>
  <c r="P1068" i="16" s="1"/>
  <c r="Q1068" i="16" s="1"/>
  <c r="R1752" i="16"/>
  <c r="U1731" i="16"/>
  <c r="V1731" i="16" s="1"/>
  <c r="O1773" i="16"/>
  <c r="O1766" i="16"/>
  <c r="P1766" i="16" s="1"/>
  <c r="M1780" i="16"/>
  <c r="D1799" i="16"/>
  <c r="F1798" i="16" s="1"/>
  <c r="W1013" i="20"/>
  <c r="V1015" i="20"/>
  <c r="V965" i="20"/>
  <c r="W964" i="20"/>
  <c r="V966" i="20"/>
  <c r="T601" i="20"/>
  <c r="S88" i="20"/>
  <c r="U608" i="20"/>
  <c r="X602" i="20"/>
  <c r="U609" i="20"/>
  <c r="U90" i="20" s="1"/>
  <c r="U1193" i="20" s="1"/>
  <c r="U87" i="20"/>
  <c r="V607" i="20"/>
  <c r="F1845" i="16"/>
  <c r="K1846" i="16" s="1"/>
  <c r="K2199" i="16" s="1"/>
  <c r="F1100" i="16"/>
  <c r="D1851" i="16"/>
  <c r="E1851" i="16"/>
  <c r="F1851" i="16" s="1"/>
  <c r="D1858" i="16"/>
  <c r="E1858" i="16"/>
  <c r="F1858" i="16" s="1"/>
  <c r="D1852" i="16"/>
  <c r="D1853" i="16" s="1"/>
  <c r="W1014" i="16"/>
  <c r="X1120" i="16"/>
  <c r="W218" i="16"/>
  <c r="V1122" i="16"/>
  <c r="O249" i="10"/>
  <c r="O392" i="10" s="1"/>
  <c r="N249" i="10"/>
  <c r="N392" i="10" s="1"/>
  <c r="U54" i="20"/>
  <c r="U1190" i="20" s="1"/>
  <c r="U1189" i="20" s="1"/>
  <c r="R1056" i="16"/>
  <c r="M1080" i="16"/>
  <c r="N1078" i="16"/>
  <c r="N1079" i="16" s="1"/>
  <c r="L1090" i="16"/>
  <c r="Q1061" i="16"/>
  <c r="U1038" i="16"/>
  <c r="R1044" i="16"/>
  <c r="T1032" i="16"/>
  <c r="U1026" i="16"/>
  <c r="R1060" i="16"/>
  <c r="R1050" i="16"/>
  <c r="S1049" i="16"/>
  <c r="T1049" i="16" s="1"/>
  <c r="D1096" i="16"/>
  <c r="F1095" i="16" s="1"/>
  <c r="K1096" i="16" s="1"/>
  <c r="K1097" i="16" s="1"/>
  <c r="K1098" i="16" s="1"/>
  <c r="S1043" i="16"/>
  <c r="T1042" i="16"/>
  <c r="W2111" i="16"/>
  <c r="W1121" i="16"/>
  <c r="D1106" i="16"/>
  <c r="C1108" i="16"/>
  <c r="B1105" i="16"/>
  <c r="J1110" i="16"/>
  <c r="E1107" i="16"/>
  <c r="E1106" i="16"/>
  <c r="F1106" i="16" s="1"/>
  <c r="D1101" i="16"/>
  <c r="T1054" i="16"/>
  <c r="S1055" i="16"/>
  <c r="S1066" i="16"/>
  <c r="U1031" i="16"/>
  <c r="W1036" i="16"/>
  <c r="V1037" i="16"/>
  <c r="U1048" i="16"/>
  <c r="V1030" i="16"/>
  <c r="V645" i="20"/>
  <c r="U110" i="20"/>
  <c r="P175" i="10"/>
  <c r="P319" i="10" s="1"/>
  <c r="H70" i="25"/>
  <c r="X548" i="20"/>
  <c r="X550" i="20" s="1"/>
  <c r="W549" i="20"/>
  <c r="W74" i="20"/>
  <c r="V1060" i="20"/>
  <c r="V1059" i="20"/>
  <c r="W1059" i="20" s="1"/>
  <c r="S1138" i="20"/>
  <c r="S1140" i="20" s="1"/>
  <c r="T1109" i="20"/>
  <c r="T1108" i="20"/>
  <c r="U1108" i="20" s="1"/>
  <c r="V316" i="20"/>
  <c r="R1139" i="20"/>
  <c r="N256" i="10"/>
  <c r="W321" i="20"/>
  <c r="V51" i="20"/>
  <c r="O404" i="10"/>
  <c r="O399" i="10" s="1"/>
  <c r="U1131" i="20"/>
  <c r="U1133" i="20" s="1"/>
  <c r="V838" i="20"/>
  <c r="U840" i="20"/>
  <c r="U839" i="20"/>
  <c r="O175" i="10"/>
  <c r="O319" i="10" s="1"/>
  <c r="O227" i="11"/>
  <c r="O228" i="11" s="1"/>
  <c r="O247" i="11" s="1"/>
  <c r="O174" i="10" s="1"/>
  <c r="O318" i="10" s="1"/>
  <c r="I70" i="25"/>
  <c r="V1046" i="20"/>
  <c r="R825" i="20"/>
  <c r="Q164" i="20"/>
  <c r="S826" i="20"/>
  <c r="S166" i="20" s="1"/>
  <c r="S1195" i="20" s="1"/>
  <c r="T824" i="20"/>
  <c r="S163" i="20"/>
  <c r="U1101" i="20"/>
  <c r="V1101" i="20" s="1"/>
  <c r="R199" i="20"/>
  <c r="R249" i="20" s="1"/>
  <c r="R252" i="20" s="1"/>
  <c r="R227" i="11" s="1"/>
  <c r="R228" i="11" s="1"/>
  <c r="R247" i="11" s="1"/>
  <c r="R174" i="10" s="1"/>
  <c r="R318" i="10" s="1"/>
  <c r="U1102" i="20"/>
  <c r="S646" i="20"/>
  <c r="S647" i="20" s="1"/>
  <c r="S113" i="20" s="1"/>
  <c r="S1194" i="20" s="1"/>
  <c r="R111" i="20"/>
  <c r="S1124" i="20"/>
  <c r="S1126" i="20" s="1"/>
  <c r="W77" i="20"/>
  <c r="W1191" i="20" s="1"/>
  <c r="X557" i="20"/>
  <c r="U556" i="20"/>
  <c r="T75" i="20"/>
  <c r="T1160" i="20"/>
  <c r="T1161" i="20"/>
  <c r="U1159" i="20"/>
  <c r="U1161" i="20" s="1"/>
  <c r="S184" i="20"/>
  <c r="S1196" i="20" s="1"/>
  <c r="T1132" i="20"/>
  <c r="S1154" i="20"/>
  <c r="T1152" i="20"/>
  <c r="R1125" i="20"/>
  <c r="S1153" i="20"/>
  <c r="R202" i="20"/>
  <c r="R1197" i="20" s="1"/>
  <c r="R1192" i="20" s="1"/>
  <c r="T1146" i="20"/>
  <c r="Q200" i="20"/>
  <c r="T1081" i="20"/>
  <c r="T1080" i="20"/>
  <c r="U1080" i="20" s="1"/>
  <c r="V1079" i="20"/>
  <c r="P235" i="10"/>
  <c r="V1094" i="20"/>
  <c r="U1109" i="20"/>
  <c r="V1107" i="20"/>
  <c r="T1087" i="20"/>
  <c r="Q255" i="20"/>
  <c r="Q258" i="20" s="1"/>
  <c r="Q236" i="10" s="1"/>
  <c r="T1147" i="20"/>
  <c r="U1145" i="20"/>
  <c r="T1182" i="20"/>
  <c r="U1180" i="20"/>
  <c r="T1181" i="20"/>
  <c r="T1175" i="20"/>
  <c r="U1173" i="20"/>
  <c r="T1174" i="20"/>
  <c r="T181" i="20"/>
  <c r="V1102" i="20"/>
  <c r="W1100" i="20"/>
  <c r="T1117" i="20"/>
  <c r="S1119" i="20"/>
  <c r="S1118" i="20"/>
  <c r="Q227" i="11"/>
  <c r="Q228" i="11" s="1"/>
  <c r="Q247" i="11" s="1"/>
  <c r="Q174" i="10" s="1"/>
  <c r="Q318" i="10" s="1"/>
  <c r="Q175" i="10"/>
  <c r="Q319" i="10" s="1"/>
  <c r="V1095" i="20"/>
  <c r="W1093" i="20"/>
  <c r="U1086" i="20"/>
  <c r="V1086" i="20" s="1"/>
  <c r="V1088" i="20" s="1"/>
  <c r="W1046" i="20"/>
  <c r="X1044" i="20"/>
  <c r="X1046" i="20" s="1"/>
  <c r="U1067" i="20"/>
  <c r="V1065" i="20"/>
  <c r="X1051" i="20"/>
  <c r="X1053" i="20" s="1"/>
  <c r="U1066" i="20"/>
  <c r="W1060" i="20"/>
  <c r="X1058" i="20"/>
  <c r="X1060" i="20" s="1"/>
  <c r="W1053" i="20"/>
  <c r="W1052" i="20"/>
  <c r="S1045" i="20"/>
  <c r="R182" i="20"/>
  <c r="W315" i="20"/>
  <c r="T1736" i="16"/>
  <c r="T2185" i="16" s="1"/>
  <c r="T2187" i="16"/>
  <c r="S1737" i="16"/>
  <c r="S1738" i="16" s="1"/>
  <c r="N2191" i="16"/>
  <c r="U1035" i="20"/>
  <c r="W1730" i="16"/>
  <c r="X1729" i="16"/>
  <c r="W2184" i="16"/>
  <c r="N1779" i="16"/>
  <c r="O1779" i="16" s="1"/>
  <c r="P1778" i="16"/>
  <c r="O2191" i="16"/>
  <c r="S1751" i="16"/>
  <c r="T1751" i="16" s="1"/>
  <c r="U1751" i="16" s="1"/>
  <c r="V1034" i="20"/>
  <c r="U1036" i="20"/>
  <c r="X1020" i="20"/>
  <c r="X1022" i="20" s="1"/>
  <c r="W1022" i="20"/>
  <c r="S2187" i="16"/>
  <c r="W1021" i="20"/>
  <c r="L1786" i="16"/>
  <c r="S1771" i="16"/>
  <c r="T1771" i="16" s="1"/>
  <c r="U1771" i="16" s="1"/>
  <c r="L1787" i="16"/>
  <c r="U1028" i="20"/>
  <c r="U2187" i="16"/>
  <c r="T1764" i="16"/>
  <c r="L2192" i="16"/>
  <c r="M1785" i="16"/>
  <c r="M2192" i="16" s="1"/>
  <c r="U787" i="16"/>
  <c r="X1716" i="16"/>
  <c r="T2186" i="16"/>
  <c r="T1744" i="16"/>
  <c r="U1744" i="16" s="1"/>
  <c r="P1772" i="16"/>
  <c r="W1723" i="16"/>
  <c r="U2186" i="16"/>
  <c r="S2188" i="16"/>
  <c r="F1791" i="16"/>
  <c r="K1792" i="16" s="1"/>
  <c r="K1793" i="16" s="1"/>
  <c r="Q1758" i="16"/>
  <c r="R1758" i="16" s="1"/>
  <c r="E1805" i="16"/>
  <c r="D1805" i="16" s="1"/>
  <c r="D1806" i="16" s="1"/>
  <c r="R1809" i="16"/>
  <c r="K1809" i="16"/>
  <c r="S1809" i="16"/>
  <c r="B1803" i="16"/>
  <c r="L1809" i="16"/>
  <c r="T1809" i="16"/>
  <c r="Q1809" i="16"/>
  <c r="M1809" i="16"/>
  <c r="U1809" i="16"/>
  <c r="E1804" i="16"/>
  <c r="F1804" i="16" s="1"/>
  <c r="N1809" i="16"/>
  <c r="V1809" i="16"/>
  <c r="D1810" i="16"/>
  <c r="P1809" i="16"/>
  <c r="X1809" i="16"/>
  <c r="D1804" i="16"/>
  <c r="O1809" i="16"/>
  <c r="W1809" i="16"/>
  <c r="Q2188" i="16"/>
  <c r="K1799" i="16"/>
  <c r="R2188" i="16"/>
  <c r="Q2189" i="16"/>
  <c r="Q1765" i="16"/>
  <c r="W2183" i="16"/>
  <c r="U192" i="10"/>
  <c r="U337" i="10"/>
  <c r="U336" i="10" s="1"/>
  <c r="M1086" i="16" l="1"/>
  <c r="N1084" i="16"/>
  <c r="O1084" i="16" s="1"/>
  <c r="K2193" i="16"/>
  <c r="K1794" i="16"/>
  <c r="L1792" i="16"/>
  <c r="L1793" i="16" s="1"/>
  <c r="U629" i="16"/>
  <c r="U795" i="16" s="1"/>
  <c r="U203" i="10" s="1"/>
  <c r="U347" i="10" s="1"/>
  <c r="V2005" i="16"/>
  <c r="V629" i="16" s="1"/>
  <c r="V795" i="16" s="1"/>
  <c r="V203" i="10" s="1"/>
  <c r="V347" i="10" s="1"/>
  <c r="W2224" i="16"/>
  <c r="W627" i="16"/>
  <c r="X2003" i="16"/>
  <c r="V2004" i="16"/>
  <c r="U628" i="16"/>
  <c r="P261" i="10"/>
  <c r="P256" i="10" s="1"/>
  <c r="W1073" i="20"/>
  <c r="X1072" i="20"/>
  <c r="X1074" i="20" s="1"/>
  <c r="H1823" i="16"/>
  <c r="I1816" i="16" a="1"/>
  <c r="I1816" i="16" s="1"/>
  <c r="Q1072" i="16"/>
  <c r="N1074" i="16"/>
  <c r="O1073" i="16"/>
  <c r="L1091" i="16"/>
  <c r="W1724" i="16"/>
  <c r="X1717" i="16"/>
  <c r="U322" i="20"/>
  <c r="U52" i="20" s="1"/>
  <c r="Q1062" i="16"/>
  <c r="W1014" i="20"/>
  <c r="W1731" i="16"/>
  <c r="P1773" i="16"/>
  <c r="Q1766" i="16"/>
  <c r="N1780" i="16"/>
  <c r="O1780" i="16" s="1"/>
  <c r="S1752" i="16"/>
  <c r="T1752" i="16" s="1"/>
  <c r="U1752" i="16" s="1"/>
  <c r="T1745" i="16"/>
  <c r="U1745" i="16" s="1"/>
  <c r="Q1759" i="16"/>
  <c r="R1759" i="16" s="1"/>
  <c r="X964" i="20"/>
  <c r="X966" i="20" s="1"/>
  <c r="W966" i="20"/>
  <c r="W965" i="20"/>
  <c r="X1013" i="20"/>
  <c r="X1015" i="20" s="1"/>
  <c r="W1015" i="20"/>
  <c r="V608" i="20"/>
  <c r="V609" i="20"/>
  <c r="V90" i="20" s="1"/>
  <c r="V1193" i="20" s="1"/>
  <c r="W607" i="20"/>
  <c r="V87" i="20"/>
  <c r="U601" i="20"/>
  <c r="T88" i="20"/>
  <c r="F1805" i="16"/>
  <c r="K1847" i="16"/>
  <c r="K1848" i="16" s="1"/>
  <c r="F1852" i="16"/>
  <c r="K1853" i="16" s="1"/>
  <c r="K2200" i="16" s="1"/>
  <c r="L1846" i="16"/>
  <c r="D1102" i="16"/>
  <c r="E1866" i="16" s="1"/>
  <c r="E1859" i="16"/>
  <c r="R1856" i="16"/>
  <c r="M1856" i="16"/>
  <c r="L1856" i="16"/>
  <c r="O1856" i="16"/>
  <c r="S1856" i="16"/>
  <c r="Q1856" i="16"/>
  <c r="N1856" i="16"/>
  <c r="P1856" i="16"/>
  <c r="K1856" i="16"/>
  <c r="T1856" i="16"/>
  <c r="U1856" i="16"/>
  <c r="V1856" i="16"/>
  <c r="W1856" i="16"/>
  <c r="X1856" i="16"/>
  <c r="S1056" i="16"/>
  <c r="X1121" i="16"/>
  <c r="X219" i="16" s="1"/>
  <c r="W219" i="16"/>
  <c r="V220" i="16"/>
  <c r="V788" i="16" s="1"/>
  <c r="V787" i="16" s="1"/>
  <c r="X2111" i="16"/>
  <c r="X218" i="16"/>
  <c r="X1014" i="16"/>
  <c r="V54" i="20"/>
  <c r="V1190" i="20" s="1"/>
  <c r="V1189" i="20" s="1"/>
  <c r="W1122" i="16"/>
  <c r="O1078" i="16"/>
  <c r="O1079" i="16" s="1"/>
  <c r="R1068" i="16"/>
  <c r="M1090" i="16"/>
  <c r="N1080" i="16"/>
  <c r="L1092" i="16"/>
  <c r="V1038" i="16"/>
  <c r="L1096" i="16"/>
  <c r="M1096" i="16" s="1"/>
  <c r="V1026" i="16"/>
  <c r="S1060" i="16"/>
  <c r="S1044" i="16"/>
  <c r="U1032" i="16"/>
  <c r="R1061" i="16"/>
  <c r="S1050" i="16"/>
  <c r="T1050" i="16" s="1"/>
  <c r="S1067" i="16"/>
  <c r="T1043" i="16"/>
  <c r="U1042" i="16"/>
  <c r="U1054" i="16"/>
  <c r="T1066" i="16"/>
  <c r="T1055" i="16"/>
  <c r="D1107" i="16"/>
  <c r="X1036" i="16"/>
  <c r="V1048" i="16"/>
  <c r="U1049" i="16"/>
  <c r="W1030" i="16"/>
  <c r="V1031" i="16"/>
  <c r="W1037" i="16"/>
  <c r="V110" i="20"/>
  <c r="W645" i="20"/>
  <c r="W110" i="20" s="1"/>
  <c r="X74" i="20"/>
  <c r="X77" i="20"/>
  <c r="X1191" i="20" s="1"/>
  <c r="X549" i="20"/>
  <c r="T1138" i="20"/>
  <c r="T1140" i="20" s="1"/>
  <c r="T184" i="20"/>
  <c r="T1196" i="20" s="1"/>
  <c r="S1139" i="20"/>
  <c r="R200" i="20"/>
  <c r="W316" i="20"/>
  <c r="V1131" i="20"/>
  <c r="V1133" i="20" s="1"/>
  <c r="U1132" i="20"/>
  <c r="W51" i="20"/>
  <c r="X321" i="20"/>
  <c r="W323" i="20"/>
  <c r="T1124" i="20"/>
  <c r="T1126" i="20" s="1"/>
  <c r="Q261" i="10"/>
  <c r="Q404" i="10" s="1"/>
  <c r="Q399" i="10" s="1"/>
  <c r="V839" i="20"/>
  <c r="V840" i="20"/>
  <c r="W838" i="20"/>
  <c r="S199" i="20"/>
  <c r="S249" i="20" s="1"/>
  <c r="K70" i="25" s="1"/>
  <c r="U1146" i="20"/>
  <c r="S202" i="20"/>
  <c r="S1197" i="20" s="1"/>
  <c r="S1192" i="20" s="1"/>
  <c r="T826" i="20"/>
  <c r="T166" i="20" s="1"/>
  <c r="T1195" i="20" s="1"/>
  <c r="T163" i="20"/>
  <c r="U824" i="20"/>
  <c r="J70" i="25"/>
  <c r="R175" i="10"/>
  <c r="R319" i="10" s="1"/>
  <c r="S825" i="20"/>
  <c r="S164" i="20" s="1"/>
  <c r="R164" i="20"/>
  <c r="S1125" i="20"/>
  <c r="T646" i="20"/>
  <c r="T647" i="20" s="1"/>
  <c r="T113" i="20" s="1"/>
  <c r="T1194" i="20" s="1"/>
  <c r="S111" i="20"/>
  <c r="V556" i="20"/>
  <c r="U75" i="20"/>
  <c r="T1153" i="20"/>
  <c r="V1159" i="20"/>
  <c r="U1160" i="20"/>
  <c r="T1154" i="20"/>
  <c r="U1152" i="20"/>
  <c r="R255" i="20"/>
  <c r="R258" i="20" s="1"/>
  <c r="R236" i="10" s="1"/>
  <c r="R379" i="10" s="1"/>
  <c r="R378" i="10" s="1"/>
  <c r="W1094" i="20"/>
  <c r="V1081" i="20"/>
  <c r="V1080" i="20"/>
  <c r="W1079" i="20"/>
  <c r="W1081" i="20" s="1"/>
  <c r="U1181" i="20"/>
  <c r="Q235" i="10"/>
  <c r="Q379" i="10"/>
  <c r="Q378" i="10" s="1"/>
  <c r="W1107" i="20"/>
  <c r="V1109" i="20"/>
  <c r="V1108" i="20"/>
  <c r="U1174" i="20"/>
  <c r="U1147" i="20"/>
  <c r="V1145" i="20"/>
  <c r="U1182" i="20"/>
  <c r="V1180" i="20"/>
  <c r="W1102" i="20"/>
  <c r="X1100" i="20"/>
  <c r="X1102" i="20" s="1"/>
  <c r="U1175" i="20"/>
  <c r="V1173" i="20"/>
  <c r="W1101" i="20"/>
  <c r="T1118" i="20"/>
  <c r="T1119" i="20"/>
  <c r="U1117" i="20"/>
  <c r="W1086" i="20"/>
  <c r="W1088" i="20" s="1"/>
  <c r="U1088" i="20"/>
  <c r="U184" i="20" s="1"/>
  <c r="U1196" i="20" s="1"/>
  <c r="U181" i="20"/>
  <c r="U1087" i="20"/>
  <c r="V1087" i="20" s="1"/>
  <c r="W1095" i="20"/>
  <c r="X1093" i="20"/>
  <c r="X1095" i="20" s="1"/>
  <c r="X315" i="20"/>
  <c r="X316" i="20" s="1"/>
  <c r="V1066" i="20"/>
  <c r="X1052" i="20"/>
  <c r="V1067" i="20"/>
  <c r="W1065" i="20"/>
  <c r="V181" i="20"/>
  <c r="X1059" i="20"/>
  <c r="S182" i="20"/>
  <c r="T1045" i="20"/>
  <c r="U1736" i="16"/>
  <c r="U2185" i="16" s="1"/>
  <c r="T1737" i="16"/>
  <c r="T1738" i="16" s="1"/>
  <c r="X1021" i="20"/>
  <c r="V1035" i="20"/>
  <c r="X2184" i="16"/>
  <c r="X1730" i="16"/>
  <c r="Q1778" i="16"/>
  <c r="R1778" i="16" s="1"/>
  <c r="P2191" i="16"/>
  <c r="P1779" i="16"/>
  <c r="W1034" i="20"/>
  <c r="V1036" i="20"/>
  <c r="V1771" i="16"/>
  <c r="W1771" i="16" s="1"/>
  <c r="V1028" i="20"/>
  <c r="N1785" i="16"/>
  <c r="N2192" i="16" s="1"/>
  <c r="U1764" i="16"/>
  <c r="V1764" i="16" s="1"/>
  <c r="W1764" i="16" s="1"/>
  <c r="X1764" i="16" s="1"/>
  <c r="K1806" i="16"/>
  <c r="K1807" i="16" s="1"/>
  <c r="M1786" i="16"/>
  <c r="M1787" i="16" s="1"/>
  <c r="L1799" i="16"/>
  <c r="L2194" i="16" s="1"/>
  <c r="X1723" i="16"/>
  <c r="T2188" i="16"/>
  <c r="S1758" i="16"/>
  <c r="Q2190" i="16"/>
  <c r="Q1772" i="16"/>
  <c r="V1751" i="16"/>
  <c r="V2187" i="16"/>
  <c r="V1744" i="16"/>
  <c r="V2186" i="16"/>
  <c r="W2187" i="16"/>
  <c r="R1765" i="16"/>
  <c r="R2189" i="16"/>
  <c r="D1811" i="16"/>
  <c r="O1816" i="16"/>
  <c r="W1816" i="16"/>
  <c r="L1816" i="16"/>
  <c r="B1810" i="16"/>
  <c r="P1816" i="16"/>
  <c r="X1816" i="16"/>
  <c r="K1816" i="16"/>
  <c r="D1817" i="16"/>
  <c r="Q1816" i="16"/>
  <c r="R1816" i="16"/>
  <c r="T1816" i="16"/>
  <c r="E1812" i="16"/>
  <c r="D1812" i="16" s="1"/>
  <c r="M1816" i="16"/>
  <c r="U1816" i="16"/>
  <c r="S1816" i="16"/>
  <c r="E1811" i="16"/>
  <c r="F1811" i="16" s="1"/>
  <c r="N1816" i="16"/>
  <c r="V1816" i="16"/>
  <c r="K1800" i="16"/>
  <c r="K1801" i="16" s="1"/>
  <c r="K2194" i="16"/>
  <c r="X2183" i="16"/>
  <c r="N1085" i="16" l="1"/>
  <c r="O1085" i="16" s="1"/>
  <c r="M1792" i="16"/>
  <c r="N1792" i="16" s="1"/>
  <c r="N2193" i="16" s="1"/>
  <c r="L2193" i="16"/>
  <c r="N1086" i="16"/>
  <c r="L1794" i="16"/>
  <c r="W2005" i="16"/>
  <c r="W629" i="16" s="1"/>
  <c r="W795" i="16" s="1"/>
  <c r="W203" i="10" s="1"/>
  <c r="W347" i="10" s="1"/>
  <c r="V628" i="16"/>
  <c r="W2004" i="16"/>
  <c r="X627" i="16"/>
  <c r="X2224" i="16"/>
  <c r="P249" i="10"/>
  <c r="P392" i="10" s="1"/>
  <c r="P404" i="10"/>
  <c r="P399" i="10" s="1"/>
  <c r="X1073" i="20"/>
  <c r="H1830" i="16"/>
  <c r="I1830" i="16" s="1" a="1"/>
  <c r="I1830" i="16" s="1"/>
  <c r="I1823" i="16" a="1"/>
  <c r="I1823" i="16" s="1"/>
  <c r="M1091" i="16"/>
  <c r="O1074" i="16"/>
  <c r="P1073" i="16"/>
  <c r="R1072" i="16"/>
  <c r="X1724" i="16"/>
  <c r="V322" i="20"/>
  <c r="V52" i="20" s="1"/>
  <c r="Q1773" i="16"/>
  <c r="R1766" i="16"/>
  <c r="L1853" i="16"/>
  <c r="M1853" i="16" s="1"/>
  <c r="X1731" i="16"/>
  <c r="V1752" i="16"/>
  <c r="S1759" i="16"/>
  <c r="V1745" i="16"/>
  <c r="P1780" i="16"/>
  <c r="X1014" i="20"/>
  <c r="X965" i="20"/>
  <c r="V601" i="20"/>
  <c r="U88" i="20"/>
  <c r="W609" i="20"/>
  <c r="W90" i="20" s="1"/>
  <c r="W1193" i="20" s="1"/>
  <c r="X607" i="20"/>
  <c r="W87" i="20"/>
  <c r="W608" i="20"/>
  <c r="F1101" i="16"/>
  <c r="K1102" i="16" s="1"/>
  <c r="K1103" i="16" s="1"/>
  <c r="K1104" i="16" s="1"/>
  <c r="L1847" i="16"/>
  <c r="K1854" i="16"/>
  <c r="K1855" i="16" s="1"/>
  <c r="L1848" i="16"/>
  <c r="M1846" i="16"/>
  <c r="N1846" i="16" s="1"/>
  <c r="O1846" i="16" s="1"/>
  <c r="O2199" i="16" s="1"/>
  <c r="L2199" i="16"/>
  <c r="K1863" i="16"/>
  <c r="L1863" i="16"/>
  <c r="M1863" i="16"/>
  <c r="N1863" i="16"/>
  <c r="O1863" i="16"/>
  <c r="P1863" i="16"/>
  <c r="Q1863" i="16"/>
  <c r="R1863" i="16"/>
  <c r="S1863" i="16"/>
  <c r="T1863" i="16"/>
  <c r="U1863" i="16"/>
  <c r="V1863" i="16"/>
  <c r="W1863" i="16"/>
  <c r="X1863" i="16"/>
  <c r="D1859" i="16"/>
  <c r="D1860" i="16" s="1"/>
  <c r="D1866" i="16"/>
  <c r="D1813" i="16"/>
  <c r="F1812" i="16" s="1"/>
  <c r="T1056" i="16"/>
  <c r="P1078" i="16"/>
  <c r="W220" i="16"/>
  <c r="W788" i="16" s="1"/>
  <c r="W787" i="16" s="1"/>
  <c r="W1026" i="16"/>
  <c r="V193" i="10"/>
  <c r="V337" i="10" s="1"/>
  <c r="V336" i="10" s="1"/>
  <c r="X1122" i="16"/>
  <c r="Q249" i="10"/>
  <c r="Q392" i="10" s="1"/>
  <c r="W54" i="20"/>
  <c r="W1190" i="20" s="1"/>
  <c r="W1189" i="20" s="1"/>
  <c r="W1038" i="16"/>
  <c r="S1068" i="16"/>
  <c r="N1090" i="16"/>
  <c r="M1092" i="16"/>
  <c r="L1097" i="16"/>
  <c r="M1097" i="16" s="1"/>
  <c r="V1032" i="16"/>
  <c r="U1050" i="16"/>
  <c r="O1080" i="16"/>
  <c r="S1061" i="16"/>
  <c r="T1044" i="16"/>
  <c r="R1062" i="16"/>
  <c r="T1060" i="16"/>
  <c r="D1108" i="16"/>
  <c r="F1107" i="16" s="1"/>
  <c r="K1108" i="16" s="1"/>
  <c r="K1109" i="16" s="1"/>
  <c r="T1067" i="16"/>
  <c r="V1042" i="16"/>
  <c r="U1043" i="16"/>
  <c r="U1055" i="16"/>
  <c r="X1037" i="16"/>
  <c r="N1096" i="16"/>
  <c r="P1084" i="16"/>
  <c r="U1066" i="16"/>
  <c r="V1054" i="16"/>
  <c r="V1049" i="16"/>
  <c r="W1048" i="16"/>
  <c r="W1031" i="16"/>
  <c r="X1030" i="16"/>
  <c r="X645" i="20"/>
  <c r="T1139" i="20"/>
  <c r="U1138" i="20"/>
  <c r="V1138" i="20" s="1"/>
  <c r="S261" i="10"/>
  <c r="S404" i="10" s="1"/>
  <c r="S399" i="10" s="1"/>
  <c r="W1131" i="20"/>
  <c r="W1133" i="20" s="1"/>
  <c r="V1132" i="20"/>
  <c r="T199" i="20"/>
  <c r="T249" i="20" s="1"/>
  <c r="L70" i="25" s="1"/>
  <c r="U1124" i="20"/>
  <c r="U1126" i="20" s="1"/>
  <c r="S255" i="20"/>
  <c r="S258" i="20" s="1"/>
  <c r="S236" i="10" s="1"/>
  <c r="S379" i="10" s="1"/>
  <c r="S378" i="10" s="1"/>
  <c r="Q256" i="10"/>
  <c r="X51" i="20"/>
  <c r="X323" i="20"/>
  <c r="X54" i="20" s="1"/>
  <c r="T1125" i="20"/>
  <c r="S252" i="20"/>
  <c r="S227" i="11" s="1"/>
  <c r="S228" i="11" s="1"/>
  <c r="S247" i="11" s="1"/>
  <c r="S174" i="10" s="1"/>
  <c r="S318" i="10" s="1"/>
  <c r="T825" i="20"/>
  <c r="U825" i="20" s="1"/>
  <c r="R261" i="10"/>
  <c r="R404" i="10" s="1"/>
  <c r="R399" i="10" s="1"/>
  <c r="W840" i="20"/>
  <c r="X838" i="20"/>
  <c r="X840" i="20" s="1"/>
  <c r="W839" i="20"/>
  <c r="V1146" i="20"/>
  <c r="S200" i="20"/>
  <c r="U826" i="20"/>
  <c r="U166" i="20" s="1"/>
  <c r="U1195" i="20" s="1"/>
  <c r="V824" i="20"/>
  <c r="U163" i="20"/>
  <c r="U646" i="20"/>
  <c r="U647" i="20" s="1"/>
  <c r="U113" i="20" s="1"/>
  <c r="U1194" i="20" s="1"/>
  <c r="T111" i="20"/>
  <c r="W556" i="20"/>
  <c r="V75" i="20"/>
  <c r="T202" i="20"/>
  <c r="T255" i="20" s="1"/>
  <c r="T258" i="20" s="1"/>
  <c r="T236" i="10" s="1"/>
  <c r="V1160" i="20"/>
  <c r="V1161" i="20"/>
  <c r="W1159" i="20"/>
  <c r="W1161" i="20" s="1"/>
  <c r="U1154" i="20"/>
  <c r="V1152" i="20"/>
  <c r="U1153" i="20"/>
  <c r="R235" i="10"/>
  <c r="V184" i="20"/>
  <c r="V1196" i="20" s="1"/>
  <c r="X1079" i="20"/>
  <c r="X1081" i="20" s="1"/>
  <c r="W1080" i="20"/>
  <c r="V1181" i="20"/>
  <c r="W1108" i="20"/>
  <c r="W1109" i="20"/>
  <c r="X1107" i="20"/>
  <c r="X1109" i="20" s="1"/>
  <c r="V1147" i="20"/>
  <c r="W1145" i="20"/>
  <c r="X1101" i="20"/>
  <c r="V1182" i="20"/>
  <c r="W1180" i="20"/>
  <c r="V1175" i="20"/>
  <c r="W1173" i="20"/>
  <c r="V1174" i="20"/>
  <c r="U1119" i="20"/>
  <c r="V1117" i="20"/>
  <c r="X1086" i="20"/>
  <c r="X1088" i="20" s="1"/>
  <c r="W1087" i="20"/>
  <c r="U1118" i="20"/>
  <c r="W1066" i="20"/>
  <c r="X1094" i="20"/>
  <c r="W1067" i="20"/>
  <c r="X1065" i="20"/>
  <c r="W181" i="20"/>
  <c r="U1045" i="20"/>
  <c r="T182" i="20"/>
  <c r="V1736" i="16"/>
  <c r="V2185" i="16" s="1"/>
  <c r="U1737" i="16"/>
  <c r="U1738" i="16" s="1"/>
  <c r="Q1779" i="16"/>
  <c r="R1779" i="16" s="1"/>
  <c r="Q2191" i="16"/>
  <c r="S1778" i="16"/>
  <c r="W1035" i="20"/>
  <c r="K2195" i="16"/>
  <c r="K1808" i="16"/>
  <c r="X1034" i="20"/>
  <c r="W1036" i="20"/>
  <c r="L1806" i="16"/>
  <c r="L2195" i="16" s="1"/>
  <c r="N1786" i="16"/>
  <c r="N1787" i="16" s="1"/>
  <c r="X1771" i="16"/>
  <c r="W1028" i="20"/>
  <c r="M1799" i="16"/>
  <c r="M2194" i="16" s="1"/>
  <c r="O1785" i="16"/>
  <c r="O2192" i="16" s="1"/>
  <c r="T1758" i="16"/>
  <c r="R1772" i="16"/>
  <c r="S1772" i="16" s="1"/>
  <c r="S2190" i="16"/>
  <c r="R2190" i="16"/>
  <c r="L1800" i="16"/>
  <c r="W1751" i="16"/>
  <c r="L1801" i="16"/>
  <c r="W2186" i="16"/>
  <c r="W1744" i="16"/>
  <c r="X2187" i="16"/>
  <c r="K1813" i="16"/>
  <c r="D1818" i="16"/>
  <c r="P1823" i="16"/>
  <c r="X1823" i="16"/>
  <c r="K1823" i="16"/>
  <c r="S1823" i="16"/>
  <c r="O1823" i="16"/>
  <c r="D1824" i="16"/>
  <c r="Q1823" i="16"/>
  <c r="B1817" i="16"/>
  <c r="U1823" i="16"/>
  <c r="E1818" i="16"/>
  <c r="F1818" i="16" s="1"/>
  <c r="E1819" i="16"/>
  <c r="D1819" i="16" s="1"/>
  <c r="R1823" i="16"/>
  <c r="N1823" i="16"/>
  <c r="L1823" i="16"/>
  <c r="T1823" i="16"/>
  <c r="M1823" i="16"/>
  <c r="V1823" i="16"/>
  <c r="W1823" i="16"/>
  <c r="S2189" i="16"/>
  <c r="S1765" i="16"/>
  <c r="R2191" i="16"/>
  <c r="M2193" i="16" l="1"/>
  <c r="M1793" i="16"/>
  <c r="N1793" i="16" s="1"/>
  <c r="O1792" i="16"/>
  <c r="P1792" i="16" s="1"/>
  <c r="O1086" i="16"/>
  <c r="K138" i="16"/>
  <c r="L1102" i="16"/>
  <c r="M1102" i="16" s="1"/>
  <c r="X2005" i="16"/>
  <c r="X629" i="16" s="1"/>
  <c r="X795" i="16" s="1"/>
  <c r="X203" i="10" s="1"/>
  <c r="X347" i="10" s="1"/>
  <c r="K1110" i="16"/>
  <c r="K139" i="16" s="1"/>
  <c r="K137" i="16"/>
  <c r="K171" i="16" s="1"/>
  <c r="K188" i="16" s="1"/>
  <c r="K21" i="10" s="1"/>
  <c r="K109" i="10" s="1"/>
  <c r="X2004" i="16"/>
  <c r="X628" i="16" s="1"/>
  <c r="W628" i="16"/>
  <c r="Q1073" i="16"/>
  <c r="P1074" i="16"/>
  <c r="U1060" i="16"/>
  <c r="V1060" i="16" s="1"/>
  <c r="W1060" i="16" s="1"/>
  <c r="O1090" i="16"/>
  <c r="S1072" i="16"/>
  <c r="T1072" i="16" s="1"/>
  <c r="Q1078" i="16"/>
  <c r="W322" i="20"/>
  <c r="W52" i="20" s="1"/>
  <c r="L1854" i="16"/>
  <c r="M1854" i="16" s="1"/>
  <c r="S1766" i="16"/>
  <c r="W1745" i="16"/>
  <c r="L2200" i="16"/>
  <c r="W1752" i="16"/>
  <c r="T1759" i="16"/>
  <c r="S1062" i="16"/>
  <c r="L1098" i="16"/>
  <c r="Q1780" i="16"/>
  <c r="R1780" i="16" s="1"/>
  <c r="D1820" i="16"/>
  <c r="F1819" i="16" s="1"/>
  <c r="R1773" i="16"/>
  <c r="S1773" i="16" s="1"/>
  <c r="M1794" i="16"/>
  <c r="N1794" i="16" s="1"/>
  <c r="X608" i="20"/>
  <c r="X609" i="20"/>
  <c r="X90" i="20" s="1"/>
  <c r="X1193" i="20" s="1"/>
  <c r="X87" i="20"/>
  <c r="W601" i="20"/>
  <c r="V88" i="20"/>
  <c r="M1847" i="16"/>
  <c r="M1848" i="16" s="1"/>
  <c r="P1079" i="16"/>
  <c r="M2199" i="16"/>
  <c r="F1859" i="16"/>
  <c r="K1860" i="16" s="1"/>
  <c r="K1861" i="16" s="1"/>
  <c r="N2199" i="16"/>
  <c r="P1846" i="16"/>
  <c r="D1867" i="16"/>
  <c r="M2200" i="16"/>
  <c r="N1853" i="16"/>
  <c r="L1855" i="16"/>
  <c r="U1056" i="16"/>
  <c r="W193" i="10"/>
  <c r="W337" i="10" s="1"/>
  <c r="W336" i="10" s="1"/>
  <c r="V192" i="10"/>
  <c r="X1026" i="16"/>
  <c r="X220" i="16"/>
  <c r="X788" i="16" s="1"/>
  <c r="X193" i="10" s="1"/>
  <c r="R249" i="10"/>
  <c r="R392" i="10" s="1"/>
  <c r="X1038" i="16"/>
  <c r="W1032" i="16"/>
  <c r="T1068" i="16"/>
  <c r="N1091" i="16"/>
  <c r="V1050" i="16"/>
  <c r="L1108" i="16"/>
  <c r="L1109" i="16" s="1"/>
  <c r="T1061" i="16"/>
  <c r="U1044" i="16"/>
  <c r="V1055" i="16"/>
  <c r="P1085" i="16"/>
  <c r="V1043" i="16"/>
  <c r="W1042" i="16"/>
  <c r="N1097" i="16"/>
  <c r="Q1084" i="16"/>
  <c r="O1096" i="16"/>
  <c r="V1066" i="16"/>
  <c r="W1054" i="16"/>
  <c r="U1067" i="16"/>
  <c r="W1049" i="16"/>
  <c r="X1031" i="16"/>
  <c r="X1048" i="16"/>
  <c r="X110" i="20"/>
  <c r="U1140" i="20"/>
  <c r="U202" i="20" s="1"/>
  <c r="U1197" i="20" s="1"/>
  <c r="U1192" i="20" s="1"/>
  <c r="T200" i="20"/>
  <c r="U1139" i="20"/>
  <c r="V1139" i="20" s="1"/>
  <c r="S256" i="10"/>
  <c r="W1132" i="20"/>
  <c r="X1131" i="20"/>
  <c r="X1133" i="20" s="1"/>
  <c r="U199" i="20"/>
  <c r="U249" i="20" s="1"/>
  <c r="U252" i="20" s="1"/>
  <c r="S235" i="10"/>
  <c r="S249" i="10" s="1"/>
  <c r="U1125" i="20"/>
  <c r="V1124" i="20"/>
  <c r="V1126" i="20" s="1"/>
  <c r="X1190" i="20"/>
  <c r="X1189" i="20" s="1"/>
  <c r="T252" i="20"/>
  <c r="T227" i="11" s="1"/>
  <c r="T228" i="11" s="1"/>
  <c r="T247" i="11" s="1"/>
  <c r="T174" i="10" s="1"/>
  <c r="T318" i="10" s="1"/>
  <c r="S175" i="10"/>
  <c r="S319" i="10" s="1"/>
  <c r="T164" i="20"/>
  <c r="T1197" i="20"/>
  <c r="T1192" i="20" s="1"/>
  <c r="R256" i="10"/>
  <c r="W1146" i="20"/>
  <c r="X839" i="20"/>
  <c r="V826" i="20"/>
  <c r="V166" i="20" s="1"/>
  <c r="V1195" i="20" s="1"/>
  <c r="W824" i="20"/>
  <c r="V163" i="20"/>
  <c r="V825" i="20"/>
  <c r="U164" i="20"/>
  <c r="V646" i="20"/>
  <c r="V647" i="20" s="1"/>
  <c r="V113" i="20" s="1"/>
  <c r="V1194" i="20" s="1"/>
  <c r="U111" i="20"/>
  <c r="X556" i="20"/>
  <c r="X75" i="20" s="1"/>
  <c r="W75" i="20"/>
  <c r="V1153" i="20"/>
  <c r="W1160" i="20"/>
  <c r="X1159" i="20"/>
  <c r="X1161" i="20" s="1"/>
  <c r="V1154" i="20"/>
  <c r="W1152" i="20"/>
  <c r="V1140" i="20"/>
  <c r="W1138" i="20"/>
  <c r="X1080" i="20"/>
  <c r="X1108" i="20"/>
  <c r="W184" i="20"/>
  <c r="W1196" i="20" s="1"/>
  <c r="W1182" i="20"/>
  <c r="X1180" i="20"/>
  <c r="X1182" i="20" s="1"/>
  <c r="W1147" i="20"/>
  <c r="X1145" i="20"/>
  <c r="X1147" i="20" s="1"/>
  <c r="W1181" i="20"/>
  <c r="W1174" i="20"/>
  <c r="W1175" i="20"/>
  <c r="X1173" i="20"/>
  <c r="X1175" i="20" s="1"/>
  <c r="V1118" i="20"/>
  <c r="T379" i="10"/>
  <c r="T378" i="10" s="1"/>
  <c r="T235" i="10"/>
  <c r="X1087" i="20"/>
  <c r="V1119" i="20"/>
  <c r="W1117" i="20"/>
  <c r="T261" i="10"/>
  <c r="X1067" i="20"/>
  <c r="X184" i="20" s="1"/>
  <c r="X181" i="20"/>
  <c r="X1066" i="20"/>
  <c r="V1045" i="20"/>
  <c r="U182" i="20"/>
  <c r="W1736" i="16"/>
  <c r="V1737" i="16"/>
  <c r="V1738" i="16" s="1"/>
  <c r="L1807" i="16"/>
  <c r="L1808" i="16"/>
  <c r="M1806" i="16"/>
  <c r="N1806" i="16" s="1"/>
  <c r="N2195" i="16" s="1"/>
  <c r="O1786" i="16"/>
  <c r="O1787" i="16" s="1"/>
  <c r="X1035" i="20"/>
  <c r="T1778" i="16"/>
  <c r="U1778" i="16" s="1"/>
  <c r="V1778" i="16" s="1"/>
  <c r="W1778" i="16" s="1"/>
  <c r="X1778" i="16" s="1"/>
  <c r="X1036" i="20"/>
  <c r="X1028" i="20"/>
  <c r="L1813" i="16"/>
  <c r="M1813" i="16" s="1"/>
  <c r="P1785" i="16"/>
  <c r="Q1785" i="16" s="1"/>
  <c r="N1799" i="16"/>
  <c r="V2188" i="16"/>
  <c r="U2188" i="16"/>
  <c r="U1758" i="16"/>
  <c r="M1800" i="16"/>
  <c r="M1801" i="16" s="1"/>
  <c r="T2190" i="16"/>
  <c r="T1772" i="16"/>
  <c r="X1751" i="16"/>
  <c r="X1744" i="16"/>
  <c r="X2186" i="16"/>
  <c r="U2189" i="16"/>
  <c r="Q1830" i="16"/>
  <c r="E1825" i="16"/>
  <c r="F1825" i="16" s="1"/>
  <c r="B1824" i="16"/>
  <c r="R1830" i="16"/>
  <c r="N1830" i="16"/>
  <c r="X1830" i="16"/>
  <c r="K1830" i="16"/>
  <c r="S1830" i="16"/>
  <c r="V1830" i="16"/>
  <c r="L1830" i="16"/>
  <c r="T1830" i="16"/>
  <c r="M1830" i="16"/>
  <c r="U1830" i="16"/>
  <c r="E1826" i="16"/>
  <c r="D1826" i="16" s="1"/>
  <c r="P1830" i="16"/>
  <c r="D1825" i="16"/>
  <c r="O1830" i="16"/>
  <c r="W1830" i="16"/>
  <c r="T1765" i="16"/>
  <c r="T2189" i="16"/>
  <c r="K2196" i="16"/>
  <c r="K1814" i="16"/>
  <c r="K1815" i="16" s="1"/>
  <c r="K1820" i="16"/>
  <c r="S1779" i="16"/>
  <c r="S2191" i="16"/>
  <c r="O2193" i="16" l="1"/>
  <c r="O1793" i="16"/>
  <c r="P1793" i="16" s="1"/>
  <c r="Q1792" i="16"/>
  <c r="R1792" i="16" s="1"/>
  <c r="P1086" i="16"/>
  <c r="N1102" i="16"/>
  <c r="O1102" i="16" s="1"/>
  <c r="P1102" i="16" s="1"/>
  <c r="L1103" i="16"/>
  <c r="M1103" i="16" s="1"/>
  <c r="K20" i="10"/>
  <c r="K29" i="10" s="1"/>
  <c r="K101" i="10"/>
  <c r="X1196" i="20"/>
  <c r="X1736" i="16"/>
  <c r="Q1079" i="16"/>
  <c r="O1091" i="16"/>
  <c r="U1072" i="16"/>
  <c r="V1072" i="16" s="1"/>
  <c r="Q1074" i="16"/>
  <c r="R1078" i="16"/>
  <c r="L137" i="16"/>
  <c r="U1061" i="16"/>
  <c r="V1061" i="16" s="1"/>
  <c r="W1061" i="16" s="1"/>
  <c r="P1090" i="16"/>
  <c r="R1073" i="16"/>
  <c r="M1098" i="16"/>
  <c r="N1098" i="16" s="1"/>
  <c r="X322" i="20"/>
  <c r="T1766" i="16"/>
  <c r="X1745" i="16"/>
  <c r="X1752" i="16"/>
  <c r="U1759" i="16"/>
  <c r="T1062" i="16"/>
  <c r="L1104" i="16"/>
  <c r="M1104" i="16" s="1"/>
  <c r="P1080" i="16"/>
  <c r="Q1080" i="16" s="1"/>
  <c r="N1092" i="16"/>
  <c r="O1794" i="16"/>
  <c r="T1773" i="16"/>
  <c r="S1780" i="16"/>
  <c r="D1827" i="16"/>
  <c r="F1826" i="16" s="1"/>
  <c r="X601" i="20"/>
  <c r="X88" i="20" s="1"/>
  <c r="W88" i="20"/>
  <c r="N1847" i="16"/>
  <c r="N1848" i="16" s="1"/>
  <c r="F1866" i="16"/>
  <c r="K1867" i="16" s="1"/>
  <c r="K1839" i="16" s="1"/>
  <c r="K2201" i="16"/>
  <c r="L1860" i="16"/>
  <c r="L1861" i="16" s="1"/>
  <c r="Q1846" i="16"/>
  <c r="Q2199" i="16" s="1"/>
  <c r="P2199" i="16"/>
  <c r="O1853" i="16"/>
  <c r="P1853" i="16" s="1"/>
  <c r="Q1853" i="16" s="1"/>
  <c r="N2200" i="16"/>
  <c r="K1862" i="16"/>
  <c r="N1854" i="16"/>
  <c r="M1855" i="16"/>
  <c r="V1056" i="16"/>
  <c r="W192" i="10"/>
  <c r="X787" i="16"/>
  <c r="X1032" i="16"/>
  <c r="T249" i="10"/>
  <c r="T392" i="10" s="1"/>
  <c r="U1068" i="16"/>
  <c r="S392" i="10"/>
  <c r="M1108" i="16"/>
  <c r="W1050" i="16"/>
  <c r="L1110" i="16"/>
  <c r="V1044" i="16"/>
  <c r="R1084" i="16"/>
  <c r="S1084" i="16" s="1"/>
  <c r="K108" i="10"/>
  <c r="K396" i="10"/>
  <c r="K395" i="10" s="1"/>
  <c r="V1067" i="16"/>
  <c r="X1042" i="16"/>
  <c r="W1043" i="16"/>
  <c r="X1054" i="16"/>
  <c r="W1066" i="16"/>
  <c r="O1097" i="16"/>
  <c r="Q1085" i="16"/>
  <c r="W1055" i="16"/>
  <c r="P1096" i="16"/>
  <c r="X1060" i="16"/>
  <c r="X1049" i="16"/>
  <c r="U200" i="20"/>
  <c r="V199" i="20"/>
  <c r="V249" i="20" s="1"/>
  <c r="W1124" i="20"/>
  <c r="W1126" i="20" s="1"/>
  <c r="X1132" i="20"/>
  <c r="M70" i="25"/>
  <c r="T175" i="10"/>
  <c r="T319" i="10" s="1"/>
  <c r="V1125" i="20"/>
  <c r="W825" i="20"/>
  <c r="V164" i="20"/>
  <c r="W826" i="20"/>
  <c r="W166" i="20" s="1"/>
  <c r="W1195" i="20" s="1"/>
  <c r="X824" i="20"/>
  <c r="W163" i="20"/>
  <c r="W646" i="20"/>
  <c r="W647" i="20" s="1"/>
  <c r="W113" i="20" s="1"/>
  <c r="W1194" i="20" s="1"/>
  <c r="V111" i="20"/>
  <c r="U255" i="20"/>
  <c r="U258" i="20" s="1"/>
  <c r="U236" i="10" s="1"/>
  <c r="U235" i="10" s="1"/>
  <c r="V202" i="20"/>
  <c r="V255" i="20" s="1"/>
  <c r="V258" i="20" s="1"/>
  <c r="V236" i="10" s="1"/>
  <c r="X1160" i="20"/>
  <c r="W1154" i="20"/>
  <c r="X1152" i="20"/>
  <c r="X1154" i="20" s="1"/>
  <c r="W1153" i="20"/>
  <c r="W1140" i="20"/>
  <c r="X1138" i="20"/>
  <c r="X1140" i="20" s="1"/>
  <c r="W1139" i="20"/>
  <c r="X1181" i="20"/>
  <c r="X1146" i="20"/>
  <c r="X1174" i="20"/>
  <c r="W1119" i="20"/>
  <c r="X1117" i="20"/>
  <c r="T404" i="10"/>
  <c r="T399" i="10" s="1"/>
  <c r="T256" i="10"/>
  <c r="U227" i="11"/>
  <c r="U228" i="11" s="1"/>
  <c r="U247" i="11" s="1"/>
  <c r="U174" i="10" s="1"/>
  <c r="U318" i="10" s="1"/>
  <c r="U175" i="10"/>
  <c r="U319" i="10" s="1"/>
  <c r="W1118" i="20"/>
  <c r="W1045" i="20"/>
  <c r="V182" i="20"/>
  <c r="W2185" i="16"/>
  <c r="W1737" i="16"/>
  <c r="M2195" i="16"/>
  <c r="O1806" i="16"/>
  <c r="O2195" i="16" s="1"/>
  <c r="M1807" i="16"/>
  <c r="N1807" i="16" s="1"/>
  <c r="X192" i="10"/>
  <c r="X337" i="10"/>
  <c r="X336" i="10" s="1"/>
  <c r="P1786" i="16"/>
  <c r="Q1786" i="16" s="1"/>
  <c r="N1813" i="16"/>
  <c r="O1813" i="16" s="1"/>
  <c r="P2192" i="16"/>
  <c r="Q2192" i="16"/>
  <c r="R1785" i="16"/>
  <c r="R2192" i="16" s="1"/>
  <c r="O1799" i="16"/>
  <c r="O2194" i="16" s="1"/>
  <c r="P1787" i="16"/>
  <c r="Q1787" i="16" s="1"/>
  <c r="L1820" i="16"/>
  <c r="M1820" i="16" s="1"/>
  <c r="V1758" i="16"/>
  <c r="X2188" i="16"/>
  <c r="N2194" i="16"/>
  <c r="N1800" i="16"/>
  <c r="N1801" i="16" s="1"/>
  <c r="U1772" i="16"/>
  <c r="V1772" i="16" s="1"/>
  <c r="W1772" i="16" s="1"/>
  <c r="V2190" i="16"/>
  <c r="W2190" i="16"/>
  <c r="U2190" i="16"/>
  <c r="U1765" i="16"/>
  <c r="K2197" i="16"/>
  <c r="K1821" i="16"/>
  <c r="K1822" i="16" s="1"/>
  <c r="L1815" i="16"/>
  <c r="L2196" i="16"/>
  <c r="K1827" i="16"/>
  <c r="L1814" i="16"/>
  <c r="P2193" i="16"/>
  <c r="T2191" i="16"/>
  <c r="T1779" i="16"/>
  <c r="S1792" i="16" l="1"/>
  <c r="T1792" i="16" s="1"/>
  <c r="U1792" i="16" s="1"/>
  <c r="V1792" i="16" s="1"/>
  <c r="W1792" i="16" s="1"/>
  <c r="X1792" i="16" s="1"/>
  <c r="Q2193" i="16"/>
  <c r="L138" i="16"/>
  <c r="N1103" i="16"/>
  <c r="O1103" i="16" s="1"/>
  <c r="P1103" i="16" s="1"/>
  <c r="Q1102" i="16"/>
  <c r="R1102" i="16" s="1"/>
  <c r="S1102" i="16" s="1"/>
  <c r="K19" i="18"/>
  <c r="K16" i="18" s="1"/>
  <c r="K49" i="18"/>
  <c r="K54" i="18" s="1"/>
  <c r="X52" i="20"/>
  <c r="X1737" i="16"/>
  <c r="X2185" i="16"/>
  <c r="R1079" i="16"/>
  <c r="L171" i="16"/>
  <c r="M137" i="16"/>
  <c r="S1073" i="16"/>
  <c r="S1078" i="16"/>
  <c r="O1092" i="16"/>
  <c r="Q1090" i="16"/>
  <c r="P1091" i="16"/>
  <c r="U1062" i="16"/>
  <c r="L139" i="16"/>
  <c r="R1074" i="16"/>
  <c r="W1072" i="16"/>
  <c r="L1827" i="16"/>
  <c r="M1827" i="16" s="1"/>
  <c r="V1759" i="16"/>
  <c r="U1766" i="16"/>
  <c r="L1867" i="16"/>
  <c r="L2202" i="16" s="1"/>
  <c r="P1794" i="16"/>
  <c r="T1780" i="16"/>
  <c r="N1104" i="16"/>
  <c r="O1104" i="16" s="1"/>
  <c r="P1104" i="16" s="1"/>
  <c r="V1068" i="16"/>
  <c r="M1808" i="16"/>
  <c r="N1808" i="16" s="1"/>
  <c r="U1773" i="16"/>
  <c r="V1773" i="16" s="1"/>
  <c r="W1773" i="16" s="1"/>
  <c r="W1738" i="16"/>
  <c r="O1847" i="16"/>
  <c r="O1848" i="16" s="1"/>
  <c r="K1868" i="16"/>
  <c r="K1869" i="16" s="1"/>
  <c r="K2202" i="16"/>
  <c r="M1860" i="16"/>
  <c r="N1860" i="16" s="1"/>
  <c r="O1860" i="16" s="1"/>
  <c r="O2201" i="16" s="1"/>
  <c r="L2201" i="16"/>
  <c r="R1846" i="16"/>
  <c r="O1854" i="16"/>
  <c r="P1854" i="16" s="1"/>
  <c r="Q1854" i="16" s="1"/>
  <c r="L1862" i="16"/>
  <c r="Q2200" i="16"/>
  <c r="P2200" i="16"/>
  <c r="N1855" i="16"/>
  <c r="R1853" i="16"/>
  <c r="O2200" i="16"/>
  <c r="W1056" i="16"/>
  <c r="N70" i="25"/>
  <c r="V252" i="20"/>
  <c r="N1108" i="16"/>
  <c r="M1109" i="16"/>
  <c r="M138" i="16" s="1"/>
  <c r="X1050" i="16"/>
  <c r="R1085" i="16"/>
  <c r="S1085" i="16" s="1"/>
  <c r="W1044" i="16"/>
  <c r="R1080" i="16"/>
  <c r="O1098" i="16"/>
  <c r="K33" i="10"/>
  <c r="K130" i="10"/>
  <c r="Q1086" i="16"/>
  <c r="X1043" i="16"/>
  <c r="X1061" i="16"/>
  <c r="X1066" i="16"/>
  <c r="X1055" i="16"/>
  <c r="W1067" i="16"/>
  <c r="T1084" i="16"/>
  <c r="Q1096" i="16"/>
  <c r="P1097" i="16"/>
  <c r="U261" i="10"/>
  <c r="U249" i="10" s="1"/>
  <c r="X1124" i="20"/>
  <c r="X1126" i="20" s="1"/>
  <c r="W1125" i="20"/>
  <c r="W200" i="20" s="1"/>
  <c r="V200" i="20"/>
  <c r="W199" i="20"/>
  <c r="W249" i="20" s="1"/>
  <c r="V1197" i="20"/>
  <c r="V1192" i="20" s="1"/>
  <c r="U379" i="10"/>
  <c r="U378" i="10" s="1"/>
  <c r="X826" i="20"/>
  <c r="X166" i="20" s="1"/>
  <c r="X1195" i="20" s="1"/>
  <c r="X163" i="20"/>
  <c r="X825" i="20"/>
  <c r="X164" i="20" s="1"/>
  <c r="W164" i="20"/>
  <c r="X646" i="20"/>
  <c r="X647" i="20" s="1"/>
  <c r="X113" i="20" s="1"/>
  <c r="X1194" i="20" s="1"/>
  <c r="W111" i="20"/>
  <c r="X1153" i="20"/>
  <c r="W202" i="20"/>
  <c r="W1197" i="20" s="1"/>
  <c r="W1192" i="20" s="1"/>
  <c r="X1139" i="20"/>
  <c r="V379" i="10"/>
  <c r="V378" i="10" s="1"/>
  <c r="V235" i="10"/>
  <c r="X1118" i="20"/>
  <c r="X1119" i="20"/>
  <c r="X1045" i="20"/>
  <c r="X182" i="20" s="1"/>
  <c r="W182" i="20"/>
  <c r="P1806" i="16"/>
  <c r="P2195" i="16" s="1"/>
  <c r="O1807" i="16"/>
  <c r="O1800" i="16"/>
  <c r="O1801" i="16" s="1"/>
  <c r="R1786" i="16"/>
  <c r="R1787" i="16" s="1"/>
  <c r="S1785" i="16"/>
  <c r="T1785" i="16" s="1"/>
  <c r="U1785" i="16" s="1"/>
  <c r="V1785" i="16" s="1"/>
  <c r="W1785" i="16" s="1"/>
  <c r="X1785" i="16" s="1"/>
  <c r="L1821" i="16"/>
  <c r="M1821" i="16" s="1"/>
  <c r="L2197" i="16"/>
  <c r="L1822" i="16"/>
  <c r="P1813" i="16"/>
  <c r="N1820" i="16"/>
  <c r="O1820" i="16" s="1"/>
  <c r="P1799" i="16"/>
  <c r="Q1799" i="16" s="1"/>
  <c r="W1758" i="16"/>
  <c r="X1758" i="16" s="1"/>
  <c r="W2188" i="16"/>
  <c r="V1765" i="16"/>
  <c r="W1765" i="16" s="1"/>
  <c r="X1765" i="16" s="1"/>
  <c r="X2190" i="16"/>
  <c r="X1772" i="16"/>
  <c r="V2189" i="16"/>
  <c r="U1779" i="16"/>
  <c r="Q1793" i="16"/>
  <c r="X2189" i="16"/>
  <c r="M1814" i="16"/>
  <c r="M1815" i="16" s="1"/>
  <c r="K1828" i="16"/>
  <c r="K1829" i="16" s="1"/>
  <c r="K2198" i="16"/>
  <c r="K464" i="16"/>
  <c r="K798" i="16" s="1"/>
  <c r="W2189" i="16"/>
  <c r="M2197" i="16"/>
  <c r="N2196" i="16"/>
  <c r="M2196" i="16"/>
  <c r="U2191" i="16"/>
  <c r="K24" i="18" l="1"/>
  <c r="K21" i="18" s="1"/>
  <c r="K46" i="18"/>
  <c r="K56" i="18" s="1"/>
  <c r="K88" i="10" s="1"/>
  <c r="K87" i="10" s="1"/>
  <c r="K82" i="10" s="1"/>
  <c r="T1102" i="16"/>
  <c r="U1102" i="16" s="1"/>
  <c r="Q1103" i="16"/>
  <c r="R1103" i="16" s="1"/>
  <c r="S1103" i="16" s="1"/>
  <c r="O121" i="25" a="1"/>
  <c r="O121" i="25" s="1"/>
  <c r="N203" i="25" a="1"/>
  <c r="N203" i="25" s="1"/>
  <c r="X1738" i="16"/>
  <c r="X111" i="20"/>
  <c r="P121" i="25" s="1" a="1"/>
  <c r="P121" i="25" s="1"/>
  <c r="S1079" i="16"/>
  <c r="L188" i="16"/>
  <c r="L21" i="10" s="1"/>
  <c r="M171" i="16"/>
  <c r="O1108" i="16"/>
  <c r="P1108" i="16" s="1"/>
  <c r="N137" i="16"/>
  <c r="X1072" i="16"/>
  <c r="Q1091" i="16"/>
  <c r="S1074" i="16"/>
  <c r="T1073" i="16"/>
  <c r="R1090" i="16"/>
  <c r="P1092" i="16"/>
  <c r="V1062" i="16"/>
  <c r="T1078" i="16"/>
  <c r="U1078" i="16" s="1"/>
  <c r="L2198" i="16"/>
  <c r="K26" i="18"/>
  <c r="K66" i="10" s="1"/>
  <c r="L1839" i="16"/>
  <c r="L464" i="16" s="1"/>
  <c r="M1867" i="16"/>
  <c r="M2202" i="16" s="1"/>
  <c r="L1869" i="16"/>
  <c r="L1841" i="16" s="1"/>
  <c r="Q1794" i="16"/>
  <c r="W1068" i="16"/>
  <c r="U1780" i="16"/>
  <c r="X1773" i="16"/>
  <c r="M1110" i="16"/>
  <c r="M139" i="16" s="1"/>
  <c r="R1086" i="16"/>
  <c r="S1086" i="16" s="1"/>
  <c r="O1808" i="16"/>
  <c r="V1766" i="16"/>
  <c r="W1766" i="16" s="1"/>
  <c r="X1766" i="16" s="1"/>
  <c r="M1822" i="16"/>
  <c r="W1759" i="16"/>
  <c r="X1759" i="16" s="1"/>
  <c r="P1847" i="16"/>
  <c r="P1848" i="16" s="1"/>
  <c r="K1840" i="16"/>
  <c r="K465" i="16" s="1"/>
  <c r="L1868" i="16"/>
  <c r="K1841" i="16"/>
  <c r="K466" i="16" s="1"/>
  <c r="K793" i="16" s="1"/>
  <c r="O1855" i="16"/>
  <c r="P1855" i="16" s="1"/>
  <c r="Q1855" i="16" s="1"/>
  <c r="M2201" i="16"/>
  <c r="M1861" i="16"/>
  <c r="N2201" i="16"/>
  <c r="R2199" i="16"/>
  <c r="S1846" i="16"/>
  <c r="P1860" i="16"/>
  <c r="P2201" i="16" s="1"/>
  <c r="R1854" i="16"/>
  <c r="S1853" i="16"/>
  <c r="R2200" i="16"/>
  <c r="X1056" i="16"/>
  <c r="O70" i="25"/>
  <c r="W252" i="20"/>
  <c r="V227" i="11"/>
  <c r="V228" i="11" s="1"/>
  <c r="V247" i="11" s="1"/>
  <c r="V174" i="10" s="1"/>
  <c r="V318" i="10" s="1"/>
  <c r="V175" i="10"/>
  <c r="V319" i="10" s="1"/>
  <c r="V261" i="10"/>
  <c r="V249" i="10" s="1"/>
  <c r="V392" i="10" s="1"/>
  <c r="U392" i="10"/>
  <c r="N1109" i="16"/>
  <c r="N138" i="16" s="1"/>
  <c r="X1044" i="16"/>
  <c r="S1080" i="16"/>
  <c r="P1098" i="16"/>
  <c r="K151" i="10"/>
  <c r="K37" i="10"/>
  <c r="K39" i="10" s="1"/>
  <c r="K40" i="10" s="1"/>
  <c r="K42" i="10" s="1"/>
  <c r="Q1104" i="16"/>
  <c r="R1104" i="16" s="1"/>
  <c r="S1104" i="16" s="1"/>
  <c r="T1085" i="16"/>
  <c r="Q1097" i="16"/>
  <c r="X1067" i="16"/>
  <c r="U1084" i="16"/>
  <c r="R1096" i="16"/>
  <c r="U404" i="10"/>
  <c r="U399" i="10" s="1"/>
  <c r="X1125" i="20"/>
  <c r="U256" i="10"/>
  <c r="X202" i="20"/>
  <c r="X1197" i="20" s="1"/>
  <c r="X1192" i="20" s="1"/>
  <c r="X199" i="20"/>
  <c r="X249" i="20" s="1"/>
  <c r="W255" i="20"/>
  <c r="W258" i="20" s="1"/>
  <c r="W236" i="10" s="1"/>
  <c r="W379" i="10" s="1"/>
  <c r="W378" i="10" s="1"/>
  <c r="Q1806" i="16"/>
  <c r="Q2195" i="16" s="1"/>
  <c r="P1807" i="16"/>
  <c r="S1786" i="16"/>
  <c r="T1786" i="16" s="1"/>
  <c r="U1786" i="16" s="1"/>
  <c r="S2192" i="16"/>
  <c r="T2192" i="16"/>
  <c r="R1799" i="16"/>
  <c r="S1799" i="16" s="1"/>
  <c r="T1799" i="16" s="1"/>
  <c r="U1799" i="16" s="1"/>
  <c r="V1799" i="16" s="1"/>
  <c r="W1799" i="16" s="1"/>
  <c r="X1799" i="16" s="1"/>
  <c r="N1827" i="16"/>
  <c r="P1820" i="16"/>
  <c r="Q1820" i="16" s="1"/>
  <c r="P1800" i="16"/>
  <c r="Q1800" i="16" s="1"/>
  <c r="P2194" i="16"/>
  <c r="Q1813" i="16"/>
  <c r="R1793" i="16"/>
  <c r="S1793" i="16" s="1"/>
  <c r="U2192" i="16"/>
  <c r="R2193" i="16"/>
  <c r="S2193" i="16"/>
  <c r="O2197" i="16"/>
  <c r="L1828" i="16"/>
  <c r="N1814" i="16"/>
  <c r="N1815" i="16" s="1"/>
  <c r="L1829" i="16"/>
  <c r="N1821" i="16"/>
  <c r="O1821" i="16" s="1"/>
  <c r="N2197" i="16"/>
  <c r="K604" i="12"/>
  <c r="K612" i="12" s="1"/>
  <c r="K165" i="10"/>
  <c r="K815" i="16"/>
  <c r="Q2194" i="16"/>
  <c r="M2198" i="16"/>
  <c r="V2191" i="16"/>
  <c r="V1779" i="16"/>
  <c r="K147" i="10" l="1"/>
  <c r="K47" i="18" s="1"/>
  <c r="O203" i="25" a="1"/>
  <c r="O203" i="25" s="1"/>
  <c r="P203" i="25" a="1"/>
  <c r="P203" i="25" s="1"/>
  <c r="D203" i="25" a="1"/>
  <c r="D203" i="25" s="1"/>
  <c r="N121" i="25" a="1"/>
  <c r="N121" i="25" s="1"/>
  <c r="V1102" i="16"/>
  <c r="W1102" i="16" s="1"/>
  <c r="X1102" i="16" s="1"/>
  <c r="T1103" i="16"/>
  <c r="U1103" i="16" s="1"/>
  <c r="F121" i="25" a="1"/>
  <c r="F121" i="25" s="1"/>
  <c r="I203" i="25" a="1"/>
  <c r="I203" i="25" s="1"/>
  <c r="F203" i="25" a="1"/>
  <c r="F203" i="25" s="1"/>
  <c r="J203" i="25" a="1"/>
  <c r="J203" i="25" s="1"/>
  <c r="K203" i="25" a="1"/>
  <c r="K203" i="25" s="1"/>
  <c r="C203" i="25" a="1"/>
  <c r="C203" i="25" s="1"/>
  <c r="G203" i="25" a="1"/>
  <c r="G203" i="25" s="1"/>
  <c r="H203" i="25" a="1"/>
  <c r="H203" i="25" s="1"/>
  <c r="M203" i="25" a="1"/>
  <c r="M203" i="25" s="1"/>
  <c r="E203" i="25" a="1"/>
  <c r="E203" i="25" s="1"/>
  <c r="L203" i="25" a="1"/>
  <c r="L203" i="25" s="1"/>
  <c r="K121" i="25" a="1"/>
  <c r="K121" i="25" s="1"/>
  <c r="G121" i="25" a="1"/>
  <c r="G121" i="25" s="1"/>
  <c r="E121" i="25" a="1"/>
  <c r="E121" i="25" s="1"/>
  <c r="J121" i="25" a="1"/>
  <c r="J121" i="25" s="1"/>
  <c r="C121" i="25" a="1"/>
  <c r="C121" i="25" s="1"/>
  <c r="M121" i="25" a="1"/>
  <c r="M121" i="25" s="1"/>
  <c r="H121" i="25" a="1"/>
  <c r="H121" i="25" s="1"/>
  <c r="I121" i="25" a="1"/>
  <c r="I121" i="25" s="1"/>
  <c r="D121" i="25" a="1"/>
  <c r="D121" i="25" s="1"/>
  <c r="L121" i="25" a="1"/>
  <c r="L121" i="25" s="1"/>
  <c r="H593" i="25" a="1"/>
  <c r="H593" i="25" s="1"/>
  <c r="E593" i="25" a="1"/>
  <c r="E593" i="25" s="1"/>
  <c r="F593" i="25" a="1"/>
  <c r="F593" i="25" s="1"/>
  <c r="C593" i="25" a="1"/>
  <c r="C593" i="25" s="1"/>
  <c r="G593" i="25" a="1"/>
  <c r="G593" i="25" s="1"/>
  <c r="I593" i="25" a="1"/>
  <c r="I593" i="25" s="1"/>
  <c r="J593" i="25" a="1"/>
  <c r="J593" i="25" s="1"/>
  <c r="D593" i="25" a="1"/>
  <c r="D593" i="25" s="1"/>
  <c r="X200" i="20"/>
  <c r="K145" i="10"/>
  <c r="K17" i="18" s="1"/>
  <c r="W1062" i="16"/>
  <c r="L798" i="16"/>
  <c r="L604" i="12" s="1"/>
  <c r="L612" i="12" s="1"/>
  <c r="L101" i="10"/>
  <c r="L109" i="10"/>
  <c r="L108" i="10" s="1"/>
  <c r="L20" i="10"/>
  <c r="M188" i="16"/>
  <c r="M21" i="10" s="1"/>
  <c r="T1079" i="16"/>
  <c r="U1079" i="16" s="1"/>
  <c r="N171" i="16"/>
  <c r="P137" i="16"/>
  <c r="R1091" i="16"/>
  <c r="V1078" i="16"/>
  <c r="S1090" i="16"/>
  <c r="U1073" i="16"/>
  <c r="O137" i="16"/>
  <c r="Q1092" i="16"/>
  <c r="T1074" i="16"/>
  <c r="K102" i="10"/>
  <c r="K59" i="18"/>
  <c r="K60" i="18" s="1"/>
  <c r="N1867" i="16"/>
  <c r="O1867" i="16" s="1"/>
  <c r="P1867" i="16" s="1"/>
  <c r="P1839" i="16" s="1"/>
  <c r="M1839" i="16"/>
  <c r="M464" i="16" s="1"/>
  <c r="V1780" i="16"/>
  <c r="X1068" i="16"/>
  <c r="N1110" i="16"/>
  <c r="N139" i="16" s="1"/>
  <c r="L466" i="16"/>
  <c r="L793" i="16" s="1"/>
  <c r="L201" i="10" s="1"/>
  <c r="P1808" i="16"/>
  <c r="S1787" i="16"/>
  <c r="T1787" i="16" s="1"/>
  <c r="U1787" i="16" s="1"/>
  <c r="R1794" i="16"/>
  <c r="S1794" i="16" s="1"/>
  <c r="P1801" i="16"/>
  <c r="Q1801" i="16" s="1"/>
  <c r="N1822" i="16"/>
  <c r="O1822" i="16" s="1"/>
  <c r="Q1847" i="16"/>
  <c r="Q1848" i="16" s="1"/>
  <c r="R1855" i="16"/>
  <c r="M1868" i="16"/>
  <c r="L1840" i="16"/>
  <c r="L465" i="16" s="1"/>
  <c r="M1862" i="16"/>
  <c r="N1861" i="16"/>
  <c r="O1861" i="16" s="1"/>
  <c r="Q1860" i="16"/>
  <c r="R1860" i="16" s="1"/>
  <c r="T1846" i="16"/>
  <c r="S2199" i="16"/>
  <c r="S2200" i="16"/>
  <c r="T1853" i="16"/>
  <c r="S1854" i="16"/>
  <c r="P70" i="25"/>
  <c r="X252" i="20"/>
  <c r="V404" i="10"/>
  <c r="V399" i="10" s="1"/>
  <c r="V256" i="10"/>
  <c r="W175" i="10"/>
  <c r="W319" i="10" s="1"/>
  <c r="W227" i="11"/>
  <c r="W228" i="11" s="1"/>
  <c r="W247" i="11" s="1"/>
  <c r="W174" i="10" s="1"/>
  <c r="W318" i="10" s="1"/>
  <c r="W261" i="10"/>
  <c r="O1109" i="16"/>
  <c r="O138" i="16" s="1"/>
  <c r="Q1108" i="16"/>
  <c r="T1080" i="16"/>
  <c r="Q1098" i="16"/>
  <c r="T1086" i="16"/>
  <c r="K100" i="10"/>
  <c r="K138" i="10"/>
  <c r="K131" i="10"/>
  <c r="K81" i="10"/>
  <c r="K76" i="10" s="1"/>
  <c r="K94" i="10" s="1"/>
  <c r="K104" i="10"/>
  <c r="T1104" i="16"/>
  <c r="U1104" i="16" s="1"/>
  <c r="U1085" i="16"/>
  <c r="S1096" i="16"/>
  <c r="R1097" i="16"/>
  <c r="V1084" i="16"/>
  <c r="X255" i="20"/>
  <c r="X258" i="20" s="1"/>
  <c r="X236" i="10" s="1"/>
  <c r="X235" i="10" s="1"/>
  <c r="W235" i="10"/>
  <c r="R1806" i="16"/>
  <c r="S1806" i="16" s="1"/>
  <c r="Q1807" i="16"/>
  <c r="P2197" i="16"/>
  <c r="R1820" i="16"/>
  <c r="S1820" i="16" s="1"/>
  <c r="R1813" i="16"/>
  <c r="S1813" i="16" s="1"/>
  <c r="T1813" i="16" s="1"/>
  <c r="U1813" i="16" s="1"/>
  <c r="V1813" i="16" s="1"/>
  <c r="W1813" i="16" s="1"/>
  <c r="X1813" i="16" s="1"/>
  <c r="O1827" i="16"/>
  <c r="P1827" i="16" s="1"/>
  <c r="T1793" i="16"/>
  <c r="U1793" i="16" s="1"/>
  <c r="V1793" i="16" s="1"/>
  <c r="T2193" i="16"/>
  <c r="V2192" i="16"/>
  <c r="V1786" i="16"/>
  <c r="V2193" i="16"/>
  <c r="R2194" i="16"/>
  <c r="R1800" i="16"/>
  <c r="P1821" i="16"/>
  <c r="M1828" i="16"/>
  <c r="M1829" i="16" s="1"/>
  <c r="U2193" i="16"/>
  <c r="N2198" i="16"/>
  <c r="K790" i="16"/>
  <c r="K201" i="10"/>
  <c r="W2193" i="16"/>
  <c r="K309" i="10"/>
  <c r="K245" i="10"/>
  <c r="K164" i="10"/>
  <c r="O1814" i="16"/>
  <c r="O1815" i="16" s="1"/>
  <c r="O2196" i="16"/>
  <c r="W1779" i="16"/>
  <c r="W2191" i="16"/>
  <c r="V1103" i="16" l="1"/>
  <c r="W1103" i="16" s="1"/>
  <c r="X1103" i="16" s="1"/>
  <c r="P241" i="25"/>
  <c r="G241" i="25"/>
  <c r="L241" i="25"/>
  <c r="N241" i="25"/>
  <c r="C241" i="25"/>
  <c r="M241" i="25"/>
  <c r="I241" i="25"/>
  <c r="J241" i="25"/>
  <c r="K241" i="25"/>
  <c r="F241" i="25"/>
  <c r="D241" i="25"/>
  <c r="H241" i="25"/>
  <c r="E241" i="25"/>
  <c r="O241" i="25"/>
  <c r="L815" i="16"/>
  <c r="W1078" i="16"/>
  <c r="X1062" i="16"/>
  <c r="L396" i="10"/>
  <c r="L395" i="10" s="1"/>
  <c r="L165" i="10"/>
  <c r="M798" i="16"/>
  <c r="M604" i="12" s="1"/>
  <c r="M612" i="12" s="1"/>
  <c r="M101" i="10"/>
  <c r="M20" i="10"/>
  <c r="M49" i="18" s="1"/>
  <c r="M109" i="10"/>
  <c r="M396" i="10" s="1"/>
  <c r="M395" i="10" s="1"/>
  <c r="N188" i="16"/>
  <c r="N21" i="10" s="1"/>
  <c r="L29" i="10"/>
  <c r="L49" i="18"/>
  <c r="L19" i="18"/>
  <c r="P171" i="16"/>
  <c r="O171" i="16"/>
  <c r="S1091" i="16"/>
  <c r="U1074" i="16"/>
  <c r="V1073" i="16"/>
  <c r="Q137" i="16"/>
  <c r="R1092" i="16"/>
  <c r="T1090" i="16"/>
  <c r="Q1867" i="16"/>
  <c r="Q2202" i="16" s="1"/>
  <c r="O2202" i="16"/>
  <c r="P2202" i="16"/>
  <c r="N1839" i="16"/>
  <c r="N464" i="16" s="1"/>
  <c r="N798" i="16" s="1"/>
  <c r="N2202" i="16"/>
  <c r="O1839" i="16"/>
  <c r="O464" i="16" s="1"/>
  <c r="O798" i="16" s="1"/>
  <c r="W1780" i="16"/>
  <c r="R1801" i="16"/>
  <c r="O1110" i="16"/>
  <c r="O139" i="16" s="1"/>
  <c r="L790" i="16"/>
  <c r="Q1808" i="16"/>
  <c r="V1787" i="16"/>
  <c r="P1822" i="16"/>
  <c r="T1794" i="16"/>
  <c r="U1794" i="16" s="1"/>
  <c r="V1794" i="16" s="1"/>
  <c r="R1847" i="16"/>
  <c r="R1848" i="16" s="1"/>
  <c r="S1855" i="16"/>
  <c r="N1862" i="16"/>
  <c r="O1862" i="16" s="1"/>
  <c r="M1869" i="16"/>
  <c r="N1868" i="16"/>
  <c r="O1868" i="16" s="1"/>
  <c r="P1868" i="16" s="1"/>
  <c r="M1840" i="16"/>
  <c r="M465" i="16" s="1"/>
  <c r="Q2201" i="16"/>
  <c r="U1846" i="16"/>
  <c r="T2199" i="16"/>
  <c r="U1853" i="16"/>
  <c r="T2200" i="16"/>
  <c r="P1861" i="16"/>
  <c r="T1854" i="16"/>
  <c r="S1860" i="16"/>
  <c r="R2201" i="16"/>
  <c r="W249" i="10"/>
  <c r="W392" i="10" s="1"/>
  <c r="W256" i="10"/>
  <c r="W404" i="10"/>
  <c r="W399" i="10" s="1"/>
  <c r="X227" i="11"/>
  <c r="X228" i="11" s="1"/>
  <c r="X247" i="11" s="1"/>
  <c r="X174" i="10" s="1"/>
  <c r="X318" i="10" s="1"/>
  <c r="X175" i="10"/>
  <c r="X319" i="10" s="1"/>
  <c r="X261" i="10"/>
  <c r="X249" i="10" s="1"/>
  <c r="X392" i="10" s="1"/>
  <c r="P1109" i="16"/>
  <c r="P138" i="16" s="1"/>
  <c r="R1108" i="16"/>
  <c r="U1086" i="16"/>
  <c r="U1080" i="16"/>
  <c r="V1079" i="16"/>
  <c r="R1098" i="16"/>
  <c r="K99" i="10"/>
  <c r="L21" i="22"/>
  <c r="L23" i="22" s="1"/>
  <c r="L80" i="10" s="1"/>
  <c r="V1104" i="16"/>
  <c r="W1104" i="16" s="1"/>
  <c r="X1104" i="16" s="1"/>
  <c r="W1084" i="16"/>
  <c r="T1096" i="16"/>
  <c r="V1085" i="16"/>
  <c r="S1097" i="16"/>
  <c r="X379" i="10"/>
  <c r="X378" i="10" s="1"/>
  <c r="R1807" i="16"/>
  <c r="S1807" i="16" s="1"/>
  <c r="R2195" i="16"/>
  <c r="Q1827" i="16"/>
  <c r="T1806" i="16"/>
  <c r="S2195" i="16"/>
  <c r="T1820" i="16"/>
  <c r="U1820" i="16" s="1"/>
  <c r="V1820" i="16" s="1"/>
  <c r="W1820" i="16" s="1"/>
  <c r="X1820" i="16" s="1"/>
  <c r="W1786" i="16"/>
  <c r="W2192" i="16"/>
  <c r="W1793" i="16"/>
  <c r="S1800" i="16"/>
  <c r="Q2197" i="16"/>
  <c r="K198" i="10"/>
  <c r="K197" i="10" s="1"/>
  <c r="K191" i="10" s="1"/>
  <c r="K345" i="10"/>
  <c r="K342" i="10" s="1"/>
  <c r="K341" i="10" s="1"/>
  <c r="K335" i="10" s="1"/>
  <c r="P2198" i="16"/>
  <c r="P464" i="16"/>
  <c r="P798" i="16" s="1"/>
  <c r="P2196" i="16"/>
  <c r="P1814" i="16"/>
  <c r="P1815" i="16" s="1"/>
  <c r="K173" i="10"/>
  <c r="K87" i="18"/>
  <c r="K69" i="18"/>
  <c r="O2198" i="16"/>
  <c r="N1828" i="16"/>
  <c r="N1829" i="16" s="1"/>
  <c r="L345" i="10"/>
  <c r="L342" i="10" s="1"/>
  <c r="L341" i="10" s="1"/>
  <c r="L335" i="10" s="1"/>
  <c r="L198" i="10"/>
  <c r="L197" i="10" s="1"/>
  <c r="L191" i="10" s="1"/>
  <c r="K308" i="10"/>
  <c r="K317" i="10" s="1"/>
  <c r="K388" i="10"/>
  <c r="S2194" i="16"/>
  <c r="Q1821" i="16"/>
  <c r="X1779" i="16"/>
  <c r="X2191" i="16"/>
  <c r="L164" i="10" l="1"/>
  <c r="L69" i="18" s="1"/>
  <c r="L102" i="18" s="1"/>
  <c r="K121" i="10"/>
  <c r="K123" i="10" s="1"/>
  <c r="L309" i="10"/>
  <c r="L308" i="10" s="1"/>
  <c r="L317" i="10" s="1"/>
  <c r="L416" i="10" s="1"/>
  <c r="M29" i="10"/>
  <c r="M33" i="10" s="1"/>
  <c r="M151" i="10" s="1"/>
  <c r="L245" i="10"/>
  <c r="M19" i="18"/>
  <c r="M24" i="18" s="1"/>
  <c r="M21" i="18" s="1"/>
  <c r="M815" i="16"/>
  <c r="N815" i="16" s="1"/>
  <c r="O815" i="16" s="1"/>
  <c r="P815" i="16" s="1"/>
  <c r="M165" i="10"/>
  <c r="W1073" i="16"/>
  <c r="X1078" i="16"/>
  <c r="M108" i="10"/>
  <c r="N101" i="10"/>
  <c r="N20" i="10"/>
  <c r="N49" i="18" s="1"/>
  <c r="N54" i="18" s="1"/>
  <c r="N109" i="10"/>
  <c r="L54" i="18"/>
  <c r="L46" i="18"/>
  <c r="L56" i="18" s="1"/>
  <c r="L88" i="10" s="1"/>
  <c r="L33" i="10"/>
  <c r="L151" i="10" s="1"/>
  <c r="L130" i="10"/>
  <c r="O188" i="16"/>
  <c r="O21" i="10" s="1"/>
  <c r="P188" i="16"/>
  <c r="P21" i="10" s="1"/>
  <c r="L16" i="18"/>
  <c r="L26" i="18" s="1"/>
  <c r="L66" i="10" s="1"/>
  <c r="L24" i="18"/>
  <c r="L21" i="18" s="1"/>
  <c r="Q171" i="16"/>
  <c r="M54" i="18"/>
  <c r="M46" i="18"/>
  <c r="M56" i="18" s="1"/>
  <c r="M88" i="10" s="1"/>
  <c r="T1091" i="16"/>
  <c r="S1092" i="16"/>
  <c r="U1090" i="16"/>
  <c r="R137" i="16"/>
  <c r="V1074" i="16"/>
  <c r="R1867" i="16"/>
  <c r="R1839" i="16" s="1"/>
  <c r="Q1839" i="16"/>
  <c r="Q464" i="16" s="1"/>
  <c r="Q798" i="16" s="1"/>
  <c r="N604" i="12"/>
  <c r="N612" i="12" s="1"/>
  <c r="Q1868" i="16"/>
  <c r="N165" i="10"/>
  <c r="X1780" i="16"/>
  <c r="S1801" i="16"/>
  <c r="P1110" i="16"/>
  <c r="P139" i="16" s="1"/>
  <c r="Q1822" i="16"/>
  <c r="W1787" i="16"/>
  <c r="W1794" i="16"/>
  <c r="R1808" i="16"/>
  <c r="S1808" i="16" s="1"/>
  <c r="S1847" i="16"/>
  <c r="S1848" i="16" s="1"/>
  <c r="T1855" i="16"/>
  <c r="P1862" i="16"/>
  <c r="N1869" i="16"/>
  <c r="N1840" i="16"/>
  <c r="N465" i="16" s="1"/>
  <c r="O1840" i="16"/>
  <c r="M1841" i="16"/>
  <c r="M466" i="16" s="1"/>
  <c r="M793" i="16" s="1"/>
  <c r="U1854" i="16"/>
  <c r="V1846" i="16"/>
  <c r="V2199" i="16" s="1"/>
  <c r="U2199" i="16"/>
  <c r="T1860" i="16"/>
  <c r="S2201" i="16"/>
  <c r="Q1861" i="16"/>
  <c r="P1840" i="16"/>
  <c r="V1853" i="16"/>
  <c r="U2200" i="16"/>
  <c r="X404" i="10"/>
  <c r="X399" i="10" s="1"/>
  <c r="X256" i="10"/>
  <c r="Q1109" i="16"/>
  <c r="S1108" i="16"/>
  <c r="V1086" i="16"/>
  <c r="V1080" i="16"/>
  <c r="W1079" i="16"/>
  <c r="S1098" i="16"/>
  <c r="K136" i="10"/>
  <c r="K150" i="10"/>
  <c r="K135" i="10"/>
  <c r="T1097" i="16"/>
  <c r="W1085" i="16"/>
  <c r="U1096" i="16"/>
  <c r="X1084" i="16"/>
  <c r="R1827" i="16"/>
  <c r="S1827" i="16" s="1"/>
  <c r="T2195" i="16"/>
  <c r="U1806" i="16"/>
  <c r="T1807" i="16"/>
  <c r="X2193" i="16"/>
  <c r="X1793" i="16"/>
  <c r="X1786" i="16"/>
  <c r="X2192" i="16"/>
  <c r="T2194" i="16"/>
  <c r="R1821" i="16"/>
  <c r="S1821" i="16" s="1"/>
  <c r="K120" i="18"/>
  <c r="K84" i="18"/>
  <c r="K89" i="18" s="1"/>
  <c r="T1800" i="16"/>
  <c r="R2196" i="16"/>
  <c r="S2197" i="16"/>
  <c r="K416" i="10"/>
  <c r="K321" i="10"/>
  <c r="R2197" i="16"/>
  <c r="K274" i="10"/>
  <c r="K177" i="10"/>
  <c r="P165" i="10"/>
  <c r="P604" i="12"/>
  <c r="P612" i="12" s="1"/>
  <c r="O604" i="12"/>
  <c r="O612" i="12" s="1"/>
  <c r="O165" i="10"/>
  <c r="K66" i="18"/>
  <c r="K71" i="18" s="1"/>
  <c r="K102" i="18"/>
  <c r="O1828" i="16"/>
  <c r="O1829" i="16" s="1"/>
  <c r="Q1814" i="16"/>
  <c r="R1814" i="16" s="1"/>
  <c r="Q2198" i="16"/>
  <c r="Q2196" i="16"/>
  <c r="L66" i="18" l="1"/>
  <c r="L71" i="18" s="1"/>
  <c r="L99" i="18" s="1"/>
  <c r="L87" i="18"/>
  <c r="L84" i="18" s="1"/>
  <c r="L89" i="18" s="1"/>
  <c r="L173" i="10"/>
  <c r="L274" i="10" s="1"/>
  <c r="M245" i="10"/>
  <c r="K70" i="10"/>
  <c r="L122" i="10"/>
  <c r="L102" i="10"/>
  <c r="L388" i="10"/>
  <c r="M16" i="18"/>
  <c r="M26" i="18" s="1"/>
  <c r="M66" i="10" s="1"/>
  <c r="L321" i="10"/>
  <c r="L437" i="10" s="1"/>
  <c r="M309" i="10"/>
  <c r="M388" i="10" s="1"/>
  <c r="M130" i="10"/>
  <c r="M164" i="10"/>
  <c r="M173" i="10" s="1"/>
  <c r="M177" i="10" s="1"/>
  <c r="M295" i="10" s="1"/>
  <c r="L145" i="10"/>
  <c r="L17" i="18" s="1"/>
  <c r="W1074" i="16"/>
  <c r="X1073" i="16"/>
  <c r="O20" i="10"/>
  <c r="O29" i="10" s="1"/>
  <c r="O33" i="10" s="1"/>
  <c r="O151" i="10" s="1"/>
  <c r="O101" i="10"/>
  <c r="P20" i="10"/>
  <c r="P49" i="18" s="1"/>
  <c r="P54" i="18" s="1"/>
  <c r="P101" i="10"/>
  <c r="P109" i="10"/>
  <c r="P108" i="10" s="1"/>
  <c r="Q188" i="16"/>
  <c r="Q21" i="10" s="1"/>
  <c r="O109" i="10"/>
  <c r="O396" i="10" s="1"/>
  <c r="O395" i="10" s="1"/>
  <c r="L87" i="10"/>
  <c r="L82" i="10" s="1"/>
  <c r="L147" i="10"/>
  <c r="L47" i="18" s="1"/>
  <c r="N108" i="10"/>
  <c r="N396" i="10"/>
  <c r="N395" i="10" s="1"/>
  <c r="N29" i="10"/>
  <c r="N19" i="18"/>
  <c r="L59" i="18"/>
  <c r="L60" i="18" s="1"/>
  <c r="N46" i="18"/>
  <c r="N56" i="18" s="1"/>
  <c r="N88" i="10" s="1"/>
  <c r="N147" i="10" s="1"/>
  <c r="N47" i="18" s="1"/>
  <c r="M87" i="10"/>
  <c r="M82" i="10" s="1"/>
  <c r="M147" i="10"/>
  <c r="M47" i="18" s="1"/>
  <c r="R171" i="16"/>
  <c r="S137" i="16"/>
  <c r="T1092" i="16"/>
  <c r="U1091" i="16"/>
  <c r="V1090" i="16"/>
  <c r="R1109" i="16"/>
  <c r="R138" i="16" s="1"/>
  <c r="Q138" i="16"/>
  <c r="R2202" i="16"/>
  <c r="S1867" i="16"/>
  <c r="S2202" i="16" s="1"/>
  <c r="R1868" i="16"/>
  <c r="N164" i="10"/>
  <c r="N87" i="18" s="1"/>
  <c r="N245" i="10"/>
  <c r="N309" i="10"/>
  <c r="N308" i="10" s="1"/>
  <c r="N317" i="10" s="1"/>
  <c r="T1801" i="16"/>
  <c r="Q1110" i="16"/>
  <c r="Q139" i="16" s="1"/>
  <c r="T1098" i="16"/>
  <c r="T1808" i="16"/>
  <c r="X1787" i="16"/>
  <c r="X1794" i="16"/>
  <c r="Q1815" i="16"/>
  <c r="R1815" i="16" s="1"/>
  <c r="R1822" i="16"/>
  <c r="S1822" i="16" s="1"/>
  <c r="T1847" i="16"/>
  <c r="T1848" i="16" s="1"/>
  <c r="U1855" i="16"/>
  <c r="Q1862" i="16"/>
  <c r="V1854" i="16"/>
  <c r="M201" i="10"/>
  <c r="M790" i="16"/>
  <c r="O1869" i="16"/>
  <c r="N1841" i="16"/>
  <c r="N466" i="16" s="1"/>
  <c r="N793" i="16" s="1"/>
  <c r="W1846" i="16"/>
  <c r="W2199" i="16" s="1"/>
  <c r="U1860" i="16"/>
  <c r="T2201" i="16"/>
  <c r="R1861" i="16"/>
  <c r="Q1840" i="16"/>
  <c r="W1853" i="16"/>
  <c r="V2200" i="16"/>
  <c r="T1108" i="16"/>
  <c r="W1086" i="16"/>
  <c r="W1080" i="16"/>
  <c r="X1079" i="16"/>
  <c r="K137" i="10"/>
  <c r="U1097" i="16"/>
  <c r="V1096" i="16"/>
  <c r="X1085" i="16"/>
  <c r="T1827" i="16"/>
  <c r="U1827" i="16" s="1"/>
  <c r="V1827" i="16" s="1"/>
  <c r="W1827" i="16" s="1"/>
  <c r="X1827" i="16" s="1"/>
  <c r="U1807" i="16"/>
  <c r="V1806" i="16"/>
  <c r="U2195" i="16"/>
  <c r="T1821" i="16"/>
  <c r="S2196" i="16"/>
  <c r="S1814" i="16"/>
  <c r="T1814" i="16" s="1"/>
  <c r="K181" i="10"/>
  <c r="K183" i="10" s="1"/>
  <c r="K184" i="10" s="1"/>
  <c r="K186" i="10" s="1"/>
  <c r="K295" i="10"/>
  <c r="T2197" i="16"/>
  <c r="R2198" i="16"/>
  <c r="R464" i="16"/>
  <c r="R798" i="16" s="1"/>
  <c r="P245" i="10"/>
  <c r="P309" i="10"/>
  <c r="P164" i="10"/>
  <c r="K210" i="10"/>
  <c r="K92" i="18"/>
  <c r="K99" i="18"/>
  <c r="Q165" i="10"/>
  <c r="Q604" i="12"/>
  <c r="Q612" i="12" s="1"/>
  <c r="U1800" i="16"/>
  <c r="U2194" i="16"/>
  <c r="O309" i="10"/>
  <c r="O245" i="10"/>
  <c r="O164" i="10"/>
  <c r="K325" i="10"/>
  <c r="K327" i="10" s="1"/>
  <c r="K328" i="10" s="1"/>
  <c r="K330" i="10" s="1"/>
  <c r="K437" i="10"/>
  <c r="T2196" i="16"/>
  <c r="P1828" i="16"/>
  <c r="P1829" i="16" s="1"/>
  <c r="O465" i="16"/>
  <c r="K232" i="10"/>
  <c r="K117" i="18"/>
  <c r="Q815" i="16"/>
  <c r="L210" i="10" l="1"/>
  <c r="L289" i="10" s="1"/>
  <c r="L92" i="18"/>
  <c r="L93" i="18" s="1"/>
  <c r="D253" i="25" s="1"/>
  <c r="L232" i="10"/>
  <c r="L291" i="10" s="1"/>
  <c r="L120" i="18"/>
  <c r="L117" i="18"/>
  <c r="L122" i="18" s="1"/>
  <c r="L375" i="10" s="1"/>
  <c r="L177" i="10"/>
  <c r="L295" i="10" s="1"/>
  <c r="L27" i="22"/>
  <c r="L29" i="22" s="1"/>
  <c r="L105" i="11" s="1"/>
  <c r="L110" i="11" s="1"/>
  <c r="L121" i="11" s="1"/>
  <c r="L34" i="10" s="1"/>
  <c r="L37" i="10" s="1"/>
  <c r="L39" i="10" s="1"/>
  <c r="L40" i="10" s="1"/>
  <c r="L42" i="10" s="1"/>
  <c r="L131" i="10" s="1"/>
  <c r="K69" i="10"/>
  <c r="L77" i="22"/>
  <c r="L79" i="22" s="1"/>
  <c r="M145" i="10"/>
  <c r="M17" i="18" s="1"/>
  <c r="M59" i="18"/>
  <c r="M60" i="18" s="1"/>
  <c r="M102" i="10"/>
  <c r="M87" i="18"/>
  <c r="M120" i="18" s="1"/>
  <c r="O130" i="10"/>
  <c r="M308" i="10"/>
  <c r="M317" i="10" s="1"/>
  <c r="M416" i="10" s="1"/>
  <c r="P46" i="18"/>
  <c r="P56" i="18" s="1"/>
  <c r="P88" i="10" s="1"/>
  <c r="P147" i="10" s="1"/>
  <c r="P47" i="18" s="1"/>
  <c r="M274" i="10"/>
  <c r="M69" i="18"/>
  <c r="M66" i="18" s="1"/>
  <c r="M71" i="18" s="1"/>
  <c r="M210" i="10" s="1"/>
  <c r="O19" i="18"/>
  <c r="O24" i="18" s="1"/>
  <c r="O21" i="18" s="1"/>
  <c r="P19" i="18"/>
  <c r="P24" i="18" s="1"/>
  <c r="P21" i="18" s="1"/>
  <c r="O49" i="18"/>
  <c r="O46" i="18" s="1"/>
  <c r="O56" i="18" s="1"/>
  <c r="O88" i="10" s="1"/>
  <c r="O87" i="10" s="1"/>
  <c r="O82" i="10" s="1"/>
  <c r="P396" i="10"/>
  <c r="P395" i="10" s="1"/>
  <c r="W1090" i="16"/>
  <c r="P29" i="10"/>
  <c r="P33" i="10" s="1"/>
  <c r="P151" i="10" s="1"/>
  <c r="X1074" i="16"/>
  <c r="O108" i="10"/>
  <c r="Q101" i="10"/>
  <c r="Q109" i="10"/>
  <c r="Q108" i="10" s="1"/>
  <c r="Q20" i="10"/>
  <c r="R188" i="16"/>
  <c r="R21" i="10" s="1"/>
  <c r="L104" i="10"/>
  <c r="N16" i="18"/>
  <c r="N26" i="18" s="1"/>
  <c r="N66" i="10" s="1"/>
  <c r="N24" i="18"/>
  <c r="N21" i="18" s="1"/>
  <c r="N130" i="10"/>
  <c r="N33" i="10"/>
  <c r="N151" i="10" s="1"/>
  <c r="N87" i="10"/>
  <c r="N82" i="10" s="1"/>
  <c r="S171" i="16"/>
  <c r="M104" i="10"/>
  <c r="S1109" i="16"/>
  <c r="S138" i="16" s="1"/>
  <c r="V1091" i="16"/>
  <c r="T137" i="16"/>
  <c r="U1092" i="16"/>
  <c r="N173" i="10"/>
  <c r="N177" i="10" s="1"/>
  <c r="N295" i="10" s="1"/>
  <c r="N69" i="18"/>
  <c r="N102" i="18" s="1"/>
  <c r="N388" i="10"/>
  <c r="S1868" i="16"/>
  <c r="S1839" i="16"/>
  <c r="S464" i="16" s="1"/>
  <c r="S798" i="16" s="1"/>
  <c r="T1867" i="16"/>
  <c r="T1839" i="16" s="1"/>
  <c r="T464" i="16" s="1"/>
  <c r="T798" i="16" s="1"/>
  <c r="U1801" i="16"/>
  <c r="R1110" i="16"/>
  <c r="R139" i="16" s="1"/>
  <c r="U1808" i="16"/>
  <c r="T1822" i="16"/>
  <c r="S1815" i="16"/>
  <c r="T1815" i="16" s="1"/>
  <c r="U1847" i="16"/>
  <c r="V1847" i="16" s="1"/>
  <c r="V1855" i="16"/>
  <c r="R1862" i="16"/>
  <c r="N790" i="16"/>
  <c r="N201" i="10"/>
  <c r="M198" i="10"/>
  <c r="M197" i="10" s="1"/>
  <c r="M191" i="10" s="1"/>
  <c r="M345" i="10"/>
  <c r="M342" i="10" s="1"/>
  <c r="M341" i="10" s="1"/>
  <c r="M335" i="10" s="1"/>
  <c r="P1869" i="16"/>
  <c r="O1841" i="16"/>
  <c r="O466" i="16" s="1"/>
  <c r="O793" i="16" s="1"/>
  <c r="X1846" i="16"/>
  <c r="X2199" i="16" s="1"/>
  <c r="S1861" i="16"/>
  <c r="R1840" i="16"/>
  <c r="V1860" i="16"/>
  <c r="U2201" i="16"/>
  <c r="X1853" i="16"/>
  <c r="W2200" i="16"/>
  <c r="W1854" i="16"/>
  <c r="U1108" i="16"/>
  <c r="X1086" i="16"/>
  <c r="X1080" i="16"/>
  <c r="U1098" i="16"/>
  <c r="V1097" i="16"/>
  <c r="W1096" i="16"/>
  <c r="W1806" i="16"/>
  <c r="V2195" i="16"/>
  <c r="V1807" i="16"/>
  <c r="U1821" i="16"/>
  <c r="U1814" i="16"/>
  <c r="V1814" i="16" s="1"/>
  <c r="W1814" i="16" s="1"/>
  <c r="X1814" i="16" s="1"/>
  <c r="U2196" i="16"/>
  <c r="R815" i="16"/>
  <c r="V1800" i="16"/>
  <c r="W1800" i="16" s="1"/>
  <c r="V2194" i="16"/>
  <c r="X2194" i="16"/>
  <c r="W2194" i="16"/>
  <c r="T2198" i="16"/>
  <c r="K244" i="10"/>
  <c r="K275" i="10"/>
  <c r="K282" i="10"/>
  <c r="K225" i="10"/>
  <c r="V2196" i="16"/>
  <c r="O69" i="18"/>
  <c r="O173" i="10"/>
  <c r="O87" i="18"/>
  <c r="N321" i="10"/>
  <c r="N437" i="10" s="1"/>
  <c r="N416" i="10"/>
  <c r="K289" i="10"/>
  <c r="K246" i="10"/>
  <c r="N84" i="18"/>
  <c r="N89" i="18" s="1"/>
  <c r="N120" i="18"/>
  <c r="K100" i="18"/>
  <c r="K104" i="18"/>
  <c r="K118" i="18"/>
  <c r="K122" i="18"/>
  <c r="K375" i="10" s="1"/>
  <c r="P173" i="10"/>
  <c r="P69" i="18"/>
  <c r="P87" i="18"/>
  <c r="S2198" i="16"/>
  <c r="K387" i="10"/>
  <c r="K491" i="10"/>
  <c r="L494" i="10" s="1"/>
  <c r="L367" i="10" s="1"/>
  <c r="K417" i="10"/>
  <c r="K368" i="10"/>
  <c r="K364" i="10" s="1"/>
  <c r="K422" i="10" s="1"/>
  <c r="K424" i="10"/>
  <c r="K93" i="18"/>
  <c r="C253" i="25" s="1"/>
  <c r="L104" i="18"/>
  <c r="L100" i="18"/>
  <c r="W2196" i="16"/>
  <c r="K291" i="10"/>
  <c r="K231" i="10"/>
  <c r="Q245" i="10"/>
  <c r="Q309" i="10"/>
  <c r="Q164" i="10"/>
  <c r="O388" i="10"/>
  <c r="O308" i="10"/>
  <c r="O317" i="10" s="1"/>
  <c r="U2197" i="16"/>
  <c r="P388" i="10"/>
  <c r="P308" i="10"/>
  <c r="P317" i="10" s="1"/>
  <c r="R604" i="12"/>
  <c r="R612" i="12" s="1"/>
  <c r="R165" i="10"/>
  <c r="Q1828" i="16"/>
  <c r="Q1829" i="16" s="1"/>
  <c r="P465" i="16"/>
  <c r="X2196" i="16"/>
  <c r="L246" i="10" l="1"/>
  <c r="L118" i="18"/>
  <c r="L231" i="10"/>
  <c r="L248" i="10" s="1"/>
  <c r="C133" i="25"/>
  <c r="C215" i="25"/>
  <c r="D133" i="25"/>
  <c r="D215" i="25"/>
  <c r="L81" i="10"/>
  <c r="M21" i="22" s="1"/>
  <c r="M23" i="22" s="1"/>
  <c r="M80" i="10" s="1"/>
  <c r="L100" i="10"/>
  <c r="L99" i="10" s="1"/>
  <c r="L138" i="10"/>
  <c r="L222" i="10"/>
  <c r="M79" i="22"/>
  <c r="L78" i="10"/>
  <c r="K65" i="10"/>
  <c r="K124" i="10"/>
  <c r="K125" i="10"/>
  <c r="N145" i="10"/>
  <c r="N17" i="18" s="1"/>
  <c r="M84" i="18"/>
  <c r="M89" i="18" s="1"/>
  <c r="M232" i="10" s="1"/>
  <c r="M291" i="10" s="1"/>
  <c r="M99" i="18"/>
  <c r="M104" i="18" s="1"/>
  <c r="M102" i="18"/>
  <c r="P87" i="10"/>
  <c r="P82" i="10" s="1"/>
  <c r="M321" i="10"/>
  <c r="M437" i="10" s="1"/>
  <c r="O54" i="18"/>
  <c r="P130" i="10"/>
  <c r="Q396" i="10"/>
  <c r="Q395" i="10" s="1"/>
  <c r="O16" i="18"/>
  <c r="O26" i="18" s="1"/>
  <c r="O66" i="10" s="1"/>
  <c r="N59" i="18"/>
  <c r="N60" i="18" s="1"/>
  <c r="P16" i="18"/>
  <c r="P26" i="18" s="1"/>
  <c r="O147" i="10"/>
  <c r="O47" i="18" s="1"/>
  <c r="X1090" i="16"/>
  <c r="W1091" i="16"/>
  <c r="R20" i="10"/>
  <c r="R29" i="10" s="1"/>
  <c r="R130" i="10" s="1"/>
  <c r="R101" i="10"/>
  <c r="R109" i="10"/>
  <c r="R108" i="10" s="1"/>
  <c r="S188" i="16"/>
  <c r="S21" i="10" s="1"/>
  <c r="N104" i="10"/>
  <c r="N102" i="10"/>
  <c r="Q29" i="10"/>
  <c r="Q19" i="18"/>
  <c r="Q49" i="18"/>
  <c r="T171" i="16"/>
  <c r="T1109" i="16"/>
  <c r="T138" i="16" s="1"/>
  <c r="U137" i="16"/>
  <c r="V1092" i="16"/>
  <c r="O104" i="10"/>
  <c r="N66" i="18"/>
  <c r="N71" i="18" s="1"/>
  <c r="N99" i="18" s="1"/>
  <c r="N274" i="10"/>
  <c r="T2202" i="16"/>
  <c r="U1867" i="16"/>
  <c r="U2202" i="16" s="1"/>
  <c r="T1868" i="16"/>
  <c r="V1808" i="16"/>
  <c r="U1822" i="16"/>
  <c r="S1110" i="16"/>
  <c r="S139" i="16" s="1"/>
  <c r="U1848" i="16"/>
  <c r="V1848" i="16" s="1"/>
  <c r="W1855" i="16"/>
  <c r="V1801" i="16"/>
  <c r="W1801" i="16" s="1"/>
  <c r="U1815" i="16"/>
  <c r="V1815" i="16" s="1"/>
  <c r="W1815" i="16" s="1"/>
  <c r="X1815" i="16" s="1"/>
  <c r="S1862" i="16"/>
  <c r="P1841" i="16"/>
  <c r="P466" i="16" s="1"/>
  <c r="P793" i="16" s="1"/>
  <c r="Q1869" i="16"/>
  <c r="N345" i="10"/>
  <c r="N342" i="10" s="1"/>
  <c r="N341" i="10" s="1"/>
  <c r="N335" i="10" s="1"/>
  <c r="N198" i="10"/>
  <c r="N197" i="10" s="1"/>
  <c r="N191" i="10" s="1"/>
  <c r="O201" i="10"/>
  <c r="O790" i="16"/>
  <c r="W1860" i="16"/>
  <c r="V2201" i="16"/>
  <c r="T1861" i="16"/>
  <c r="S1840" i="16"/>
  <c r="X2200" i="16"/>
  <c r="X1854" i="16"/>
  <c r="W1847" i="16"/>
  <c r="V1108" i="16"/>
  <c r="V1098" i="16"/>
  <c r="X1096" i="16"/>
  <c r="W1097" i="16"/>
  <c r="W1807" i="16"/>
  <c r="X1806" i="16"/>
  <c r="W2195" i="16"/>
  <c r="V1821" i="16"/>
  <c r="S815" i="16"/>
  <c r="T815" i="16" s="1"/>
  <c r="X1800" i="16"/>
  <c r="W2198" i="16"/>
  <c r="V2198" i="16"/>
  <c r="R309" i="10"/>
  <c r="R245" i="10"/>
  <c r="R164" i="10"/>
  <c r="Q388" i="10"/>
  <c r="Q308" i="10"/>
  <c r="Q317" i="10" s="1"/>
  <c r="S165" i="10"/>
  <c r="S604" i="12"/>
  <c r="S612" i="12" s="1"/>
  <c r="L433" i="10"/>
  <c r="L374" i="10"/>
  <c r="W2197" i="16"/>
  <c r="V2197" i="16"/>
  <c r="Q87" i="18"/>
  <c r="Q69" i="18"/>
  <c r="Q173" i="10"/>
  <c r="K220" i="10"/>
  <c r="L83" i="22"/>
  <c r="L85" i="22" s="1"/>
  <c r="L224" i="10" s="1"/>
  <c r="O321" i="10"/>
  <c r="O437" i="10" s="1"/>
  <c r="O416" i="10"/>
  <c r="P84" i="18"/>
  <c r="P89" i="18" s="1"/>
  <c r="P120" i="18"/>
  <c r="O120" i="18"/>
  <c r="O84" i="18"/>
  <c r="O89" i="18" s="1"/>
  <c r="P416" i="10"/>
  <c r="P321" i="10"/>
  <c r="P437" i="10" s="1"/>
  <c r="K248" i="10"/>
  <c r="K243" i="10" s="1"/>
  <c r="K265" i="10" s="1"/>
  <c r="K267" i="10" s="1"/>
  <c r="K226" i="10"/>
  <c r="P102" i="18"/>
  <c r="P66" i="18"/>
  <c r="P71" i="18" s="1"/>
  <c r="O177" i="10"/>
  <c r="O295" i="10" s="1"/>
  <c r="O274" i="10"/>
  <c r="P274" i="10"/>
  <c r="P177" i="10"/>
  <c r="P295" i="10" s="1"/>
  <c r="N232" i="10"/>
  <c r="N117" i="18"/>
  <c r="O102" i="18"/>
  <c r="O66" i="18"/>
  <c r="O71" i="18" s="1"/>
  <c r="R1828" i="16"/>
  <c r="R1829" i="16" s="1"/>
  <c r="Q465" i="16"/>
  <c r="K433" i="10"/>
  <c r="K374" i="10"/>
  <c r="U2198" i="16"/>
  <c r="M246" i="10"/>
  <c r="M289" i="10"/>
  <c r="T165" i="10"/>
  <c r="T604" i="12"/>
  <c r="T612" i="12" s="1"/>
  <c r="L125" i="18"/>
  <c r="L354" i="10"/>
  <c r="L431" i="10" s="1"/>
  <c r="K354" i="10"/>
  <c r="K125" i="18"/>
  <c r="L226" i="10" l="1"/>
  <c r="L76" i="10"/>
  <c r="L94" i="10" s="1"/>
  <c r="L135" i="10" s="1"/>
  <c r="L121" i="10"/>
  <c r="K73" i="10"/>
  <c r="K142" i="10"/>
  <c r="K141" i="10"/>
  <c r="M222" i="10"/>
  <c r="M78" i="10"/>
  <c r="N79" i="22"/>
  <c r="O145" i="10"/>
  <c r="O17" i="18" s="1"/>
  <c r="M231" i="10"/>
  <c r="M248" i="10" s="1"/>
  <c r="M117" i="18"/>
  <c r="M122" i="18" s="1"/>
  <c r="M375" i="10" s="1"/>
  <c r="M433" i="10" s="1"/>
  <c r="M92" i="18"/>
  <c r="M93" i="18" s="1"/>
  <c r="E253" i="25" s="1"/>
  <c r="M100" i="18"/>
  <c r="P104" i="10"/>
  <c r="R49" i="18"/>
  <c r="R54" i="18" s="1"/>
  <c r="O102" i="10"/>
  <c r="O59" i="18"/>
  <c r="O60" i="18" s="1"/>
  <c r="R19" i="18"/>
  <c r="R16" i="18" s="1"/>
  <c r="R26" i="18" s="1"/>
  <c r="X1091" i="16"/>
  <c r="P59" i="18"/>
  <c r="P66" i="10"/>
  <c r="R33" i="10"/>
  <c r="R151" i="10" s="1"/>
  <c r="V137" i="16"/>
  <c r="V171" i="16" s="1"/>
  <c r="V188" i="16" s="1"/>
  <c r="V21" i="10" s="1"/>
  <c r="W1092" i="16"/>
  <c r="S20" i="10"/>
  <c r="S19" i="18" s="1"/>
  <c r="S24" i="18" s="1"/>
  <c r="S21" i="18" s="1"/>
  <c r="S101" i="10"/>
  <c r="S109" i="10"/>
  <c r="S108" i="10" s="1"/>
  <c r="T188" i="16"/>
  <c r="T21" i="10" s="1"/>
  <c r="Q33" i="10"/>
  <c r="Q151" i="10" s="1"/>
  <c r="Q130" i="10"/>
  <c r="U1109" i="16"/>
  <c r="U138" i="16" s="1"/>
  <c r="R396" i="10"/>
  <c r="R395" i="10" s="1"/>
  <c r="Q46" i="18"/>
  <c r="Q56" i="18" s="1"/>
  <c r="Q88" i="10" s="1"/>
  <c r="Q54" i="18"/>
  <c r="Q16" i="18"/>
  <c r="Q26" i="18" s="1"/>
  <c r="Q24" i="18"/>
  <c r="Q21" i="18" s="1"/>
  <c r="U171" i="16"/>
  <c r="N92" i="18"/>
  <c r="N210" i="10"/>
  <c r="N289" i="10" s="1"/>
  <c r="V1867" i="16"/>
  <c r="V2202" i="16" s="1"/>
  <c r="U1839" i="16"/>
  <c r="U464" i="16" s="1"/>
  <c r="U1868" i="16"/>
  <c r="W1808" i="16"/>
  <c r="V1822" i="16"/>
  <c r="T1110" i="16"/>
  <c r="T139" i="16" s="1"/>
  <c r="X1855" i="16"/>
  <c r="X1801" i="16"/>
  <c r="W1848" i="16"/>
  <c r="T1862" i="16"/>
  <c r="O345" i="10"/>
  <c r="O342" i="10" s="1"/>
  <c r="O341" i="10" s="1"/>
  <c r="O335" i="10" s="1"/>
  <c r="O198" i="10"/>
  <c r="O197" i="10" s="1"/>
  <c r="O191" i="10" s="1"/>
  <c r="R1869" i="16"/>
  <c r="Q1841" i="16"/>
  <c r="Q466" i="16" s="1"/>
  <c r="Q793" i="16" s="1"/>
  <c r="P790" i="16"/>
  <c r="P201" i="10"/>
  <c r="X1847" i="16"/>
  <c r="U1861" i="16"/>
  <c r="T1840" i="16"/>
  <c r="X1860" i="16"/>
  <c r="W2201" i="16"/>
  <c r="W1108" i="16"/>
  <c r="W1098" i="16"/>
  <c r="X1097" i="16"/>
  <c r="X2195" i="16"/>
  <c r="X1807" i="16"/>
  <c r="X2198" i="16"/>
  <c r="X2197" i="16"/>
  <c r="K391" i="10"/>
  <c r="K369" i="10"/>
  <c r="O92" i="18"/>
  <c r="O210" i="10"/>
  <c r="O99" i="18"/>
  <c r="S309" i="10"/>
  <c r="S164" i="10"/>
  <c r="S245" i="10"/>
  <c r="N104" i="18"/>
  <c r="N100" i="18"/>
  <c r="L369" i="10"/>
  <c r="L391" i="10"/>
  <c r="Q416" i="10"/>
  <c r="Q321" i="10"/>
  <c r="Q437" i="10" s="1"/>
  <c r="W1821" i="16"/>
  <c r="L266" i="10"/>
  <c r="K214" i="10"/>
  <c r="N118" i="18"/>
  <c r="N122" i="18"/>
  <c r="N375" i="10" s="1"/>
  <c r="K280" i="10"/>
  <c r="K431" i="10"/>
  <c r="L389" i="10"/>
  <c r="K389" i="10"/>
  <c r="T245" i="10"/>
  <c r="T164" i="10"/>
  <c r="P117" i="18"/>
  <c r="P232" i="10"/>
  <c r="N231" i="10"/>
  <c r="N291" i="10"/>
  <c r="P99" i="18"/>
  <c r="P210" i="10"/>
  <c r="P92" i="18"/>
  <c r="O117" i="18"/>
  <c r="O232" i="10"/>
  <c r="Q274" i="10"/>
  <c r="Q177" i="10"/>
  <c r="Q295" i="10" s="1"/>
  <c r="R87" i="18"/>
  <c r="R69" i="18"/>
  <c r="R173" i="10"/>
  <c r="M354" i="10"/>
  <c r="Q66" i="18"/>
  <c r="Q71" i="18" s="1"/>
  <c r="Q102" i="18"/>
  <c r="K126" i="18"/>
  <c r="L126" i="18"/>
  <c r="S1828" i="16"/>
  <c r="S1829" i="16" s="1"/>
  <c r="R465" i="16"/>
  <c r="K238" i="10"/>
  <c r="K281" i="10" s="1"/>
  <c r="K294" i="10"/>
  <c r="Q120" i="18"/>
  <c r="Q84" i="18"/>
  <c r="Q89" i="18" s="1"/>
  <c r="R308" i="10"/>
  <c r="R317" i="10" s="1"/>
  <c r="R388" i="10"/>
  <c r="E133" i="25" l="1"/>
  <c r="E215" i="25"/>
  <c r="L136" i="10"/>
  <c r="L150" i="10"/>
  <c r="L123" i="10"/>
  <c r="M122" i="10" s="1"/>
  <c r="N222" i="10"/>
  <c r="N78" i="10"/>
  <c r="O79" i="22"/>
  <c r="K96" i="10"/>
  <c r="K132" i="10"/>
  <c r="K95" i="10"/>
  <c r="R46" i="18"/>
  <c r="R56" i="18" s="1"/>
  <c r="R88" i="10" s="1"/>
  <c r="R87" i="10" s="1"/>
  <c r="R82" i="10" s="1"/>
  <c r="M374" i="10"/>
  <c r="M391" i="10" s="1"/>
  <c r="N93" i="18"/>
  <c r="F253" i="25" s="1"/>
  <c r="M226" i="10"/>
  <c r="M118" i="18"/>
  <c r="M125" i="18"/>
  <c r="M126" i="18" s="1"/>
  <c r="R24" i="18"/>
  <c r="R21" i="18" s="1"/>
  <c r="P60" i="18"/>
  <c r="P145" i="10"/>
  <c r="P17" i="18" s="1"/>
  <c r="P102" i="10"/>
  <c r="S29" i="10"/>
  <c r="S130" i="10" s="1"/>
  <c r="S49" i="18"/>
  <c r="S54" i="18" s="1"/>
  <c r="S16" i="18"/>
  <c r="S26" i="18" s="1"/>
  <c r="S66" i="10" s="1"/>
  <c r="V101" i="10"/>
  <c r="V20" i="10"/>
  <c r="V29" i="10" s="1"/>
  <c r="V109" i="10"/>
  <c r="V108" i="10" s="1"/>
  <c r="X1092" i="16"/>
  <c r="W137" i="16"/>
  <c r="W171" i="16" s="1"/>
  <c r="W188" i="16" s="1"/>
  <c r="W21" i="10" s="1"/>
  <c r="U798" i="16"/>
  <c r="U165" i="10" s="1"/>
  <c r="T20" i="10"/>
  <c r="T101" i="10"/>
  <c r="T109" i="10"/>
  <c r="T396" i="10" s="1"/>
  <c r="T395" i="10" s="1"/>
  <c r="T309" i="10"/>
  <c r="T308" i="10" s="1"/>
  <c r="T317" i="10" s="1"/>
  <c r="Q66" i="10"/>
  <c r="Q59" i="18"/>
  <c r="Q60" i="18" s="1"/>
  <c r="V1109" i="16"/>
  <c r="U188" i="16"/>
  <c r="U21" i="10" s="1"/>
  <c r="S396" i="10"/>
  <c r="S395" i="10" s="1"/>
  <c r="Q147" i="10"/>
  <c r="Q47" i="18" s="1"/>
  <c r="Q87" i="10"/>
  <c r="Q82" i="10" s="1"/>
  <c r="L137" i="10"/>
  <c r="R66" i="10"/>
  <c r="N246" i="10"/>
  <c r="O93" i="18"/>
  <c r="G253" i="25" s="1"/>
  <c r="V1839" i="16"/>
  <c r="V464" i="16" s="1"/>
  <c r="W1867" i="16"/>
  <c r="W1839" i="16" s="1"/>
  <c r="W464" i="16" s="1"/>
  <c r="V1868" i="16"/>
  <c r="X1808" i="16"/>
  <c r="W1822" i="16"/>
  <c r="U1110" i="16"/>
  <c r="U139" i="16" s="1"/>
  <c r="X1848" i="16"/>
  <c r="U1862" i="16"/>
  <c r="P345" i="10"/>
  <c r="P342" i="10" s="1"/>
  <c r="P341" i="10" s="1"/>
  <c r="P335" i="10" s="1"/>
  <c r="P198" i="10"/>
  <c r="P197" i="10" s="1"/>
  <c r="P191" i="10" s="1"/>
  <c r="Q790" i="16"/>
  <c r="Q201" i="10"/>
  <c r="S1869" i="16"/>
  <c r="R1841" i="16"/>
  <c r="R466" i="16" s="1"/>
  <c r="R793" i="16" s="1"/>
  <c r="V1861" i="16"/>
  <c r="U1840" i="16"/>
  <c r="X2201" i="16"/>
  <c r="X1108" i="16"/>
  <c r="X1098" i="16"/>
  <c r="X1821" i="16"/>
  <c r="K386" i="10"/>
  <c r="K407" i="10" s="1"/>
  <c r="K409" i="10" s="1"/>
  <c r="K358" i="10" s="1"/>
  <c r="K357" i="10" s="1"/>
  <c r="K353" i="10" s="1"/>
  <c r="M431" i="10"/>
  <c r="M389" i="10"/>
  <c r="N433" i="10"/>
  <c r="N374" i="10"/>
  <c r="O104" i="18"/>
  <c r="O100" i="18"/>
  <c r="O289" i="10"/>
  <c r="P246" i="10"/>
  <c r="Q117" i="18"/>
  <c r="Q232" i="10"/>
  <c r="R66" i="18"/>
  <c r="R71" i="18" s="1"/>
  <c r="R102" i="18"/>
  <c r="P100" i="18"/>
  <c r="P104" i="18"/>
  <c r="S87" i="18"/>
  <c r="S173" i="10"/>
  <c r="S69" i="18"/>
  <c r="P93" i="18"/>
  <c r="H253" i="25" s="1"/>
  <c r="R120" i="18"/>
  <c r="R84" i="18"/>
  <c r="R89" i="18" s="1"/>
  <c r="P231" i="10"/>
  <c r="P291" i="10"/>
  <c r="S308" i="10"/>
  <c r="S317" i="10" s="1"/>
  <c r="S388" i="10"/>
  <c r="K381" i="10"/>
  <c r="K436" i="10"/>
  <c r="R416" i="10"/>
  <c r="R321" i="10"/>
  <c r="R437" i="10" s="1"/>
  <c r="N248" i="10"/>
  <c r="N226" i="10"/>
  <c r="P122" i="18"/>
  <c r="P375" i="10" s="1"/>
  <c r="P118" i="18"/>
  <c r="Q99" i="18"/>
  <c r="Q210" i="10"/>
  <c r="Q246" i="10" s="1"/>
  <c r="Q92" i="18"/>
  <c r="Q93" i="18" s="1"/>
  <c r="I253" i="25" s="1"/>
  <c r="T87" i="18"/>
  <c r="T69" i="18"/>
  <c r="T173" i="10"/>
  <c r="K279" i="10"/>
  <c r="K213" i="10"/>
  <c r="L89" i="22"/>
  <c r="L91" i="22" s="1"/>
  <c r="L232" i="11" s="1"/>
  <c r="L237" i="11" s="1"/>
  <c r="L248" i="11" s="1"/>
  <c r="L178" i="10" s="1"/>
  <c r="N125" i="18"/>
  <c r="N354" i="10"/>
  <c r="P289" i="10"/>
  <c r="O231" i="10"/>
  <c r="O291" i="10"/>
  <c r="O246" i="10"/>
  <c r="R274" i="10"/>
  <c r="R177" i="10"/>
  <c r="R295" i="10" s="1"/>
  <c r="S465" i="16"/>
  <c r="T1828" i="16"/>
  <c r="T1829" i="16" s="1"/>
  <c r="O122" i="18"/>
  <c r="O375" i="10" s="1"/>
  <c r="O118" i="18"/>
  <c r="I133" i="25" l="1"/>
  <c r="I215" i="25"/>
  <c r="F133" i="25"/>
  <c r="F215" i="25"/>
  <c r="H133" i="25"/>
  <c r="H215" i="25"/>
  <c r="G133" i="25"/>
  <c r="G215" i="25"/>
  <c r="L70" i="10"/>
  <c r="M77" i="22" s="1"/>
  <c r="O222" i="10"/>
  <c r="P79" i="22"/>
  <c r="O78" i="10"/>
  <c r="R59" i="18"/>
  <c r="R60" i="18" s="1"/>
  <c r="R147" i="10"/>
  <c r="R47" i="18" s="1"/>
  <c r="M369" i="10"/>
  <c r="V49" i="18"/>
  <c r="V46" i="18" s="1"/>
  <c r="V56" i="18" s="1"/>
  <c r="V88" i="10" s="1"/>
  <c r="U815" i="16"/>
  <c r="S33" i="10"/>
  <c r="S151" i="10" s="1"/>
  <c r="S46" i="18"/>
  <c r="S56" i="18" s="1"/>
  <c r="S88" i="10" s="1"/>
  <c r="S147" i="10" s="1"/>
  <c r="S47" i="18" s="1"/>
  <c r="T388" i="10"/>
  <c r="V396" i="10"/>
  <c r="V395" i="10" s="1"/>
  <c r="U101" i="10"/>
  <c r="U109" i="10"/>
  <c r="U108" i="10" s="1"/>
  <c r="W101" i="10"/>
  <c r="W20" i="10"/>
  <c r="W29" i="10" s="1"/>
  <c r="W130" i="10" s="1"/>
  <c r="W109" i="10"/>
  <c r="W108" i="10" s="1"/>
  <c r="V19" i="18"/>
  <c r="V24" i="18" s="1"/>
  <c r="V21" i="18" s="1"/>
  <c r="X137" i="16"/>
  <c r="X171" i="16" s="1"/>
  <c r="X188" i="16" s="1"/>
  <c r="X21" i="10" s="1"/>
  <c r="W798" i="16"/>
  <c r="W165" i="10" s="1"/>
  <c r="V798" i="16"/>
  <c r="V165" i="10" s="1"/>
  <c r="W1109" i="16"/>
  <c r="W138" i="16" s="1"/>
  <c r="V138" i="16"/>
  <c r="U245" i="10"/>
  <c r="U309" i="10"/>
  <c r="U388" i="10" s="1"/>
  <c r="U164" i="10"/>
  <c r="U69" i="18" s="1"/>
  <c r="U20" i="10"/>
  <c r="U19" i="18" s="1"/>
  <c r="U24" i="18" s="1"/>
  <c r="U21" i="18" s="1"/>
  <c r="T108" i="10"/>
  <c r="U604" i="12"/>
  <c r="U612" i="12" s="1"/>
  <c r="Q102" i="10"/>
  <c r="Q145" i="10"/>
  <c r="Q17" i="18" s="1"/>
  <c r="Q104" i="10"/>
  <c r="T29" i="10"/>
  <c r="T49" i="18"/>
  <c r="T19" i="18"/>
  <c r="T102" i="18" s="1"/>
  <c r="R104" i="10"/>
  <c r="R145" i="10"/>
  <c r="R17" i="18" s="1"/>
  <c r="R102" i="10"/>
  <c r="S145" i="10"/>
  <c r="S17" i="18" s="1"/>
  <c r="S102" i="10"/>
  <c r="W2202" i="16"/>
  <c r="X1867" i="16"/>
  <c r="X2202" i="16" s="1"/>
  <c r="W1868" i="16"/>
  <c r="V1110" i="16"/>
  <c r="X1822" i="16"/>
  <c r="V1862" i="16"/>
  <c r="S1841" i="16"/>
  <c r="S466" i="16" s="1"/>
  <c r="S793" i="16" s="1"/>
  <c r="T1869" i="16"/>
  <c r="Q198" i="10"/>
  <c r="Q197" i="10" s="1"/>
  <c r="Q191" i="10" s="1"/>
  <c r="Q345" i="10"/>
  <c r="Q342" i="10" s="1"/>
  <c r="Q341" i="10" s="1"/>
  <c r="Q335" i="10" s="1"/>
  <c r="R790" i="16"/>
  <c r="R201" i="10"/>
  <c r="W1861" i="16"/>
  <c r="V1840" i="16"/>
  <c r="V33" i="10"/>
  <c r="V151" i="10" s="1"/>
  <c r="V130" i="10"/>
  <c r="L408" i="10"/>
  <c r="T274" i="10"/>
  <c r="T177" i="10"/>
  <c r="T295" i="10" s="1"/>
  <c r="K411" i="10"/>
  <c r="T66" i="18"/>
  <c r="T71" i="18" s="1"/>
  <c r="P433" i="10"/>
  <c r="P374" i="10"/>
  <c r="S416" i="10"/>
  <c r="S321" i="10"/>
  <c r="S437" i="10" s="1"/>
  <c r="S102" i="18"/>
  <c r="S66" i="18"/>
  <c r="S71" i="18" s="1"/>
  <c r="R92" i="18"/>
  <c r="R93" i="18" s="1"/>
  <c r="J253" i="25" s="1"/>
  <c r="R99" i="18"/>
  <c r="R210" i="10"/>
  <c r="R246" i="10" s="1"/>
  <c r="O354" i="10"/>
  <c r="O389" i="10" s="1"/>
  <c r="O125" i="18"/>
  <c r="O126" i="18" s="1"/>
  <c r="T465" i="16"/>
  <c r="U1828" i="16"/>
  <c r="U1829" i="16" s="1"/>
  <c r="N431" i="10"/>
  <c r="N389" i="10"/>
  <c r="S84" i="18"/>
  <c r="S89" i="18" s="1"/>
  <c r="S120" i="18"/>
  <c r="Q118" i="18"/>
  <c r="Q122" i="18"/>
  <c r="Q375" i="10" s="1"/>
  <c r="O226" i="10"/>
  <c r="O248" i="10"/>
  <c r="N126" i="18"/>
  <c r="Q289" i="10"/>
  <c r="T321" i="10"/>
  <c r="T437" i="10" s="1"/>
  <c r="T416" i="10"/>
  <c r="L322" i="10"/>
  <c r="L325" i="10" s="1"/>
  <c r="L327" i="10" s="1"/>
  <c r="L328" i="10" s="1"/>
  <c r="L330" i="10" s="1"/>
  <c r="L181" i="10"/>
  <c r="L183" i="10" s="1"/>
  <c r="L184" i="10" s="1"/>
  <c r="L186" i="10" s="1"/>
  <c r="Q104" i="18"/>
  <c r="Q100" i="18"/>
  <c r="P226" i="10"/>
  <c r="P248" i="10"/>
  <c r="O433" i="10"/>
  <c r="O374" i="10"/>
  <c r="T84" i="18"/>
  <c r="T89" i="18" s="1"/>
  <c r="S274" i="10"/>
  <c r="S177" i="10"/>
  <c r="S295" i="10" s="1"/>
  <c r="Q291" i="10"/>
  <c r="Q231" i="10"/>
  <c r="N391" i="10"/>
  <c r="N369" i="10"/>
  <c r="K269" i="10"/>
  <c r="K209" i="10"/>
  <c r="K268" i="10"/>
  <c r="R117" i="18"/>
  <c r="R232" i="10"/>
  <c r="P354" i="10"/>
  <c r="P125" i="18"/>
  <c r="K427" i="10"/>
  <c r="K361" i="10"/>
  <c r="K428" i="10"/>
  <c r="K423" i="10"/>
  <c r="K421" i="10"/>
  <c r="K410" i="10"/>
  <c r="N110" i="25" l="1" a="1"/>
  <c r="N110" i="25" s="1"/>
  <c r="N109" i="25" s="1"/>
  <c r="P110" i="25" a="1"/>
  <c r="P110" i="25" s="1"/>
  <c r="P109" i="25" s="1"/>
  <c r="P192" i="25" a="1"/>
  <c r="P192" i="25" s="1"/>
  <c r="P191" i="25" s="1"/>
  <c r="O110" i="25" a="1"/>
  <c r="O110" i="25" s="1"/>
  <c r="O109" i="25" s="1"/>
  <c r="O192" i="25" a="1"/>
  <c r="O192" i="25" s="1"/>
  <c r="O191" i="25" s="1"/>
  <c r="N192" i="25" a="1"/>
  <c r="N192" i="25" s="1"/>
  <c r="N191" i="25" s="1"/>
  <c r="C192" i="25" a="1"/>
  <c r="C192" i="25" s="1"/>
  <c r="C191" i="25" s="1"/>
  <c r="G192" i="25" a="1"/>
  <c r="G192" i="25" s="1"/>
  <c r="G191" i="25" s="1"/>
  <c r="F192" i="25" a="1"/>
  <c r="F192" i="25" s="1"/>
  <c r="F191" i="25" s="1"/>
  <c r="M192" i="25" a="1"/>
  <c r="M192" i="25" s="1"/>
  <c r="M191" i="25" s="1"/>
  <c r="J192" i="25" a="1"/>
  <c r="J192" i="25" s="1"/>
  <c r="J191" i="25" s="1"/>
  <c r="H192" i="25" a="1"/>
  <c r="H192" i="25" s="1"/>
  <c r="H191" i="25" s="1"/>
  <c r="I192" i="25" a="1"/>
  <c r="I192" i="25" s="1"/>
  <c r="I191" i="25" s="1"/>
  <c r="K192" i="25" a="1"/>
  <c r="K192" i="25" s="1"/>
  <c r="K191" i="25" s="1"/>
  <c r="D192" i="25" a="1"/>
  <c r="D192" i="25" s="1"/>
  <c r="D191" i="25" s="1"/>
  <c r="E192" i="25" a="1"/>
  <c r="E192" i="25" s="1"/>
  <c r="E191" i="25" s="1"/>
  <c r="L192" i="25" a="1"/>
  <c r="L192" i="25" s="1"/>
  <c r="L191" i="25" s="1"/>
  <c r="C110" i="25" a="1"/>
  <c r="C110" i="25" s="1"/>
  <c r="C109" i="25" s="1"/>
  <c r="E110" i="25" a="1"/>
  <c r="E110" i="25" s="1"/>
  <c r="E109" i="25" s="1"/>
  <c r="L110" i="25" a="1"/>
  <c r="L110" i="25" s="1"/>
  <c r="L109" i="25" s="1"/>
  <c r="J110" i="25" a="1"/>
  <c r="J110" i="25" s="1"/>
  <c r="J109" i="25" s="1"/>
  <c r="M110" i="25" a="1"/>
  <c r="M110" i="25" s="1"/>
  <c r="M109" i="25" s="1"/>
  <c r="D110" i="25" a="1"/>
  <c r="D110" i="25" s="1"/>
  <c r="D109" i="25" s="1"/>
  <c r="I110" i="25" a="1"/>
  <c r="I110" i="25" s="1"/>
  <c r="I109" i="25" s="1"/>
  <c r="H110" i="25" a="1"/>
  <c r="H110" i="25" s="1"/>
  <c r="H109" i="25" s="1"/>
  <c r="K110" i="25" a="1"/>
  <c r="K110" i="25" s="1"/>
  <c r="K109" i="25" s="1"/>
  <c r="F110" i="25" a="1"/>
  <c r="F110" i="25" s="1"/>
  <c r="F109" i="25" s="1"/>
  <c r="G110" i="25" a="1"/>
  <c r="G110" i="25" s="1"/>
  <c r="G109" i="25" s="1"/>
  <c r="J133" i="25"/>
  <c r="J215" i="25"/>
  <c r="L69" i="10"/>
  <c r="L125" i="10" s="1"/>
  <c r="M27" i="22"/>
  <c r="M29" i="22" s="1"/>
  <c r="M105" i="11" s="1"/>
  <c r="M110" i="11" s="1"/>
  <c r="M121" i="11" s="1"/>
  <c r="M34" i="10" s="1"/>
  <c r="M37" i="10" s="1"/>
  <c r="M39" i="10" s="1"/>
  <c r="M40" i="10" s="1"/>
  <c r="M42" i="10" s="1"/>
  <c r="M131" i="10" s="1"/>
  <c r="P222" i="10"/>
  <c r="P78" i="10"/>
  <c r="Q79" i="22"/>
  <c r="V54" i="18"/>
  <c r="V815" i="16"/>
  <c r="W815" i="16" s="1"/>
  <c r="W33" i="10"/>
  <c r="W151" i="10" s="1"/>
  <c r="W19" i="18"/>
  <c r="W16" i="18" s="1"/>
  <c r="V16" i="18"/>
  <c r="V26" i="18" s="1"/>
  <c r="V66" i="10" s="1"/>
  <c r="W49" i="18"/>
  <c r="W46" i="18" s="1"/>
  <c r="W56" i="18" s="1"/>
  <c r="W88" i="10" s="1"/>
  <c r="W147" i="10" s="1"/>
  <c r="W47" i="18" s="1"/>
  <c r="W604" i="12"/>
  <c r="W612" i="12" s="1"/>
  <c r="V604" i="12"/>
  <c r="V612" i="12" s="1"/>
  <c r="U308" i="10"/>
  <c r="U317" i="10" s="1"/>
  <c r="U321" i="10" s="1"/>
  <c r="U437" i="10" s="1"/>
  <c r="U173" i="10"/>
  <c r="U177" i="10" s="1"/>
  <c r="U295" i="10" s="1"/>
  <c r="S87" i="10"/>
  <c r="S82" i="10" s="1"/>
  <c r="X1109" i="16"/>
  <c r="X138" i="16" s="1"/>
  <c r="U396" i="10"/>
  <c r="U395" i="10" s="1"/>
  <c r="U87" i="18"/>
  <c r="U84" i="18" s="1"/>
  <c r="U89" i="18" s="1"/>
  <c r="W396" i="10"/>
  <c r="W395" i="10" s="1"/>
  <c r="V245" i="10"/>
  <c r="V164" i="10"/>
  <c r="V173" i="10" s="1"/>
  <c r="V274" i="10" s="1"/>
  <c r="X20" i="10"/>
  <c r="X109" i="10"/>
  <c r="X108" i="10" s="1"/>
  <c r="S59" i="18"/>
  <c r="S60" i="18" s="1"/>
  <c r="U16" i="18"/>
  <c r="U26" i="18" s="1"/>
  <c r="U66" i="10" s="1"/>
  <c r="U49" i="18"/>
  <c r="W245" i="10"/>
  <c r="W309" i="10"/>
  <c r="W388" i="10" s="1"/>
  <c r="W164" i="10"/>
  <c r="W173" i="10" s="1"/>
  <c r="W274" i="10" s="1"/>
  <c r="V309" i="10"/>
  <c r="V388" i="10" s="1"/>
  <c r="W1110" i="16"/>
  <c r="W139" i="16" s="1"/>
  <c r="V139" i="16"/>
  <c r="X101" i="10"/>
  <c r="U29" i="10"/>
  <c r="T130" i="10"/>
  <c r="T33" i="10"/>
  <c r="T151" i="10" s="1"/>
  <c r="T16" i="18"/>
  <c r="T26" i="18" s="1"/>
  <c r="T99" i="18" s="1"/>
  <c r="T24" i="18"/>
  <c r="T21" i="18" s="1"/>
  <c r="T46" i="18"/>
  <c r="T56" i="18" s="1"/>
  <c r="T88" i="10" s="1"/>
  <c r="T54" i="18"/>
  <c r="T120" i="18"/>
  <c r="X1868" i="16"/>
  <c r="X1839" i="16"/>
  <c r="X464" i="16" s="1"/>
  <c r="W1862" i="16"/>
  <c r="R345" i="10"/>
  <c r="R342" i="10" s="1"/>
  <c r="R341" i="10" s="1"/>
  <c r="R335" i="10" s="1"/>
  <c r="R198" i="10"/>
  <c r="R197" i="10" s="1"/>
  <c r="R191" i="10" s="1"/>
  <c r="T1841" i="16"/>
  <c r="T466" i="16" s="1"/>
  <c r="T793" i="16" s="1"/>
  <c r="U1869" i="16"/>
  <c r="S790" i="16"/>
  <c r="S201" i="10"/>
  <c r="X1861" i="16"/>
  <c r="W1840" i="16"/>
  <c r="C455" i="25" a="1"/>
  <c r="C455" i="25" s="1"/>
  <c r="C454" i="25" s="1"/>
  <c r="G502" i="25" a="1"/>
  <c r="G502" i="25" s="1"/>
  <c r="C502" i="25" a="1"/>
  <c r="C502" i="25" s="1"/>
  <c r="O361" i="25" a="1"/>
  <c r="O361" i="25" s="1"/>
  <c r="O360" i="25" s="1"/>
  <c r="J314" i="25" a="1"/>
  <c r="J314" i="25" s="1"/>
  <c r="J313" i="25" s="1"/>
  <c r="J502" i="25" a="1"/>
  <c r="J502" i="25" s="1"/>
  <c r="D314" i="25" a="1"/>
  <c r="D314" i="25" s="1"/>
  <c r="D313" i="25" s="1"/>
  <c r="C408" i="25" a="1"/>
  <c r="C408" i="25" s="1"/>
  <c r="C407" i="25" s="1"/>
  <c r="I502" i="25" a="1"/>
  <c r="I502" i="25" s="1"/>
  <c r="F502" i="25" a="1"/>
  <c r="F502" i="25" s="1"/>
  <c r="J361" i="25" a="1"/>
  <c r="J361" i="25" s="1"/>
  <c r="J360" i="25" s="1"/>
  <c r="P502" i="25" a="1"/>
  <c r="P502" i="25" s="1"/>
  <c r="G361" i="25" a="1"/>
  <c r="G361" i="25" s="1"/>
  <c r="G360" i="25" s="1"/>
  <c r="P455" i="25" a="1"/>
  <c r="P455" i="25" s="1"/>
  <c r="P454" i="25" s="1"/>
  <c r="K314" i="25" a="1"/>
  <c r="K314" i="25" s="1"/>
  <c r="K313" i="25" s="1"/>
  <c r="K502" i="25" a="1"/>
  <c r="K502" i="25" s="1"/>
  <c r="N361" i="25" a="1"/>
  <c r="N361" i="25" s="1"/>
  <c r="N360" i="25" s="1"/>
  <c r="K408" i="25" a="1"/>
  <c r="K408" i="25" s="1"/>
  <c r="K407" i="25" s="1"/>
  <c r="G455" i="25" a="1"/>
  <c r="G455" i="25" s="1"/>
  <c r="G454" i="25" s="1"/>
  <c r="F455" i="25" a="1"/>
  <c r="F455" i="25" s="1"/>
  <c r="F454" i="25" s="1"/>
  <c r="E314" i="25" a="1"/>
  <c r="E314" i="25" s="1"/>
  <c r="E313" i="25" s="1"/>
  <c r="L361" i="25" a="1"/>
  <c r="L361" i="25" s="1"/>
  <c r="L360" i="25" s="1"/>
  <c r="O502" i="25" a="1"/>
  <c r="O502" i="25" s="1"/>
  <c r="H314" i="25" a="1"/>
  <c r="H314" i="25" s="1"/>
  <c r="H313" i="25" s="1"/>
  <c r="E455" i="25" a="1"/>
  <c r="E455" i="25" s="1"/>
  <c r="E454" i="25" s="1"/>
  <c r="D455" i="25" a="1"/>
  <c r="D455" i="25" s="1"/>
  <c r="D454" i="25" s="1"/>
  <c r="N408" i="25" a="1"/>
  <c r="N408" i="25" s="1"/>
  <c r="N407" i="25" s="1"/>
  <c r="D361" i="25" a="1"/>
  <c r="D361" i="25" s="1"/>
  <c r="D360" i="25" s="1"/>
  <c r="P408" i="25" a="1"/>
  <c r="P408" i="25" s="1"/>
  <c r="P407" i="25" s="1"/>
  <c r="O408" i="25" a="1"/>
  <c r="O408" i="25" s="1"/>
  <c r="O407" i="25" s="1"/>
  <c r="P361" i="25" a="1"/>
  <c r="P361" i="25" s="1"/>
  <c r="P360" i="25" s="1"/>
  <c r="C361" i="25" a="1"/>
  <c r="C361" i="25" s="1"/>
  <c r="C360" i="25" s="1"/>
  <c r="D408" i="25" a="1"/>
  <c r="D408" i="25" s="1"/>
  <c r="D407" i="25" s="1"/>
  <c r="H455" i="25" a="1"/>
  <c r="H455" i="25" s="1"/>
  <c r="H454" i="25" s="1"/>
  <c r="L455" i="25" a="1"/>
  <c r="L455" i="25" s="1"/>
  <c r="L454" i="25" s="1"/>
  <c r="I314" i="25" a="1"/>
  <c r="I314" i="25" s="1"/>
  <c r="I313" i="25" s="1"/>
  <c r="M455" i="25" a="1"/>
  <c r="M455" i="25" s="1"/>
  <c r="M454" i="25" s="1"/>
  <c r="E361" i="25" a="1"/>
  <c r="E361" i="25" s="1"/>
  <c r="E360" i="25" s="1"/>
  <c r="J408" i="25" a="1"/>
  <c r="J408" i="25" s="1"/>
  <c r="J407" i="25" s="1"/>
  <c r="L502" i="25" a="1"/>
  <c r="L502" i="25" s="1"/>
  <c r="G314" i="25" a="1"/>
  <c r="G314" i="25" s="1"/>
  <c r="G313" i="25" s="1"/>
  <c r="O314" i="25" a="1"/>
  <c r="O314" i="25" s="1"/>
  <c r="O313" i="25" s="1"/>
  <c r="F361" i="25" a="1"/>
  <c r="F361" i="25" s="1"/>
  <c r="F360" i="25" s="1"/>
  <c r="O455" i="25" a="1"/>
  <c r="O455" i="25" s="1"/>
  <c r="O454" i="25" s="1"/>
  <c r="H408" i="25" a="1"/>
  <c r="H408" i="25" s="1"/>
  <c r="H407" i="25" s="1"/>
  <c r="G408" i="25" a="1"/>
  <c r="G408" i="25" s="1"/>
  <c r="G407" i="25" s="1"/>
  <c r="M408" i="25" a="1"/>
  <c r="M408" i="25" s="1"/>
  <c r="M407" i="25" s="1"/>
  <c r="N455" i="25" a="1"/>
  <c r="N455" i="25" s="1"/>
  <c r="N454" i="25" s="1"/>
  <c r="P314" i="25" a="1"/>
  <c r="P314" i="25" s="1"/>
  <c r="P313" i="25" s="1"/>
  <c r="M314" i="25" a="1"/>
  <c r="M314" i="25" s="1"/>
  <c r="M313" i="25" s="1"/>
  <c r="F408" i="25" a="1"/>
  <c r="F408" i="25" s="1"/>
  <c r="F407" i="25" s="1"/>
  <c r="D502" i="25" a="1"/>
  <c r="D502" i="25" s="1"/>
  <c r="H502" i="25" a="1"/>
  <c r="H502" i="25" s="1"/>
  <c r="M361" i="25" a="1"/>
  <c r="M361" i="25" s="1"/>
  <c r="M360" i="25" s="1"/>
  <c r="E408" i="25" a="1"/>
  <c r="E408" i="25" s="1"/>
  <c r="E407" i="25" s="1"/>
  <c r="J455" i="25" a="1"/>
  <c r="J455" i="25" s="1"/>
  <c r="J454" i="25" s="1"/>
  <c r="L314" i="25" a="1"/>
  <c r="L314" i="25" s="1"/>
  <c r="L313" i="25" s="1"/>
  <c r="K361" i="25" a="1"/>
  <c r="K361" i="25" s="1"/>
  <c r="K360" i="25" s="1"/>
  <c r="L408" i="25" a="1"/>
  <c r="L408" i="25" s="1"/>
  <c r="L407" i="25" s="1"/>
  <c r="C314" i="25" a="1"/>
  <c r="C314" i="25" s="1"/>
  <c r="C313" i="25" s="1"/>
  <c r="E502" i="25" a="1"/>
  <c r="E502" i="25" s="1"/>
  <c r="H361" i="25" a="1"/>
  <c r="H361" i="25" s="1"/>
  <c r="H360" i="25" s="1"/>
  <c r="K455" i="25" a="1"/>
  <c r="K455" i="25" s="1"/>
  <c r="K454" i="25" s="1"/>
  <c r="I455" i="25" a="1"/>
  <c r="I455" i="25" s="1"/>
  <c r="I454" i="25" s="1"/>
  <c r="M502" i="25" a="1"/>
  <c r="M502" i="25" s="1"/>
  <c r="N314" i="25" a="1"/>
  <c r="N314" i="25" s="1"/>
  <c r="N313" i="25" s="1"/>
  <c r="N502" i="25" a="1"/>
  <c r="N502" i="25" s="1"/>
  <c r="I361" i="25" a="1"/>
  <c r="I361" i="25" s="1"/>
  <c r="I360" i="25" s="1"/>
  <c r="I408" i="25" a="1"/>
  <c r="I408" i="25" s="1"/>
  <c r="I407" i="25" s="1"/>
  <c r="F314" i="25" a="1"/>
  <c r="F314" i="25" s="1"/>
  <c r="F313" i="25" s="1"/>
  <c r="V87" i="10"/>
  <c r="V82" i="10" s="1"/>
  <c r="V147" i="10"/>
  <c r="V47" i="18" s="1"/>
  <c r="Q125" i="18"/>
  <c r="Q126" i="18" s="1"/>
  <c r="Q354" i="10"/>
  <c r="Q431" i="10" s="1"/>
  <c r="K217" i="10"/>
  <c r="K286" i="10"/>
  <c r="K285" i="10"/>
  <c r="O431" i="10"/>
  <c r="P389" i="10"/>
  <c r="P391" i="10"/>
  <c r="P369" i="10"/>
  <c r="P126" i="18"/>
  <c r="P431" i="10"/>
  <c r="K382" i="10"/>
  <c r="K418" i="10"/>
  <c r="K383" i="10"/>
  <c r="Q374" i="10"/>
  <c r="Q433" i="10"/>
  <c r="R289" i="10"/>
  <c r="T232" i="10"/>
  <c r="L417" i="10"/>
  <c r="L387" i="10"/>
  <c r="L386" i="10" s="1"/>
  <c r="L407" i="10" s="1"/>
  <c r="L409" i="10" s="1"/>
  <c r="L491" i="10"/>
  <c r="M494" i="10" s="1"/>
  <c r="M367" i="10" s="1"/>
  <c r="L368" i="10"/>
  <c r="L364" i="10" s="1"/>
  <c r="L424" i="10"/>
  <c r="S117" i="18"/>
  <c r="S232" i="10"/>
  <c r="S210" i="10"/>
  <c r="S289" i="10" s="1"/>
  <c r="S99" i="18"/>
  <c r="S92" i="18"/>
  <c r="L282" i="10"/>
  <c r="L244" i="10"/>
  <c r="L243" i="10" s="1"/>
  <c r="L265" i="10" s="1"/>
  <c r="L267" i="10" s="1"/>
  <c r="L225" i="10"/>
  <c r="L275" i="10"/>
  <c r="O391" i="10"/>
  <c r="O369" i="10"/>
  <c r="R231" i="10"/>
  <c r="R291" i="10"/>
  <c r="U465" i="16"/>
  <c r="V1828" i="16"/>
  <c r="V1829" i="16" s="1"/>
  <c r="U102" i="18"/>
  <c r="U66" i="18"/>
  <c r="U71" i="18" s="1"/>
  <c r="R104" i="18"/>
  <c r="R100" i="18"/>
  <c r="R118" i="18"/>
  <c r="R122" i="18"/>
  <c r="R375" i="10" s="1"/>
  <c r="Q248" i="10"/>
  <c r="Q226" i="10"/>
  <c r="T210" i="10"/>
  <c r="T92" i="18"/>
  <c r="N130" i="25" l="1"/>
  <c r="J130" i="25"/>
  <c r="P130" i="25"/>
  <c r="E130" i="25"/>
  <c r="O130" i="25"/>
  <c r="N53" i="25"/>
  <c r="N52" i="25" s="1"/>
  <c r="O53" i="25"/>
  <c r="O52" i="25" s="1"/>
  <c r="P53" i="25"/>
  <c r="P52" i="25" s="1"/>
  <c r="L130" i="25"/>
  <c r="G130" i="25"/>
  <c r="M130" i="25"/>
  <c r="I130" i="25"/>
  <c r="K130" i="25"/>
  <c r="H130" i="25"/>
  <c r="D130" i="25"/>
  <c r="D140" i="25" s="1"/>
  <c r="F130" i="25"/>
  <c r="D53" i="25"/>
  <c r="D52" i="25" s="1"/>
  <c r="I53" i="25"/>
  <c r="I52" i="25" s="1"/>
  <c r="H53" i="25"/>
  <c r="H52" i="25" s="1"/>
  <c r="M53" i="25"/>
  <c r="M52" i="25" s="1"/>
  <c r="J53" i="25"/>
  <c r="J52" i="25" s="1"/>
  <c r="G53" i="25"/>
  <c r="G52" i="25" s="1"/>
  <c r="F53" i="25"/>
  <c r="F52" i="25" s="1"/>
  <c r="K53" i="25"/>
  <c r="K52" i="25" s="1"/>
  <c r="L53" i="25"/>
  <c r="L52" i="25" s="1"/>
  <c r="E53" i="25"/>
  <c r="E52" i="25" s="1"/>
  <c r="C53" i="25"/>
  <c r="C52" i="25" s="1"/>
  <c r="U416" i="10"/>
  <c r="M212" i="25"/>
  <c r="I212" i="25"/>
  <c r="N212" i="25"/>
  <c r="F212" i="25"/>
  <c r="L212" i="25"/>
  <c r="L250" i="25" s="1"/>
  <c r="O212" i="25"/>
  <c r="K212" i="25"/>
  <c r="G212" i="25"/>
  <c r="J212" i="25"/>
  <c r="C212" i="25"/>
  <c r="P212" i="25"/>
  <c r="H212" i="25"/>
  <c r="E212" i="25"/>
  <c r="D212" i="25"/>
  <c r="L124" i="10"/>
  <c r="C130" i="25"/>
  <c r="C140" i="25" s="1"/>
  <c r="C144" i="25" s="1"/>
  <c r="M100" i="10"/>
  <c r="M99" i="10" s="1"/>
  <c r="M121" i="10" s="1"/>
  <c r="M123" i="10" s="1"/>
  <c r="M70" i="10" s="1"/>
  <c r="M81" i="10"/>
  <c r="L65" i="10"/>
  <c r="M138" i="10"/>
  <c r="Q222" i="10"/>
  <c r="R79" i="22"/>
  <c r="Q78" i="10"/>
  <c r="V145" i="10"/>
  <c r="V17" i="18" s="1"/>
  <c r="U145" i="10"/>
  <c r="U17" i="18" s="1"/>
  <c r="W87" i="10"/>
  <c r="W82" i="10" s="1"/>
  <c r="W54" i="18"/>
  <c r="W24" i="18"/>
  <c r="W21" i="18" s="1"/>
  <c r="W177" i="10"/>
  <c r="W295" i="10" s="1"/>
  <c r="U274" i="10"/>
  <c r="W69" i="18"/>
  <c r="V87" i="18"/>
  <c r="V84" i="18" s="1"/>
  <c r="V89" i="18" s="1"/>
  <c r="V232" i="10" s="1"/>
  <c r="V291" i="10" s="1"/>
  <c r="W308" i="10"/>
  <c r="W317" i="10" s="1"/>
  <c r="S104" i="10"/>
  <c r="X1110" i="16"/>
  <c r="X139" i="16" s="1"/>
  <c r="U120" i="18"/>
  <c r="T117" i="18"/>
  <c r="T118" i="18" s="1"/>
  <c r="V102" i="10"/>
  <c r="V59" i="18"/>
  <c r="X396" i="10"/>
  <c r="X395" i="10" s="1"/>
  <c r="U54" i="18"/>
  <c r="U46" i="18"/>
  <c r="U56" i="18" s="1"/>
  <c r="U88" i="10" s="1"/>
  <c r="V177" i="10"/>
  <c r="V295" i="10" s="1"/>
  <c r="V69" i="18"/>
  <c r="V102" i="18" s="1"/>
  <c r="X29" i="10"/>
  <c r="X19" i="18"/>
  <c r="X49" i="18"/>
  <c r="V308" i="10"/>
  <c r="V317" i="10" s="1"/>
  <c r="V416" i="10" s="1"/>
  <c r="X798" i="16"/>
  <c r="X165" i="10" s="1"/>
  <c r="W87" i="18"/>
  <c r="U33" i="10"/>
  <c r="U151" i="10" s="1"/>
  <c r="U130" i="10"/>
  <c r="T147" i="10"/>
  <c r="T47" i="18" s="1"/>
  <c r="T87" i="10"/>
  <c r="T82" i="10" s="1"/>
  <c r="T66" i="10"/>
  <c r="T59" i="18"/>
  <c r="T60" i="18" s="1"/>
  <c r="W26" i="18"/>
  <c r="X1840" i="16"/>
  <c r="S198" i="10"/>
  <c r="S197" i="10" s="1"/>
  <c r="S191" i="10" s="1"/>
  <c r="S345" i="10"/>
  <c r="S342" i="10" s="1"/>
  <c r="S341" i="10" s="1"/>
  <c r="S335" i="10" s="1"/>
  <c r="U1841" i="16"/>
  <c r="U466" i="16" s="1"/>
  <c r="U793" i="16" s="1"/>
  <c r="V1869" i="16"/>
  <c r="T201" i="10"/>
  <c r="T790" i="16"/>
  <c r="X1862" i="16"/>
  <c r="O501" i="25"/>
  <c r="F501" i="25"/>
  <c r="E501" i="25"/>
  <c r="I501" i="25"/>
  <c r="H501" i="25"/>
  <c r="K501" i="25"/>
  <c r="N501" i="25"/>
  <c r="D501" i="25"/>
  <c r="L501" i="25"/>
  <c r="C501" i="25"/>
  <c r="M501" i="25"/>
  <c r="P501" i="25"/>
  <c r="J501" i="25"/>
  <c r="G501" i="25"/>
  <c r="Q389" i="10"/>
  <c r="L422" i="10"/>
  <c r="L436" i="10"/>
  <c r="L381" i="10"/>
  <c r="S246" i="10"/>
  <c r="U232" i="10"/>
  <c r="R374" i="10"/>
  <c r="R433" i="10"/>
  <c r="S93" i="18"/>
  <c r="K253" i="25" s="1"/>
  <c r="T93" i="18"/>
  <c r="L253" i="25" s="1"/>
  <c r="T104" i="18"/>
  <c r="T100" i="18"/>
  <c r="S100" i="18"/>
  <c r="S104" i="18"/>
  <c r="U210" i="10"/>
  <c r="U99" i="18"/>
  <c r="U92" i="18"/>
  <c r="U93" i="18" s="1"/>
  <c r="M253" i="25" s="1"/>
  <c r="R226" i="10"/>
  <c r="R248" i="10"/>
  <c r="L358" i="10"/>
  <c r="L357" i="10" s="1"/>
  <c r="L411" i="10" s="1"/>
  <c r="M408" i="10"/>
  <c r="T246" i="10"/>
  <c r="T289" i="10"/>
  <c r="M83" i="22"/>
  <c r="M85" i="22" s="1"/>
  <c r="M224" i="10" s="1"/>
  <c r="L220" i="10"/>
  <c r="S231" i="10"/>
  <c r="S291" i="10"/>
  <c r="W1828" i="16"/>
  <c r="W1829" i="16" s="1"/>
  <c r="V465" i="16"/>
  <c r="K239" i="10"/>
  <c r="K240" i="10"/>
  <c r="K276" i="10"/>
  <c r="Q369" i="10"/>
  <c r="Q391" i="10"/>
  <c r="R125" i="18"/>
  <c r="R354" i="10"/>
  <c r="M266" i="10"/>
  <c r="L214" i="10"/>
  <c r="S122" i="18"/>
  <c r="S375" i="10" s="1"/>
  <c r="S118" i="18"/>
  <c r="T231" i="10"/>
  <c r="T291" i="10"/>
  <c r="D144" i="25" l="1"/>
  <c r="C141" i="25"/>
  <c r="D141" i="25" s="1"/>
  <c r="P250" i="25"/>
  <c r="J250" i="25"/>
  <c r="J260" i="25" s="1"/>
  <c r="J262" i="25" s="1"/>
  <c r="M250" i="25"/>
  <c r="M260" i="25" s="1"/>
  <c r="M262" i="25" s="1"/>
  <c r="I250" i="25"/>
  <c r="I260" i="25" s="1"/>
  <c r="I262" i="25" s="1"/>
  <c r="L260" i="25"/>
  <c r="L262" i="25" s="1"/>
  <c r="G250" i="25"/>
  <c r="G260" i="25" s="1"/>
  <c r="G262" i="25" s="1"/>
  <c r="F250" i="25"/>
  <c r="F260" i="25" s="1"/>
  <c r="E250" i="25"/>
  <c r="E260" i="25" s="1"/>
  <c r="H250" i="25"/>
  <c r="H260" i="25" s="1"/>
  <c r="N250" i="25"/>
  <c r="C222" i="25"/>
  <c r="C226" i="25" s="1"/>
  <c r="C250" i="25"/>
  <c r="C260" i="25" s="1"/>
  <c r="C264" i="25" s="1"/>
  <c r="K250" i="25"/>
  <c r="K260" i="25" s="1"/>
  <c r="D222" i="25"/>
  <c r="D250" i="25"/>
  <c r="D260" i="25" s="1"/>
  <c r="O250" i="25"/>
  <c r="H140" i="25"/>
  <c r="H142" i="25" s="1"/>
  <c r="I140" i="25"/>
  <c r="I142" i="25" s="1"/>
  <c r="E140" i="25"/>
  <c r="G140" i="25"/>
  <c r="G142" i="25" s="1"/>
  <c r="J140" i="25"/>
  <c r="J142" i="25" s="1"/>
  <c r="F140" i="25"/>
  <c r="J222" i="25"/>
  <c r="J224" i="25" s="1"/>
  <c r="G222" i="25"/>
  <c r="G224" i="25" s="1"/>
  <c r="I222" i="25"/>
  <c r="I224" i="25" s="1"/>
  <c r="E222" i="25"/>
  <c r="E224" i="25" s="1"/>
  <c r="H222" i="25"/>
  <c r="H224" i="25" s="1"/>
  <c r="F222" i="25"/>
  <c r="F224" i="25" s="1"/>
  <c r="L133" i="25"/>
  <c r="L140" i="25" s="1"/>
  <c r="L215" i="25"/>
  <c r="L222" i="25" s="1"/>
  <c r="M133" i="25"/>
  <c r="M140" i="25" s="1"/>
  <c r="M215" i="25"/>
  <c r="M222" i="25" s="1"/>
  <c r="K133" i="25"/>
  <c r="K140" i="25" s="1"/>
  <c r="K215" i="25"/>
  <c r="K222" i="25" s="1"/>
  <c r="D142" i="25"/>
  <c r="L141" i="10"/>
  <c r="L142" i="10"/>
  <c r="L73" i="10"/>
  <c r="N21" i="22"/>
  <c r="N23" i="22" s="1"/>
  <c r="N80" i="10" s="1"/>
  <c r="M76" i="10"/>
  <c r="N122" i="10"/>
  <c r="M69" i="10"/>
  <c r="M125" i="10" s="1"/>
  <c r="N77" i="22"/>
  <c r="N27" i="22"/>
  <c r="N29" i="22" s="1"/>
  <c r="N105" i="11" s="1"/>
  <c r="N110" i="11" s="1"/>
  <c r="N121" i="11" s="1"/>
  <c r="N34" i="10" s="1"/>
  <c r="N37" i="10" s="1"/>
  <c r="N39" i="10" s="1"/>
  <c r="N40" i="10" s="1"/>
  <c r="N42" i="10" s="1"/>
  <c r="R222" i="10"/>
  <c r="R78" i="10"/>
  <c r="S79" i="22"/>
  <c r="W104" i="10"/>
  <c r="T122" i="18"/>
  <c r="T375" i="10" s="1"/>
  <c r="T374" i="10" s="1"/>
  <c r="V66" i="18"/>
  <c r="V71" i="18" s="1"/>
  <c r="V99" i="18" s="1"/>
  <c r="V104" i="18" s="1"/>
  <c r="V354" i="10" s="1"/>
  <c r="X815" i="16"/>
  <c r="V321" i="10"/>
  <c r="V437" i="10" s="1"/>
  <c r="W102" i="18"/>
  <c r="W66" i="18"/>
  <c r="W71" i="18" s="1"/>
  <c r="W210" i="10" s="1"/>
  <c r="W289" i="10" s="1"/>
  <c r="V231" i="10"/>
  <c r="V226" i="10" s="1"/>
  <c r="V117" i="18"/>
  <c r="V122" i="18" s="1"/>
  <c r="V375" i="10" s="1"/>
  <c r="V374" i="10" s="1"/>
  <c r="V369" i="10" s="1"/>
  <c r="V120" i="18"/>
  <c r="X604" i="12"/>
  <c r="X612" i="12" s="1"/>
  <c r="W416" i="10"/>
  <c r="W321" i="10"/>
  <c r="W437" i="10" s="1"/>
  <c r="X309" i="10"/>
  <c r="X388" i="10" s="1"/>
  <c r="X24" i="18"/>
  <c r="X21" i="18" s="1"/>
  <c r="X16" i="18"/>
  <c r="X26" i="18" s="1"/>
  <c r="X66" i="10" s="1"/>
  <c r="U147" i="10"/>
  <c r="U47" i="18" s="1"/>
  <c r="U87" i="10"/>
  <c r="U82" i="10" s="1"/>
  <c r="X54" i="18"/>
  <c r="X46" i="18"/>
  <c r="X56" i="18" s="1"/>
  <c r="X88" i="10" s="1"/>
  <c r="U117" i="18"/>
  <c r="U122" i="18" s="1"/>
  <c r="U375" i="10" s="1"/>
  <c r="X130" i="10"/>
  <c r="X33" i="10"/>
  <c r="X151" i="10" s="1"/>
  <c r="U59" i="18"/>
  <c r="V60" i="18" s="1"/>
  <c r="X245" i="10"/>
  <c r="W84" i="18"/>
  <c r="W89" i="18" s="1"/>
  <c r="W120" i="18"/>
  <c r="X164" i="10"/>
  <c r="X87" i="18" s="1"/>
  <c r="X120" i="18" s="1"/>
  <c r="T145" i="10"/>
  <c r="T17" i="18" s="1"/>
  <c r="T102" i="10"/>
  <c r="U102" i="10"/>
  <c r="T104" i="10"/>
  <c r="W66" i="10"/>
  <c r="W59" i="18"/>
  <c r="W60" i="18" s="1"/>
  <c r="T345" i="10"/>
  <c r="T342" i="10" s="1"/>
  <c r="T341" i="10" s="1"/>
  <c r="T335" i="10" s="1"/>
  <c r="T198" i="10"/>
  <c r="T197" i="10" s="1"/>
  <c r="T191" i="10" s="1"/>
  <c r="V1841" i="16"/>
  <c r="V466" i="16" s="1"/>
  <c r="V793" i="16" s="1"/>
  <c r="W1869" i="16"/>
  <c r="U790" i="16"/>
  <c r="U201" i="10"/>
  <c r="L294" i="10"/>
  <c r="L238" i="10"/>
  <c r="L280" i="10"/>
  <c r="U100" i="18"/>
  <c r="U104" i="18"/>
  <c r="L353" i="10"/>
  <c r="L410" i="10"/>
  <c r="U246" i="10"/>
  <c r="U289" i="10"/>
  <c r="R369" i="10"/>
  <c r="R391" i="10"/>
  <c r="R389" i="10"/>
  <c r="R431" i="10"/>
  <c r="W465" i="16"/>
  <c r="X1828" i="16"/>
  <c r="X465" i="16" s="1"/>
  <c r="U231" i="10"/>
  <c r="U291" i="10"/>
  <c r="S125" i="18"/>
  <c r="S354" i="10"/>
  <c r="M89" i="22"/>
  <c r="M91" i="22" s="1"/>
  <c r="M232" i="11" s="1"/>
  <c r="M237" i="11" s="1"/>
  <c r="M248" i="11" s="1"/>
  <c r="M178" i="10" s="1"/>
  <c r="L213" i="10"/>
  <c r="T354" i="10"/>
  <c r="T431" i="10" s="1"/>
  <c r="L421" i="10"/>
  <c r="L423" i="10"/>
  <c r="R126" i="18"/>
  <c r="T226" i="10"/>
  <c r="T248" i="10"/>
  <c r="S433" i="10"/>
  <c r="S374" i="10"/>
  <c r="S248" i="10"/>
  <c r="S226" i="10"/>
  <c r="C223" i="25" l="1"/>
  <c r="D223" i="25" s="1"/>
  <c r="I144" i="25"/>
  <c r="F144" i="25"/>
  <c r="K144" i="25"/>
  <c r="M144" i="25"/>
  <c r="E144" i="25"/>
  <c r="H144" i="25"/>
  <c r="J144" i="25"/>
  <c r="G144" i="25"/>
  <c r="L144" i="25"/>
  <c r="D226" i="25"/>
  <c r="L226" i="25"/>
  <c r="E226" i="25"/>
  <c r="M226" i="25"/>
  <c r="F226" i="25"/>
  <c r="G226" i="25"/>
  <c r="H226" i="25"/>
  <c r="I226" i="25"/>
  <c r="K226" i="25"/>
  <c r="J226" i="25"/>
  <c r="D264" i="25"/>
  <c r="F264" i="25"/>
  <c r="H264" i="25"/>
  <c r="J264" i="25"/>
  <c r="L264" i="25"/>
  <c r="E264" i="25"/>
  <c r="G264" i="25"/>
  <c r="I264" i="25"/>
  <c r="K264" i="25"/>
  <c r="M264" i="25"/>
  <c r="F142" i="25"/>
  <c r="E142" i="25"/>
  <c r="D262" i="25"/>
  <c r="C261" i="25"/>
  <c r="D261" i="25" s="1"/>
  <c r="C262" i="25"/>
  <c r="C263" i="25" s="1"/>
  <c r="H262" i="25"/>
  <c r="E262" i="25"/>
  <c r="F262" i="25"/>
  <c r="K262" i="25"/>
  <c r="E141" i="25"/>
  <c r="M142" i="25"/>
  <c r="K142" i="25"/>
  <c r="L142" i="25"/>
  <c r="K224" i="25"/>
  <c r="L224" i="25"/>
  <c r="M224" i="25"/>
  <c r="C224" i="25"/>
  <c r="C225" i="25" s="1"/>
  <c r="D224" i="25"/>
  <c r="C142" i="25"/>
  <c r="C143" i="25" s="1"/>
  <c r="L132" i="10"/>
  <c r="L96" i="10"/>
  <c r="L95" i="10"/>
  <c r="M94" i="10"/>
  <c r="M136" i="10"/>
  <c r="M150" i="10"/>
  <c r="M65" i="10"/>
  <c r="M141" i="10" s="1"/>
  <c r="M124" i="10"/>
  <c r="N100" i="10"/>
  <c r="N99" i="10" s="1"/>
  <c r="N121" i="10" s="1"/>
  <c r="N123" i="10" s="1"/>
  <c r="N70" i="10" s="1"/>
  <c r="N131" i="10"/>
  <c r="N138" i="10"/>
  <c r="N81" i="10"/>
  <c r="S222" i="10"/>
  <c r="T79" i="22"/>
  <c r="S78" i="10"/>
  <c r="X145" i="10"/>
  <c r="X17" i="18" s="1"/>
  <c r="V100" i="18"/>
  <c r="V92" i="18"/>
  <c r="V93" i="18" s="1"/>
  <c r="N253" i="25" s="1"/>
  <c r="N260" i="25" s="1"/>
  <c r="N262" i="25" s="1"/>
  <c r="T125" i="18"/>
  <c r="T126" i="18" s="1"/>
  <c r="T433" i="10"/>
  <c r="V210" i="10"/>
  <c r="V289" i="10" s="1"/>
  <c r="V433" i="10"/>
  <c r="V248" i="10"/>
  <c r="X173" i="10"/>
  <c r="X274" i="10" s="1"/>
  <c r="X84" i="18"/>
  <c r="X89" i="18" s="1"/>
  <c r="X232" i="10" s="1"/>
  <c r="X231" i="10" s="1"/>
  <c r="W99" i="18"/>
  <c r="V118" i="18"/>
  <c r="V125" i="18"/>
  <c r="U118" i="18"/>
  <c r="X59" i="18"/>
  <c r="X60" i="18" s="1"/>
  <c r="U60" i="18"/>
  <c r="X87" i="10"/>
  <c r="X82" i="10" s="1"/>
  <c r="X147" i="10"/>
  <c r="X47" i="18" s="1"/>
  <c r="U104" i="10"/>
  <c r="V104" i="10"/>
  <c r="X308" i="10"/>
  <c r="X317" i="10" s="1"/>
  <c r="X416" i="10" s="1"/>
  <c r="W117" i="18"/>
  <c r="W232" i="10"/>
  <c r="W92" i="18"/>
  <c r="X69" i="18"/>
  <c r="X66" i="18" s="1"/>
  <c r="X71" i="18" s="1"/>
  <c r="X210" i="10" s="1"/>
  <c r="X289" i="10" s="1"/>
  <c r="W145" i="10"/>
  <c r="W17" i="18" s="1"/>
  <c r="W102" i="10"/>
  <c r="X102" i="10"/>
  <c r="V790" i="16"/>
  <c r="V201" i="10"/>
  <c r="X1829" i="16"/>
  <c r="U345" i="10"/>
  <c r="U342" i="10" s="1"/>
  <c r="U341" i="10" s="1"/>
  <c r="U335" i="10" s="1"/>
  <c r="U198" i="10"/>
  <c r="U197" i="10" s="1"/>
  <c r="U191" i="10" s="1"/>
  <c r="W1841" i="16"/>
  <c r="W466" i="16" s="1"/>
  <c r="W793" i="16" s="1"/>
  <c r="X1869" i="16"/>
  <c r="S369" i="10"/>
  <c r="S391" i="10"/>
  <c r="S431" i="10"/>
  <c r="T389" i="10"/>
  <c r="U374" i="10"/>
  <c r="V391" i="10" s="1"/>
  <c r="U433" i="10"/>
  <c r="L428" i="10"/>
  <c r="L427" i="10"/>
  <c r="L361" i="10"/>
  <c r="U354" i="10"/>
  <c r="V389" i="10" s="1"/>
  <c r="U125" i="18"/>
  <c r="T391" i="10"/>
  <c r="T369" i="10"/>
  <c r="L269" i="10"/>
  <c r="L268" i="10"/>
  <c r="L209" i="10"/>
  <c r="S126" i="18"/>
  <c r="L279" i="10"/>
  <c r="L281" i="10"/>
  <c r="U226" i="10"/>
  <c r="U248" i="10"/>
  <c r="M181" i="10"/>
  <c r="M183" i="10" s="1"/>
  <c r="M184" i="10" s="1"/>
  <c r="M186" i="10" s="1"/>
  <c r="M322" i="10"/>
  <c r="M325" i="10" s="1"/>
  <c r="M327" i="10" s="1"/>
  <c r="M328" i="10" s="1"/>
  <c r="M330" i="10" s="1"/>
  <c r="S389" i="10"/>
  <c r="V431" i="10"/>
  <c r="N264" i="25" l="1"/>
  <c r="E261" i="25"/>
  <c r="F261" i="25" s="1"/>
  <c r="G261" i="25" s="1"/>
  <c r="H261" i="25" s="1"/>
  <c r="I261" i="25" s="1"/>
  <c r="J261" i="25" s="1"/>
  <c r="K261" i="25" s="1"/>
  <c r="L261" i="25" s="1"/>
  <c r="M261" i="25" s="1"/>
  <c r="N261" i="25" s="1"/>
  <c r="E223" i="25"/>
  <c r="F223" i="25" s="1"/>
  <c r="D263" i="25"/>
  <c r="E263" i="25" s="1"/>
  <c r="F263" i="25" s="1"/>
  <c r="G263" i="25" s="1"/>
  <c r="H263" i="25" s="1"/>
  <c r="I263" i="25" s="1"/>
  <c r="J263" i="25" s="1"/>
  <c r="K263" i="25" s="1"/>
  <c r="L263" i="25" s="1"/>
  <c r="M263" i="25" s="1"/>
  <c r="N263" i="25" s="1"/>
  <c r="F141" i="25"/>
  <c r="D225" i="25"/>
  <c r="E225" i="25" s="1"/>
  <c r="F225" i="25" s="1"/>
  <c r="G225" i="25" s="1"/>
  <c r="H225" i="25" s="1"/>
  <c r="I225" i="25" s="1"/>
  <c r="J225" i="25" s="1"/>
  <c r="K225" i="25" s="1"/>
  <c r="L225" i="25" s="1"/>
  <c r="M225" i="25" s="1"/>
  <c r="X1841" i="16"/>
  <c r="F124" i="25" s="1" a="1"/>
  <c r="F124" i="25" s="1"/>
  <c r="N133" i="25"/>
  <c r="N140" i="25" s="1"/>
  <c r="N215" i="25"/>
  <c r="N222" i="25" s="1"/>
  <c r="D143" i="25"/>
  <c r="E143" i="25" s="1"/>
  <c r="F143" i="25" s="1"/>
  <c r="G143" i="25" s="1"/>
  <c r="H143" i="25" s="1"/>
  <c r="I143" i="25" s="1"/>
  <c r="J143" i="25" s="1"/>
  <c r="K143" i="25" s="1"/>
  <c r="L143" i="25" s="1"/>
  <c r="M143" i="25" s="1"/>
  <c r="M135" i="10"/>
  <c r="M137" i="10"/>
  <c r="O122" i="10"/>
  <c r="M73" i="10"/>
  <c r="M96" i="10" s="1"/>
  <c r="M142" i="10"/>
  <c r="O21" i="22"/>
  <c r="O23" i="22" s="1"/>
  <c r="O80" i="10" s="1"/>
  <c r="N76" i="10"/>
  <c r="T222" i="10"/>
  <c r="U79" i="22"/>
  <c r="T78" i="10"/>
  <c r="O77" i="22"/>
  <c r="O27" i="22"/>
  <c r="O29" i="22" s="1"/>
  <c r="O105" i="11" s="1"/>
  <c r="O110" i="11" s="1"/>
  <c r="O121" i="11" s="1"/>
  <c r="O34" i="10" s="1"/>
  <c r="O37" i="10" s="1"/>
  <c r="O39" i="10" s="1"/>
  <c r="O40" i="10" s="1"/>
  <c r="O42" i="10" s="1"/>
  <c r="O100" i="10" s="1"/>
  <c r="O99" i="10" s="1"/>
  <c r="N69" i="10"/>
  <c r="X177" i="10"/>
  <c r="X295" i="10" s="1"/>
  <c r="W93" i="18"/>
  <c r="O253" i="25" s="1"/>
  <c r="O260" i="25" s="1"/>
  <c r="U126" i="18"/>
  <c r="X117" i="18"/>
  <c r="X118" i="18" s="1"/>
  <c r="V246" i="10"/>
  <c r="W246" i="10"/>
  <c r="X291" i="10"/>
  <c r="W104" i="18"/>
  <c r="W354" i="10" s="1"/>
  <c r="W431" i="10" s="1"/>
  <c r="W100" i="18"/>
  <c r="X321" i="10"/>
  <c r="X437" i="10" s="1"/>
  <c r="X92" i="18"/>
  <c r="X93" i="18" s="1"/>
  <c r="P253" i="25" s="1"/>
  <c r="P260" i="25" s="1"/>
  <c r="X104" i="10"/>
  <c r="X102" i="18"/>
  <c r="W118" i="18"/>
  <c r="W122" i="18"/>
  <c r="X246" i="10"/>
  <c r="X99" i="18"/>
  <c r="X104" i="18" s="1"/>
  <c r="X354" i="10" s="1"/>
  <c r="X431" i="10" s="1"/>
  <c r="W291" i="10"/>
  <c r="W231" i="10"/>
  <c r="W790" i="16"/>
  <c r="W201" i="10"/>
  <c r="V198" i="10"/>
  <c r="V197" i="10" s="1"/>
  <c r="V191" i="10" s="1"/>
  <c r="V345" i="10"/>
  <c r="V342" i="10" s="1"/>
  <c r="V341" i="10" s="1"/>
  <c r="V335" i="10" s="1"/>
  <c r="V126" i="18"/>
  <c r="M387" i="10"/>
  <c r="M386" i="10" s="1"/>
  <c r="M407" i="10" s="1"/>
  <c r="M409" i="10" s="1"/>
  <c r="M424" i="10"/>
  <c r="M417" i="10"/>
  <c r="M491" i="10"/>
  <c r="N494" i="10" s="1"/>
  <c r="N367" i="10" s="1"/>
  <c r="M368" i="10"/>
  <c r="M364" i="10" s="1"/>
  <c r="M225" i="10"/>
  <c r="M282" i="10"/>
  <c r="M244" i="10"/>
  <c r="M243" i="10" s="1"/>
  <c r="M265" i="10" s="1"/>
  <c r="M267" i="10" s="1"/>
  <c r="M275" i="10"/>
  <c r="L285" i="10"/>
  <c r="L286" i="10"/>
  <c r="L217" i="10"/>
  <c r="U389" i="10"/>
  <c r="U431" i="10"/>
  <c r="L382" i="10"/>
  <c r="L383" i="10"/>
  <c r="L418" i="10"/>
  <c r="U369" i="10"/>
  <c r="U391" i="10"/>
  <c r="X226" i="10"/>
  <c r="P264" i="25" l="1"/>
  <c r="N226" i="25"/>
  <c r="N144" i="25"/>
  <c r="O264" i="25"/>
  <c r="P262" i="25"/>
  <c r="O262" i="25"/>
  <c r="O263" i="25" s="1"/>
  <c r="O261" i="25"/>
  <c r="P261" i="25" s="1"/>
  <c r="G223" i="25"/>
  <c r="G141" i="25"/>
  <c r="N142" i="25"/>
  <c r="N143" i="25" s="1"/>
  <c r="N224" i="25"/>
  <c r="N225" i="25" s="1"/>
  <c r="D596" i="25" a="1"/>
  <c r="D596" i="25" s="1"/>
  <c r="L124" i="25" a="1"/>
  <c r="L124" i="25" s="1"/>
  <c r="L125" i="25" s="1"/>
  <c r="L132" i="25" s="1"/>
  <c r="L148" i="25" s="1"/>
  <c r="L150" i="25" s="1"/>
  <c r="P206" i="25" a="1"/>
  <c r="P206" i="25" s="1"/>
  <c r="N124" i="25" a="1"/>
  <c r="N124" i="25" s="1"/>
  <c r="N125" i="25" s="1"/>
  <c r="N132" i="25" s="1"/>
  <c r="N148" i="25" s="1"/>
  <c r="N150" i="25" s="1"/>
  <c r="O206" i="25" a="1"/>
  <c r="O206" i="25" s="1"/>
  <c r="N206" i="25" a="1"/>
  <c r="N206" i="25" s="1"/>
  <c r="O124" i="25" a="1"/>
  <c r="O124" i="25" s="1"/>
  <c r="O125" i="25" s="1"/>
  <c r="O132" i="25" s="1"/>
  <c r="P124" i="25" a="1"/>
  <c r="P124" i="25" s="1"/>
  <c r="P125" i="25" s="1"/>
  <c r="P132" i="25" s="1"/>
  <c r="C206" i="25" a="1"/>
  <c r="C206" i="25" s="1"/>
  <c r="E206" i="25" a="1"/>
  <c r="E206" i="25" s="1"/>
  <c r="H206" i="25" a="1"/>
  <c r="H206" i="25" s="1"/>
  <c r="G206" i="25" a="1"/>
  <c r="G206" i="25" s="1"/>
  <c r="K206" i="25" a="1"/>
  <c r="K206" i="25" s="1"/>
  <c r="I206" i="25" a="1"/>
  <c r="I206" i="25" s="1"/>
  <c r="J206" i="25" a="1"/>
  <c r="J206" i="25" s="1"/>
  <c r="M206" i="25" a="1"/>
  <c r="M206" i="25" s="1"/>
  <c r="F206" i="25" a="1"/>
  <c r="F206" i="25" s="1"/>
  <c r="F244" i="25" s="1"/>
  <c r="F245" i="25" s="1"/>
  <c r="F252" i="25" s="1"/>
  <c r="F268" i="25" s="1"/>
  <c r="F270" i="25" s="1"/>
  <c r="D206" i="25" a="1"/>
  <c r="D206" i="25" s="1"/>
  <c r="L206" i="25" a="1"/>
  <c r="L206" i="25" s="1"/>
  <c r="M124" i="25" a="1"/>
  <c r="M124" i="25" s="1"/>
  <c r="M125" i="25" s="1"/>
  <c r="M132" i="25" s="1"/>
  <c r="M148" i="25" s="1"/>
  <c r="M150" i="25" s="1"/>
  <c r="G124" i="25" a="1"/>
  <c r="G124" i="25" s="1"/>
  <c r="G125" i="25" s="1"/>
  <c r="G132" i="25" s="1"/>
  <c r="G148" i="25" s="1"/>
  <c r="G150" i="25" s="1"/>
  <c r="I124" i="25" a="1"/>
  <c r="I124" i="25" s="1"/>
  <c r="I125" i="25" s="1"/>
  <c r="I132" i="25" s="1"/>
  <c r="I148" i="25" s="1"/>
  <c r="I150" i="25" s="1"/>
  <c r="D124" i="25" a="1"/>
  <c r="D124" i="25" s="1"/>
  <c r="D125" i="25" s="1"/>
  <c r="D132" i="25" s="1"/>
  <c r="D148" i="25" s="1"/>
  <c r="C124" i="25" a="1"/>
  <c r="C124" i="25" s="1"/>
  <c r="C125" i="25" s="1"/>
  <c r="C132" i="25" s="1"/>
  <c r="C148" i="25" s="1"/>
  <c r="C152" i="25" s="1"/>
  <c r="H124" i="25" a="1"/>
  <c r="H124" i="25" s="1"/>
  <c r="H125" i="25" s="1"/>
  <c r="H132" i="25" s="1"/>
  <c r="H148" i="25" s="1"/>
  <c r="H150" i="25" s="1"/>
  <c r="J124" i="25" a="1"/>
  <c r="J124" i="25" s="1"/>
  <c r="J125" i="25" s="1"/>
  <c r="J132" i="25" s="1"/>
  <c r="J148" i="25" s="1"/>
  <c r="J150" i="25" s="1"/>
  <c r="K124" i="25" a="1"/>
  <c r="K124" i="25" s="1"/>
  <c r="K125" i="25" s="1"/>
  <c r="K132" i="25" s="1"/>
  <c r="K148" i="25" s="1"/>
  <c r="K150" i="25" s="1"/>
  <c r="E124" i="25" a="1"/>
  <c r="E124" i="25" s="1"/>
  <c r="E125" i="25" s="1"/>
  <c r="E132" i="25" s="1"/>
  <c r="E148" i="25" s="1"/>
  <c r="E150" i="25" s="1"/>
  <c r="C596" i="25" a="1"/>
  <c r="C596" i="25" s="1"/>
  <c r="E596" i="25" a="1"/>
  <c r="E596" i="25" s="1"/>
  <c r="H596" i="25" a="1"/>
  <c r="H596" i="25" s="1"/>
  <c r="J596" i="25" a="1"/>
  <c r="J596" i="25" s="1"/>
  <c r="I596" i="25" a="1"/>
  <c r="I596" i="25" s="1"/>
  <c r="F596" i="25" a="1"/>
  <c r="F596" i="25" s="1"/>
  <c r="G596" i="25" a="1"/>
  <c r="G596" i="25" s="1"/>
  <c r="X466" i="16"/>
  <c r="X793" i="16" s="1"/>
  <c r="X790" i="16" s="1"/>
  <c r="F125" i="25"/>
  <c r="F132" i="25" s="1"/>
  <c r="F148" i="25" s="1"/>
  <c r="F150" i="25" s="1"/>
  <c r="P133" i="25"/>
  <c r="P140" i="25" s="1"/>
  <c r="P215" i="25"/>
  <c r="P222" i="25" s="1"/>
  <c r="O133" i="25"/>
  <c r="O140" i="25" s="1"/>
  <c r="O144" i="25" s="1"/>
  <c r="O215" i="25"/>
  <c r="O222" i="25" s="1"/>
  <c r="O226" i="25" s="1"/>
  <c r="M95" i="10"/>
  <c r="M132" i="10"/>
  <c r="N94" i="10"/>
  <c r="N137" i="10" s="1"/>
  <c r="N136" i="10"/>
  <c r="N150" i="10"/>
  <c r="O81" i="10"/>
  <c r="O76" i="10" s="1"/>
  <c r="O121" i="10"/>
  <c r="O123" i="10" s="1"/>
  <c r="N65" i="10"/>
  <c r="N124" i="10"/>
  <c r="N125" i="10"/>
  <c r="U222" i="10"/>
  <c r="V79" i="22"/>
  <c r="U78" i="10"/>
  <c r="O138" i="10"/>
  <c r="O131" i="10"/>
  <c r="X122" i="18"/>
  <c r="X375" i="10" s="1"/>
  <c r="X433" i="10" s="1"/>
  <c r="W389" i="10"/>
  <c r="X100" i="18"/>
  <c r="W375" i="10"/>
  <c r="W125" i="18"/>
  <c r="W126" i="18" s="1"/>
  <c r="W226" i="10"/>
  <c r="W248" i="10"/>
  <c r="X248" i="10"/>
  <c r="W198" i="10"/>
  <c r="W197" i="10" s="1"/>
  <c r="W191" i="10" s="1"/>
  <c r="W345" i="10"/>
  <c r="W342" i="10" s="1"/>
  <c r="W341" i="10" s="1"/>
  <c r="W335" i="10" s="1"/>
  <c r="N408" i="10"/>
  <c r="M358" i="10"/>
  <c r="M357" i="10" s="1"/>
  <c r="M353" i="10" s="1"/>
  <c r="N266" i="10"/>
  <c r="M214" i="10"/>
  <c r="L240" i="10"/>
  <c r="L276" i="10"/>
  <c r="L239" i="10"/>
  <c r="N83" i="22"/>
  <c r="N85" i="22" s="1"/>
  <c r="N224" i="10" s="1"/>
  <c r="M220" i="10"/>
  <c r="M436" i="10"/>
  <c r="M422" i="10"/>
  <c r="M381" i="10"/>
  <c r="X389" i="10"/>
  <c r="P144" i="25" l="1"/>
  <c r="P226" i="25"/>
  <c r="D152" i="25"/>
  <c r="L152" i="25"/>
  <c r="E152" i="25"/>
  <c r="M152" i="25"/>
  <c r="N152" i="25"/>
  <c r="F152" i="25"/>
  <c r="K152" i="25"/>
  <c r="G152" i="25"/>
  <c r="H152" i="25"/>
  <c r="I152" i="25"/>
  <c r="J152" i="25"/>
  <c r="P263" i="25"/>
  <c r="O244" i="25"/>
  <c r="O245" i="25" s="1"/>
  <c r="O252" i="25" s="1"/>
  <c r="O268" i="25" s="1"/>
  <c r="O270" i="25" s="1"/>
  <c r="D244" i="25"/>
  <c r="D245" i="25" s="1"/>
  <c r="D252" i="25" s="1"/>
  <c r="D268" i="25" s="1"/>
  <c r="D270" i="25" s="1"/>
  <c r="P244" i="25"/>
  <c r="P245" i="25" s="1"/>
  <c r="P252" i="25" s="1"/>
  <c r="P268" i="25" s="1"/>
  <c r="P270" i="25" s="1"/>
  <c r="G244" i="25"/>
  <c r="G245" i="25" s="1"/>
  <c r="G252" i="25" s="1"/>
  <c r="G268" i="25" s="1"/>
  <c r="G270" i="25" s="1"/>
  <c r="L244" i="25"/>
  <c r="L245" i="25" s="1"/>
  <c r="L252" i="25" s="1"/>
  <c r="L268" i="25" s="1"/>
  <c r="L270" i="25" s="1"/>
  <c r="C244" i="25"/>
  <c r="C245" i="25" s="1"/>
  <c r="C252" i="25" s="1"/>
  <c r="C268" i="25" s="1"/>
  <c r="C272" i="25" s="1"/>
  <c r="E244" i="25"/>
  <c r="E245" i="25" s="1"/>
  <c r="E252" i="25" s="1"/>
  <c r="E268" i="25" s="1"/>
  <c r="M244" i="25"/>
  <c r="M245" i="25" s="1"/>
  <c r="M252" i="25" s="1"/>
  <c r="M268" i="25" s="1"/>
  <c r="M270" i="25" s="1"/>
  <c r="J244" i="25"/>
  <c r="J245" i="25" s="1"/>
  <c r="J252" i="25" s="1"/>
  <c r="J268" i="25" s="1"/>
  <c r="J270" i="25" s="1"/>
  <c r="I244" i="25"/>
  <c r="I245" i="25" s="1"/>
  <c r="I252" i="25" s="1"/>
  <c r="I268" i="25" s="1"/>
  <c r="I270" i="25" s="1"/>
  <c r="N244" i="25"/>
  <c r="N245" i="25" s="1"/>
  <c r="N252" i="25" s="1"/>
  <c r="N268" i="25" s="1"/>
  <c r="N270" i="25" s="1"/>
  <c r="K244" i="25"/>
  <c r="K245" i="25" s="1"/>
  <c r="K252" i="25" s="1"/>
  <c r="K268" i="25" s="1"/>
  <c r="K270" i="25" s="1"/>
  <c r="H244" i="25"/>
  <c r="H245" i="25" s="1"/>
  <c r="H252" i="25" s="1"/>
  <c r="H268" i="25" s="1"/>
  <c r="H270" i="25" s="1"/>
  <c r="H223" i="25"/>
  <c r="H141" i="25"/>
  <c r="P148" i="25"/>
  <c r="P150" i="25" s="1"/>
  <c r="O148" i="25"/>
  <c r="O150" i="25" s="1"/>
  <c r="O142" i="25"/>
  <c r="O143" i="25" s="1"/>
  <c r="P142" i="25"/>
  <c r="C150" i="25"/>
  <c r="C151" i="25" s="1"/>
  <c r="C149" i="25"/>
  <c r="P224" i="25"/>
  <c r="O224" i="25"/>
  <c r="O225" i="25" s="1"/>
  <c r="F207" i="25"/>
  <c r="F214" i="25" s="1"/>
  <c r="F230" i="25" s="1"/>
  <c r="F232" i="25" s="1"/>
  <c r="E207" i="25"/>
  <c r="E214" i="25" s="1"/>
  <c r="E230" i="25" s="1"/>
  <c r="E232" i="25" s="1"/>
  <c r="M207" i="25"/>
  <c r="M214" i="25" s="1"/>
  <c r="M230" i="25" s="1"/>
  <c r="M232" i="25" s="1"/>
  <c r="J207" i="25"/>
  <c r="J214" i="25" s="1"/>
  <c r="J230" i="25" s="1"/>
  <c r="J232" i="25" s="1"/>
  <c r="I207" i="25"/>
  <c r="I214" i="25" s="1"/>
  <c r="I230" i="25" s="1"/>
  <c r="I232" i="25" s="1"/>
  <c r="N207" i="25"/>
  <c r="N214" i="25" s="1"/>
  <c r="N230" i="25" s="1"/>
  <c r="N232" i="25" s="1"/>
  <c r="D207" i="25"/>
  <c r="D214" i="25" s="1"/>
  <c r="D230" i="25" s="1"/>
  <c r="D232" i="25" s="1"/>
  <c r="K207" i="25"/>
  <c r="K214" i="25" s="1"/>
  <c r="K230" i="25" s="1"/>
  <c r="K232" i="25" s="1"/>
  <c r="O207" i="25"/>
  <c r="O214" i="25" s="1"/>
  <c r="O230" i="25" s="1"/>
  <c r="O232" i="25" s="1"/>
  <c r="G207" i="25"/>
  <c r="G214" i="25" s="1"/>
  <c r="G230" i="25" s="1"/>
  <c r="G232" i="25" s="1"/>
  <c r="L207" i="25"/>
  <c r="L214" i="25" s="1"/>
  <c r="L230" i="25" s="1"/>
  <c r="L232" i="25" s="1"/>
  <c r="H207" i="25"/>
  <c r="H214" i="25" s="1"/>
  <c r="H230" i="25" s="1"/>
  <c r="H232" i="25" s="1"/>
  <c r="P207" i="25"/>
  <c r="P214" i="25" s="1"/>
  <c r="P230" i="25" s="1"/>
  <c r="P232" i="25" s="1"/>
  <c r="C207" i="25"/>
  <c r="C214" i="25" s="1"/>
  <c r="C230" i="25" s="1"/>
  <c r="C234" i="25" s="1"/>
  <c r="X201" i="10"/>
  <c r="X345" i="10" s="1"/>
  <c r="X342" i="10" s="1"/>
  <c r="X341" i="10" s="1"/>
  <c r="X335" i="10" s="1"/>
  <c r="D150" i="25"/>
  <c r="P21" i="22"/>
  <c r="P23" i="22" s="1"/>
  <c r="P80" i="10" s="1"/>
  <c r="N135" i="10"/>
  <c r="P122" i="10"/>
  <c r="O70" i="10"/>
  <c r="N73" i="10"/>
  <c r="N141" i="10"/>
  <c r="N142" i="10"/>
  <c r="V222" i="10"/>
  <c r="W79" i="22"/>
  <c r="V78" i="10"/>
  <c r="O136" i="10"/>
  <c r="O94" i="10"/>
  <c r="O135" i="10" s="1"/>
  <c r="X374" i="10"/>
  <c r="X369" i="10" s="1"/>
  <c r="X125" i="18"/>
  <c r="X126" i="18" s="1"/>
  <c r="W374" i="10"/>
  <c r="W433" i="10"/>
  <c r="O150" i="10"/>
  <c r="M411" i="10"/>
  <c r="M410" i="10"/>
  <c r="M213" i="10"/>
  <c r="N89" i="22"/>
  <c r="N91" i="22" s="1"/>
  <c r="N232" i="11" s="1"/>
  <c r="N237" i="11" s="1"/>
  <c r="N248" i="11" s="1"/>
  <c r="N178" i="10" s="1"/>
  <c r="M421" i="10"/>
  <c r="M423" i="10"/>
  <c r="M361" i="10"/>
  <c r="M428" i="10"/>
  <c r="M427" i="10"/>
  <c r="M238" i="10"/>
  <c r="M294" i="10"/>
  <c r="M280" i="10"/>
  <c r="O272" i="25" l="1"/>
  <c r="P272" i="25"/>
  <c r="O234" i="25"/>
  <c r="P234" i="25"/>
  <c r="P152" i="25"/>
  <c r="O152" i="25"/>
  <c r="E234" i="25"/>
  <c r="M234" i="25"/>
  <c r="F234" i="25"/>
  <c r="N234" i="25"/>
  <c r="H234" i="25"/>
  <c r="I234" i="25"/>
  <c r="D234" i="25"/>
  <c r="G234" i="25"/>
  <c r="J234" i="25"/>
  <c r="K234" i="25"/>
  <c r="L234" i="25"/>
  <c r="D272" i="25"/>
  <c r="E272" i="25"/>
  <c r="M272" i="25"/>
  <c r="F272" i="25"/>
  <c r="N272" i="25"/>
  <c r="G272" i="25"/>
  <c r="H272" i="25"/>
  <c r="I272" i="25"/>
  <c r="J272" i="25"/>
  <c r="K272" i="25"/>
  <c r="L272" i="25"/>
  <c r="C270" i="25"/>
  <c r="C271" i="25" s="1"/>
  <c r="D271" i="25" s="1"/>
  <c r="C269" i="25"/>
  <c r="D269" i="25" s="1"/>
  <c r="E270" i="25"/>
  <c r="I223" i="25"/>
  <c r="I141" i="25"/>
  <c r="P143" i="25"/>
  <c r="D149" i="25"/>
  <c r="P225" i="25"/>
  <c r="D151" i="25"/>
  <c r="E151" i="25" s="1"/>
  <c r="F151" i="25" s="1"/>
  <c r="G151" i="25" s="1"/>
  <c r="H151" i="25" s="1"/>
  <c r="I151" i="25" s="1"/>
  <c r="J151" i="25" s="1"/>
  <c r="K151" i="25" s="1"/>
  <c r="L151" i="25" s="1"/>
  <c r="M151" i="25" s="1"/>
  <c r="N151" i="25" s="1"/>
  <c r="O151" i="25" s="1"/>
  <c r="P151" i="25" s="1"/>
  <c r="C232" i="25"/>
  <c r="C233" i="25" s="1"/>
  <c r="D233" i="25" s="1"/>
  <c r="E233" i="25" s="1"/>
  <c r="F233" i="25" s="1"/>
  <c r="G233" i="25" s="1"/>
  <c r="H233" i="25" s="1"/>
  <c r="I233" i="25" s="1"/>
  <c r="J233" i="25" s="1"/>
  <c r="K233" i="25" s="1"/>
  <c r="L233" i="25" s="1"/>
  <c r="M233" i="25" s="1"/>
  <c r="N233" i="25" s="1"/>
  <c r="O233" i="25" s="1"/>
  <c r="P233" i="25" s="1"/>
  <c r="C231" i="25"/>
  <c r="X198" i="10"/>
  <c r="X197" i="10" s="1"/>
  <c r="X191" i="10" s="1"/>
  <c r="W222" i="10"/>
  <c r="X79" i="22"/>
  <c r="W78" i="10"/>
  <c r="N96" i="10"/>
  <c r="N132" i="10"/>
  <c r="N95" i="10"/>
  <c r="P27" i="22"/>
  <c r="P29" i="22" s="1"/>
  <c r="P105" i="11" s="1"/>
  <c r="P110" i="11" s="1"/>
  <c r="P121" i="11" s="1"/>
  <c r="P34" i="10" s="1"/>
  <c r="P37" i="10" s="1"/>
  <c r="P39" i="10" s="1"/>
  <c r="P40" i="10" s="1"/>
  <c r="P42" i="10" s="1"/>
  <c r="P100" i="10" s="1"/>
  <c r="P99" i="10" s="1"/>
  <c r="P77" i="22"/>
  <c r="O69" i="10"/>
  <c r="W369" i="10"/>
  <c r="W391" i="10"/>
  <c r="X391" i="10"/>
  <c r="O137" i="10"/>
  <c r="M382" i="10"/>
  <c r="M383" i="10"/>
  <c r="M418" i="10"/>
  <c r="N322" i="10"/>
  <c r="N325" i="10" s="1"/>
  <c r="N327" i="10" s="1"/>
  <c r="N328" i="10" s="1"/>
  <c r="N330" i="10" s="1"/>
  <c r="N181" i="10"/>
  <c r="N183" i="10" s="1"/>
  <c r="N184" i="10" s="1"/>
  <c r="N186" i="10" s="1"/>
  <c r="M281" i="10"/>
  <c r="M279" i="10"/>
  <c r="M268" i="10"/>
  <c r="M209" i="10"/>
  <c r="M269" i="10"/>
  <c r="E269" i="25" l="1"/>
  <c r="F269" i="25" s="1"/>
  <c r="G269" i="25" s="1"/>
  <c r="H269" i="25" s="1"/>
  <c r="I269" i="25" s="1"/>
  <c r="J269" i="25" s="1"/>
  <c r="K269" i="25" s="1"/>
  <c r="L269" i="25" s="1"/>
  <c r="M269" i="25" s="1"/>
  <c r="N269" i="25" s="1"/>
  <c r="O269" i="25" s="1"/>
  <c r="P269" i="25" s="1"/>
  <c r="E271" i="25"/>
  <c r="F271" i="25" s="1"/>
  <c r="G271" i="25" s="1"/>
  <c r="H271" i="25" s="1"/>
  <c r="I271" i="25" s="1"/>
  <c r="J271" i="25" s="1"/>
  <c r="K271" i="25" s="1"/>
  <c r="L271" i="25" s="1"/>
  <c r="M271" i="25" s="1"/>
  <c r="N271" i="25" s="1"/>
  <c r="O271" i="25" s="1"/>
  <c r="P271" i="25" s="1"/>
  <c r="J223" i="25"/>
  <c r="J141" i="25"/>
  <c r="E149" i="25"/>
  <c r="D231" i="25"/>
  <c r="P138" i="10"/>
  <c r="P81" i="10"/>
  <c r="P76" i="10" s="1"/>
  <c r="P94" i="10" s="1"/>
  <c r="P135" i="10" s="1"/>
  <c r="P131" i="10"/>
  <c r="P121" i="10"/>
  <c r="P123" i="10" s="1"/>
  <c r="X222" i="10"/>
  <c r="X78" i="10"/>
  <c r="O65" i="10"/>
  <c r="O124" i="10"/>
  <c r="O125" i="10"/>
  <c r="N368" i="10"/>
  <c r="N364" i="10" s="1"/>
  <c r="N417" i="10"/>
  <c r="N387" i="10"/>
  <c r="N386" i="10" s="1"/>
  <c r="N407" i="10" s="1"/>
  <c r="N409" i="10" s="1"/>
  <c r="N424" i="10"/>
  <c r="N491" i="10"/>
  <c r="O494" i="10" s="1"/>
  <c r="O367" i="10" s="1"/>
  <c r="N244" i="10"/>
  <c r="N243" i="10" s="1"/>
  <c r="N265" i="10" s="1"/>
  <c r="N267" i="10" s="1"/>
  <c r="N225" i="10"/>
  <c r="N282" i="10"/>
  <c r="N275" i="10"/>
  <c r="M286" i="10"/>
  <c r="M217" i="10"/>
  <c r="M285" i="10"/>
  <c r="K223" i="25" l="1"/>
  <c r="F149" i="25"/>
  <c r="K141" i="25"/>
  <c r="E231" i="25"/>
  <c r="Q21" i="22"/>
  <c r="Q23" i="22" s="1"/>
  <c r="Q80" i="10" s="1"/>
  <c r="P136" i="10"/>
  <c r="P150" i="10"/>
  <c r="Q122" i="10"/>
  <c r="P70" i="10"/>
  <c r="O73" i="10"/>
  <c r="O142" i="10"/>
  <c r="O141" i="10"/>
  <c r="P137" i="10"/>
  <c r="N381" i="10"/>
  <c r="N422" i="10"/>
  <c r="N436" i="10"/>
  <c r="N220" i="10"/>
  <c r="O83" i="22"/>
  <c r="O85" i="22" s="1"/>
  <c r="O224" i="10" s="1"/>
  <c r="O266" i="10"/>
  <c r="N214" i="10"/>
  <c r="M240" i="10"/>
  <c r="M276" i="10"/>
  <c r="M239" i="10"/>
  <c r="N358" i="10"/>
  <c r="N357" i="10" s="1"/>
  <c r="O408" i="10"/>
  <c r="F231" i="25" l="1"/>
  <c r="L223" i="25"/>
  <c r="G149" i="25"/>
  <c r="L141" i="25"/>
  <c r="O132" i="10"/>
  <c r="O95" i="10"/>
  <c r="O96" i="10"/>
  <c r="P69" i="10"/>
  <c r="Q77" i="22"/>
  <c r="Q27" i="22"/>
  <c r="Q29" i="22" s="1"/>
  <c r="Q105" i="11" s="1"/>
  <c r="Q110" i="11" s="1"/>
  <c r="Q121" i="11" s="1"/>
  <c r="Q34" i="10" s="1"/>
  <c r="Q37" i="10" s="1"/>
  <c r="Q39" i="10" s="1"/>
  <c r="Q40" i="10" s="1"/>
  <c r="Q42" i="10" s="1"/>
  <c r="Q100" i="10" s="1"/>
  <c r="Q99" i="10" s="1"/>
  <c r="N280" i="10"/>
  <c r="N294" i="10"/>
  <c r="N238" i="10"/>
  <c r="N421" i="10"/>
  <c r="N423" i="10"/>
  <c r="N213" i="10"/>
  <c r="O89" i="22"/>
  <c r="O91" i="22" s="1"/>
  <c r="O232" i="11" s="1"/>
  <c r="O237" i="11" s="1"/>
  <c r="O248" i="11" s="1"/>
  <c r="O178" i="10" s="1"/>
  <c r="N353" i="10"/>
  <c r="N411" i="10"/>
  <c r="N410" i="10"/>
  <c r="G231" i="25" l="1"/>
  <c r="M223" i="25"/>
  <c r="H149" i="25"/>
  <c r="M141" i="25"/>
  <c r="Q121" i="10"/>
  <c r="Q123" i="10" s="1"/>
  <c r="Q131" i="10"/>
  <c r="Q81" i="10"/>
  <c r="R21" i="22" s="1"/>
  <c r="R23" i="22" s="1"/>
  <c r="R80" i="10" s="1"/>
  <c r="P65" i="10"/>
  <c r="P124" i="10"/>
  <c r="P125" i="10"/>
  <c r="Q138" i="10"/>
  <c r="O181" i="10"/>
  <c r="O183" i="10" s="1"/>
  <c r="O184" i="10" s="1"/>
  <c r="O186" i="10" s="1"/>
  <c r="O322" i="10"/>
  <c r="O325" i="10" s="1"/>
  <c r="O327" i="10" s="1"/>
  <c r="O328" i="10" s="1"/>
  <c r="O330" i="10" s="1"/>
  <c r="N269" i="10"/>
  <c r="N268" i="10"/>
  <c r="N209" i="10"/>
  <c r="N279" i="10"/>
  <c r="N281" i="10"/>
  <c r="N427" i="10"/>
  <c r="N428" i="10"/>
  <c r="N361" i="10"/>
  <c r="H231" i="25" l="1"/>
  <c r="N223" i="25"/>
  <c r="I149" i="25"/>
  <c r="N141" i="25"/>
  <c r="R122" i="10"/>
  <c r="Q70" i="10"/>
  <c r="R27" i="22" s="1"/>
  <c r="R29" i="22" s="1"/>
  <c r="R105" i="11" s="1"/>
  <c r="R110" i="11" s="1"/>
  <c r="R121" i="11" s="1"/>
  <c r="R34" i="10" s="1"/>
  <c r="R37" i="10" s="1"/>
  <c r="R39" i="10" s="1"/>
  <c r="R40" i="10" s="1"/>
  <c r="R42" i="10" s="1"/>
  <c r="P73" i="10"/>
  <c r="P141" i="10"/>
  <c r="P142" i="10"/>
  <c r="Q76" i="10"/>
  <c r="Q150" i="10" s="1"/>
  <c r="N285" i="10"/>
  <c r="N217" i="10"/>
  <c r="N286" i="10"/>
  <c r="O275" i="10"/>
  <c r="O282" i="10"/>
  <c r="O244" i="10"/>
  <c r="O243" i="10" s="1"/>
  <c r="O265" i="10" s="1"/>
  <c r="O267" i="10" s="1"/>
  <c r="O225" i="10"/>
  <c r="N383" i="10"/>
  <c r="N418" i="10"/>
  <c r="N382" i="10"/>
  <c r="O424" i="10"/>
  <c r="O368" i="10"/>
  <c r="O364" i="10" s="1"/>
  <c r="O387" i="10"/>
  <c r="O386" i="10" s="1"/>
  <c r="O407" i="10" s="1"/>
  <c r="O409" i="10" s="1"/>
  <c r="O417" i="10"/>
  <c r="O491" i="10"/>
  <c r="P494" i="10" s="1"/>
  <c r="P367" i="10" s="1"/>
  <c r="I231" i="25" l="1"/>
  <c r="O223" i="25"/>
  <c r="J149" i="25"/>
  <c r="O141" i="25"/>
  <c r="R77" i="22"/>
  <c r="Q94" i="10"/>
  <c r="Q135" i="10" s="1"/>
  <c r="Q136" i="10"/>
  <c r="P96" i="10"/>
  <c r="P95" i="10"/>
  <c r="P132" i="10"/>
  <c r="Q69" i="10"/>
  <c r="Q65" i="10" s="1"/>
  <c r="Q73" i="10" s="1"/>
  <c r="R100" i="10"/>
  <c r="R99" i="10" s="1"/>
  <c r="R138" i="10"/>
  <c r="R81" i="10"/>
  <c r="R131" i="10"/>
  <c r="O220" i="10"/>
  <c r="P83" i="22"/>
  <c r="P85" i="22" s="1"/>
  <c r="P224" i="10" s="1"/>
  <c r="O358" i="10"/>
  <c r="O357" i="10" s="1"/>
  <c r="O353" i="10" s="1"/>
  <c r="P408" i="10"/>
  <c r="P266" i="10"/>
  <c r="O214" i="10"/>
  <c r="O422" i="10"/>
  <c r="O436" i="10"/>
  <c r="O381" i="10"/>
  <c r="O423" i="10" s="1"/>
  <c r="N240" i="10"/>
  <c r="N276" i="10"/>
  <c r="N239" i="10"/>
  <c r="J231" i="25" l="1"/>
  <c r="P223" i="25"/>
  <c r="K149" i="25"/>
  <c r="P141" i="25"/>
  <c r="Q124" i="10"/>
  <c r="Q137" i="10"/>
  <c r="Q141" i="10"/>
  <c r="R121" i="10"/>
  <c r="R123" i="10" s="1"/>
  <c r="Q142" i="10"/>
  <c r="Q125" i="10"/>
  <c r="S21" i="22"/>
  <c r="S23" i="22" s="1"/>
  <c r="S80" i="10" s="1"/>
  <c r="R76" i="10"/>
  <c r="R94" i="10" s="1"/>
  <c r="Q96" i="10"/>
  <c r="Q132" i="10"/>
  <c r="Q95" i="10"/>
  <c r="O421" i="10"/>
  <c r="P89" i="22"/>
  <c r="P91" i="22" s="1"/>
  <c r="P232" i="11" s="1"/>
  <c r="P237" i="11" s="1"/>
  <c r="P248" i="11" s="1"/>
  <c r="P178" i="10" s="1"/>
  <c r="O213" i="10"/>
  <c r="O427" i="10"/>
  <c r="O361" i="10"/>
  <c r="O428" i="10"/>
  <c r="O411" i="10"/>
  <c r="O238" i="10"/>
  <c r="O280" i="10"/>
  <c r="O294" i="10"/>
  <c r="O410" i="10"/>
  <c r="K231" i="25" l="1"/>
  <c r="L149" i="25"/>
  <c r="S122" i="10"/>
  <c r="R70" i="10"/>
  <c r="R69" i="10" s="1"/>
  <c r="R65" i="10" s="1"/>
  <c r="R73" i="10" s="1"/>
  <c r="R150" i="10"/>
  <c r="R135" i="10"/>
  <c r="R136" i="10"/>
  <c r="O281" i="10"/>
  <c r="O279" i="10"/>
  <c r="O418" i="10"/>
  <c r="O383" i="10"/>
  <c r="O382" i="10"/>
  <c r="O269" i="10"/>
  <c r="O209" i="10"/>
  <c r="O268" i="10"/>
  <c r="P181" i="10"/>
  <c r="P183" i="10" s="1"/>
  <c r="P184" i="10" s="1"/>
  <c r="P186" i="10" s="1"/>
  <c r="P322" i="10"/>
  <c r="P325" i="10" s="1"/>
  <c r="P327" i="10" s="1"/>
  <c r="P328" i="10" s="1"/>
  <c r="P330" i="10" s="1"/>
  <c r="L231" i="25" l="1"/>
  <c r="M149" i="25"/>
  <c r="S77" i="22"/>
  <c r="R124" i="10"/>
  <c r="S27" i="22"/>
  <c r="S29" i="22" s="1"/>
  <c r="S105" i="11" s="1"/>
  <c r="S110" i="11" s="1"/>
  <c r="S121" i="11" s="1"/>
  <c r="S34" i="10" s="1"/>
  <c r="S37" i="10" s="1"/>
  <c r="S39" i="10" s="1"/>
  <c r="S40" i="10" s="1"/>
  <c r="S42" i="10" s="1"/>
  <c r="S81" i="10" s="1"/>
  <c r="R125" i="10"/>
  <c r="R137" i="10"/>
  <c r="R142" i="10"/>
  <c r="R141" i="10"/>
  <c r="O285" i="10"/>
  <c r="O286" i="10"/>
  <c r="O217" i="10"/>
  <c r="P491" i="10"/>
  <c r="Q494" i="10" s="1"/>
  <c r="Q367" i="10" s="1"/>
  <c r="P417" i="10"/>
  <c r="P387" i="10"/>
  <c r="P386" i="10" s="1"/>
  <c r="P407" i="10" s="1"/>
  <c r="P409" i="10" s="1"/>
  <c r="P368" i="10"/>
  <c r="P364" i="10" s="1"/>
  <c r="P424" i="10"/>
  <c r="P244" i="10"/>
  <c r="P243" i="10" s="1"/>
  <c r="P265" i="10" s="1"/>
  <c r="P267" i="10" s="1"/>
  <c r="P275" i="10"/>
  <c r="P282" i="10"/>
  <c r="P225" i="10"/>
  <c r="M231" i="25" l="1"/>
  <c r="N149" i="25"/>
  <c r="S100" i="10"/>
  <c r="S99" i="10" s="1"/>
  <c r="S121" i="10" s="1"/>
  <c r="S123" i="10" s="1"/>
  <c r="S131" i="10"/>
  <c r="S138" i="10"/>
  <c r="T21" i="22"/>
  <c r="T23" i="22" s="1"/>
  <c r="T80" i="10" s="1"/>
  <c r="S76" i="10"/>
  <c r="R96" i="10"/>
  <c r="R132" i="10"/>
  <c r="R95" i="10"/>
  <c r="Q266" i="10"/>
  <c r="P214" i="10"/>
  <c r="P422" i="10"/>
  <c r="P436" i="10"/>
  <c r="P381" i="10"/>
  <c r="P423" i="10" s="1"/>
  <c r="O240" i="10"/>
  <c r="O276" i="10"/>
  <c r="O239" i="10"/>
  <c r="P358" i="10"/>
  <c r="P357" i="10" s="1"/>
  <c r="P353" i="10" s="1"/>
  <c r="Q408" i="10"/>
  <c r="Q83" i="22"/>
  <c r="Q85" i="22" s="1"/>
  <c r="Q224" i="10" s="1"/>
  <c r="P220" i="10"/>
  <c r="N231" i="25" l="1"/>
  <c r="O149" i="25"/>
  <c r="T122" i="10"/>
  <c r="S70" i="10"/>
  <c r="S69" i="10" s="1"/>
  <c r="S65" i="10" s="1"/>
  <c r="S73" i="10" s="1"/>
  <c r="S136" i="10"/>
  <c r="S94" i="10"/>
  <c r="S135" i="10" s="1"/>
  <c r="S150" i="10"/>
  <c r="P421" i="10"/>
  <c r="P411" i="10"/>
  <c r="P294" i="10"/>
  <c r="P280" i="10"/>
  <c r="P238" i="10"/>
  <c r="P281" i="10" s="1"/>
  <c r="P213" i="10"/>
  <c r="Q89" i="22"/>
  <c r="Q91" i="22" s="1"/>
  <c r="Q232" i="11" s="1"/>
  <c r="Q237" i="11" s="1"/>
  <c r="Q248" i="11" s="1"/>
  <c r="Q178" i="10" s="1"/>
  <c r="P428" i="10"/>
  <c r="P361" i="10"/>
  <c r="P427" i="10"/>
  <c r="P410" i="10"/>
  <c r="O231" i="25" l="1"/>
  <c r="P149" i="25"/>
  <c r="T27" i="22"/>
  <c r="T29" i="22" s="1"/>
  <c r="T105" i="11" s="1"/>
  <c r="T110" i="11" s="1"/>
  <c r="T121" i="11" s="1"/>
  <c r="T34" i="10" s="1"/>
  <c r="T37" i="10" s="1"/>
  <c r="T39" i="10" s="1"/>
  <c r="T40" i="10" s="1"/>
  <c r="T42" i="10" s="1"/>
  <c r="T100" i="10" s="1"/>
  <c r="T99" i="10" s="1"/>
  <c r="T121" i="10" s="1"/>
  <c r="T123" i="10" s="1"/>
  <c r="T77" i="22"/>
  <c r="S124" i="10"/>
  <c r="S125" i="10"/>
  <c r="S137" i="10"/>
  <c r="S142" i="10"/>
  <c r="S141" i="10"/>
  <c r="P418" i="10"/>
  <c r="P382" i="10"/>
  <c r="P383" i="10"/>
  <c r="P269" i="10"/>
  <c r="P268" i="10"/>
  <c r="P209" i="10"/>
  <c r="Q322" i="10"/>
  <c r="Q325" i="10" s="1"/>
  <c r="Q327" i="10" s="1"/>
  <c r="Q328" i="10" s="1"/>
  <c r="Q330" i="10" s="1"/>
  <c r="Q181" i="10"/>
  <c r="Q183" i="10" s="1"/>
  <c r="Q184" i="10" s="1"/>
  <c r="Q186" i="10" s="1"/>
  <c r="P279" i="10"/>
  <c r="P231" i="25" l="1"/>
  <c r="T81" i="10"/>
  <c r="T76" i="10" s="1"/>
  <c r="T94" i="10" s="1"/>
  <c r="T131" i="10"/>
  <c r="T138" i="10"/>
  <c r="T70" i="10"/>
  <c r="T69" i="10" s="1"/>
  <c r="T65" i="10" s="1"/>
  <c r="T73" i="10" s="1"/>
  <c r="U122" i="10"/>
  <c r="S96" i="10"/>
  <c r="S132" i="10"/>
  <c r="S95" i="10"/>
  <c r="Q282" i="10"/>
  <c r="Q225" i="10"/>
  <c r="Q244" i="10"/>
  <c r="Q243" i="10" s="1"/>
  <c r="Q265" i="10" s="1"/>
  <c r="Q267" i="10" s="1"/>
  <c r="Q275" i="10"/>
  <c r="Q368" i="10"/>
  <c r="Q364" i="10" s="1"/>
  <c r="Q387" i="10"/>
  <c r="Q386" i="10" s="1"/>
  <c r="Q407" i="10" s="1"/>
  <c r="Q409" i="10" s="1"/>
  <c r="Q417" i="10"/>
  <c r="Q424" i="10"/>
  <c r="Q491" i="10"/>
  <c r="R494" i="10" s="1"/>
  <c r="R367" i="10" s="1"/>
  <c r="P217" i="10"/>
  <c r="P286" i="10"/>
  <c r="P285" i="10"/>
  <c r="T135" i="10" l="1"/>
  <c r="T150" i="10"/>
  <c r="T136" i="10"/>
  <c r="U21" i="22"/>
  <c r="U23" i="22" s="1"/>
  <c r="U80" i="10" s="1"/>
  <c r="U27" i="22"/>
  <c r="U29" i="22" s="1"/>
  <c r="U105" i="11" s="1"/>
  <c r="U110" i="11" s="1"/>
  <c r="U121" i="11" s="1"/>
  <c r="U34" i="10" s="1"/>
  <c r="U37" i="10" s="1"/>
  <c r="U39" i="10" s="1"/>
  <c r="U40" i="10" s="1"/>
  <c r="U42" i="10" s="1"/>
  <c r="U77" i="22"/>
  <c r="T137" i="10"/>
  <c r="T124" i="10"/>
  <c r="T125" i="10"/>
  <c r="R408" i="10"/>
  <c r="Q358" i="10"/>
  <c r="Q357" i="10" s="1"/>
  <c r="Q353" i="10" s="1"/>
  <c r="Q214" i="10"/>
  <c r="R266" i="10"/>
  <c r="P240" i="10"/>
  <c r="P276" i="10"/>
  <c r="P239" i="10"/>
  <c r="R83" i="22"/>
  <c r="R85" i="22" s="1"/>
  <c r="R224" i="10" s="1"/>
  <c r="Q220" i="10"/>
  <c r="Q422" i="10"/>
  <c r="Q436" i="10"/>
  <c r="Q381" i="10"/>
  <c r="U100" i="10" l="1"/>
  <c r="U99" i="10" s="1"/>
  <c r="U81" i="10"/>
  <c r="U131" i="10"/>
  <c r="U138" i="10"/>
  <c r="T142" i="10"/>
  <c r="T141" i="10"/>
  <c r="Q410" i="10"/>
  <c r="Q213" i="10"/>
  <c r="R89" i="22"/>
  <c r="R91" i="22" s="1"/>
  <c r="R232" i="11" s="1"/>
  <c r="R237" i="11" s="1"/>
  <c r="R248" i="11" s="1"/>
  <c r="R178" i="10" s="1"/>
  <c r="Q421" i="10"/>
  <c r="Q423" i="10"/>
  <c r="Q411" i="10"/>
  <c r="Q294" i="10"/>
  <c r="Q238" i="10"/>
  <c r="Q281" i="10" s="1"/>
  <c r="Q280" i="10"/>
  <c r="Q428" i="10"/>
  <c r="Q427" i="10"/>
  <c r="Q361" i="10"/>
  <c r="U121" i="10" l="1"/>
  <c r="U123" i="10" s="1"/>
  <c r="V21" i="22"/>
  <c r="V23" i="22" s="1"/>
  <c r="V80" i="10" s="1"/>
  <c r="U76" i="10"/>
  <c r="T96" i="10"/>
  <c r="T132" i="10"/>
  <c r="T95" i="10"/>
  <c r="Q279" i="10"/>
  <c r="Q383" i="10"/>
  <c r="Q418" i="10"/>
  <c r="Q382" i="10"/>
  <c r="R181" i="10"/>
  <c r="R183" i="10" s="1"/>
  <c r="R184" i="10" s="1"/>
  <c r="R186" i="10" s="1"/>
  <c r="R322" i="10"/>
  <c r="R325" i="10" s="1"/>
  <c r="R327" i="10" s="1"/>
  <c r="R328" i="10" s="1"/>
  <c r="R330" i="10" s="1"/>
  <c r="Q268" i="10"/>
  <c r="Q269" i="10"/>
  <c r="Q209" i="10"/>
  <c r="U70" i="10" l="1"/>
  <c r="V122" i="10"/>
  <c r="U150" i="10"/>
  <c r="U94" i="10"/>
  <c r="U135" i="10" s="1"/>
  <c r="U136" i="10"/>
  <c r="Q217" i="10"/>
  <c r="Q285" i="10"/>
  <c r="Q286" i="10"/>
  <c r="R387" i="10"/>
  <c r="R386" i="10" s="1"/>
  <c r="R407" i="10" s="1"/>
  <c r="R409" i="10" s="1"/>
  <c r="R368" i="10"/>
  <c r="R364" i="10" s="1"/>
  <c r="R424" i="10"/>
  <c r="R491" i="10"/>
  <c r="S494" i="10" s="1"/>
  <c r="S367" i="10" s="1"/>
  <c r="R417" i="10"/>
  <c r="R275" i="10"/>
  <c r="R225" i="10"/>
  <c r="R282" i="10"/>
  <c r="R244" i="10"/>
  <c r="R243" i="10" s="1"/>
  <c r="R265" i="10" s="1"/>
  <c r="R267" i="10" s="1"/>
  <c r="V77" i="22" l="1"/>
  <c r="U69" i="10"/>
  <c r="V27" i="22"/>
  <c r="V29" i="22" s="1"/>
  <c r="V105" i="11" s="1"/>
  <c r="V110" i="11" s="1"/>
  <c r="V121" i="11" s="1"/>
  <c r="V34" i="10" s="1"/>
  <c r="V37" i="10" s="1"/>
  <c r="V39" i="10" s="1"/>
  <c r="V40" i="10" s="1"/>
  <c r="V42" i="10" s="1"/>
  <c r="V131" i="10" s="1"/>
  <c r="U137" i="10"/>
  <c r="R422" i="10"/>
  <c r="R381" i="10"/>
  <c r="R436" i="10"/>
  <c r="S408" i="10"/>
  <c r="R358" i="10"/>
  <c r="R357" i="10" s="1"/>
  <c r="R353" i="10" s="1"/>
  <c r="R214" i="10"/>
  <c r="S266" i="10"/>
  <c r="R220" i="10"/>
  <c r="S83" i="22"/>
  <c r="S85" i="22" s="1"/>
  <c r="S224" i="10" s="1"/>
  <c r="Q240" i="10"/>
  <c r="Q276" i="10"/>
  <c r="Q239" i="10"/>
  <c r="V100" i="10" l="1"/>
  <c r="V99" i="10" s="1"/>
  <c r="V121" i="10" s="1"/>
  <c r="V123" i="10" s="1"/>
  <c r="V138" i="10"/>
  <c r="V81" i="10"/>
  <c r="V76" i="10" s="1"/>
  <c r="U65" i="10"/>
  <c r="U124" i="10"/>
  <c r="U125" i="10"/>
  <c r="S89" i="22"/>
  <c r="S91" i="22" s="1"/>
  <c r="S232" i="11" s="1"/>
  <c r="S237" i="11" s="1"/>
  <c r="S248" i="11" s="1"/>
  <c r="S178" i="10" s="1"/>
  <c r="R213" i="10"/>
  <c r="R421" i="10"/>
  <c r="R423" i="10"/>
  <c r="R294" i="10"/>
  <c r="R238" i="10"/>
  <c r="R281" i="10" s="1"/>
  <c r="R280" i="10"/>
  <c r="R427" i="10"/>
  <c r="R428" i="10"/>
  <c r="R361" i="10"/>
  <c r="R382" i="10" s="1"/>
  <c r="R411" i="10"/>
  <c r="R410" i="10"/>
  <c r="W21" i="22" l="1"/>
  <c r="W23" i="22" s="1"/>
  <c r="W80" i="10" s="1"/>
  <c r="W122" i="10"/>
  <c r="V70" i="10"/>
  <c r="W27" i="22" s="1"/>
  <c r="W29" i="22" s="1"/>
  <c r="W105" i="11" s="1"/>
  <c r="W110" i="11" s="1"/>
  <c r="W121" i="11" s="1"/>
  <c r="W34" i="10" s="1"/>
  <c r="W37" i="10" s="1"/>
  <c r="W39" i="10" s="1"/>
  <c r="W40" i="10" s="1"/>
  <c r="W42" i="10" s="1"/>
  <c r="U73" i="10"/>
  <c r="U142" i="10"/>
  <c r="U141" i="10"/>
  <c r="V150" i="10"/>
  <c r="V94" i="10"/>
  <c r="V135" i="10" s="1"/>
  <c r="V136" i="10"/>
  <c r="R279" i="10"/>
  <c r="R383" i="10"/>
  <c r="R418" i="10"/>
  <c r="R268" i="10"/>
  <c r="R269" i="10"/>
  <c r="R209" i="10"/>
  <c r="S181" i="10"/>
  <c r="S183" i="10" s="1"/>
  <c r="S184" i="10" s="1"/>
  <c r="S186" i="10" s="1"/>
  <c r="S322" i="10"/>
  <c r="S325" i="10" s="1"/>
  <c r="S327" i="10" s="1"/>
  <c r="S328" i="10" s="1"/>
  <c r="S330" i="10" s="1"/>
  <c r="V69" i="10" l="1"/>
  <c r="V65" i="10" s="1"/>
  <c r="W77" i="22"/>
  <c r="U96" i="10"/>
  <c r="U132" i="10"/>
  <c r="U95" i="10"/>
  <c r="V137" i="10"/>
  <c r="W131" i="10"/>
  <c r="W138" i="10"/>
  <c r="W100" i="10"/>
  <c r="W99" i="10" s="1"/>
  <c r="W81" i="10"/>
  <c r="S282" i="10"/>
  <c r="S244" i="10"/>
  <c r="S243" i="10" s="1"/>
  <c r="S265" i="10" s="1"/>
  <c r="S267" i="10" s="1"/>
  <c r="S225" i="10"/>
  <c r="S275" i="10"/>
  <c r="S387" i="10"/>
  <c r="S386" i="10" s="1"/>
  <c r="S407" i="10" s="1"/>
  <c r="S409" i="10" s="1"/>
  <c r="S491" i="10"/>
  <c r="T494" i="10" s="1"/>
  <c r="T367" i="10" s="1"/>
  <c r="S424" i="10"/>
  <c r="S417" i="10"/>
  <c r="S368" i="10"/>
  <c r="S364" i="10" s="1"/>
  <c r="R217" i="10"/>
  <c r="R286" i="10"/>
  <c r="R285" i="10"/>
  <c r="V125" i="10" l="1"/>
  <c r="V124" i="10"/>
  <c r="W121" i="10"/>
  <c r="W123" i="10" s="1"/>
  <c r="X21" i="22"/>
  <c r="X23" i="22" s="1"/>
  <c r="X80" i="10" s="1"/>
  <c r="W76" i="10"/>
  <c r="V141" i="10"/>
  <c r="V73" i="10"/>
  <c r="V96" i="10" s="1"/>
  <c r="V142" i="10"/>
  <c r="S358" i="10"/>
  <c r="S357" i="10" s="1"/>
  <c r="S353" i="10" s="1"/>
  <c r="T408" i="10"/>
  <c r="T83" i="22"/>
  <c r="T85" i="22" s="1"/>
  <c r="T224" i="10" s="1"/>
  <c r="S220" i="10"/>
  <c r="R240" i="10"/>
  <c r="R276" i="10"/>
  <c r="R239" i="10"/>
  <c r="S214" i="10"/>
  <c r="T266" i="10"/>
  <c r="S436" i="10"/>
  <c r="S422" i="10"/>
  <c r="S381" i="10"/>
  <c r="X122" i="10" l="1"/>
  <c r="W70" i="10"/>
  <c r="W69" i="10" s="1"/>
  <c r="W65" i="10" s="1"/>
  <c r="W73" i="10" s="1"/>
  <c r="W150" i="10"/>
  <c r="W94" i="10"/>
  <c r="W137" i="10" s="1"/>
  <c r="V95" i="10"/>
  <c r="W136" i="10"/>
  <c r="V132" i="10"/>
  <c r="S410" i="10"/>
  <c r="S411" i="10"/>
  <c r="S421" i="10"/>
  <c r="S423" i="10"/>
  <c r="S280" i="10"/>
  <c r="S294" i="10"/>
  <c r="S238" i="10"/>
  <c r="S281" i="10" s="1"/>
  <c r="T89" i="22"/>
  <c r="T91" i="22" s="1"/>
  <c r="T232" i="11" s="1"/>
  <c r="T237" i="11" s="1"/>
  <c r="T248" i="11" s="1"/>
  <c r="T178" i="10" s="1"/>
  <c r="S213" i="10"/>
  <c r="S427" i="10"/>
  <c r="S428" i="10"/>
  <c r="S361" i="10"/>
  <c r="S382" i="10" s="1"/>
  <c r="X77" i="22" l="1"/>
  <c r="W125" i="10"/>
  <c r="W124" i="10"/>
  <c r="X27" i="22"/>
  <c r="X29" i="22" s="1"/>
  <c r="X105" i="11" s="1"/>
  <c r="X110" i="11" s="1"/>
  <c r="X121" i="11" s="1"/>
  <c r="X34" i="10" s="1"/>
  <c r="X37" i="10" s="1"/>
  <c r="X39" i="10" s="1"/>
  <c r="X40" i="10" s="1"/>
  <c r="X42" i="10" s="1"/>
  <c r="X131" i="10" s="1"/>
  <c r="W135" i="10"/>
  <c r="W141" i="10"/>
  <c r="W142" i="10"/>
  <c r="T322" i="10"/>
  <c r="T325" i="10" s="1"/>
  <c r="T327" i="10" s="1"/>
  <c r="T328" i="10" s="1"/>
  <c r="T330" i="10" s="1"/>
  <c r="T181" i="10"/>
  <c r="T183" i="10" s="1"/>
  <c r="T184" i="10" s="1"/>
  <c r="T186" i="10" s="1"/>
  <c r="S209" i="10"/>
  <c r="S269" i="10"/>
  <c r="S268" i="10"/>
  <c r="S279" i="10"/>
  <c r="S418" i="10"/>
  <c r="S383" i="10"/>
  <c r="X81" i="10" l="1"/>
  <c r="X76" i="10" s="1"/>
  <c r="X138" i="10"/>
  <c r="X100" i="10"/>
  <c r="X99" i="10" s="1"/>
  <c r="W96" i="10"/>
  <c r="W132" i="10"/>
  <c r="W95" i="10"/>
  <c r="S286" i="10"/>
  <c r="S217" i="10"/>
  <c r="S285" i="10"/>
  <c r="T225" i="10"/>
  <c r="T282" i="10"/>
  <c r="T275" i="10"/>
  <c r="T244" i="10"/>
  <c r="T243" i="10" s="1"/>
  <c r="T265" i="10" s="1"/>
  <c r="T267" i="10" s="1"/>
  <c r="T424" i="10"/>
  <c r="T387" i="10"/>
  <c r="T386" i="10" s="1"/>
  <c r="T407" i="10" s="1"/>
  <c r="T409" i="10" s="1"/>
  <c r="T491" i="10"/>
  <c r="U494" i="10" s="1"/>
  <c r="U367" i="10" s="1"/>
  <c r="T417" i="10"/>
  <c r="T368" i="10"/>
  <c r="T364" i="10" s="1"/>
  <c r="X121" i="10" l="1"/>
  <c r="X123" i="10" s="1"/>
  <c r="X136" i="10"/>
  <c r="X94" i="10"/>
  <c r="X135" i="10" s="1"/>
  <c r="X150" i="10"/>
  <c r="T214" i="10"/>
  <c r="U266" i="10"/>
  <c r="U83" i="22"/>
  <c r="U85" i="22" s="1"/>
  <c r="U224" i="10" s="1"/>
  <c r="T220" i="10"/>
  <c r="S240" i="10"/>
  <c r="S276" i="10"/>
  <c r="S239" i="10"/>
  <c r="T436" i="10"/>
  <c r="T422" i="10"/>
  <c r="T381" i="10"/>
  <c r="U408" i="10"/>
  <c r="T358" i="10"/>
  <c r="T357" i="10" s="1"/>
  <c r="X137" i="10" l="1"/>
  <c r="X70" i="10"/>
  <c r="X69" i="10" s="1"/>
  <c r="X65" i="10" s="1"/>
  <c r="T353" i="10"/>
  <c r="T411" i="10"/>
  <c r="T410" i="10"/>
  <c r="T238" i="10"/>
  <c r="T281" i="10" s="1"/>
  <c r="T280" i="10"/>
  <c r="T294" i="10"/>
  <c r="T423" i="10"/>
  <c r="T421" i="10"/>
  <c r="T213" i="10"/>
  <c r="U89" i="22"/>
  <c r="U91" i="22" s="1"/>
  <c r="U232" i="11" s="1"/>
  <c r="U237" i="11" s="1"/>
  <c r="U248" i="11" s="1"/>
  <c r="U178" i="10" s="1"/>
  <c r="X124" i="10" l="1"/>
  <c r="X125" i="10"/>
  <c r="X73" i="10"/>
  <c r="X141" i="10"/>
  <c r="X142" i="10"/>
  <c r="T279" i="10"/>
  <c r="U322" i="10"/>
  <c r="U325" i="10" s="1"/>
  <c r="U327" i="10" s="1"/>
  <c r="U328" i="10" s="1"/>
  <c r="U330" i="10" s="1"/>
  <c r="U181" i="10"/>
  <c r="U183" i="10" s="1"/>
  <c r="U184" i="10" s="1"/>
  <c r="U186" i="10" s="1"/>
  <c r="T209" i="10"/>
  <c r="T269" i="10"/>
  <c r="T268" i="10"/>
  <c r="T428" i="10"/>
  <c r="T361" i="10"/>
  <c r="T427" i="10"/>
  <c r="X132" i="10" l="1"/>
  <c r="X95" i="10"/>
  <c r="X96" i="10"/>
  <c r="T286" i="10"/>
  <c r="T285" i="10"/>
  <c r="T217" i="10"/>
  <c r="T382" i="10"/>
  <c r="T418" i="10"/>
  <c r="T383" i="10"/>
  <c r="U244" i="10"/>
  <c r="U243" i="10" s="1"/>
  <c r="U265" i="10" s="1"/>
  <c r="U267" i="10" s="1"/>
  <c r="U225" i="10"/>
  <c r="U275" i="10"/>
  <c r="U282" i="10"/>
  <c r="U387" i="10"/>
  <c r="U386" i="10" s="1"/>
  <c r="U407" i="10" s="1"/>
  <c r="U409" i="10" s="1"/>
  <c r="U368" i="10"/>
  <c r="U364" i="10" s="1"/>
  <c r="U424" i="10"/>
  <c r="U417" i="10"/>
  <c r="U491" i="10"/>
  <c r="V494" i="10" s="1"/>
  <c r="V367" i="10" s="1"/>
  <c r="V266" i="10" l="1"/>
  <c r="U214" i="10"/>
  <c r="V83" i="22"/>
  <c r="V85" i="22" s="1"/>
  <c r="V224" i="10" s="1"/>
  <c r="U220" i="10"/>
  <c r="U422" i="10"/>
  <c r="U381" i="10"/>
  <c r="U423" i="10" s="1"/>
  <c r="U436" i="10"/>
  <c r="U358" i="10"/>
  <c r="U357" i="10" s="1"/>
  <c r="V408" i="10"/>
  <c r="T240" i="10"/>
  <c r="T276" i="10"/>
  <c r="T239" i="10"/>
  <c r="U421" i="10" l="1"/>
  <c r="U238" i="10"/>
  <c r="U281" i="10" s="1"/>
  <c r="U294" i="10"/>
  <c r="U280" i="10"/>
  <c r="V89" i="22"/>
  <c r="V91" i="22" s="1"/>
  <c r="V232" i="11" s="1"/>
  <c r="V237" i="11" s="1"/>
  <c r="V248" i="11" s="1"/>
  <c r="V178" i="10" s="1"/>
  <c r="U213" i="10"/>
  <c r="U410" i="10"/>
  <c r="U411" i="10"/>
  <c r="U353" i="10"/>
  <c r="U279" i="10" l="1"/>
  <c r="U209" i="10"/>
  <c r="U268" i="10"/>
  <c r="U269" i="10"/>
  <c r="V322" i="10"/>
  <c r="V325" i="10" s="1"/>
  <c r="V327" i="10" s="1"/>
  <c r="V328" i="10" s="1"/>
  <c r="V330" i="10" s="1"/>
  <c r="V181" i="10"/>
  <c r="V183" i="10" s="1"/>
  <c r="V184" i="10" s="1"/>
  <c r="V186" i="10" s="1"/>
  <c r="U428" i="10"/>
  <c r="U361" i="10"/>
  <c r="U427" i="10"/>
  <c r="U383" i="10" l="1"/>
  <c r="U418" i="10"/>
  <c r="U382" i="10"/>
  <c r="V225" i="10"/>
  <c r="V244" i="10"/>
  <c r="V243" i="10" s="1"/>
  <c r="V265" i="10" s="1"/>
  <c r="V267" i="10" s="1"/>
  <c r="V275" i="10"/>
  <c r="V282" i="10"/>
  <c r="V417" i="10"/>
  <c r="V368" i="10"/>
  <c r="V364" i="10" s="1"/>
  <c r="V424" i="10"/>
  <c r="V387" i="10"/>
  <c r="V386" i="10" s="1"/>
  <c r="V407" i="10" s="1"/>
  <c r="V409" i="10" s="1"/>
  <c r="V491" i="10"/>
  <c r="W494" i="10" s="1"/>
  <c r="W367" i="10" s="1"/>
  <c r="U285" i="10"/>
  <c r="U286" i="10"/>
  <c r="U217" i="10"/>
  <c r="W266" i="10" l="1"/>
  <c r="V214" i="10"/>
  <c r="U239" i="10"/>
  <c r="U240" i="10"/>
  <c r="U276" i="10"/>
  <c r="V358" i="10"/>
  <c r="V357" i="10" s="1"/>
  <c r="W408" i="10"/>
  <c r="W83" i="22"/>
  <c r="W85" i="22" s="1"/>
  <c r="W224" i="10" s="1"/>
  <c r="V220" i="10"/>
  <c r="V381" i="10"/>
  <c r="V423" i="10" s="1"/>
  <c r="V436" i="10"/>
  <c r="V422" i="10"/>
  <c r="V421" i="10" l="1"/>
  <c r="V353" i="10"/>
  <c r="V411" i="10"/>
  <c r="V410" i="10"/>
  <c r="W89" i="22"/>
  <c r="W91" i="22" s="1"/>
  <c r="W232" i="11" s="1"/>
  <c r="W237" i="11" s="1"/>
  <c r="W248" i="11" s="1"/>
  <c r="W178" i="10" s="1"/>
  <c r="V213" i="10"/>
  <c r="V280" i="10"/>
  <c r="V238" i="10"/>
  <c r="V294" i="10"/>
  <c r="W181" i="10" l="1"/>
  <c r="W183" i="10" s="1"/>
  <c r="W184" i="10" s="1"/>
  <c r="W186" i="10" s="1"/>
  <c r="W322" i="10"/>
  <c r="W325" i="10" s="1"/>
  <c r="W327" i="10" s="1"/>
  <c r="W328" i="10" s="1"/>
  <c r="W330" i="10" s="1"/>
  <c r="V279" i="10"/>
  <c r="V281" i="10"/>
  <c r="V268" i="10"/>
  <c r="V269" i="10"/>
  <c r="V209" i="10"/>
  <c r="V427" i="10"/>
  <c r="V428" i="10"/>
  <c r="V361" i="10"/>
  <c r="V217" i="10" l="1"/>
  <c r="V286" i="10"/>
  <c r="V285" i="10"/>
  <c r="V382" i="10"/>
  <c r="V383" i="10"/>
  <c r="V418" i="10"/>
  <c r="W424" i="10"/>
  <c r="W417" i="10"/>
  <c r="W491" i="10"/>
  <c r="X494" i="10" s="1"/>
  <c r="X367" i="10" s="1"/>
  <c r="W387" i="10"/>
  <c r="W386" i="10" s="1"/>
  <c r="W407" i="10" s="1"/>
  <c r="W409" i="10" s="1"/>
  <c r="W368" i="10"/>
  <c r="W364" i="10" s="1"/>
  <c r="W225" i="10"/>
  <c r="W244" i="10"/>
  <c r="W243" i="10" s="1"/>
  <c r="W265" i="10" s="1"/>
  <c r="W267" i="10" s="1"/>
  <c r="W282" i="10"/>
  <c r="W275" i="10"/>
  <c r="W214" i="10" l="1"/>
  <c r="X266" i="10"/>
  <c r="X83" i="22"/>
  <c r="X85" i="22" s="1"/>
  <c r="X224" i="10" s="1"/>
  <c r="W220" i="10"/>
  <c r="W381" i="10"/>
  <c r="W436" i="10"/>
  <c r="W422" i="10"/>
  <c r="W358" i="10"/>
  <c r="W357" i="10" s="1"/>
  <c r="W353" i="10" s="1"/>
  <c r="X408" i="10"/>
  <c r="V276" i="10"/>
  <c r="V240" i="10"/>
  <c r="V239" i="10"/>
  <c r="W421" i="10" l="1"/>
  <c r="W423" i="10"/>
  <c r="W238" i="10"/>
  <c r="W281" i="10" s="1"/>
  <c r="W280" i="10"/>
  <c r="W294" i="10"/>
  <c r="W213" i="10"/>
  <c r="X89" i="22"/>
  <c r="X91" i="22" s="1"/>
  <c r="X232" i="11" s="1"/>
  <c r="X237" i="11" s="1"/>
  <c r="X248" i="11" s="1"/>
  <c r="X178" i="10" s="1"/>
  <c r="W427" i="10"/>
  <c r="W428" i="10"/>
  <c r="W361" i="10"/>
  <c r="W410" i="10"/>
  <c r="W411" i="10"/>
  <c r="W279" i="10" l="1"/>
  <c r="W268" i="10"/>
  <c r="W269" i="10"/>
  <c r="W209" i="10"/>
  <c r="X322" i="10"/>
  <c r="X325" i="10" s="1"/>
  <c r="X327" i="10" s="1"/>
  <c r="X328" i="10" s="1"/>
  <c r="X330" i="10" s="1"/>
  <c r="X181" i="10"/>
  <c r="X183" i="10" s="1"/>
  <c r="X184" i="10" s="1"/>
  <c r="X186" i="10" s="1"/>
  <c r="W383" i="10"/>
  <c r="W418" i="10"/>
  <c r="W382" i="10"/>
  <c r="X275" i="10" l="1"/>
  <c r="X225" i="10"/>
  <c r="X220" i="10" s="1"/>
  <c r="X282" i="10"/>
  <c r="X244" i="10"/>
  <c r="X243" i="10" s="1"/>
  <c r="X265" i="10" s="1"/>
  <c r="X267" i="10" s="1"/>
  <c r="X214" i="10" s="1"/>
  <c r="X213" i="10" s="1"/>
  <c r="X209" i="10" s="1"/>
  <c r="X217" i="10" s="1"/>
  <c r="X491" i="10"/>
  <c r="X368" i="10"/>
  <c r="X364" i="10" s="1"/>
  <c r="X387" i="10"/>
  <c r="X386" i="10" s="1"/>
  <c r="X407" i="10" s="1"/>
  <c r="X409" i="10" s="1"/>
  <c r="X358" i="10" s="1"/>
  <c r="X357" i="10" s="1"/>
  <c r="X353" i="10" s="1"/>
  <c r="X361" i="10" s="1"/>
  <c r="X418" i="10" s="1"/>
  <c r="X417" i="10"/>
  <c r="X424" i="10"/>
  <c r="W217" i="10"/>
  <c r="W285" i="10"/>
  <c r="W286" i="10"/>
  <c r="X269" i="10" l="1"/>
  <c r="X428" i="10"/>
  <c r="X427" i="10"/>
  <c r="X436" i="10"/>
  <c r="X422" i="10"/>
  <c r="X381" i="10"/>
  <c r="X383" i="10" s="1"/>
  <c r="W240" i="10"/>
  <c r="W276" i="10"/>
  <c r="W239" i="10"/>
  <c r="X280" i="10"/>
  <c r="X238" i="10"/>
  <c r="X239" i="10" s="1"/>
  <c r="X294" i="10"/>
  <c r="X268" i="10"/>
  <c r="X410" i="10"/>
  <c r="X286" i="10"/>
  <c r="X285" i="10"/>
  <c r="X411" i="10"/>
  <c r="X276" i="10"/>
  <c r="X421" i="10" l="1"/>
  <c r="X423" i="10"/>
  <c r="X382" i="10"/>
  <c r="X281" i="10"/>
  <c r="X279" i="10"/>
  <c r="X240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5" authorId="0" shapeId="0" xr:uid="{6871782C-449D-44F2-A10B-7DA5A3AF8457}">
      <text>
        <r>
          <rPr>
            <b/>
            <sz val="9"/>
            <color indexed="81"/>
            <rFont val="Tahoma"/>
            <family val="2"/>
            <charset val="238"/>
          </rPr>
          <t>Informacja:</t>
        </r>
        <r>
          <rPr>
            <sz val="9"/>
            <color indexed="81"/>
            <rFont val="Tahoma"/>
            <family val="2"/>
            <charset val="238"/>
          </rPr>
          <t xml:space="preserve">
- </t>
        </r>
        <r>
          <rPr>
            <i/>
            <sz val="9"/>
            <color indexed="81"/>
            <rFont val="Tahoma"/>
            <family val="2"/>
            <charset val="238"/>
          </rPr>
          <t>nowy</t>
        </r>
        <r>
          <rPr>
            <sz val="9"/>
            <color indexed="81"/>
            <rFont val="Tahoma"/>
            <family val="2"/>
            <charset val="238"/>
          </rPr>
          <t xml:space="preserve"> - zakup nowego środka trwałego lub WNiP
- </t>
        </r>
        <r>
          <rPr>
            <i/>
            <sz val="9"/>
            <color indexed="81"/>
            <rFont val="Tahoma"/>
            <family val="2"/>
            <charset val="238"/>
          </rPr>
          <t>przeniesiony</t>
        </r>
        <r>
          <rPr>
            <sz val="9"/>
            <color indexed="81"/>
            <rFont val="Tahoma"/>
            <family val="2"/>
            <charset val="238"/>
          </rPr>
          <t xml:space="preserve"> - przeniesienie do danej pozycji środków trwałych ze środków trwałych w budowie/zaliczek na WNiP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<sst xmlns="http://schemas.openxmlformats.org/spreadsheetml/2006/main" count="4135" uniqueCount="784">
  <si>
    <t>Dane Wnioskodawcy</t>
  </si>
  <si>
    <t>Pełna nazwa</t>
  </si>
  <si>
    <t>Ulica</t>
  </si>
  <si>
    <t>Miasto</t>
  </si>
  <si>
    <t>Adres e-mail</t>
  </si>
  <si>
    <t>Kod pocztowy</t>
  </si>
  <si>
    <t>Firma jest MŚP</t>
  </si>
  <si>
    <t>Województwo</t>
  </si>
  <si>
    <t>Tytuł projektu</t>
  </si>
  <si>
    <t>Data rozpoczęcia bieżącego roku obrotowego</t>
  </si>
  <si>
    <t>Data ostatniego sporządzonego sprawozdania finansowego</t>
  </si>
  <si>
    <t>Ostatni rok kwalifikowalności wydatków</t>
  </si>
  <si>
    <t>Maksymalny okres realizacji Projektu</t>
  </si>
  <si>
    <t>Okres realizacji Projektu (lata)</t>
  </si>
  <si>
    <t>Okres realizacji Projektu</t>
  </si>
  <si>
    <t>Obligatoryjny okres trwałości Projektu</t>
  </si>
  <si>
    <t>tj.</t>
  </si>
  <si>
    <t>Rok zakończenia trwałości finansowej</t>
  </si>
  <si>
    <t>Rok zakończenia projekcji finansowej</t>
  </si>
  <si>
    <t>Lata projekcji</t>
  </si>
  <si>
    <t>n-3</t>
  </si>
  <si>
    <t>n-2</t>
  </si>
  <si>
    <t>n-1</t>
  </si>
  <si>
    <t>n</t>
  </si>
  <si>
    <t>Liczba dni w okresie</t>
  </si>
  <si>
    <t>Liczba miesięcy</t>
  </si>
  <si>
    <t>Stopa dyskonta</t>
  </si>
  <si>
    <t>Współczynnik dyskonta</t>
  </si>
  <si>
    <t>Stopa podatku dochodowego</t>
  </si>
  <si>
    <t>ZUS jako % płac</t>
  </si>
  <si>
    <t>Kapitał pracujący (dla Projektu)</t>
  </si>
  <si>
    <t xml:space="preserve">  Rotacja należności</t>
  </si>
  <si>
    <t>dni</t>
  </si>
  <si>
    <t xml:space="preserve">  Rotacja zapasów</t>
  </si>
  <si>
    <t xml:space="preserve">  Rotacja zobowiązań</t>
  </si>
  <si>
    <t>Stawki amortyzacji</t>
  </si>
  <si>
    <t xml:space="preserve">  koszty zakończonych prac rozwojowych</t>
  </si>
  <si>
    <t>%</t>
  </si>
  <si>
    <t xml:space="preserve">  wartość firmy</t>
  </si>
  <si>
    <t xml:space="preserve">  inne wartości niematerialne i prawne</t>
  </si>
  <si>
    <t xml:space="preserve">  grunty (w tym prawo użytkowania wieczystego gruntu) </t>
  </si>
  <si>
    <t xml:space="preserve">  budynki i budowle </t>
  </si>
  <si>
    <t xml:space="preserve">  urządzenia techniczne i maszyny </t>
  </si>
  <si>
    <t xml:space="preserve">  środki transportu </t>
  </si>
  <si>
    <t xml:space="preserve">  inne środki trwałe </t>
  </si>
  <si>
    <t>Finansowanie</t>
  </si>
  <si>
    <t xml:space="preserve">  Koszt pożyczek od udziałowców</t>
  </si>
  <si>
    <t xml:space="preserve">  Koszt kredytów krótkoterminowych</t>
  </si>
  <si>
    <t xml:space="preserve">  Koszt kredytów długoterminowych</t>
  </si>
  <si>
    <t xml:space="preserve">  Przychody z tytułu oprocentowania środków pieniężnych</t>
  </si>
  <si>
    <t xml:space="preserve">  Przychody z tytułu oprocentowania depozytów</t>
  </si>
  <si>
    <t>Komentarz</t>
  </si>
  <si>
    <t>PrzedRealizacją</t>
  </si>
  <si>
    <t>pr2</t>
  </si>
  <si>
    <t>pr3</t>
  </si>
  <si>
    <t>pr4</t>
  </si>
  <si>
    <t>pr5</t>
  </si>
  <si>
    <t>pr6</t>
  </si>
  <si>
    <t>pr7</t>
  </si>
  <si>
    <t>pr8</t>
  </si>
  <si>
    <t>pr9</t>
  </si>
  <si>
    <t>Realizacja</t>
  </si>
  <si>
    <r>
      <t>r</t>
    </r>
    <r>
      <rPr>
        <vertAlign val="subscript"/>
        <sz val="9"/>
        <color indexed="8"/>
        <rFont val="Calibri"/>
        <family val="2"/>
        <charset val="238"/>
      </rPr>
      <t>1</t>
    </r>
  </si>
  <si>
    <t>r2</t>
  </si>
  <si>
    <t>r3</t>
  </si>
  <si>
    <t>r4</t>
  </si>
  <si>
    <t>r5</t>
  </si>
  <si>
    <t>r6</t>
  </si>
  <si>
    <t>r7</t>
  </si>
  <si>
    <t>r8</t>
  </si>
  <si>
    <t>r9</t>
  </si>
  <si>
    <t>Trwałość</t>
  </si>
  <si>
    <t>t1</t>
  </si>
  <si>
    <t>t2</t>
  </si>
  <si>
    <t>t3</t>
  </si>
  <si>
    <t>t4</t>
  </si>
  <si>
    <t>t5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</si>
  <si>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</si>
  <si>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</si>
  <si>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</si>
  <si>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</si>
  <si>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</si>
  <si>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</si>
  <si>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</si>
  <si>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</si>
  <si>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</si>
  <si>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</si>
  <si>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</si>
  <si>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MŚP</t>
  </si>
  <si>
    <t>czy rok realizacji nie jest wcześniejszy niż bieżący okres</t>
  </si>
  <si>
    <t>Okres realizacji projektu</t>
  </si>
  <si>
    <t>Start projektu</t>
  </si>
  <si>
    <t>Koniec projektu</t>
  </si>
  <si>
    <t>Nakłady inwestycyjne</t>
  </si>
  <si>
    <t xml:space="preserve"> koszty zakończonych prac rozwojowych</t>
  </si>
  <si>
    <t xml:space="preserve">  - kwalifikowalne</t>
  </si>
  <si>
    <t xml:space="preserve">  - niekwalifikowalne</t>
  </si>
  <si>
    <t xml:space="preserve"> inne wartości niematerialne i prawne</t>
  </si>
  <si>
    <t xml:space="preserve"> grunty</t>
  </si>
  <si>
    <t xml:space="preserve"> budynki i budowle</t>
  </si>
  <si>
    <t xml:space="preserve"> urządzenia techniczne i maszyny</t>
  </si>
  <si>
    <t xml:space="preserve"> środki transportu</t>
  </si>
  <si>
    <t xml:space="preserve"> inne środki trwałe</t>
  </si>
  <si>
    <t>B+R</t>
  </si>
  <si>
    <t>Przychody</t>
  </si>
  <si>
    <t>Koszty operacyjne</t>
  </si>
  <si>
    <t xml:space="preserve"> amortyzacja</t>
  </si>
  <si>
    <t xml:space="preserve"> zużycie materiałów i energii</t>
  </si>
  <si>
    <t xml:space="preserve"> usługi obce</t>
  </si>
  <si>
    <t xml:space="preserve"> wynagrodzenia</t>
  </si>
  <si>
    <t xml:space="preserve"> ubezpieczenia społeczne i inne świadczenia</t>
  </si>
  <si>
    <t xml:space="preserve"> pozostałe koszty rodzajowe</t>
  </si>
  <si>
    <t xml:space="preserve"> wartość sprzedanych towarów i materiałów</t>
  </si>
  <si>
    <t>Infrastruktura B+R</t>
  </si>
  <si>
    <t>Cyfryzacja</t>
  </si>
  <si>
    <t>Zazielenienie</t>
  </si>
  <si>
    <t>Kompetencje</t>
  </si>
  <si>
    <t>Internacjonalizacja</t>
  </si>
  <si>
    <t>tak</t>
  </si>
  <si>
    <t>nie</t>
  </si>
  <si>
    <t>Bilans (w tys. PLN)</t>
  </si>
  <si>
    <t>A. 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</si>
  <si>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</si>
  <si>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</si>
  <si>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</si>
  <si>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</si>
  <si>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</si>
  <si>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</si>
  <si>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</si>
  <si>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</si>
  <si>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</si>
  <si>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</si>
  <si>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</si>
  <si>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</si>
  <si>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</si>
  <si>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</si>
  <si>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</si>
  <si>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</si>
  <si>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</si>
  <si>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</si>
  <si>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</si>
  <si>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</si>
  <si>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</si>
  <si>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 xml:space="preserve"> a) w jednostkach powiązanych</t>
  </si>
  <si>
    <t xml:space="preserve">    - udziały lub akcje</t>
  </si>
  <si>
    <t xml:space="preserve">    - inne papiery wartościowe</t>
  </si>
  <si>
    <t xml:space="preserve">    - udzielone pożyczki</t>
  </si>
  <si>
    <t xml:space="preserve">    - inne długoterminowe aktywa finansowe</t>
  </si>
  <si>
    <t xml:space="preserve"> b) w pozostałych jednostkach</t>
  </si>
  <si>
    <t>4. Inne inwestycje długoterminowe</t>
  </si>
  <si>
    <t>V. Długoterminowe rozliczenia międzyokresowe</t>
  </si>
  <si>
    <t>1. Aktywa z tytułu odroczonego pod. dochodowego</t>
  </si>
  <si>
    <t>2. Inne rozliczenia międzyokresowe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</si>
  <si>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</si>
  <si>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</si>
  <si>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</si>
  <si>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</si>
  <si>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</si>
  <si>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</si>
  <si>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</si>
  <si>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</si>
  <si>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</si>
  <si>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 xml:space="preserve"> a) z tytułu dostaw i usług o okresie spłaty</t>
  </si>
  <si>
    <t xml:space="preserve">    - do 12 miesięcy</t>
  </si>
  <si>
    <t xml:space="preserve">    - powyżej 12 miesięcy</t>
  </si>
  <si>
    <t xml:space="preserve"> b) inne</t>
  </si>
  <si>
    <t>2. Należności od pozostałych jednostek</t>
  </si>
  <si>
    <t xml:space="preserve"> b) z tytułu podatków, dotacji, ceł, ubezp.społ i zdrowotnych oraz innych świadczeń</t>
  </si>
  <si>
    <t xml:space="preserve"> c) inne</t>
  </si>
  <si>
    <t xml:space="preserve"> d) dochodzone na drodze sądowej</t>
  </si>
  <si>
    <t>III. Inwestycje krótkoterminowe</t>
  </si>
  <si>
    <t>1. Krótkoterminowe aktywa finansowe</t>
  </si>
  <si>
    <t xml:space="preserve">    - inne krótkoterminowe aktywa finansowe</t>
  </si>
  <si>
    <t xml:space="preserve"> c) środki pieniężne i inne aktywa pieniężne</t>
  </si>
  <si>
    <t xml:space="preserve">    - środki pieniężne w kasie i na rachunkach</t>
  </si>
  <si>
    <t xml:space="preserve">    - inne środki pieniężne</t>
  </si>
  <si>
    <t xml:space="preserve">    - inne aktywa pieniężne</t>
  </si>
  <si>
    <t>2. Inne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</si>
  <si>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</si>
  <si>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</si>
  <si>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</si>
  <si>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</si>
  <si>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</si>
  <si>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</si>
  <si>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</si>
  <si>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</si>
  <si>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</si>
  <si>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</si>
  <si>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</si>
  <si>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</si>
  <si>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(wielkość ujemna)</t>
  </si>
  <si>
    <t>B. Zobowiązania i rezerwy na zobowiązania</t>
  </si>
  <si>
    <t>I. Rezerwy na zobowiązania</t>
  </si>
  <si>
    <t>1. Rezerwa z tytułu odroczonego pod. doch.</t>
  </si>
  <si>
    <t>2. Rezerwa na świadczenia emerytalne i podobne</t>
  </si>
  <si>
    <t xml:space="preserve">    - długoterminowa</t>
  </si>
  <si>
    <t xml:space="preserve">    - krótkoterminowa</t>
  </si>
  <si>
    <t>3. Pozostałe rezerwy</t>
  </si>
  <si>
    <t xml:space="preserve">    - długoterminowe</t>
  </si>
  <si>
    <t xml:space="preserve">    - krótkoterminowe</t>
  </si>
  <si>
    <t>II. Zobowiązania długoterminowe</t>
  </si>
  <si>
    <t>1. Wobec jednostek powiązanych</t>
  </si>
  <si>
    <t>2. Wobec pozostałych jednostek</t>
  </si>
  <si>
    <t xml:space="preserve"> a) kredyty i pożyczki</t>
  </si>
  <si>
    <t xml:space="preserve"> b) z tytułu emisji dłużnych papierów wart.</t>
  </si>
  <si>
    <t xml:space="preserve"> c) inne zobowiązania finansowe</t>
  </si>
  <si>
    <t xml:space="preserve"> d) inne</t>
  </si>
  <si>
    <t>III. Zobowiązania krótkoterminowe</t>
  </si>
  <si>
    <t xml:space="preserve"> a) z tytułu dostaw i usług o okresie wymagalności</t>
  </si>
  <si>
    <t xml:space="preserve"> d) z tytułu dostaw i usług o okresie wymagalności</t>
  </si>
  <si>
    <t xml:space="preserve"> e) zaliczki otrzymane na dostawy</t>
  </si>
  <si>
    <t xml:space="preserve"> f) zobowiązania wekslowe</t>
  </si>
  <si>
    <t xml:space="preserve"> g) z tytułu podatków, ceł, ubezp. i innych świadczeń</t>
  </si>
  <si>
    <t xml:space="preserve"> h) z tytułu wynagrodzeń</t>
  </si>
  <si>
    <t xml:space="preserve"> i) inne</t>
  </si>
  <si>
    <t>3. Fundusze specjalne</t>
  </si>
  <si>
    <t>IV. Rozliczenia międzyokresowe</t>
  </si>
  <si>
    <t>1. Ujemna wartość firmy</t>
  </si>
  <si>
    <t>Pasywa razem</t>
  </si>
  <si>
    <t>Rachunek zysków i strat (w tys. PLN)</t>
  </si>
  <si>
    <t>A. Przychody netto ze sprzedaży i zrównane z nimi, w tym</t>
  </si>
  <si>
    <t xml:space="preserve">    - od jednostek powiązanych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</si>
  <si>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</si>
  <si>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</si>
  <si>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</si>
  <si>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 i materiałów</t>
  </si>
  <si>
    <t>B. Koszty działalności operacyjnej</t>
  </si>
  <si>
    <t>I. Amortyzacja</t>
  </si>
  <si>
    <t>II. Zużycie materiałów i energii</t>
  </si>
  <si>
    <t>III. Usługi obce</t>
  </si>
  <si>
    <t>IV. Podatki i opłaty, w tym</t>
  </si>
  <si>
    <t xml:space="preserve">    - podatek akcyzowy</t>
  </si>
  <si>
    <t>V. Wynagrodzenia</t>
  </si>
  <si>
    <t>VI. Ubezpieczenia społeczne i inne świadczenia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</si>
  <si>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</si>
  <si>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</si>
  <si>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</si>
  <si>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</si>
  <si>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</si>
  <si>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</si>
  <si>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</si>
  <si>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</si>
  <si>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Strata ze zbycia niefinansowych aktywów trwałych</t>
  </si>
  <si>
    <t>II. Aktualizacja wartości aktywów niefinansowych</t>
  </si>
  <si>
    <t>III. Inne koszty operacyjne</t>
  </si>
  <si>
    <t>F. Zysk (strata) z działalności operacyjnej (C+D-E)</t>
  </si>
  <si>
    <t>G. Przychody finansowe</t>
  </si>
  <si>
    <t>I. Dywidendy i udziały w zyskach, w tym</t>
  </si>
  <si>
    <t>II. Odsetki, w tym</t>
  </si>
  <si>
    <t>III. Zysk ze zbycia inwestycji</t>
  </si>
  <si>
    <t>IV. Aktualizacja wartości inwestycji</t>
  </si>
  <si>
    <t>V. Inne</t>
  </si>
  <si>
    <t>H. Koszty finansowe</t>
  </si>
  <si>
    <t>I. Odsetki, w tym</t>
  </si>
  <si>
    <t>II. Strata ze zbycia inwestycji</t>
  </si>
  <si>
    <t>III. Aktualizacja wartości inwestycji</t>
  </si>
  <si>
    <t>IV. Inne</t>
  </si>
  <si>
    <t>I. Zysk (strata) z działalności gospodarczej (F+G-H)</t>
  </si>
  <si>
    <t>J. Wynik zdarzeń nadzwyczajnych (J.I. - J.II.)</t>
  </si>
  <si>
    <t>I. Zyski nadzwyczajne</t>
  </si>
  <si>
    <t>II. Straty nadzwyczajne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</si>
  <si>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</si>
  <si>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</si>
  <si>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</si>
  <si>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</si>
  <si>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Działalność dotychczasowa (bez Projektu)</t>
  </si>
  <si>
    <t>Przychody netto ze sprzedaży produktów     Nazwa / Ilość produktów</t>
  </si>
  <si>
    <t>Cena produktu</t>
  </si>
  <si>
    <t>Wartość sprzedaży produktów</t>
  </si>
  <si>
    <t>Razem Sprzedaż produktów</t>
  </si>
  <si>
    <t>Zmiana stanu produktów ([+] zwiększenie / [-] zmiejszenie)</t>
  </si>
  <si>
    <t>Razem Zmiana stanu produktów</t>
  </si>
  <si>
    <t>Koszt wytworzenia produktów na własne potrzeby jednostki</t>
  </si>
  <si>
    <t>Razem Koszt wytworzenia produktów na własne potrzeby jednostki</t>
  </si>
  <si>
    <t>Przychody ze sprzedaży towarów i materiałów    Nazwa / Ilość towaru</t>
  </si>
  <si>
    <t>Cena za towar</t>
  </si>
  <si>
    <t>Wartość sprzedaży towarów i materiałów</t>
  </si>
  <si>
    <t>Razem Sprzedaż towarów i materiałów</t>
  </si>
  <si>
    <t>Wartość sprzedanych towarów i materiałów (Koszty operacyjne) / Ilość towaru</t>
  </si>
  <si>
    <t>Wartość w cenie nabycia</t>
  </si>
  <si>
    <t>Razem Wartość sprzedanych towarów i materiałów</t>
  </si>
  <si>
    <t>Pozostałe przychody operacyjne</t>
  </si>
  <si>
    <t>Dotacje z lat poprzednich</t>
  </si>
  <si>
    <t>Razem Pozostałe przychody operacyjne</t>
  </si>
  <si>
    <t>Przychody finansowe</t>
  </si>
  <si>
    <t>Przychody z tytułu oprocentowania środków pieniężnych</t>
  </si>
  <si>
    <t>Przychody z tytułu oprocentowania depozytów bankowych</t>
  </si>
  <si>
    <t>Razem Przychody finansowe</t>
  </si>
  <si>
    <t>Podsumowanie</t>
  </si>
  <si>
    <t>Sprzedaż produktów</t>
  </si>
  <si>
    <t>Zmiana stanu produktów ([+] zwiększenie / [-] zmniejszenie)</t>
  </si>
  <si>
    <t>Sprzedaż towarów i materiałów</t>
  </si>
  <si>
    <t>Przychody netto ze sprzedaży</t>
  </si>
  <si>
    <t>Wartość sprzedanych towarów i materiałów (koszty operacyjne)</t>
  </si>
  <si>
    <t>Projekt</t>
  </si>
  <si>
    <t>Przychody netto ze sprzedaży produktów i usług (Projekt)   Nazwa / Ilość</t>
  </si>
  <si>
    <t>Moduł</t>
  </si>
  <si>
    <t>Razem Sprzedaż produktów (Projekt)</t>
  </si>
  <si>
    <t>Przychody ze sprzedaży towarów i materiałów (Projekt)  Nazwa / Ilość</t>
  </si>
  <si>
    <t>Razem Sprzedaż towarów i materiałów (Projekt)</t>
  </si>
  <si>
    <t>Wartość sprzedanych towarów i materiałów (Projekt, Koszty operacyjne)</t>
  </si>
  <si>
    <t>Razem Wartość sprzedanych towarów i materiałów (Projekt)</t>
  </si>
  <si>
    <t>Pozostałe przychody operacyjne (Projekt)</t>
  </si>
  <si>
    <t>Dotacje</t>
  </si>
  <si>
    <t>Razem Pozostałe przychody operacyjne (Projekt)</t>
  </si>
  <si>
    <t>Przychody finansowe (Projekt)</t>
  </si>
  <si>
    <t>Razem Przychody finansowe (Projekt)</t>
  </si>
  <si>
    <t>Podsumowanie (Projekt)</t>
  </si>
  <si>
    <t>Sprzedaż produktów i usług</t>
  </si>
  <si>
    <t>Komentarz:</t>
  </si>
  <si>
    <t>Zużycie materiałów i eneregii</t>
  </si>
  <si>
    <t>Razem Zużycie materiałów i energii</t>
  </si>
  <si>
    <t>Usługi obce</t>
  </si>
  <si>
    <t>Razem Usługi obce</t>
  </si>
  <si>
    <t>Podatki i opłaty</t>
  </si>
  <si>
    <t>Razem Podatki i opłaty</t>
  </si>
  <si>
    <t>Wynagrodzenia (brutto)</t>
  </si>
  <si>
    <t>Stanowisko / Grupa              Średnie miesięczne wynagrodzenie brutto</t>
  </si>
  <si>
    <t>Koszty rocznych wynagrodzeń na danym stanowisku / w danej grupie</t>
  </si>
  <si>
    <t>Razem Wynagrodzenia</t>
  </si>
  <si>
    <t>Ubezpieczenia społeczne i inne świadczenia</t>
  </si>
  <si>
    <t>Stanowisko / Grupa</t>
  </si>
  <si>
    <t>Razem Ubezpieczenia społeczne i inne świadczenia</t>
  </si>
  <si>
    <t>Pozostałe koszty rodzajowe</t>
  </si>
  <si>
    <t>Razem Pozostałe koszty</t>
  </si>
  <si>
    <t>Pozostałe koszty operacyjne</t>
  </si>
  <si>
    <t>Razem Pozostałe koszty operacyjne</t>
  </si>
  <si>
    <t>Koszty finansowe</t>
  </si>
  <si>
    <t>Koszty z tytułu oprocentowania kredytów i pożyczek</t>
  </si>
  <si>
    <t>Razem Koszty finansowe</t>
  </si>
  <si>
    <t>Koszty dotychczasowej działalności operacyjnej</t>
  </si>
  <si>
    <t>Amortyzacja</t>
  </si>
  <si>
    <t>Zużycie materiałów i energii</t>
  </si>
  <si>
    <t>Wynagrodzenia</t>
  </si>
  <si>
    <t>Wartość sprzedanych towarów i materiałów</t>
  </si>
  <si>
    <t>Razem</t>
  </si>
  <si>
    <t>Kwalifikowalne</t>
  </si>
  <si>
    <t>Koszty B+R</t>
  </si>
  <si>
    <t>Zużycie materiałów i eneregii (Projekt)</t>
  </si>
  <si>
    <t>Razem Zużycie materiałów i energii (Projekt)</t>
  </si>
  <si>
    <t>Poziom dofinansowania (w %)</t>
  </si>
  <si>
    <t>w przypadku gdy te koszty są finansowane z dotacji</t>
  </si>
  <si>
    <t>Usługi obce (Projekt)</t>
  </si>
  <si>
    <t>Razem Usługi obce (Projekt)</t>
  </si>
  <si>
    <t>Podatki i opłaty (Projekt)</t>
  </si>
  <si>
    <t>Razem Podatki i opłaty (Projekt)</t>
  </si>
  <si>
    <t>Wynagrodzenia (brutto) (Projekt)</t>
  </si>
  <si>
    <t>Stanowisko / Grupa         Średnie miesięczne wynagrodzenie brutto</t>
  </si>
  <si>
    <t>Liczba miesięcy zatrudnienia w danym roku na danym stanowisku</t>
  </si>
  <si>
    <r>
      <t>Poziom dofinansowania (w %) Kosztów wynagrodzeń 
(</t>
    </r>
    <r>
      <rPr>
        <b/>
        <u/>
        <sz val="9"/>
        <color rgb="FFFF0000"/>
        <rFont val="Calibri"/>
        <family val="2"/>
        <charset val="238"/>
        <scheme val="minor"/>
      </rPr>
      <t>w przypadku gdy wynagrodzenia są finansowane z dotacji</t>
    </r>
    <r>
      <rPr>
        <b/>
        <sz val="9"/>
        <color theme="1"/>
        <rFont val="Calibri"/>
        <family val="2"/>
        <charset val="238"/>
        <scheme val="minor"/>
      </rPr>
      <t>)</t>
    </r>
  </si>
  <si>
    <t>Razem Pozostałe koszty rodzajowe</t>
  </si>
  <si>
    <t>Koszty planowanej działalności operacyjnej (Projekt)</t>
  </si>
  <si>
    <t>Rozliczenie kosztów operacyjnych projektu do rozliczeń międzyokresowych</t>
  </si>
  <si>
    <t>Koszty B+R narastająco</t>
  </si>
  <si>
    <t>kolumna</t>
  </si>
  <si>
    <t>wiersz</t>
  </si>
  <si>
    <t>adres</t>
  </si>
  <si>
    <t>Rok rozpoczęcia projektu</t>
  </si>
  <si>
    <t>Rok zakończenia projektu</t>
  </si>
  <si>
    <t>Rozliczenia międzyokresowe B+R w danym roku</t>
  </si>
  <si>
    <t>Rozliczenia międzyokresowe B+R (aktywa)</t>
  </si>
  <si>
    <t>Zakończone prace rozwojowe przenoszone do WNiP</t>
  </si>
  <si>
    <t>Dotacja B+R narastająco</t>
  </si>
  <si>
    <t>Dotacja kosztów operacyjnych B+R w danym roku</t>
  </si>
  <si>
    <t>Rozliczenia międzyokresowe B+R narastająco (pasywa)</t>
  </si>
  <si>
    <r>
      <t xml:space="preserve">Dotacja </t>
    </r>
    <r>
      <rPr>
        <b/>
        <sz val="9"/>
        <color rgb="FFFF0000"/>
        <rFont val="Calibri"/>
        <family val="2"/>
        <charset val="238"/>
        <scheme val="minor"/>
      </rPr>
      <t>koszty operacyjne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</si>
  <si>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Dotacja kosztów operacyjnych nie będących B+R w danym roku (RZiS)</t>
  </si>
  <si>
    <r>
      <t xml:space="preserve">Rozliczenie </t>
    </r>
    <r>
      <rPr>
        <b/>
        <sz val="9"/>
        <color theme="9"/>
        <rFont val="Calibri"/>
        <family val="2"/>
        <charset val="238"/>
        <scheme val="minor"/>
      </rPr>
      <t xml:space="preserve">kwalifikowanych </t>
    </r>
    <r>
      <rPr>
        <b/>
        <sz val="9"/>
        <color theme="1"/>
        <rFont val="Calibri"/>
        <family val="2"/>
        <charset val="238"/>
        <scheme val="minor"/>
      </rPr>
      <t>kosztów operacyjnych projektu do npv</t>
    </r>
  </si>
  <si>
    <r>
      <rPr>
        <b/>
        <sz val="9"/>
        <color rgb="FFFF0000"/>
        <rFont val="Calibri"/>
        <family val="2"/>
        <charset val="238"/>
        <scheme val="minor"/>
      </rPr>
      <t>Koszty operacyjne KWALIFIKOWANE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</si>
  <si>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Koszty operacyjne KWALIFIKOWANE nie będące B+R w danym roku (RZiS)</t>
  </si>
  <si>
    <t>Koszty planowanej działalności operacyjnej</t>
  </si>
  <si>
    <t>Razem Koszty operacyjne ogółem (kwalifikowane i niekwalifikowane)</t>
  </si>
  <si>
    <t>Razem Koszty ogółem (kwalifikowane i niekwalifikowane)</t>
  </si>
  <si>
    <t>Koszty operacyjne kwalifikowane</t>
  </si>
  <si>
    <t>Razem Koszty operacyjne kwalifikowane</t>
  </si>
  <si>
    <t>Razem Koszty kwalifikowane</t>
  </si>
  <si>
    <t>Razem Koszty operacyjne B+R</t>
  </si>
  <si>
    <t>Razem Koszty kwalifikowane B+R</t>
  </si>
  <si>
    <t>Koszty operacyjne niekwalifikowane</t>
  </si>
  <si>
    <t>Razem Koszty operacyjne niekwalifikowane</t>
  </si>
  <si>
    <t>Razem Koszty niekwalifikowane</t>
  </si>
  <si>
    <t>koszty zakończonych prac rozwojowych</t>
  </si>
  <si>
    <t xml:space="preserve">     - wartość netto</t>
  </si>
  <si>
    <t xml:space="preserve">     - stopa amortyzacji</t>
  </si>
  <si>
    <t xml:space="preserve">     - amortyzacja</t>
  </si>
  <si>
    <t xml:space="preserve">     - umorzenie</t>
  </si>
  <si>
    <t xml:space="preserve">     - wartość księgowa netto</t>
  </si>
  <si>
    <t>wartość firmy</t>
  </si>
  <si>
    <t>inne wartości niematerialne i prawne</t>
  </si>
  <si>
    <t>grunty</t>
  </si>
  <si>
    <t xml:space="preserve">budynki i budowle </t>
  </si>
  <si>
    <t xml:space="preserve">urządzenia techniczne i maszyny </t>
  </si>
  <si>
    <t xml:space="preserve">środki transportu </t>
  </si>
  <si>
    <t xml:space="preserve">inne środki trwałe </t>
  </si>
  <si>
    <t>Wartość księgowa netto</t>
  </si>
  <si>
    <t>Wartości niematerialne i prawne</t>
  </si>
  <si>
    <t xml:space="preserve">   a) koszty zakończonych prac rozwojowych</t>
  </si>
  <si>
    <t xml:space="preserve">   b) wartość firmy</t>
  </si>
  <si>
    <t xml:space="preserve">   c) inne wartości niematerialne i prawne</t>
  </si>
  <si>
    <t>Środki trwałe</t>
  </si>
  <si>
    <t xml:space="preserve">   a) grunty</t>
  </si>
  <si>
    <t xml:space="preserve">   b) budynki i budowle </t>
  </si>
  <si>
    <t xml:space="preserve">   c) urządzenia techniczne i maszyny </t>
  </si>
  <si>
    <t xml:space="preserve">   d) środki transportu </t>
  </si>
  <si>
    <t xml:space="preserve">   e) inne środki trwałe </t>
  </si>
  <si>
    <t>Amortyzacja (Rachunek zysków i strat)</t>
  </si>
  <si>
    <t>wartość netto</t>
  </si>
  <si>
    <t>rok i miesiąc zakończenia</t>
  </si>
  <si>
    <t>dofinansowanie %</t>
  </si>
  <si>
    <t>dofinansowanie PLN</t>
  </si>
  <si>
    <t>A&amp;D1</t>
  </si>
  <si>
    <t>ile miesiący do końca roku</t>
  </si>
  <si>
    <t>niekwalifikowalne</t>
  </si>
  <si>
    <t>spr</t>
  </si>
  <si>
    <t>rok zakupu</t>
  </si>
  <si>
    <t>amortyzacja roczna</t>
  </si>
  <si>
    <t>umorzenie</t>
  </si>
  <si>
    <t>A&amp;D2</t>
  </si>
  <si>
    <t>A&amp;3</t>
  </si>
  <si>
    <t>A&amp;D4</t>
  </si>
  <si>
    <t>A&amp;D5</t>
  </si>
  <si>
    <t>rok i miesiąc zakupu</t>
  </si>
  <si>
    <t>Dofinansowanie amortzacji</t>
  </si>
  <si>
    <t>kontrolka</t>
  </si>
  <si>
    <r>
      <t xml:space="preserve">Poziom dofinansowania amortyzacji (w %), </t>
    </r>
    <r>
      <rPr>
        <b/>
        <i/>
        <sz val="9"/>
        <color rgb="FFFF0000"/>
        <rFont val="Calibri"/>
        <family val="2"/>
        <charset val="238"/>
        <scheme val="minor"/>
      </rPr>
      <t>tabelę należy wypełnić w przypadku wnioskowania o dotację do amortyzacji, tj. w przypadku gdy amortyzacja jest kosztem kwalifikowalnym</t>
    </r>
  </si>
  <si>
    <t>rok zakupu i miesiąc zakupu</t>
  </si>
  <si>
    <t>&lt;- am. Do końca roku</t>
  </si>
  <si>
    <t>dotacja amortyzacji --&gt;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</si>
  <si>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(prace budowlane &gt; 1 rok)</t>
    </r>
  </si>
  <si>
    <t>rok rozpoczęcia prac budowlanych</t>
  </si>
  <si>
    <t>rok i miesiąc zakończenia prac budowlanych</t>
  </si>
  <si>
    <t>razem środki trwałe w budowie</t>
  </si>
  <si>
    <t>OBLICZENIA DOTYCZĄCE ŚRODKÓW TRWAŁYCH W BUDOWIE</t>
  </si>
  <si>
    <t>środki trwałe w budowie (prace budowlane &gt; 1 rok)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</si>
  <si>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(urządzenia i maszyny &gt; 1 rok)</t>
    </r>
  </si>
  <si>
    <t xml:space="preserve"> 2) Środki trwałe w budowie</t>
  </si>
  <si>
    <t>Amortyzacja razem (Rachunek zysków i strat)</t>
  </si>
  <si>
    <t>Razem Nakłady inwestycyjne</t>
  </si>
  <si>
    <t>Nakłady inwestycyjne - narastająco</t>
  </si>
  <si>
    <t>Umorzenie</t>
  </si>
  <si>
    <t>Środki trwałe w budowie - rozliczenie w czasie do bilansu</t>
  </si>
  <si>
    <r>
      <t xml:space="preserve">Środki trwałe w budowie - NARASTAJĄCO </t>
    </r>
    <r>
      <rPr>
        <b/>
        <sz val="9"/>
        <color rgb="FFFF0000"/>
        <rFont val="Calibri"/>
        <family val="2"/>
        <charset val="238"/>
        <scheme val="minor"/>
      </rPr>
      <t>DO BILANSU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</si>
  <si>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</t>
    </r>
  </si>
  <si>
    <t>DOTACJA NARASTAJĄCO</t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</si>
  <si>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"ROZLICZENIE DOTACJI"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</si>
  <si>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"NPV"</t>
    </r>
  </si>
  <si>
    <t>Zestawienie amortyzacji do modułów</t>
  </si>
  <si>
    <t>Razem (do Pozostałych przychodów operacyjnych)</t>
  </si>
  <si>
    <t>Rozliczenia międzyokresowe bierne (pasywa)</t>
  </si>
  <si>
    <t>dotacja do amortyzacji</t>
  </si>
  <si>
    <t xml:space="preserve">     - dotacja w okresie (pozostałe przychody)</t>
  </si>
  <si>
    <t xml:space="preserve">     - dotacja narastająco</t>
  </si>
  <si>
    <t xml:space="preserve">     - dotacja do amortyzacji</t>
  </si>
  <si>
    <t xml:space="preserve">     - rozliczenia międzyokresowe bierne</t>
  </si>
  <si>
    <t>Koszty zakończonych prac rozwojowych</t>
  </si>
  <si>
    <t>Dotacja w okresie środki trwałe (pozostałe przychody operacyjne)</t>
  </si>
  <si>
    <t>Dotacja w okresie koszty operacyjne nie będące B+R (pozostałe przychody operacyjne)</t>
  </si>
  <si>
    <t>Dotacja do amortyzacji (pozostałe przychody operacyjne)</t>
  </si>
  <si>
    <t>Dotacja w okresie (RZiS, pozostałe przychody operacyjne)</t>
  </si>
  <si>
    <t>Dotacja do rozliczenia środki trwałe (rozliczenia międzyokresowe)</t>
  </si>
  <si>
    <t>Dotacja do rozliczenia środki trwałe w budowie (rozliczenia międzyokresowe)</t>
  </si>
  <si>
    <t>Dotacja do rozliczenia prace B+R (rozliczenia międzyokresowe)</t>
  </si>
  <si>
    <t>Dotacje do rozliczenia (rozliczenia międzyokresowe, PASYWA)</t>
  </si>
  <si>
    <t>Rozliczenie dotacji w środkach trwałych i WNiP</t>
  </si>
  <si>
    <t>Poziom dotacji</t>
  </si>
  <si>
    <t>Razem Dotacja</t>
  </si>
  <si>
    <t>Dotacja, z tego:</t>
  </si>
  <si>
    <t xml:space="preserve">  - zakup WNiP</t>
  </si>
  <si>
    <t xml:space="preserve">  - zakup środków trwałych</t>
  </si>
  <si>
    <t xml:space="preserve">  - dofinansowanie kosztów operacyjnych nie rozliczanych w czasie</t>
  </si>
  <si>
    <t>Dotychczasowa działalność (bez Projektu)</t>
  </si>
  <si>
    <t>Zapasy</t>
  </si>
  <si>
    <t xml:space="preserve">   Kalkulacja z modelu</t>
  </si>
  <si>
    <t xml:space="preserve">     Rotacja zapasów</t>
  </si>
  <si>
    <t xml:space="preserve">     Ilość dni w okresie</t>
  </si>
  <si>
    <t xml:space="preserve">   Kalkulacja własna</t>
  </si>
  <si>
    <t>Zapasy do bilansu</t>
  </si>
  <si>
    <t>Należności</t>
  </si>
  <si>
    <t xml:space="preserve">     Rotacja należności</t>
  </si>
  <si>
    <t xml:space="preserve">     Przychody ze sprzedaży</t>
  </si>
  <si>
    <t>Należności do bilansu</t>
  </si>
  <si>
    <t>Zobowiązania</t>
  </si>
  <si>
    <t xml:space="preserve">     Rotacja zobowiązań</t>
  </si>
  <si>
    <t>Zobowiązania do bilansu</t>
  </si>
  <si>
    <t>Kapitał pracujący</t>
  </si>
  <si>
    <t>Zmiana kapitału pracującego</t>
  </si>
  <si>
    <t>Działalność dotychczasowa i Projekt</t>
  </si>
  <si>
    <t xml:space="preserve">     Przychody ze sprzedaży produktów</t>
  </si>
  <si>
    <t>Kalkulacja z modelu</t>
  </si>
  <si>
    <t>Rotacja zapasów</t>
  </si>
  <si>
    <t>Rotacja należności</t>
  </si>
  <si>
    <t>Rotacja zobowiązań</t>
  </si>
  <si>
    <t>Kapitał własny</t>
  </si>
  <si>
    <t>Kapitał bilans otwarcia</t>
  </si>
  <si>
    <t>Dopłaty do kapitału</t>
  </si>
  <si>
    <t>Kapitał bilans zamknięcia</t>
  </si>
  <si>
    <t>Dywidenda</t>
  </si>
  <si>
    <t>Zysk netto do podziału z roku poprzedniego</t>
  </si>
  <si>
    <t>Wypłata dywidendy</t>
  </si>
  <si>
    <t>Zysk netto z lat poprzednich</t>
  </si>
  <si>
    <t>Środki pieniężne</t>
  </si>
  <si>
    <t>Stan środków pieniężnych na koniec roku z CF</t>
  </si>
  <si>
    <t>Oprocentowanie środków pienieżnych</t>
  </si>
  <si>
    <t>Depozyty bankowe</t>
  </si>
  <si>
    <t>Bilans otwarcia</t>
  </si>
  <si>
    <t>Wpływy</t>
  </si>
  <si>
    <t>Wypłaty</t>
  </si>
  <si>
    <t>Oprocentowanie</t>
  </si>
  <si>
    <t>Saldo</t>
  </si>
  <si>
    <t>Pożyczki od udziałowców (długoterminowe)</t>
  </si>
  <si>
    <t>Spłaty</t>
  </si>
  <si>
    <t>Kredyty długoterminowe</t>
  </si>
  <si>
    <t>Kredyty krótkoterminowe</t>
  </si>
  <si>
    <t>Środki własne z działalności dotychczasowej na finansowanie Projektu</t>
  </si>
  <si>
    <t>Środki pieniężne z działalności dotychczasowej (poprzedni okres)</t>
  </si>
  <si>
    <t>Razem dopłaty z dotychczasowej działalności</t>
  </si>
  <si>
    <t>Leasing finansowy</t>
  </si>
  <si>
    <t>Rachunek zysków i strat</t>
  </si>
  <si>
    <t xml:space="preserve">A. Przychody netto ze sprzedaży </t>
  </si>
  <si>
    <t>RP</t>
  </si>
  <si>
    <t xml:space="preserve"> I. Przychody netto ze sprzedaży produktów </t>
  </si>
  <si>
    <t xml:space="preserve"> II. Zmiana stanu produktów ([+] zwiększenie / [-] zmniejszenie)</t>
  </si>
  <si>
    <t xml:space="preserve"> III. Koszt wytworzenia produktów na własne potrzeby jednostki</t>
  </si>
  <si>
    <t xml:space="preserve"> IV. Przychody netto ze sprzedaży towarów i materiałów </t>
  </si>
  <si>
    <t>RKDO</t>
  </si>
  <si>
    <t xml:space="preserve"> I. Amortyzacja</t>
  </si>
  <si>
    <t>RKDOA</t>
  </si>
  <si>
    <t xml:space="preserve"> II. Zużycie materiałów i energii</t>
  </si>
  <si>
    <t xml:space="preserve"> III. Usługi obce</t>
  </si>
  <si>
    <t xml:space="preserve"> IV. Podatki i opłaty</t>
  </si>
  <si>
    <t xml:space="preserve"> V. Wynagrodzenia</t>
  </si>
  <si>
    <t xml:space="preserve"> VI. Ubezpieczenia społeczne i inne świadczenia</t>
  </si>
  <si>
    <t xml:space="preserve"> VII. Pozostałe koszty rodzajowe</t>
  </si>
  <si>
    <t xml:space="preserve"> VIII. Wartość sprzedanych towarów i materiałów</t>
  </si>
  <si>
    <t>C. Zysk (strata) ze sprzedaży</t>
  </si>
  <si>
    <t xml:space="preserve">  w tym dotacja</t>
  </si>
  <si>
    <t xml:space="preserve">F. Zysk (strata) z działalności operacyjnej </t>
  </si>
  <si>
    <t>EBIT</t>
  </si>
  <si>
    <t xml:space="preserve">  w tym odsetki</t>
  </si>
  <si>
    <t>RKFO</t>
  </si>
  <si>
    <t>I. Zysk (strata) na działalności gospodarczej</t>
  </si>
  <si>
    <t>J. Wynik zdarzeń nadzwyczajnych</t>
  </si>
  <si>
    <t>K. Zysk (strata) brutto</t>
  </si>
  <si>
    <t>podatek</t>
  </si>
  <si>
    <t>M. Pozostałe obowiązkowe zmniejszenia zysku (zwiększenia straty)</t>
  </si>
  <si>
    <t xml:space="preserve">N. Zysk (strata) netto </t>
  </si>
  <si>
    <t>Bilans</t>
  </si>
  <si>
    <t>Aktywa</t>
  </si>
  <si>
    <t xml:space="preserve"> I. Wartości niematerialne i prawne </t>
  </si>
  <si>
    <t xml:space="preserve">  1. Koszty zakończonych prac rozwojowych</t>
  </si>
  <si>
    <t xml:space="preserve">  2. Wartość firmy</t>
  </si>
  <si>
    <t xml:space="preserve">  3. Inne wartości niematerialne i prawne</t>
  </si>
  <si>
    <t xml:space="preserve">  4. Zaliczki na wartości niematerialne i prawne</t>
  </si>
  <si>
    <t xml:space="preserve"> II. Rzeczowe aktywa trwałe </t>
  </si>
  <si>
    <t xml:space="preserve">  1. Środki trwałe</t>
  </si>
  <si>
    <t xml:space="preserve">   a) grunty (w tym prawo użytkowania wieczystego gruntu) </t>
  </si>
  <si>
    <t xml:space="preserve">  2. Środki trwałe w budowie</t>
  </si>
  <si>
    <t xml:space="preserve">  3. Zaliczki na środki trwałe w budowie</t>
  </si>
  <si>
    <t xml:space="preserve"> III. Należności długoterminowe</t>
  </si>
  <si>
    <t xml:space="preserve"> IV. Inwestycje długoterminowe</t>
  </si>
  <si>
    <t xml:space="preserve"> V. Długoterminowe rozliczenia międzyokresowe</t>
  </si>
  <si>
    <t>BAO</t>
  </si>
  <si>
    <t xml:space="preserve"> I. Zapasy </t>
  </si>
  <si>
    <t>BAOZ</t>
  </si>
  <si>
    <t xml:space="preserve"> II. Należności krótkoterminowe </t>
  </si>
  <si>
    <t xml:space="preserve">  1. należności z tytułu dostaw i usług</t>
  </si>
  <si>
    <t>BAONDU</t>
  </si>
  <si>
    <t xml:space="preserve"> III. Inwestycje krótkoterminowe</t>
  </si>
  <si>
    <t xml:space="preserve">  1. środki pieniężne</t>
  </si>
  <si>
    <t xml:space="preserve">  2. pozostałe inwestycje krótkoterminowe</t>
  </si>
  <si>
    <t xml:space="preserve">Pasywa </t>
  </si>
  <si>
    <t>C. Kapitał własny</t>
  </si>
  <si>
    <t>BKW</t>
  </si>
  <si>
    <t xml:space="preserve"> I. Kapitał podstawowy</t>
  </si>
  <si>
    <t xml:space="preserve"> Ia. Środki własne na finansowanie Projektu</t>
  </si>
  <si>
    <t xml:space="preserve"> II. Pozostały kapitał (zapasowy + rezerwowy+z aktualizacji wyceny)</t>
  </si>
  <si>
    <t xml:space="preserve"> III. Zysk (strata) z okresów poprzednich</t>
  </si>
  <si>
    <t xml:space="preserve"> IV. Zysk (strata) netto</t>
  </si>
  <si>
    <t xml:space="preserve">B. Zobowiązania i rezerwy na zobowiązania </t>
  </si>
  <si>
    <t>BZIR</t>
  </si>
  <si>
    <t xml:space="preserve"> I. Rezerwy na zobowiązania </t>
  </si>
  <si>
    <t xml:space="preserve"> II. Zobowiązania długoterminowe </t>
  </si>
  <si>
    <t xml:space="preserve">  1. Kredyty i pożyczki</t>
  </si>
  <si>
    <t xml:space="preserve">  2. Pozostałe</t>
  </si>
  <si>
    <t xml:space="preserve"> III. Zobowiązania krótkoterminowe </t>
  </si>
  <si>
    <t xml:space="preserve">  1. Z tytułu dostaw i usług</t>
  </si>
  <si>
    <t>BZKDU</t>
  </si>
  <si>
    <t xml:space="preserve">  2. Kredyty i pożyczki</t>
  </si>
  <si>
    <t xml:space="preserve">  3. Pozostałe</t>
  </si>
  <si>
    <t xml:space="preserve"> IV. Rozliczenia międzyokresowe</t>
  </si>
  <si>
    <t xml:space="preserve">  1. Dotacje</t>
  </si>
  <si>
    <t>sprawdzenie</t>
  </si>
  <si>
    <t>Rachunek przepływów pieniężnych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</si>
  <si>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</si>
  <si>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</si>
  <si>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</si>
  <si>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</si>
  <si>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</si>
  <si>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</si>
  <si>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</si>
  <si>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</si>
  <si>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</si>
  <si>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 xml:space="preserve">  1. Rzeczowe aktywa trwałe i WNiP</t>
  </si>
  <si>
    <t xml:space="preserve">  2. Pozostałe aktywa trwałe 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</si>
  <si>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</si>
  <si>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</si>
  <si>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</si>
  <si>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</si>
  <si>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</si>
  <si>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</si>
  <si>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</si>
  <si>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  7. Środki własne na finansowanie Projektu</t>
  </si>
  <si>
    <t xml:space="preserve">Przepływy pieniężne netto razem </t>
  </si>
  <si>
    <t>Środki pieniężne na początek okresu</t>
  </si>
  <si>
    <t xml:space="preserve">Środki pieniężne na koniec okresu </t>
  </si>
  <si>
    <t>Ocena wskaźnikowa dotychczasowej działalności</t>
  </si>
  <si>
    <t>I. Wskaźniki rentowności</t>
  </si>
  <si>
    <t xml:space="preserve">  1. rentowność sprzedaży (ROS)</t>
  </si>
  <si>
    <t>&gt;=1,50%</t>
  </si>
  <si>
    <t>&lt;0%</t>
  </si>
  <si>
    <t xml:space="preserve">  2. rentowność netto</t>
  </si>
  <si>
    <t>&gt;=1,00%</t>
  </si>
  <si>
    <t xml:space="preserve">  3. zwrot na aktywach (ROA)</t>
  </si>
  <si>
    <t>&gt;=10,00%</t>
  </si>
  <si>
    <t>&lt;=3%</t>
  </si>
  <si>
    <t>II. Wskaźniki struktury pasywów i obsługi zadłużenia</t>
  </si>
  <si>
    <t xml:space="preserve">  1. wskaźnik udziału kapitałów własnych</t>
  </si>
  <si>
    <t>&gt;=50%</t>
  </si>
  <si>
    <t>&lt;20%</t>
  </si>
  <si>
    <t xml:space="preserve">  2. pokrycie majątku trwałego kapitałem stałym</t>
  </si>
  <si>
    <t>&gt;=100%</t>
  </si>
  <si>
    <t>&lt;=80%</t>
  </si>
  <si>
    <t xml:space="preserve">  3. wskaźnik zadłużenia</t>
  </si>
  <si>
    <t>50-70%</t>
  </si>
  <si>
    <t xml:space="preserve">  4. wskaźnik obsługi długu</t>
  </si>
  <si>
    <t>&gt;=1,3</t>
  </si>
  <si>
    <t>&lt;1,0</t>
  </si>
  <si>
    <t>III. Wskaźniki płynności</t>
  </si>
  <si>
    <t xml:space="preserve">  1. płynność bieżąca</t>
  </si>
  <si>
    <t>1,2-1,5</t>
  </si>
  <si>
    <t xml:space="preserve">  2. płynność szybka</t>
  </si>
  <si>
    <t>1,0-1,2</t>
  </si>
  <si>
    <t>&lt;0,8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</si>
  <si>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</si>
  <si>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</si>
  <si>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</si>
  <si>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</si>
  <si>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</si>
  <si>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</si>
  <si>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>&lt;=1,0</t>
  </si>
  <si>
    <t>&gt;7,5</t>
  </si>
  <si>
    <t xml:space="preserve">  2. wskaźnik relacji pokrycia odsetek do EBITDA</t>
  </si>
  <si>
    <t>&gt;=3,0</t>
  </si>
  <si>
    <t>Ocena wskaźnikowa projektowanej działalności</t>
  </si>
  <si>
    <t>Ocena wskaźnikowa łącznej działalności</t>
  </si>
  <si>
    <t>Łączna działalność</t>
  </si>
  <si>
    <t>Zysk netto</t>
  </si>
  <si>
    <t>Dywidenda dotychczasowa działalność</t>
  </si>
  <si>
    <t>Dywidenda projekt</t>
  </si>
  <si>
    <t>Zysk/strata z lat poprzednich</t>
  </si>
  <si>
    <t>Nakłady inwestycyjne (projektowe)</t>
  </si>
  <si>
    <t>Dotacja</t>
  </si>
  <si>
    <t>Zmiana w kapitale pracującym</t>
  </si>
  <si>
    <t>Wolne przepływy pieniężne (FCF)</t>
  </si>
  <si>
    <t>Zdyskontowane przepływy pieniężne (FCF)</t>
  </si>
  <si>
    <t>IRR</t>
  </si>
  <si>
    <t>Przesunięcie/Zaangażowanie środków własnych przedsiębiorstwa do Projektu</t>
  </si>
  <si>
    <t xml:space="preserve">     Koszty działalności operacyjnej bez amortyzacji</t>
  </si>
  <si>
    <t>Liczba etatów na danym stanowisku / w danej grupie</t>
  </si>
  <si>
    <t>badania przemysłowe</t>
  </si>
  <si>
    <t>prace rozwojowe</t>
  </si>
  <si>
    <t>nie dotyczy</t>
  </si>
  <si>
    <r>
      <t xml:space="preserve">Koszty planowanej działalności operacyjnej (Projekt, </t>
    </r>
    <r>
      <rPr>
        <b/>
        <sz val="9"/>
        <color rgb="FFFF0000"/>
        <rFont val="Calibri"/>
        <family val="2"/>
        <charset val="238"/>
        <scheme val="minor"/>
      </rPr>
      <t>prace rozwojowe, rozliczane w czasie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</si>
  <si>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>Koszty planowanej działalności operacyjnej (Projekt</t>
    </r>
    <r>
      <rPr>
        <b/>
        <sz val="9"/>
        <rFont val="Calibri"/>
        <family val="2"/>
        <charset val="238"/>
        <scheme val="minor"/>
      </rPr>
      <t>,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dotacja w RZiS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</si>
  <si>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</t>
    </r>
    <r>
      <rPr>
        <b/>
        <sz val="9"/>
        <color rgb="FFFF0000"/>
        <rFont val="Calibri"/>
        <family val="2"/>
        <charset val="238"/>
        <scheme val="minor"/>
      </rPr>
      <t>kosztów operacyjnych nie będących pracami rozwojowymi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</si>
  <si>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kosztów </t>
    </r>
    <r>
      <rPr>
        <b/>
        <sz val="9"/>
        <color rgb="FFFF0000"/>
        <rFont val="Calibri"/>
        <family val="2"/>
        <charset val="238"/>
        <scheme val="minor"/>
      </rPr>
      <t>prac rozwojowych</t>
    </r>
  </si>
  <si>
    <r>
      <t xml:space="preserve">Koszty </t>
    </r>
    <r>
      <rPr>
        <b/>
        <sz val="9"/>
        <color rgb="FFFF0000"/>
        <rFont val="Calibri"/>
        <family val="2"/>
        <charset val="238"/>
        <scheme val="minor"/>
      </rPr>
      <t>prac rozwojowych</t>
    </r>
    <r>
      <rPr>
        <b/>
        <sz val="9"/>
        <color theme="1"/>
        <rFont val="Calibri"/>
        <family val="2"/>
        <charset val="238"/>
        <scheme val="minor"/>
      </rPr>
      <t xml:space="preserve"> NIEKWALIFIKOWANE</t>
    </r>
  </si>
  <si>
    <r>
      <t xml:space="preserve">Rozliczenie kosztów </t>
    </r>
    <r>
      <rPr>
        <b/>
        <sz val="9"/>
        <color rgb="FFFF0000"/>
        <rFont val="Calibri"/>
        <family val="2"/>
        <charset val="238"/>
        <scheme val="minor"/>
      </rPr>
      <t xml:space="preserve">prac rozwojowych </t>
    </r>
    <r>
      <rPr>
        <b/>
        <sz val="9"/>
        <color theme="1"/>
        <rFont val="Calibri"/>
        <family val="2"/>
        <charset val="238"/>
        <scheme val="minor"/>
      </rPr>
      <t>projektu do rozliczeń międzyokresowych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</si>
  <si>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kosztów operacyjnych które nie są pracami rozwojowymi ale są kwalifikowane</t>
    </r>
  </si>
  <si>
    <r>
      <t xml:space="preserve">Koszty operacyjne </t>
    </r>
    <r>
      <rPr>
        <b/>
        <sz val="9"/>
        <color rgb="FFFF0000"/>
        <rFont val="Calibri"/>
        <family val="2"/>
        <charset val="238"/>
        <scheme val="minor"/>
      </rPr>
      <t>prace rozwojowe</t>
    </r>
  </si>
  <si>
    <t>posiadane środki trwałe wykorzystane do realizacji projektu</t>
  </si>
  <si>
    <t>Wartość dofinansowania amortyzacji (w PLN)</t>
  </si>
  <si>
    <t>wartość amortyzacji w okresie realizacji projektu</t>
  </si>
  <si>
    <t>Razem amortyzacja</t>
  </si>
  <si>
    <t>Razem wartość dofinansowania do amortyzacji</t>
  </si>
  <si>
    <t>wartość dofinansowania amortyzacji w okresie realizacji projektu</t>
  </si>
  <si>
    <t>wartość amortyzacji</t>
  </si>
  <si>
    <t>Dofinansowanie</t>
  </si>
  <si>
    <t>Projekt ogółem</t>
  </si>
  <si>
    <t>Dotacja do zakupu środków trwałych</t>
  </si>
  <si>
    <t>Dotacja do kosztów operacyjnych nie będących pracami rozwojowymi</t>
  </si>
  <si>
    <t>Dotacja do amortyzacji</t>
  </si>
  <si>
    <t>Dotacja do kosztów operacyjnych będących pracami rozwojowymi</t>
  </si>
  <si>
    <t>Koszty operacyjne (bez amortyzacji)</t>
  </si>
  <si>
    <t>Skumulowane zdyskontowane przepływy pienieżne (FCF) - NPV</t>
  </si>
  <si>
    <t>Skumulowane wolne przepływy pieniężne (FCF)</t>
  </si>
  <si>
    <r>
      <t>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</si>
  <si>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</si>
  <si>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IRR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</si>
  <si>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Zdyskontowane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</si>
  <si>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zdyskontowane przepływy pienieżne (FCF) - NPV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</si>
  <si>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t>Dotacje przyznane w latach poprzednich</t>
  </si>
  <si>
    <t>p11</t>
  </si>
  <si>
    <t>Po trwałości</t>
  </si>
  <si>
    <t>p12</t>
  </si>
  <si>
    <t>p13</t>
  </si>
  <si>
    <t>rok i miesiąc przyjęcia</t>
  </si>
  <si>
    <t>Początek danych do środków trwałych w budowie</t>
  </si>
  <si>
    <t>Koniec danych do środków trwałych w budowie</t>
  </si>
  <si>
    <t>kategoria</t>
  </si>
  <si>
    <t>budynki i budowle</t>
  </si>
  <si>
    <t>urządzenia techniczne i maszyny</t>
  </si>
  <si>
    <t>środki transportu</t>
  </si>
  <si>
    <t>inne środki trwałe</t>
  </si>
  <si>
    <t xml:space="preserve"> Środki trwałe w budowie</t>
  </si>
  <si>
    <t>saldo środków trwałych w budowie</t>
  </si>
  <si>
    <t>Wartość księgowa netto - środki trwałe w budowie</t>
  </si>
  <si>
    <t>Wartość księgowa netto - przenoszona do Arkusza "Ocena kondycji finansowej"</t>
  </si>
  <si>
    <t>środki trwałe w budowie oraz 
zaliczki na środki trwałe w budowie oraz
zaliczki na wartości niematerialne i prawne</t>
  </si>
  <si>
    <t>zaliczki na wartości niematerialne i prawne</t>
  </si>
  <si>
    <t xml:space="preserve">   stan z ostatniego sprawozdania</t>
  </si>
  <si>
    <t xml:space="preserve">   przyjęcie środków trwałych</t>
  </si>
  <si>
    <t xml:space="preserve">   przyjęcie wartości niematerialnych i prawnych</t>
  </si>
  <si>
    <t xml:space="preserve">   nowe środki trwałe w budowie</t>
  </si>
  <si>
    <t xml:space="preserve">   nowe zaliczki na wartości niematerialne i prawne</t>
  </si>
  <si>
    <t xml:space="preserve">   saldo zaliczek na wartości niematerialne i prawne</t>
  </si>
  <si>
    <t xml:space="preserve">   d) zaliczki na wartości niematerialne i prawne</t>
  </si>
  <si>
    <t>Rozliczenia międzyokresowe B+R DŁUGOTERMINOWE (aktywa)</t>
  </si>
  <si>
    <t>Rozliczenia międzyokresowe B+R KRÓTKOTERMINOWE (aktywa)</t>
  </si>
  <si>
    <t>Koniec prac rozwojowych</t>
  </si>
  <si>
    <t>zakup środków trwałych z dotychczasowej działalności / przyjęcie środków trwałych w budowie do bilansu</t>
  </si>
  <si>
    <t>k162</t>
  </si>
  <si>
    <t>k207</t>
  </si>
  <si>
    <t>k391</t>
  </si>
  <si>
    <t>k436</t>
  </si>
  <si>
    <t>K521</t>
  </si>
  <si>
    <t>k586</t>
  </si>
  <si>
    <t>k595</t>
  </si>
  <si>
    <t>Warunek dla miesiąca zakończenia prac rozwojowych:</t>
  </si>
  <si>
    <t xml:space="preserve">  min</t>
  </si>
  <si>
    <t xml:space="preserve">  max</t>
  </si>
  <si>
    <t>Numer telefonu 1</t>
  </si>
  <si>
    <t>Numer telefonu 2</t>
  </si>
  <si>
    <t xml:space="preserve">     - amortyzacja [kalkulacja z modelu]</t>
  </si>
  <si>
    <t xml:space="preserve">     - amortyzacja [kalkulacja własna]</t>
  </si>
  <si>
    <r>
      <t xml:space="preserve">zaliczki na… i środki trwałe w budowie </t>
    </r>
    <r>
      <rPr>
        <b/>
        <i/>
        <sz val="9"/>
        <color rgb="FFFF0000"/>
        <rFont val="Calibri"/>
        <family val="2"/>
        <charset val="238"/>
        <scheme val="minor"/>
      </rPr>
      <t>inne niż WNiP</t>
    </r>
  </si>
  <si>
    <t>amortyzacja</t>
  </si>
  <si>
    <t>wartość księgowa netto</t>
  </si>
  <si>
    <t>INNE ŚRODKI TRWAŁE</t>
  </si>
  <si>
    <t>ŚRODKI TRANSPORTU</t>
  </si>
  <si>
    <t>URZĄDZENIA TECHNICZNE I MASZYNY (+ ŚRODKI TRWAŁE W BUDOWIE)</t>
  </si>
  <si>
    <t>BUDYNKI I BUDOWLE (+ ŚRODKI TRWAŁE W BUDOWIE)</t>
  </si>
  <si>
    <t>GRUNTY</t>
  </si>
  <si>
    <t>INNE WARTOŚCI NIEMATERIALNE I PRAWNE</t>
  </si>
  <si>
    <t>KOSZTY ZAKOŃCZONYCH PRAC ROZWOJOWYCH</t>
  </si>
  <si>
    <t>DOTYCHCZASOWE ŚRODKI TRWAŁE - ŚRODKI TRWAŁE W BUDOWIE</t>
  </si>
  <si>
    <t>rok i miesiąc zakończenia produkcji</t>
  </si>
  <si>
    <t>rok rozpoczęcia produkcji</t>
  </si>
  <si>
    <t>kwalifikacja ŚT</t>
  </si>
  <si>
    <t>nowy</t>
  </si>
  <si>
    <t>przeniesiony</t>
  </si>
  <si>
    <t>Wdrożenie innowacji</t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</si>
  <si>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</si>
  <si>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</si>
  <si>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</si>
  <si>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</si>
  <si>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</si>
  <si>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</si>
  <si>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</si>
  <si>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</si>
  <si>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Obliczenie NPV i IRR łącznie dla modułów B+R oraz Wdrożenie</t>
  </si>
  <si>
    <r>
      <t xml:space="preserve">Dofinansowanie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</si>
  <si>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</si>
  <si>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</si>
  <si>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</si>
  <si>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Realizujemy moduł B+R</t>
  </si>
  <si>
    <t>Rok i miesiąc zakończenia prac rozwojowych</t>
  </si>
  <si>
    <t>Rok zakończenia prac B+R</t>
  </si>
  <si>
    <t xml:space="preserve"> podatki i opłaty</t>
  </si>
  <si>
    <t>Rok i miesiąc rozpoczęcia realizacji pierwszego modułu Projektu</t>
  </si>
  <si>
    <t>Rok i miesiąc zakończenia realizacji ostatniego modułu Projektu</t>
  </si>
  <si>
    <t>Dofinansowanie amortyzacji</t>
  </si>
  <si>
    <t>poniżej wiersz z latami prognozy potrzebny do formatowania warunkowego w wierszu 26</t>
  </si>
  <si>
    <t>Model finansowy v. 2.0 [23020686]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</si>
</sst>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[$-415]mmmm\ yy;@"/>
    <numFmt numFmtId="166" formatCode="0.0000"/>
    <numFmt numFmtId="167" formatCode="#,##0.0"/>
    <numFmt numFmtId="168" formatCode="0.0%"/>
    <numFmt numFmtId="169" formatCode="[$-415]mmm\ yy;@"/>
    <numFmt numFmtId="170" formatCode="yyyy/mm/dd;@"/>
    <numFmt numFmtId="171" formatCode="#,##0.0000"/>
  </numFmts>
  <fonts count="82"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indexed="17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7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6" tint="-0.249977111117893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0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5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9"/>
      <color theme="6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b/>
      <sz val="9"/>
      <color theme="9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sz val="9"/>
      <color theme="3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0"/>
      <color theme="7"/>
      <name val="Calibri"/>
      <family val="2"/>
      <charset val="238"/>
      <scheme val="minor"/>
    </font>
    <font>
      <b/>
      <sz val="9"/>
      <color theme="7"/>
      <name val="Calibri"/>
      <family val="2"/>
      <charset val="238"/>
      <scheme val="minor"/>
    </font>
    <font>
      <sz val="9"/>
      <color theme="7"/>
      <name val="Calibri"/>
      <family val="2"/>
      <charset val="238"/>
      <scheme val="minor"/>
    </font>
    <font>
      <i/>
      <sz val="9"/>
      <color rgb="FF00B05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9"/>
      <color theme="6"/>
      <name val="Calibri"/>
      <family val="2"/>
      <charset val="238"/>
      <scheme val="minor"/>
    </font>
    <font>
      <b/>
      <i/>
      <sz val="9"/>
      <color theme="4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9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i/>
      <sz val="9"/>
      <color rgb="FF00B050"/>
      <name val="Calibri"/>
      <family val="2"/>
      <charset val="238"/>
      <scheme val="minor"/>
    </font>
    <font>
      <b/>
      <i/>
      <sz val="9"/>
      <color rgb="FF0070C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color rgb="FFFF66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i/>
      <sz val="8"/>
      <color theme="4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i/>
      <sz val="6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dotted">
        <color auto="1"/>
      </bottom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2" fillId="0" borderId="0"/>
    <xf numFmtId="0" fontId="64" fillId="0" borderId="0" applyNumberFormat="0" applyFill="0" applyBorder="0" applyAlignment="0" applyProtection="0"/>
    <xf numFmtId="0" fontId="65" fillId="26" borderId="2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5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15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4" borderId="4" xfId="0" applyFill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10" fontId="0" fillId="0" borderId="0" xfId="0" applyNumberFormat="1" applyProtection="1">
      <protection hidden="1"/>
    </xf>
    <xf numFmtId="3" fontId="7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0" fontId="20" fillId="0" borderId="0" xfId="0" applyFont="1" applyProtection="1">
      <protection hidden="1"/>
    </xf>
    <xf numFmtId="3" fontId="19" fillId="0" borderId="0" xfId="0" applyNumberFormat="1" applyFont="1" applyProtection="1">
      <protection hidden="1"/>
    </xf>
    <xf numFmtId="0" fontId="7" fillId="0" borderId="5" xfId="0" applyFont="1" applyBorder="1" applyProtection="1">
      <protection hidden="1"/>
    </xf>
    <xf numFmtId="3" fontId="7" fillId="0" borderId="5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7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0" fillId="5" borderId="0" xfId="0" applyNumberFormat="1" applyFill="1" applyProtection="1"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Protection="1">
      <protection hidden="1"/>
    </xf>
    <xf numFmtId="0" fontId="23" fillId="6" borderId="0" xfId="0" applyFont="1" applyFill="1" applyProtection="1">
      <protection hidden="1"/>
    </xf>
    <xf numFmtId="0" fontId="22" fillId="6" borderId="0" xfId="0" applyFont="1" applyFill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3" fontId="7" fillId="0" borderId="2" xfId="0" applyNumberFormat="1" applyFont="1" applyBorder="1" applyProtection="1"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3" fontId="0" fillId="0" borderId="4" xfId="0" applyNumberFormat="1" applyBorder="1" applyProtection="1">
      <protection hidden="1"/>
    </xf>
    <xf numFmtId="0" fontId="22" fillId="7" borderId="0" xfId="0" applyFont="1" applyFill="1" applyAlignment="1" applyProtection="1">
      <alignment horizontal="center" vertical="center"/>
      <protection hidden="1"/>
    </xf>
    <xf numFmtId="0" fontId="14" fillId="6" borderId="0" xfId="0" applyFont="1" applyFill="1" applyAlignment="1" applyProtection="1">
      <alignment horizont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0" fillId="0" borderId="4" xfId="0" quotePrefix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16" fillId="0" borderId="0" xfId="0" quotePrefix="1" applyFont="1" applyProtection="1">
      <protection hidden="1"/>
    </xf>
    <xf numFmtId="0" fontId="16" fillId="0" borderId="0" xfId="0" applyFont="1" applyProtection="1">
      <protection hidden="1"/>
    </xf>
    <xf numFmtId="3" fontId="16" fillId="0" borderId="0" xfId="0" applyNumberFormat="1" applyFont="1" applyProtection="1">
      <protection hidden="1"/>
    </xf>
    <xf numFmtId="0" fontId="18" fillId="0" borderId="0" xfId="0" applyFont="1" applyAlignment="1" applyProtection="1">
      <alignment horizontal="right"/>
      <protection hidden="1"/>
    </xf>
    <xf numFmtId="0" fontId="14" fillId="7" borderId="0" xfId="0" applyFont="1" applyFill="1" applyAlignment="1" applyProtection="1">
      <alignment horizontal="center" vertical="center"/>
      <protection hidden="1"/>
    </xf>
    <xf numFmtId="169" fontId="22" fillId="6" borderId="0" xfId="0" applyNumberFormat="1" applyFont="1" applyFill="1" applyAlignment="1" applyProtection="1">
      <alignment horizontal="center" vertical="center"/>
      <protection hidden="1"/>
    </xf>
    <xf numFmtId="169" fontId="22" fillId="7" borderId="0" xfId="0" applyNumberFormat="1" applyFont="1" applyFill="1" applyAlignment="1" applyProtection="1">
      <alignment horizontal="center" vertical="center"/>
      <protection hidden="1"/>
    </xf>
    <xf numFmtId="0" fontId="22" fillId="2" borderId="0" xfId="0" applyFont="1" applyFill="1" applyProtection="1">
      <protection hidden="1"/>
    </xf>
    <xf numFmtId="169" fontId="22" fillId="2" borderId="0" xfId="0" applyNumberFormat="1" applyFont="1" applyFill="1" applyAlignment="1" applyProtection="1">
      <alignment horizontal="center" vertical="center"/>
      <protection hidden="1"/>
    </xf>
    <xf numFmtId="0" fontId="24" fillId="5" borderId="0" xfId="0" applyFont="1" applyFill="1" applyProtection="1">
      <protection hidden="1"/>
    </xf>
    <xf numFmtId="3" fontId="24" fillId="5" borderId="0" xfId="0" applyNumberFormat="1" applyFont="1" applyFill="1" applyProtection="1">
      <protection hidden="1"/>
    </xf>
    <xf numFmtId="0" fontId="25" fillId="5" borderId="0" xfId="0" applyFont="1" applyFill="1" applyProtection="1">
      <protection hidden="1"/>
    </xf>
    <xf numFmtId="3" fontId="25" fillId="5" borderId="0" xfId="0" applyNumberFormat="1" applyFont="1" applyFill="1" applyProtection="1">
      <protection hidden="1"/>
    </xf>
    <xf numFmtId="0" fontId="0" fillId="0" borderId="4" xfId="0" applyBorder="1" applyProtection="1">
      <protection hidden="1"/>
    </xf>
    <xf numFmtId="0" fontId="27" fillId="0" borderId="0" xfId="0" applyFont="1" applyProtection="1">
      <protection hidden="1"/>
    </xf>
    <xf numFmtId="169" fontId="22" fillId="6" borderId="0" xfId="0" applyNumberFormat="1" applyFont="1" applyFill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0" fontId="29" fillId="0" borderId="0" xfId="0" applyFont="1" applyAlignment="1" applyProtection="1">
      <alignment horizontal="center"/>
      <protection hidden="1"/>
    </xf>
    <xf numFmtId="0" fontId="28" fillId="0" borderId="0" xfId="0" applyFont="1" applyAlignment="1" applyProtection="1">
      <alignment vertical="center" wrapText="1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3" fontId="0" fillId="5" borderId="4" xfId="0" applyNumberFormat="1" applyFill="1" applyBorder="1" applyProtection="1">
      <protection hidden="1"/>
    </xf>
    <xf numFmtId="3" fontId="7" fillId="5" borderId="0" xfId="0" applyNumberFormat="1" applyFont="1" applyFill="1" applyProtection="1">
      <protection hidden="1"/>
    </xf>
    <xf numFmtId="0" fontId="0" fillId="0" borderId="0" xfId="0" applyAlignment="1" applyProtection="1">
      <alignment vertical="top"/>
      <protection hidden="1"/>
    </xf>
    <xf numFmtId="0" fontId="16" fillId="0" borderId="4" xfId="0" applyFont="1" applyBorder="1" applyProtection="1">
      <protection hidden="1"/>
    </xf>
    <xf numFmtId="0" fontId="7" fillId="5" borderId="0" xfId="0" applyFont="1" applyFill="1" applyAlignment="1" applyProtection="1">
      <alignment horizontal="center" vertical="center"/>
      <protection hidden="1"/>
    </xf>
    <xf numFmtId="49" fontId="7" fillId="5" borderId="0" xfId="0" applyNumberFormat="1" applyFont="1" applyFill="1" applyAlignment="1" applyProtection="1">
      <alignment vertical="top"/>
      <protection hidden="1"/>
    </xf>
    <xf numFmtId="3" fontId="7" fillId="5" borderId="0" xfId="0" applyNumberFormat="1" applyFont="1" applyFill="1" applyAlignment="1" applyProtection="1">
      <alignment vertical="top"/>
      <protection hidden="1"/>
    </xf>
    <xf numFmtId="0" fontId="0" fillId="5" borderId="0" xfId="0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vertical="top"/>
      <protection hidden="1"/>
    </xf>
    <xf numFmtId="3" fontId="0" fillId="5" borderId="0" xfId="0" applyNumberFormat="1" applyFill="1" applyAlignment="1" applyProtection="1">
      <alignment vertical="top"/>
      <protection hidden="1"/>
    </xf>
    <xf numFmtId="0" fontId="36" fillId="5" borderId="0" xfId="0" applyFont="1" applyFill="1" applyAlignment="1" applyProtection="1">
      <alignment vertical="top"/>
      <protection hidden="1"/>
    </xf>
    <xf numFmtId="3" fontId="36" fillId="5" borderId="0" xfId="0" applyNumberFormat="1" applyFont="1" applyFill="1" applyAlignment="1" applyProtection="1">
      <alignment vertical="top"/>
      <protection hidden="1"/>
    </xf>
    <xf numFmtId="0" fontId="37" fillId="5" borderId="0" xfId="0" applyFont="1" applyFill="1" applyAlignment="1" applyProtection="1">
      <alignment vertical="top"/>
      <protection hidden="1"/>
    </xf>
    <xf numFmtId="3" fontId="37" fillId="5" borderId="0" xfId="0" applyNumberFormat="1" applyFont="1" applyFill="1" applyAlignment="1" applyProtection="1">
      <alignment vertical="top"/>
      <protection hidden="1"/>
    </xf>
    <xf numFmtId="168" fontId="0" fillId="0" borderId="4" xfId="0" applyNumberFormat="1" applyBorder="1" applyAlignment="1" applyProtection="1">
      <alignment horizontal="center"/>
      <protection hidden="1"/>
    </xf>
    <xf numFmtId="3" fontId="38" fillId="5" borderId="0" xfId="0" applyNumberFormat="1" applyFont="1" applyFill="1" applyProtection="1">
      <protection hidden="1"/>
    </xf>
    <xf numFmtId="3" fontId="32" fillId="5" borderId="0" xfId="0" applyNumberFormat="1" applyFont="1" applyFill="1" applyProtection="1">
      <protection hidden="1"/>
    </xf>
    <xf numFmtId="3" fontId="39" fillId="5" borderId="0" xfId="0" applyNumberFormat="1" applyFont="1" applyFill="1" applyProtection="1">
      <protection hidden="1"/>
    </xf>
    <xf numFmtId="3" fontId="40" fillId="5" borderId="0" xfId="0" applyNumberFormat="1" applyFont="1" applyFill="1" applyProtection="1">
      <protection hidden="1"/>
    </xf>
    <xf numFmtId="10" fontId="0" fillId="0" borderId="4" xfId="0" applyNumberFormat="1" applyBorder="1" applyProtection="1">
      <protection hidden="1"/>
    </xf>
    <xf numFmtId="0" fontId="0" fillId="5" borderId="0" xfId="0" applyFill="1" applyProtection="1">
      <protection locked="0" hidden="1"/>
    </xf>
    <xf numFmtId="0" fontId="0" fillId="5" borderId="4" xfId="0" applyFill="1" applyBorder="1" applyProtection="1">
      <protection locked="0" hidden="1"/>
    </xf>
    <xf numFmtId="0" fontId="7" fillId="5" borderId="0" xfId="0" applyFont="1" applyFill="1" applyProtection="1">
      <protection locked="0" hidden="1"/>
    </xf>
    <xf numFmtId="49" fontId="0" fillId="5" borderId="0" xfId="0" applyNumberFormat="1" applyFill="1" applyAlignment="1" applyProtection="1">
      <alignment vertical="top"/>
      <protection locked="0" hidden="1"/>
    </xf>
    <xf numFmtId="0" fontId="0" fillId="5" borderId="0" xfId="0" applyFill="1" applyAlignment="1" applyProtection="1">
      <alignment vertical="top"/>
      <protection locked="0" hidden="1"/>
    </xf>
    <xf numFmtId="0" fontId="36" fillId="5" borderId="0" xfId="0" applyFont="1" applyFill="1" applyAlignment="1" applyProtection="1">
      <alignment vertical="top"/>
      <protection locked="0" hidden="1"/>
    </xf>
    <xf numFmtId="0" fontId="0" fillId="0" borderId="0" xfId="0" applyAlignment="1" applyProtection="1">
      <alignment vertical="top"/>
      <protection locked="0" hidden="1"/>
    </xf>
    <xf numFmtId="3" fontId="7" fillId="0" borderId="4" xfId="0" applyNumberFormat="1" applyFont="1" applyBorder="1" applyProtection="1">
      <protection hidden="1"/>
    </xf>
    <xf numFmtId="0" fontId="7" fillId="0" borderId="4" xfId="0" applyFont="1" applyBorder="1" applyProtection="1">
      <protection hidden="1"/>
    </xf>
    <xf numFmtId="0" fontId="0" fillId="0" borderId="13" xfId="0" quotePrefix="1" applyBorder="1" applyProtection="1">
      <protection hidden="1"/>
    </xf>
    <xf numFmtId="0" fontId="0" fillId="0" borderId="13" xfId="0" applyBorder="1" applyProtection="1">
      <protection hidden="1"/>
    </xf>
    <xf numFmtId="3" fontId="0" fillId="0" borderId="13" xfId="0" applyNumberFormat="1" applyBorder="1" applyProtection="1">
      <protection hidden="1"/>
    </xf>
    <xf numFmtId="0" fontId="7" fillId="0" borderId="13" xfId="0" applyFont="1" applyBorder="1" applyProtection="1">
      <protection hidden="1"/>
    </xf>
    <xf numFmtId="3" fontId="7" fillId="0" borderId="13" xfId="0" applyNumberFormat="1" applyFont="1" applyBorder="1" applyProtection="1">
      <protection hidden="1"/>
    </xf>
    <xf numFmtId="0" fontId="0" fillId="0" borderId="5" xfId="0" quotePrefix="1" applyBorder="1" applyProtection="1">
      <protection hidden="1"/>
    </xf>
    <xf numFmtId="3" fontId="0" fillId="0" borderId="5" xfId="0" applyNumberFormat="1" applyBorder="1" applyProtection="1">
      <protection hidden="1"/>
    </xf>
    <xf numFmtId="0" fontId="7" fillId="0" borderId="12" xfId="0" quotePrefix="1" applyFont="1" applyBorder="1" applyProtection="1">
      <protection hidden="1"/>
    </xf>
    <xf numFmtId="0" fontId="0" fillId="0" borderId="12" xfId="0" applyBorder="1" applyProtection="1">
      <protection hidden="1"/>
    </xf>
    <xf numFmtId="3" fontId="7" fillId="0" borderId="12" xfId="0" applyNumberFormat="1" applyFont="1" applyBorder="1" applyProtection="1">
      <protection hidden="1"/>
    </xf>
    <xf numFmtId="0" fontId="7" fillId="0" borderId="12" xfId="0" applyFont="1" applyBorder="1" applyProtection="1">
      <protection hidden="1"/>
    </xf>
    <xf numFmtId="3" fontId="0" fillId="0" borderId="12" xfId="0" applyNumberForma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3" fontId="0" fillId="0" borderId="14" xfId="0" applyNumberFormat="1" applyBorder="1" applyProtection="1">
      <protection hidden="1"/>
    </xf>
    <xf numFmtId="0" fontId="0" fillId="0" borderId="14" xfId="0" quotePrefix="1" applyBorder="1" applyProtection="1">
      <protection hidden="1"/>
    </xf>
    <xf numFmtId="0" fontId="0" fillId="0" borderId="15" xfId="0" quotePrefix="1" applyBorder="1" applyProtection="1">
      <protection hidden="1"/>
    </xf>
    <xf numFmtId="0" fontId="0" fillId="0" borderId="15" xfId="0" applyBorder="1" applyProtection="1">
      <protection hidden="1"/>
    </xf>
    <xf numFmtId="3" fontId="0" fillId="0" borderId="15" xfId="0" applyNumberFormat="1" applyBorder="1" applyProtection="1">
      <protection hidden="1"/>
    </xf>
    <xf numFmtId="169" fontId="7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right"/>
      <protection hidden="1"/>
    </xf>
    <xf numFmtId="3" fontId="27" fillId="0" borderId="0" xfId="0" applyNumberFormat="1" applyFont="1" applyProtection="1">
      <protection hidden="1"/>
    </xf>
    <xf numFmtId="0" fontId="7" fillId="9" borderId="0" xfId="0" applyFont="1" applyFill="1" applyProtection="1">
      <protection hidden="1"/>
    </xf>
    <xf numFmtId="0" fontId="0" fillId="9" borderId="0" xfId="0" applyFill="1" applyProtection="1">
      <protection locked="0" hidden="1"/>
    </xf>
    <xf numFmtId="0" fontId="0" fillId="9" borderId="0" xfId="0" applyFill="1" applyProtection="1">
      <protection hidden="1"/>
    </xf>
    <xf numFmtId="0" fontId="7" fillId="9" borderId="0" xfId="0" applyFont="1" applyFill="1" applyAlignment="1" applyProtection="1">
      <alignment horizontal="center" vertical="center"/>
      <protection hidden="1"/>
    </xf>
    <xf numFmtId="49" fontId="0" fillId="9" borderId="0" xfId="0" applyNumberFormat="1" applyFill="1" applyAlignment="1" applyProtection="1">
      <alignment vertical="top"/>
      <protection hidden="1"/>
    </xf>
    <xf numFmtId="49" fontId="0" fillId="9" borderId="0" xfId="0" applyNumberFormat="1" applyFill="1" applyAlignment="1" applyProtection="1">
      <alignment vertical="top"/>
      <protection locked="0" hidden="1"/>
    </xf>
    <xf numFmtId="0" fontId="0" fillId="9" borderId="4" xfId="0" applyFill="1" applyBorder="1" applyProtection="1">
      <protection hidden="1"/>
    </xf>
    <xf numFmtId="0" fontId="0" fillId="9" borderId="4" xfId="0" applyFill="1" applyBorder="1" applyProtection="1">
      <protection locked="0" hidden="1"/>
    </xf>
    <xf numFmtId="3" fontId="0" fillId="9" borderId="4" xfId="0" applyNumberFormat="1" applyFill="1" applyBorder="1" applyProtection="1">
      <protection hidden="1"/>
    </xf>
    <xf numFmtId="3" fontId="7" fillId="9" borderId="0" xfId="0" applyNumberFormat="1" applyFont="1" applyFill="1" applyProtection="1">
      <protection hidden="1"/>
    </xf>
    <xf numFmtId="3" fontId="0" fillId="9" borderId="0" xfId="0" applyNumberFormat="1" applyFill="1" applyProtection="1">
      <protection hidden="1"/>
    </xf>
    <xf numFmtId="0" fontId="7" fillId="9" borderId="0" xfId="0" applyFont="1" applyFill="1" applyProtection="1">
      <protection locked="0" hidden="1"/>
    </xf>
    <xf numFmtId="49" fontId="7" fillId="9" borderId="0" xfId="0" applyNumberFormat="1" applyFont="1" applyFill="1" applyAlignment="1" applyProtection="1">
      <alignment vertical="top"/>
      <protection hidden="1"/>
    </xf>
    <xf numFmtId="3" fontId="7" fillId="9" borderId="0" xfId="0" applyNumberFormat="1" applyFont="1" applyFill="1" applyAlignment="1" applyProtection="1">
      <alignment vertical="top"/>
      <protection hidden="1"/>
    </xf>
    <xf numFmtId="0" fontId="0" fillId="9" borderId="0" xfId="0" applyFill="1" applyAlignment="1" applyProtection="1">
      <alignment vertical="top"/>
      <protection hidden="1"/>
    </xf>
    <xf numFmtId="0" fontId="7" fillId="9" borderId="0" xfId="0" applyFont="1" applyFill="1" applyAlignment="1" applyProtection="1">
      <alignment vertical="top"/>
      <protection hidden="1"/>
    </xf>
    <xf numFmtId="0" fontId="7" fillId="10" borderId="0" xfId="0" applyFont="1" applyFill="1" applyProtection="1">
      <protection hidden="1"/>
    </xf>
    <xf numFmtId="0" fontId="0" fillId="10" borderId="0" xfId="0" applyFill="1" applyProtection="1">
      <protection locked="0" hidden="1"/>
    </xf>
    <xf numFmtId="0" fontId="0" fillId="10" borderId="0" xfId="0" applyFill="1" applyProtection="1">
      <protection hidden="1"/>
    </xf>
    <xf numFmtId="0" fontId="7" fillId="10" borderId="0" xfId="0" applyFont="1" applyFill="1" applyAlignment="1" applyProtection="1">
      <alignment horizontal="center" vertical="center"/>
      <protection hidden="1"/>
    </xf>
    <xf numFmtId="49" fontId="0" fillId="10" borderId="0" xfId="0" applyNumberFormat="1" applyFill="1" applyAlignment="1" applyProtection="1">
      <alignment vertical="top"/>
      <protection hidden="1"/>
    </xf>
    <xf numFmtId="49" fontId="0" fillId="10" borderId="0" xfId="0" applyNumberFormat="1" applyFill="1" applyAlignment="1" applyProtection="1">
      <alignment vertical="top"/>
      <protection locked="0" hidden="1"/>
    </xf>
    <xf numFmtId="0" fontId="0" fillId="10" borderId="4" xfId="0" applyFill="1" applyBorder="1" applyProtection="1">
      <protection hidden="1"/>
    </xf>
    <xf numFmtId="0" fontId="0" fillId="10" borderId="4" xfId="0" applyFill="1" applyBorder="1" applyProtection="1">
      <protection locked="0" hidden="1"/>
    </xf>
    <xf numFmtId="3" fontId="0" fillId="10" borderId="4" xfId="0" applyNumberFormat="1" applyFill="1" applyBorder="1" applyProtection="1">
      <protection hidden="1"/>
    </xf>
    <xf numFmtId="3" fontId="7" fillId="10" borderId="0" xfId="0" applyNumberFormat="1" applyFont="1" applyFill="1" applyProtection="1">
      <protection hidden="1"/>
    </xf>
    <xf numFmtId="3" fontId="0" fillId="10" borderId="0" xfId="0" applyNumberFormat="1" applyFill="1" applyProtection="1">
      <protection hidden="1"/>
    </xf>
    <xf numFmtId="0" fontId="7" fillId="10" borderId="0" xfId="0" applyFont="1" applyFill="1" applyProtection="1">
      <protection locked="0" hidden="1"/>
    </xf>
    <xf numFmtId="49" fontId="7" fillId="10" borderId="0" xfId="0" applyNumberFormat="1" applyFont="1" applyFill="1" applyAlignment="1" applyProtection="1">
      <alignment vertical="top"/>
      <protection hidden="1"/>
    </xf>
    <xf numFmtId="3" fontId="7" fillId="10" borderId="0" xfId="0" applyNumberFormat="1" applyFont="1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locked="0" hidden="1"/>
    </xf>
    <xf numFmtId="0" fontId="7" fillId="10" borderId="0" xfId="0" applyFont="1" applyFill="1" applyAlignment="1" applyProtection="1">
      <alignment vertical="top"/>
      <protection hidden="1"/>
    </xf>
    <xf numFmtId="3" fontId="0" fillId="10" borderId="0" xfId="0" applyNumberFormat="1" applyFill="1" applyAlignment="1" applyProtection="1">
      <alignment vertical="top"/>
      <protection hidden="1"/>
    </xf>
    <xf numFmtId="0" fontId="36" fillId="10" borderId="0" xfId="0" applyFont="1" applyFill="1" applyAlignment="1" applyProtection="1">
      <alignment vertical="top"/>
      <protection hidden="1"/>
    </xf>
    <xf numFmtId="0" fontId="36" fillId="10" borderId="0" xfId="0" applyFont="1" applyFill="1" applyAlignment="1" applyProtection="1">
      <alignment vertical="top"/>
      <protection locked="0" hidden="1"/>
    </xf>
    <xf numFmtId="3" fontId="36" fillId="10" borderId="0" xfId="0" applyNumberFormat="1" applyFont="1" applyFill="1" applyAlignment="1" applyProtection="1">
      <alignment vertical="top"/>
      <protection hidden="1"/>
    </xf>
    <xf numFmtId="0" fontId="42" fillId="0" borderId="0" xfId="0" applyFont="1" applyAlignment="1" applyProtection="1">
      <alignment horizontal="center" vertical="center"/>
      <protection hidden="1"/>
    </xf>
    <xf numFmtId="0" fontId="3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47" fillId="0" borderId="0" xfId="0" applyFont="1" applyProtection="1">
      <protection hidden="1"/>
    </xf>
    <xf numFmtId="0" fontId="48" fillId="0" borderId="0" xfId="0" applyFont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3" fontId="50" fillId="0" borderId="0" xfId="0" applyNumberFormat="1" applyFont="1" applyProtection="1">
      <protection hidden="1"/>
    </xf>
    <xf numFmtId="0" fontId="49" fillId="0" borderId="0" xfId="0" applyFont="1" applyProtection="1">
      <protection hidden="1"/>
    </xf>
    <xf numFmtId="3" fontId="49" fillId="0" borderId="0" xfId="0" applyNumberFormat="1" applyFont="1" applyProtection="1">
      <protection hidden="1"/>
    </xf>
    <xf numFmtId="0" fontId="39" fillId="0" borderId="0" xfId="0" applyFont="1" applyProtection="1">
      <protection hidden="1"/>
    </xf>
    <xf numFmtId="3" fontId="39" fillId="0" borderId="0" xfId="0" applyNumberFormat="1" applyFont="1" applyProtection="1">
      <protection hidden="1"/>
    </xf>
    <xf numFmtId="0" fontId="53" fillId="0" borderId="0" xfId="0" applyFont="1" applyProtection="1">
      <protection hidden="1"/>
    </xf>
    <xf numFmtId="3" fontId="53" fillId="0" borderId="0" xfId="0" applyNumberFormat="1" applyFont="1" applyProtection="1">
      <protection hidden="1"/>
    </xf>
    <xf numFmtId="168" fontId="0" fillId="5" borderId="0" xfId="0" applyNumberFormat="1" applyFill="1" applyProtection="1">
      <protection hidden="1"/>
    </xf>
    <xf numFmtId="0" fontId="0" fillId="12" borderId="0" xfId="0" applyFill="1" applyProtection="1">
      <protection hidden="1"/>
    </xf>
    <xf numFmtId="0" fontId="35" fillId="0" borderId="0" xfId="0" applyFont="1" applyAlignment="1" applyProtection="1">
      <alignment horizontal="right"/>
      <protection hidden="1"/>
    </xf>
    <xf numFmtId="3" fontId="35" fillId="0" borderId="0" xfId="0" applyNumberFormat="1" applyFont="1" applyProtection="1">
      <protection hidden="1"/>
    </xf>
    <xf numFmtId="10" fontId="6" fillId="0" borderId="4" xfId="2" applyNumberFormat="1" applyBorder="1" applyAlignment="1" applyProtection="1">
      <alignment horizontal="center"/>
      <protection hidden="1"/>
    </xf>
    <xf numFmtId="10" fontId="6" fillId="0" borderId="5" xfId="2" applyNumberFormat="1" applyBorder="1" applyAlignment="1" applyProtection="1">
      <alignment horizontal="center"/>
      <protection hidden="1"/>
    </xf>
    <xf numFmtId="9" fontId="0" fillId="0" borderId="14" xfId="2" applyFont="1" applyBorder="1" applyAlignment="1" applyProtection="1">
      <alignment horizontal="center"/>
      <protection hidden="1"/>
    </xf>
    <xf numFmtId="9" fontId="0" fillId="0" borderId="4" xfId="2" applyFont="1" applyBorder="1" applyAlignment="1" applyProtection="1">
      <alignment horizontal="center"/>
      <protection hidden="1"/>
    </xf>
    <xf numFmtId="167" fontId="0" fillId="0" borderId="4" xfId="2" applyNumberFormat="1" applyFont="1" applyBorder="1" applyAlignment="1" applyProtection="1">
      <alignment horizontal="center"/>
      <protection hidden="1"/>
    </xf>
    <xf numFmtId="167" fontId="0" fillId="0" borderId="14" xfId="2" applyNumberFormat="1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67" fontId="0" fillId="0" borderId="5" xfId="2" applyNumberFormat="1" applyFont="1" applyBorder="1" applyAlignment="1" applyProtection="1">
      <alignment horizontal="center"/>
      <protection hidden="1"/>
    </xf>
    <xf numFmtId="3" fontId="11" fillId="0" borderId="5" xfId="0" applyNumberFormat="1" applyFont="1" applyBorder="1" applyProtection="1"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0" fontId="7" fillId="0" borderId="16" xfId="0" applyFont="1" applyBorder="1" applyProtection="1">
      <protection hidden="1"/>
    </xf>
    <xf numFmtId="0" fontId="0" fillId="0" borderId="16" xfId="0" applyBorder="1" applyProtection="1">
      <protection hidden="1"/>
    </xf>
    <xf numFmtId="3" fontId="7" fillId="0" borderId="16" xfId="0" applyNumberFormat="1" applyFont="1" applyBorder="1" applyProtection="1">
      <protection hidden="1"/>
    </xf>
    <xf numFmtId="0" fontId="0" fillId="4" borderId="13" xfId="0" applyFill="1" applyBorder="1" applyProtection="1">
      <protection locked="0"/>
    </xf>
    <xf numFmtId="0" fontId="0" fillId="0" borderId="13" xfId="0" applyBorder="1" applyProtection="1">
      <protection locked="0"/>
    </xf>
    <xf numFmtId="3" fontId="0" fillId="0" borderId="4" xfId="0" applyNumberFormat="1" applyBorder="1" applyProtection="1">
      <protection locked="0" hidden="1"/>
    </xf>
    <xf numFmtId="1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5" xfId="0" applyNumberFormat="1" applyFont="1" applyBorder="1" applyProtection="1"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16" fillId="0" borderId="5" xfId="0" applyFont="1" applyBorder="1" applyProtection="1">
      <protection hidden="1"/>
    </xf>
    <xf numFmtId="0" fontId="33" fillId="0" borderId="2" xfId="0" applyFont="1" applyBorder="1" applyAlignment="1" applyProtection="1">
      <alignment vertical="center"/>
      <protection hidden="1"/>
    </xf>
    <xf numFmtId="0" fontId="33" fillId="0" borderId="2" xfId="0" applyFont="1" applyBorder="1" applyProtection="1">
      <protection hidden="1"/>
    </xf>
    <xf numFmtId="0" fontId="16" fillId="0" borderId="2" xfId="0" applyFon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Protection="1">
      <protection locked="0" hidden="1"/>
    </xf>
    <xf numFmtId="3" fontId="7" fillId="0" borderId="0" xfId="0" applyNumberFormat="1" applyFont="1" applyProtection="1">
      <protection locked="0" hidden="1"/>
    </xf>
    <xf numFmtId="0" fontId="54" fillId="0" borderId="2" xfId="0" applyFont="1" applyBorder="1" applyAlignment="1" applyProtection="1">
      <alignment horizontal="right"/>
      <protection hidden="1"/>
    </xf>
    <xf numFmtId="0" fontId="38" fillId="0" borderId="2" xfId="0" applyFont="1" applyBorder="1" applyProtection="1">
      <protection hidden="1"/>
    </xf>
    <xf numFmtId="3" fontId="54" fillId="0" borderId="2" xfId="0" applyNumberFormat="1" applyFont="1" applyBorder="1" applyProtection="1">
      <protection hidden="1"/>
    </xf>
    <xf numFmtId="168" fontId="0" fillId="0" borderId="5" xfId="0" applyNumberFormat="1" applyBorder="1" applyAlignment="1" applyProtection="1">
      <alignment horizontal="center"/>
      <protection hidden="1"/>
    </xf>
    <xf numFmtId="168" fontId="0" fillId="0" borderId="15" xfId="0" applyNumberFormat="1" applyBorder="1" applyAlignment="1" applyProtection="1">
      <alignment horizontal="center"/>
      <protection hidden="1"/>
    </xf>
    <xf numFmtId="0" fontId="21" fillId="0" borderId="12" xfId="0" applyFont="1" applyBorder="1" applyAlignment="1" applyProtection="1">
      <alignment vertical="center"/>
      <protection hidden="1"/>
    </xf>
    <xf numFmtId="0" fontId="7" fillId="0" borderId="4" xfId="0" quotePrefix="1" applyFont="1" applyBorder="1" applyProtection="1">
      <protection hidden="1"/>
    </xf>
    <xf numFmtId="0" fontId="55" fillId="0" borderId="14" xfId="0" applyFont="1" applyBorder="1" applyAlignment="1" applyProtection="1">
      <alignment horizontal="center" vertical="center"/>
      <protection hidden="1"/>
    </xf>
    <xf numFmtId="0" fontId="55" fillId="0" borderId="4" xfId="0" applyFont="1" applyBorder="1" applyAlignment="1" applyProtection="1">
      <alignment horizontal="center" vertical="center"/>
      <protection hidden="1"/>
    </xf>
    <xf numFmtId="0" fontId="7" fillId="0" borderId="2" xfId="0" quotePrefix="1" applyFont="1" applyBorder="1" applyProtection="1">
      <protection hidden="1"/>
    </xf>
    <xf numFmtId="0" fontId="46" fillId="0" borderId="17" xfId="0" quotePrefix="1" applyFont="1" applyBorder="1" applyProtection="1">
      <protection hidden="1"/>
    </xf>
    <xf numFmtId="0" fontId="52" fillId="0" borderId="17" xfId="0" applyFont="1" applyBorder="1" applyProtection="1">
      <protection hidden="1"/>
    </xf>
    <xf numFmtId="3" fontId="52" fillId="0" borderId="17" xfId="0" applyNumberFormat="1" applyFont="1" applyBorder="1" applyProtection="1">
      <protection hidden="1"/>
    </xf>
    <xf numFmtId="3" fontId="46" fillId="0" borderId="17" xfId="0" applyNumberFormat="1" applyFont="1" applyBorder="1" applyProtection="1">
      <protection hidden="1"/>
    </xf>
    <xf numFmtId="0" fontId="0" fillId="0" borderId="18" xfId="0" quotePrefix="1" applyBorder="1" applyProtection="1">
      <protection hidden="1"/>
    </xf>
    <xf numFmtId="0" fontId="0" fillId="0" borderId="18" xfId="0" applyBorder="1" applyProtection="1">
      <protection hidden="1"/>
    </xf>
    <xf numFmtId="3" fontId="0" fillId="0" borderId="18" xfId="0" applyNumberFormat="1" applyBorder="1" applyProtection="1">
      <protection hidden="1"/>
    </xf>
    <xf numFmtId="0" fontId="30" fillId="8" borderId="4" xfId="0" applyFont="1" applyFill="1" applyBorder="1" applyProtection="1">
      <protection hidden="1"/>
    </xf>
    <xf numFmtId="1" fontId="42" fillId="0" borderId="0" xfId="0" applyNumberFormat="1" applyFont="1" applyAlignment="1" applyProtection="1">
      <alignment horizontal="center" vertical="center"/>
      <protection hidden="1"/>
    </xf>
    <xf numFmtId="169" fontId="42" fillId="0" borderId="0" xfId="0" applyNumberFormat="1" applyFont="1" applyAlignment="1" applyProtection="1">
      <alignment horizontal="center" vertical="center"/>
      <protection hidden="1"/>
    </xf>
    <xf numFmtId="1" fontId="43" fillId="0" borderId="0" xfId="0" applyNumberFormat="1" applyFont="1" applyAlignment="1" applyProtection="1">
      <alignment horizontal="center" vertical="center"/>
      <protection hidden="1"/>
    </xf>
    <xf numFmtId="169" fontId="43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56" fillId="0" borderId="0" xfId="0" applyFont="1" applyProtection="1">
      <protection hidden="1"/>
    </xf>
    <xf numFmtId="1" fontId="44" fillId="0" borderId="0" xfId="0" applyNumberFormat="1" applyFont="1" applyAlignment="1" applyProtection="1">
      <alignment horizontal="center" vertical="center"/>
      <protection hidden="1"/>
    </xf>
    <xf numFmtId="169" fontId="44" fillId="0" borderId="0" xfId="0" applyNumberFormat="1" applyFont="1" applyAlignment="1" applyProtection="1">
      <alignment horizontal="center" vertical="center"/>
      <protection hidden="1"/>
    </xf>
    <xf numFmtId="1" fontId="45" fillId="0" borderId="0" xfId="0" applyNumberFormat="1" applyFont="1" applyAlignment="1" applyProtection="1">
      <alignment horizontal="center" vertical="center"/>
      <protection hidden="1"/>
    </xf>
    <xf numFmtId="169" fontId="45" fillId="0" borderId="0" xfId="0" applyNumberFormat="1" applyFont="1" applyAlignment="1" applyProtection="1">
      <alignment horizontal="center" vertical="center"/>
      <protection hidden="1"/>
    </xf>
    <xf numFmtId="1" fontId="48" fillId="0" borderId="0" xfId="0" applyNumberFormat="1" applyFont="1" applyAlignment="1" applyProtection="1">
      <alignment horizontal="center" vertical="center"/>
      <protection hidden="1"/>
    </xf>
    <xf numFmtId="169" fontId="48" fillId="0" borderId="0" xfId="0" applyNumberFormat="1" applyFont="1" applyAlignment="1" applyProtection="1">
      <alignment horizontal="center" vertical="center"/>
      <protection hidden="1"/>
    </xf>
    <xf numFmtId="1" fontId="47" fillId="0" borderId="0" xfId="0" applyNumberFormat="1" applyFont="1" applyAlignment="1" applyProtection="1">
      <alignment horizontal="center" vertical="center"/>
      <protection hidden="1"/>
    </xf>
    <xf numFmtId="169" fontId="47" fillId="0" borderId="0" xfId="0" applyNumberFormat="1" applyFont="1" applyAlignment="1" applyProtection="1">
      <alignment horizontal="center" vertical="center"/>
      <protection hidden="1"/>
    </xf>
    <xf numFmtId="1" fontId="7" fillId="5" borderId="0" xfId="0" applyNumberFormat="1" applyFont="1" applyFill="1" applyAlignment="1" applyProtection="1">
      <alignment horizontal="center" vertical="center"/>
      <protection hidden="1"/>
    </xf>
    <xf numFmtId="0" fontId="7" fillId="13" borderId="2" xfId="0" applyFont="1" applyFill="1" applyBorder="1" applyAlignment="1" applyProtection="1">
      <alignment horizontal="left" vertical="center" wrapText="1"/>
      <protection hidden="1"/>
    </xf>
    <xf numFmtId="0" fontId="7" fillId="13" borderId="2" xfId="0" applyFont="1" applyFill="1" applyBorder="1" applyAlignment="1" applyProtection="1">
      <alignment horizontal="center" vertical="center" wrapText="1"/>
      <protection hidden="1"/>
    </xf>
    <xf numFmtId="0" fontId="31" fillId="13" borderId="2" xfId="0" applyFont="1" applyFill="1" applyBorder="1" applyAlignment="1" applyProtection="1">
      <alignment horizontal="center" vertical="center" wrapText="1"/>
      <protection hidden="1"/>
    </xf>
    <xf numFmtId="0" fontId="0" fillId="13" borderId="2" xfId="0" applyFill="1" applyBorder="1" applyProtection="1">
      <protection hidden="1"/>
    </xf>
    <xf numFmtId="0" fontId="7" fillId="13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Protection="1">
      <protection hidden="1"/>
    </xf>
    <xf numFmtId="0" fontId="0" fillId="14" borderId="2" xfId="0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/>
      <protection hidden="1"/>
    </xf>
    <xf numFmtId="0" fontId="7" fillId="13" borderId="2" xfId="0" applyFont="1" applyFill="1" applyBorder="1" applyProtection="1">
      <protection hidden="1"/>
    </xf>
    <xf numFmtId="169" fontId="7" fillId="14" borderId="2" xfId="0" applyNumberFormat="1" applyFont="1" applyFill="1" applyBorder="1" applyAlignment="1" applyProtection="1">
      <alignment horizontal="center" vertical="center"/>
      <protection hidden="1"/>
    </xf>
    <xf numFmtId="169" fontId="7" fillId="13" borderId="2" xfId="0" applyNumberFormat="1" applyFont="1" applyFill="1" applyBorder="1" applyAlignment="1" applyProtection="1">
      <alignment horizontal="center" vertical="center"/>
      <protection hidden="1"/>
    </xf>
    <xf numFmtId="0" fontId="7" fillId="15" borderId="2" xfId="0" applyFont="1" applyFill="1" applyBorder="1" applyProtection="1">
      <protection hidden="1"/>
    </xf>
    <xf numFmtId="0" fontId="0" fillId="15" borderId="2" xfId="0" applyFill="1" applyBorder="1" applyProtection="1">
      <protection hidden="1"/>
    </xf>
    <xf numFmtId="0" fontId="7" fillId="15" borderId="2" xfId="0" applyFont="1" applyFill="1" applyBorder="1" applyAlignment="1" applyProtection="1">
      <alignment horizontal="center" vertical="center"/>
      <protection hidden="1"/>
    </xf>
    <xf numFmtId="169" fontId="7" fillId="15" borderId="2" xfId="0" applyNumberFormat="1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center"/>
      <protection hidden="1"/>
    </xf>
    <xf numFmtId="0" fontId="7" fillId="13" borderId="2" xfId="0" applyFont="1" applyFill="1" applyBorder="1" applyAlignment="1" applyProtection="1">
      <alignment horizontal="center"/>
      <protection hidden="1"/>
    </xf>
    <xf numFmtId="3" fontId="0" fillId="12" borderId="0" xfId="0" applyNumberFormat="1" applyFill="1" applyProtection="1">
      <protection hidden="1"/>
    </xf>
    <xf numFmtId="17" fontId="0" fillId="0" borderId="4" xfId="0" applyNumberFormat="1" applyBorder="1" applyAlignment="1" applyProtection="1">
      <alignment horizontal="center"/>
      <protection hidden="1"/>
    </xf>
    <xf numFmtId="3" fontId="0" fillId="7" borderId="0" xfId="0" applyNumberFormat="1" applyFill="1" applyProtection="1">
      <protection hidden="1"/>
    </xf>
    <xf numFmtId="3" fontId="38" fillId="19" borderId="0" xfId="0" applyNumberFormat="1" applyFont="1" applyFill="1" applyProtection="1">
      <protection hidden="1"/>
    </xf>
    <xf numFmtId="4" fontId="0" fillId="5" borderId="0" xfId="0" applyNumberFormat="1" applyFill="1" applyProtection="1">
      <protection hidden="1"/>
    </xf>
    <xf numFmtId="0" fontId="0" fillId="11" borderId="1" xfId="0" applyFill="1" applyBorder="1" applyProtection="1">
      <protection hidden="1"/>
    </xf>
    <xf numFmtId="14" fontId="0" fillId="5" borderId="0" xfId="0" applyNumberFormat="1" applyFill="1" applyProtection="1">
      <protection hidden="1"/>
    </xf>
    <xf numFmtId="14" fontId="0" fillId="0" borderId="0" xfId="0" applyNumberFormat="1" applyProtection="1">
      <protection hidden="1"/>
    </xf>
    <xf numFmtId="0" fontId="0" fillId="8" borderId="4" xfId="0" applyFill="1" applyBorder="1" applyProtection="1">
      <protection hidden="1"/>
    </xf>
    <xf numFmtId="3" fontId="14" fillId="6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6" fillId="0" borderId="0" xfId="0" applyFont="1" applyAlignment="1" applyProtection="1">
      <alignment horizontal="right"/>
      <protection hidden="1"/>
    </xf>
    <xf numFmtId="3" fontId="36" fillId="0" borderId="0" xfId="0" applyNumberFormat="1" applyFont="1" applyProtection="1">
      <protection hidden="1"/>
    </xf>
    <xf numFmtId="0" fontId="0" fillId="20" borderId="0" xfId="0" applyFill="1" applyProtection="1">
      <protection hidden="1"/>
    </xf>
    <xf numFmtId="0" fontId="0" fillId="8" borderId="0" xfId="0" applyFill="1" applyProtection="1">
      <protection hidden="1"/>
    </xf>
    <xf numFmtId="3" fontId="40" fillId="0" borderId="0" xfId="0" applyNumberFormat="1" applyFont="1" applyProtection="1">
      <protection hidden="1"/>
    </xf>
    <xf numFmtId="168" fontId="40" fillId="5" borderId="0" xfId="0" applyNumberFormat="1" applyFont="1" applyFill="1" applyProtection="1">
      <protection hidden="1"/>
    </xf>
    <xf numFmtId="0" fontId="40" fillId="5" borderId="0" xfId="0" applyFont="1" applyFill="1" applyProtection="1">
      <protection hidden="1"/>
    </xf>
    <xf numFmtId="0" fontId="11" fillId="0" borderId="4" xfId="0" quotePrefix="1" applyFont="1" applyBorder="1" applyProtection="1">
      <protection hidden="1"/>
    </xf>
    <xf numFmtId="3" fontId="11" fillId="0" borderId="4" xfId="0" applyNumberFormat="1" applyFont="1" applyBorder="1" applyProtection="1">
      <protection hidden="1"/>
    </xf>
    <xf numFmtId="17" fontId="11" fillId="0" borderId="4" xfId="0" applyNumberFormat="1" applyFont="1" applyBorder="1" applyAlignment="1" applyProtection="1">
      <alignment horizontal="center"/>
      <protection hidden="1"/>
    </xf>
    <xf numFmtId="168" fontId="11" fillId="0" borderId="4" xfId="0" applyNumberFormat="1" applyFont="1" applyBorder="1" applyAlignment="1" applyProtection="1">
      <alignment horizontal="center"/>
      <protection hidden="1"/>
    </xf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60" fillId="10" borderId="6" xfId="0" applyFont="1" applyFill="1" applyBorder="1" applyAlignment="1" applyProtection="1">
      <alignment horizontal="center" vertical="center"/>
      <protection hidden="1"/>
    </xf>
    <xf numFmtId="0" fontId="10" fillId="10" borderId="0" xfId="0" applyFont="1" applyFill="1" applyAlignment="1" applyProtection="1">
      <alignment horizontal="center" vertical="center"/>
      <protection hidden="1"/>
    </xf>
    <xf numFmtId="0" fontId="10" fillId="10" borderId="10" xfId="0" applyFont="1" applyFill="1" applyBorder="1" applyAlignment="1" applyProtection="1">
      <alignment horizontal="center"/>
      <protection hidden="1"/>
    </xf>
    <xf numFmtId="0" fontId="58" fillId="10" borderId="19" xfId="0" applyFont="1" applyFill="1" applyBorder="1" applyAlignment="1" applyProtection="1">
      <alignment horizontal="center" vertical="center"/>
      <protection hidden="1"/>
    </xf>
    <xf numFmtId="0" fontId="59" fillId="10" borderId="21" xfId="0" applyFont="1" applyFill="1" applyBorder="1" applyAlignment="1" applyProtection="1">
      <alignment horizontal="center" vertical="center"/>
      <protection hidden="1"/>
    </xf>
    <xf numFmtId="168" fontId="11" fillId="0" borderId="15" xfId="0" applyNumberFormat="1" applyFont="1" applyBorder="1" applyAlignment="1" applyProtection="1">
      <alignment horizontal="center"/>
      <protection hidden="1"/>
    </xf>
    <xf numFmtId="0" fontId="59" fillId="10" borderId="20" xfId="0" applyFont="1" applyFill="1" applyBorder="1" applyAlignment="1" applyProtection="1">
      <alignment horizontal="center" vertical="center"/>
      <protection hidden="1"/>
    </xf>
    <xf numFmtId="3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0" fillId="8" borderId="0" xfId="0" applyNumberFormat="1" applyFill="1" applyProtection="1"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61" fillId="0" borderId="0" xfId="0" quotePrefix="1" applyFont="1" applyProtection="1">
      <protection hidden="1"/>
    </xf>
    <xf numFmtId="2" fontId="0" fillId="0" borderId="0" xfId="0" applyNumberFormat="1" applyProtection="1">
      <protection hidden="1"/>
    </xf>
    <xf numFmtId="0" fontId="57" fillId="0" borderId="0" xfId="0" applyFont="1" applyAlignment="1" applyProtection="1">
      <alignment vertical="center" wrapText="1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170" fontId="7" fillId="0" borderId="0" xfId="0" applyNumberFormat="1" applyFont="1" applyAlignment="1" applyProtection="1">
      <alignment horizontal="center" vertical="center"/>
      <protection hidden="1"/>
    </xf>
    <xf numFmtId="3" fontId="0" fillId="0" borderId="1" xfId="0" applyNumberFormat="1" applyBorder="1" applyProtection="1">
      <protection hidden="1"/>
    </xf>
    <xf numFmtId="3" fontId="0" fillId="4" borderId="4" xfId="0" applyNumberFormat="1" applyFill="1" applyBorder="1" applyProtection="1">
      <protection locked="0"/>
    </xf>
    <xf numFmtId="0" fontId="16" fillId="0" borderId="5" xfId="0" quotePrefix="1" applyFont="1" applyBorder="1" applyProtection="1">
      <protection hidden="1"/>
    </xf>
    <xf numFmtId="3" fontId="16" fillId="0" borderId="5" xfId="0" applyNumberFormat="1" applyFont="1" applyBorder="1" applyProtection="1">
      <protection hidden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70" fontId="0" fillId="4" borderId="4" xfId="0" applyNumberFormat="1" applyFill="1" applyBorder="1" applyProtection="1">
      <protection locked="0"/>
    </xf>
    <xf numFmtId="10" fontId="0" fillId="4" borderId="4" xfId="0" applyNumberFormat="1" applyFill="1" applyBorder="1" applyAlignment="1" applyProtection="1">
      <alignment horizontal="center" vertical="center"/>
      <protection locked="0"/>
    </xf>
    <xf numFmtId="10" fontId="0" fillId="4" borderId="4" xfId="0" applyNumberFormat="1" applyFill="1" applyBorder="1" applyProtection="1">
      <protection locked="0"/>
    </xf>
    <xf numFmtId="10" fontId="0" fillId="4" borderId="4" xfId="0" quotePrefix="1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0" fontId="0" fillId="0" borderId="4" xfId="0" applyNumberFormat="1" applyBorder="1" applyProtection="1">
      <protection locked="0" hidden="1"/>
    </xf>
    <xf numFmtId="3" fontId="7" fillId="0" borderId="4" xfId="0" applyNumberFormat="1" applyFont="1" applyBorder="1" applyProtection="1">
      <protection locked="0" hidden="1"/>
    </xf>
    <xf numFmtId="0" fontId="0" fillId="0" borderId="0" xfId="0" applyProtection="1">
      <protection locked="0" hidden="1"/>
    </xf>
    <xf numFmtId="0" fontId="0" fillId="5" borderId="0" xfId="0" applyFill="1" applyProtection="1">
      <protection locked="0"/>
    </xf>
    <xf numFmtId="0" fontId="0" fillId="4" borderId="5" xfId="0" quotePrefix="1" applyFill="1" applyBorder="1" applyProtection="1">
      <protection locked="0"/>
    </xf>
    <xf numFmtId="0" fontId="0" fillId="4" borderId="4" xfId="0" quotePrefix="1" applyFill="1" applyBorder="1" applyProtection="1">
      <protection locked="0"/>
    </xf>
    <xf numFmtId="0" fontId="0" fillId="4" borderId="13" xfId="0" quotePrefix="1" applyFill="1" applyBorder="1" applyProtection="1"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8" fillId="3" borderId="0" xfId="0" applyFont="1" applyFill="1" applyProtection="1">
      <protection hidden="1"/>
    </xf>
    <xf numFmtId="0" fontId="0" fillId="3" borderId="0" xfId="0" applyFill="1"/>
    <xf numFmtId="0" fontId="22" fillId="3" borderId="0" xfId="0" applyFont="1" applyFill="1" applyAlignment="1" applyProtection="1">
      <alignment horizontal="center" vertical="center"/>
      <protection hidden="1"/>
    </xf>
    <xf numFmtId="0" fontId="0" fillId="3" borderId="2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" fillId="3" borderId="4" xfId="0" applyFont="1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4" fillId="3" borderId="0" xfId="0" applyFont="1" applyFill="1" applyAlignment="1" applyProtection="1">
      <alignment horizontal="center" vertical="center"/>
      <protection hidden="1"/>
    </xf>
    <xf numFmtId="0" fontId="0" fillId="3" borderId="12" xfId="0" applyFill="1" applyBorder="1" applyProtection="1">
      <protection hidden="1"/>
    </xf>
    <xf numFmtId="0" fontId="25" fillId="3" borderId="0" xfId="0" applyFont="1" applyFill="1" applyProtection="1">
      <protection hidden="1"/>
    </xf>
    <xf numFmtId="3" fontId="25" fillId="3" borderId="0" xfId="0" applyNumberFormat="1" applyFont="1" applyFill="1" applyProtection="1">
      <protection hidden="1"/>
    </xf>
    <xf numFmtId="0" fontId="11" fillId="3" borderId="4" xfId="0" applyFont="1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20" fillId="3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10" fontId="16" fillId="0" borderId="4" xfId="2" applyNumberFormat="1" applyFont="1" applyFill="1" applyBorder="1" applyProtection="1">
      <protection locked="0"/>
    </xf>
    <xf numFmtId="10" fontId="16" fillId="0" borderId="4" xfId="2" applyNumberFormat="1" applyFont="1" applyFill="1" applyBorder="1" applyProtection="1">
      <protection hidden="1"/>
    </xf>
    <xf numFmtId="0" fontId="64" fillId="0" borderId="0" xfId="5" applyProtection="1">
      <protection hidden="1"/>
    </xf>
    <xf numFmtId="0" fontId="35" fillId="0" borderId="0" xfId="0" applyFo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3" fontId="0" fillId="0" borderId="2" xfId="0" applyNumberFormat="1" applyBorder="1" applyProtection="1">
      <protection hidden="1"/>
    </xf>
    <xf numFmtId="0" fontId="0" fillId="0" borderId="13" xfId="0" applyBorder="1"/>
    <xf numFmtId="0" fontId="66" fillId="26" borderId="22" xfId="6" applyFont="1" applyProtection="1">
      <protection hidden="1"/>
    </xf>
    <xf numFmtId="0" fontId="7" fillId="13" borderId="2" xfId="0" applyFont="1" applyFill="1" applyBorder="1" applyAlignment="1" applyProtection="1">
      <alignment horizontal="centerContinuous" vertical="center" wrapText="1"/>
      <protection hidden="1"/>
    </xf>
    <xf numFmtId="0" fontId="31" fillId="13" borderId="2" xfId="0" applyFont="1" applyFill="1" applyBorder="1" applyAlignment="1" applyProtection="1">
      <alignment horizontal="centerContinuous" vertical="center" wrapText="1"/>
      <protection hidden="1"/>
    </xf>
    <xf numFmtId="3" fontId="0" fillId="27" borderId="4" xfId="0" applyNumberFormat="1" applyFill="1" applyBorder="1" applyProtection="1">
      <protection hidden="1"/>
    </xf>
    <xf numFmtId="9" fontId="0" fillId="27" borderId="14" xfId="0" applyNumberFormat="1" applyFill="1" applyBorder="1" applyProtection="1">
      <protection hidden="1"/>
    </xf>
    <xf numFmtId="3" fontId="0" fillId="27" borderId="14" xfId="0" applyNumberFormat="1" applyFill="1" applyBorder="1" applyProtection="1">
      <protection hidden="1"/>
    </xf>
    <xf numFmtId="9" fontId="0" fillId="27" borderId="4" xfId="0" applyNumberFormat="1" applyFill="1" applyBorder="1" applyProtection="1">
      <protection hidden="1"/>
    </xf>
    <xf numFmtId="168" fontId="0" fillId="27" borderId="4" xfId="0" applyNumberFormat="1" applyFill="1" applyBorder="1" applyAlignment="1" applyProtection="1">
      <alignment horizontal="center"/>
      <protection locked="0"/>
    </xf>
    <xf numFmtId="3" fontId="0" fillId="27" borderId="4" xfId="0" applyNumberForma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8" fillId="28" borderId="0" xfId="0" applyFont="1" applyFill="1" applyAlignment="1" applyProtection="1">
      <alignment horizontal="center" vertical="center"/>
      <protection hidden="1"/>
    </xf>
    <xf numFmtId="0" fontId="8" fillId="28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7" fillId="0" borderId="23" xfId="0" quotePrefix="1" applyFont="1" applyBorder="1" applyProtection="1">
      <protection hidden="1"/>
    </xf>
    <xf numFmtId="3" fontId="7" fillId="0" borderId="23" xfId="0" applyNumberFormat="1" applyFont="1" applyBorder="1" applyProtection="1">
      <protection hidden="1"/>
    </xf>
    <xf numFmtId="0" fontId="51" fillId="0" borderId="18" xfId="0" quotePrefix="1" applyFont="1" applyBorder="1" applyProtection="1">
      <protection hidden="1"/>
    </xf>
    <xf numFmtId="3" fontId="51" fillId="0" borderId="18" xfId="0" applyNumberFormat="1" applyFont="1" applyBorder="1" applyProtection="1">
      <protection hidden="1"/>
    </xf>
    <xf numFmtId="0" fontId="13" fillId="0" borderId="4" xfId="0" quotePrefix="1" applyFont="1" applyBorder="1" applyProtection="1">
      <protection hidden="1"/>
    </xf>
    <xf numFmtId="3" fontId="13" fillId="0" borderId="4" xfId="0" applyNumberFormat="1" applyFont="1" applyBorder="1" applyProtection="1">
      <protection hidden="1"/>
    </xf>
    <xf numFmtId="0" fontId="13" fillId="0" borderId="4" xfId="0" applyFont="1" applyBorder="1" applyProtection="1">
      <protection hidden="1"/>
    </xf>
    <xf numFmtId="0" fontId="13" fillId="0" borderId="0" xfId="0" quotePrefix="1" applyFont="1" applyProtection="1">
      <protection hidden="1"/>
    </xf>
    <xf numFmtId="3" fontId="13" fillId="0" borderId="0" xfId="0" applyNumberFormat="1" applyFont="1" applyProtection="1">
      <protection hidden="1"/>
    </xf>
    <xf numFmtId="0" fontId="13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9" fillId="0" borderId="4" xfId="0" applyFont="1" applyBorder="1" applyProtection="1">
      <protection hidden="1"/>
    </xf>
    <xf numFmtId="3" fontId="69" fillId="0" borderId="4" xfId="0" applyNumberFormat="1" applyFont="1" applyBorder="1" applyProtection="1">
      <protection hidden="1"/>
    </xf>
    <xf numFmtId="0" fontId="36" fillId="0" borderId="4" xfId="0" applyFont="1" applyBorder="1" applyProtection="1">
      <protection hidden="1"/>
    </xf>
    <xf numFmtId="3" fontId="36" fillId="0" borderId="4" xfId="0" applyNumberFormat="1" applyFont="1" applyBorder="1" applyProtection="1">
      <protection hidden="1"/>
    </xf>
    <xf numFmtId="0" fontId="8" fillId="22" borderId="0" xfId="0" applyFont="1" applyFill="1" applyAlignment="1" applyProtection="1">
      <alignment horizontal="center"/>
      <protection hidden="1"/>
    </xf>
    <xf numFmtId="0" fontId="7" fillId="23" borderId="0" xfId="0" applyFont="1" applyFill="1" applyAlignment="1" applyProtection="1">
      <alignment horizontal="center"/>
      <protection hidden="1"/>
    </xf>
    <xf numFmtId="0" fontId="7" fillId="20" borderId="12" xfId="0" applyFont="1" applyFill="1" applyBorder="1" applyProtection="1">
      <protection hidden="1"/>
    </xf>
    <xf numFmtId="3" fontId="7" fillId="20" borderId="12" xfId="0" applyNumberFormat="1" applyFont="1" applyFill="1" applyBorder="1" applyProtection="1">
      <protection hidden="1"/>
    </xf>
    <xf numFmtId="0" fontId="7" fillId="12" borderId="12" xfId="0" applyFont="1" applyFill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quotePrefix="1" applyFont="1" applyProtection="1">
      <protection hidden="1"/>
    </xf>
    <xf numFmtId="0" fontId="21" fillId="0" borderId="5" xfId="0" applyFont="1" applyBorder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0" fontId="35" fillId="3" borderId="0" xfId="0" applyFont="1" applyFill="1" applyProtection="1">
      <protection hidden="1"/>
    </xf>
    <xf numFmtId="0" fontId="55" fillId="0" borderId="15" xfId="0" applyFont="1" applyBorder="1" applyAlignment="1" applyProtection="1">
      <alignment horizontal="center" vertical="center"/>
      <protection hidden="1"/>
    </xf>
    <xf numFmtId="3" fontId="11" fillId="0" borderId="14" xfId="0" applyNumberFormat="1" applyFont="1" applyBorder="1" applyAlignment="1" applyProtection="1">
      <alignment horizontal="center" vertical="center"/>
      <protection hidden="1"/>
    </xf>
    <xf numFmtId="3" fontId="11" fillId="0" borderId="4" xfId="0" applyNumberFormat="1" applyFont="1" applyBorder="1" applyAlignment="1" applyProtection="1">
      <alignment horizontal="center" vertical="center"/>
      <protection hidden="1"/>
    </xf>
    <xf numFmtId="3" fontId="11" fillId="0" borderId="15" xfId="0" applyNumberFormat="1" applyFont="1" applyBorder="1" applyAlignment="1" applyProtection="1">
      <alignment horizontal="center" vertical="center"/>
      <protection hidden="1"/>
    </xf>
    <xf numFmtId="17" fontId="0" fillId="0" borderId="5" xfId="0" applyNumberFormat="1" applyBorder="1" applyAlignment="1" applyProtection="1">
      <alignment horizontal="center"/>
      <protection hidden="1"/>
    </xf>
    <xf numFmtId="3" fontId="0" fillId="16" borderId="0" xfId="0" applyNumberFormat="1" applyFill="1" applyProtection="1">
      <protection hidden="1"/>
    </xf>
    <xf numFmtId="3" fontId="0" fillId="17" borderId="0" xfId="0" applyNumberFormat="1" applyFill="1" applyProtection="1">
      <protection hidden="1"/>
    </xf>
    <xf numFmtId="3" fontId="0" fillId="18" borderId="0" xfId="0" applyNumberFormat="1" applyFill="1" applyProtection="1">
      <protection hidden="1"/>
    </xf>
    <xf numFmtId="3" fontId="0" fillId="19" borderId="0" xfId="0" applyNumberFormat="1" applyFill="1" applyProtection="1">
      <protection hidden="1"/>
    </xf>
    <xf numFmtId="0" fontId="2" fillId="4" borderId="1" xfId="0" applyFont="1" applyFill="1" applyBorder="1" applyProtection="1">
      <protection locked="0"/>
    </xf>
    <xf numFmtId="17" fontId="0" fillId="4" borderId="4" xfId="0" applyNumberFormat="1" applyFill="1" applyBorder="1" applyAlignment="1" applyProtection="1">
      <alignment horizontal="center"/>
      <protection locked="0"/>
    </xf>
    <xf numFmtId="168" fontId="0" fillId="4" borderId="4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Protection="1">
      <protection locked="0"/>
    </xf>
    <xf numFmtId="0" fontId="31" fillId="24" borderId="2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/>
    <xf numFmtId="0" fontId="0" fillId="0" borderId="4" xfId="0" applyBorder="1"/>
    <xf numFmtId="0" fontId="63" fillId="0" borderId="2" xfId="0" applyFont="1" applyBorder="1" applyAlignment="1" applyProtection="1">
      <alignment vertical="center"/>
      <protection hidden="1"/>
    </xf>
    <xf numFmtId="0" fontId="0" fillId="4" borderId="14" xfId="0" quotePrefix="1" applyFill="1" applyBorder="1" applyProtection="1">
      <protection locked="0"/>
    </xf>
    <xf numFmtId="17" fontId="0" fillId="4" borderId="14" xfId="0" applyNumberFormat="1" applyFill="1" applyBorder="1" applyAlignment="1" applyProtection="1">
      <alignment horizontal="center"/>
      <protection locked="0"/>
    </xf>
    <xf numFmtId="168" fontId="0" fillId="4" borderId="14" xfId="0" applyNumberFormat="1" applyFill="1" applyBorder="1" applyAlignment="1" applyProtection="1">
      <alignment horizontal="center"/>
      <protection locked="0"/>
    </xf>
    <xf numFmtId="0" fontId="0" fillId="4" borderId="15" xfId="0" quotePrefix="1" applyFill="1" applyBorder="1" applyProtection="1">
      <protection locked="0"/>
    </xf>
    <xf numFmtId="17" fontId="0" fillId="4" borderId="15" xfId="0" applyNumberFormat="1" applyFill="1" applyBorder="1" applyAlignment="1" applyProtection="1">
      <alignment horizontal="center"/>
      <protection locked="0"/>
    </xf>
    <xf numFmtId="168" fontId="0" fillId="4" borderId="15" xfId="0" applyNumberFormat="1" applyFill="1" applyBorder="1" applyAlignment="1" applyProtection="1">
      <alignment horizontal="center"/>
      <protection locked="0"/>
    </xf>
    <xf numFmtId="0" fontId="55" fillId="0" borderId="0" xfId="0" applyFont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right"/>
      <protection hidden="1"/>
    </xf>
    <xf numFmtId="3" fontId="0" fillId="25" borderId="0" xfId="0" applyNumberFormat="1" applyFill="1" applyProtection="1">
      <protection hidden="1"/>
    </xf>
    <xf numFmtId="3" fontId="7" fillId="0" borderId="12" xfId="0" applyNumberFormat="1" applyFont="1" applyBorder="1" applyAlignment="1" applyProtection="1">
      <alignment horizontal="center"/>
      <protection hidden="1"/>
    </xf>
    <xf numFmtId="9" fontId="0" fillId="0" borderId="14" xfId="0" applyNumberFormat="1" applyBorder="1" applyProtection="1">
      <protection locked="0"/>
    </xf>
    <xf numFmtId="9" fontId="0" fillId="0" borderId="4" xfId="0" applyNumberFormat="1" applyBorder="1" applyProtection="1">
      <protection locked="0"/>
    </xf>
    <xf numFmtId="0" fontId="9" fillId="0" borderId="12" xfId="0" applyFont="1" applyBorder="1" applyProtection="1">
      <protection hidden="1"/>
    </xf>
    <xf numFmtId="3" fontId="9" fillId="0" borderId="12" xfId="0" applyNumberFormat="1" applyFont="1" applyBorder="1" applyProtection="1">
      <protection hidden="1"/>
    </xf>
    <xf numFmtId="0" fontId="11" fillId="0" borderId="12" xfId="0" applyFont="1" applyBorder="1" applyProtection="1">
      <protection hidden="1"/>
    </xf>
    <xf numFmtId="0" fontId="46" fillId="0" borderId="16" xfId="0" applyFont="1" applyBorder="1" applyProtection="1">
      <protection hidden="1"/>
    </xf>
    <xf numFmtId="3" fontId="46" fillId="0" borderId="16" xfId="0" applyNumberFormat="1" applyFont="1" applyBorder="1" applyProtection="1">
      <protection hidden="1"/>
    </xf>
    <xf numFmtId="0" fontId="52" fillId="0" borderId="16" xfId="0" applyFont="1" applyBorder="1" applyProtection="1">
      <protection hidden="1"/>
    </xf>
    <xf numFmtId="10" fontId="0" fillId="0" borderId="5" xfId="2" applyNumberFormat="1" applyFont="1" applyFill="1" applyBorder="1" applyProtection="1">
      <protection hidden="1"/>
    </xf>
    <xf numFmtId="10" fontId="0" fillId="0" borderId="14" xfId="0" applyNumberFormat="1" applyBorder="1" applyProtection="1">
      <protection locked="0"/>
    </xf>
    <xf numFmtId="10" fontId="0" fillId="0" borderId="4" xfId="0" applyNumberFormat="1" applyBorder="1" applyProtection="1">
      <protection locked="0"/>
    </xf>
    <xf numFmtId="9" fontId="0" fillId="0" borderId="0" xfId="0" applyNumberFormat="1" applyProtection="1">
      <protection hidden="1"/>
    </xf>
    <xf numFmtId="0" fontId="0" fillId="0" borderId="4" xfId="0" quotePrefix="1" applyBorder="1" applyAlignment="1" applyProtection="1">
      <alignment horizontal="center"/>
      <protection hidden="1"/>
    </xf>
    <xf numFmtId="3" fontId="0" fillId="0" borderId="14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16" fillId="0" borderId="4" xfId="0" applyNumberFormat="1" applyFont="1" applyBorder="1" applyProtection="1">
      <protection locked="0"/>
    </xf>
    <xf numFmtId="10" fontId="0" fillId="0" borderId="4" xfId="2" applyNumberFormat="1" applyFont="1" applyBorder="1" applyProtection="1">
      <protection hidden="1"/>
    </xf>
    <xf numFmtId="171" fontId="0" fillId="0" borderId="4" xfId="0" applyNumberFormat="1" applyBorder="1" applyProtection="1">
      <protection hidden="1"/>
    </xf>
    <xf numFmtId="10" fontId="7" fillId="0" borderId="4" xfId="2" applyNumberFormat="1" applyFont="1" applyBorder="1" applyAlignment="1" applyProtection="1">
      <alignment horizontal="center" vertical="center"/>
      <protection hidden="1"/>
    </xf>
    <xf numFmtId="0" fontId="7" fillId="18" borderId="12" xfId="0" applyFont="1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 wrapText="1"/>
      <protection hidden="1"/>
    </xf>
    <xf numFmtId="0" fontId="31" fillId="14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left" vertical="center" wrapText="1"/>
      <protection hidden="1"/>
    </xf>
    <xf numFmtId="0" fontId="0" fillId="4" borderId="0" xfId="0" quotePrefix="1" applyFill="1" applyProtection="1">
      <protection locked="0"/>
    </xf>
    <xf numFmtId="3" fontId="0" fillId="4" borderId="13" xfId="0" applyNumberFormat="1" applyFill="1" applyBorder="1" applyProtection="1">
      <protection locked="0"/>
    </xf>
    <xf numFmtId="17" fontId="0" fillId="4" borderId="13" xfId="0" applyNumberFormat="1" applyFill="1" applyBorder="1" applyAlignment="1" applyProtection="1">
      <alignment horizontal="center"/>
      <protection locked="0"/>
    </xf>
    <xf numFmtId="0" fontId="55" fillId="0" borderId="16" xfId="0" applyFont="1" applyBorder="1" applyAlignment="1" applyProtection="1">
      <alignment horizontal="center" vertical="center"/>
      <protection hidden="1"/>
    </xf>
    <xf numFmtId="3" fontId="0" fillId="0" borderId="16" xfId="0" applyNumberFormat="1" applyBorder="1" applyProtection="1">
      <protection hidden="1"/>
    </xf>
    <xf numFmtId="10" fontId="30" fillId="5" borderId="0" xfId="2" applyNumberFormat="1" applyFont="1" applyFill="1" applyProtection="1">
      <protection hidden="1"/>
    </xf>
    <xf numFmtId="169" fontId="9" fillId="14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Protection="1">
      <protection hidden="1"/>
    </xf>
    <xf numFmtId="0" fontId="7" fillId="0" borderId="14" xfId="0" applyFont="1" applyBorder="1" applyProtection="1">
      <protection hidden="1"/>
    </xf>
    <xf numFmtId="0" fontId="14" fillId="0" borderId="14" xfId="0" quotePrefix="1" applyFont="1" applyBorder="1" applyProtection="1">
      <protection hidden="1"/>
    </xf>
    <xf numFmtId="0" fontId="14" fillId="0" borderId="4" xfId="0" quotePrefix="1" applyFont="1" applyBorder="1" applyProtection="1">
      <protection hidden="1"/>
    </xf>
    <xf numFmtId="0" fontId="8" fillId="0" borderId="12" xfId="0" applyFont="1" applyBorder="1" applyProtection="1">
      <protection hidden="1"/>
    </xf>
    <xf numFmtId="0" fontId="7" fillId="0" borderId="5" xfId="0" quotePrefix="1" applyFont="1" applyBorder="1" applyProtection="1">
      <protection hidden="1"/>
    </xf>
    <xf numFmtId="0" fontId="30" fillId="0" borderId="4" xfId="0" quotePrefix="1" applyFont="1" applyBorder="1" applyProtection="1">
      <protection hidden="1"/>
    </xf>
    <xf numFmtId="0" fontId="30" fillId="5" borderId="0" xfId="0" applyFont="1" applyFill="1" applyProtection="1">
      <protection hidden="1"/>
    </xf>
    <xf numFmtId="0" fontId="7" fillId="14" borderId="2" xfId="0" applyFont="1" applyFill="1" applyBorder="1" applyAlignment="1" applyProtection="1">
      <alignment horizontal="left" vertical="center"/>
      <protection hidden="1"/>
    </xf>
    <xf numFmtId="0" fontId="14" fillId="0" borderId="0" xfId="0" quotePrefix="1" applyFont="1" applyProtection="1">
      <protection hidden="1"/>
    </xf>
    <xf numFmtId="0" fontId="73" fillId="5" borderId="0" xfId="0" applyFont="1" applyFill="1" applyAlignment="1" applyProtection="1">
      <alignment vertical="top"/>
      <protection hidden="1"/>
    </xf>
    <xf numFmtId="0" fontId="73" fillId="5" borderId="0" xfId="0" applyFont="1" applyFill="1" applyAlignment="1" applyProtection="1">
      <alignment vertical="top"/>
      <protection locked="0" hidden="1"/>
    </xf>
    <xf numFmtId="3" fontId="73" fillId="5" borderId="0" xfId="0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69" fillId="5" borderId="0" xfId="0" applyFont="1" applyFill="1" applyAlignment="1" applyProtection="1">
      <alignment horizontal="center" vertical="center"/>
      <protection hidden="1"/>
    </xf>
    <xf numFmtId="0" fontId="74" fillId="5" borderId="4" xfId="0" applyFont="1" applyFill="1" applyBorder="1" applyProtection="1">
      <protection hidden="1"/>
    </xf>
    <xf numFmtId="0" fontId="0" fillId="0" borderId="4" xfId="0" applyBorder="1" applyAlignment="1" applyProtection="1">
      <alignment horizontal="center"/>
      <protection locked="0"/>
    </xf>
    <xf numFmtId="0" fontId="75" fillId="0" borderId="0" xfId="0" applyFont="1" applyAlignment="1" applyProtection="1">
      <alignment horizontal="center" vertical="center"/>
      <protection hidden="1"/>
    </xf>
    <xf numFmtId="0" fontId="75" fillId="0" borderId="0" xfId="0" applyFont="1" applyAlignment="1" applyProtection="1">
      <alignment horizontal="right" vertical="center"/>
      <protection hidden="1"/>
    </xf>
    <xf numFmtId="0" fontId="1" fillId="0" borderId="0" xfId="0" applyFont="1" applyProtection="1">
      <protection hidden="1"/>
    </xf>
    <xf numFmtId="0" fontId="22" fillId="29" borderId="0" xfId="0" applyFont="1" applyFill="1" applyAlignment="1" applyProtection="1">
      <alignment horizontal="center" vertical="center"/>
      <protection hidden="1"/>
    </xf>
    <xf numFmtId="0" fontId="0" fillId="14" borderId="0" xfId="0" applyFill="1" applyProtection="1">
      <protection hidden="1"/>
    </xf>
    <xf numFmtId="0" fontId="76" fillId="0" borderId="0" xfId="0" quotePrefix="1" applyFont="1" applyProtection="1">
      <protection hidden="1"/>
    </xf>
    <xf numFmtId="0" fontId="0" fillId="23" borderId="0" xfId="0" applyFill="1" applyProtection="1">
      <protection hidden="1"/>
    </xf>
    <xf numFmtId="0" fontId="0" fillId="23" borderId="0" xfId="0" applyFill="1" applyProtection="1">
      <protection locked="0" hidden="1"/>
    </xf>
    <xf numFmtId="0" fontId="0" fillId="0" borderId="0" xfId="0" quotePrefix="1" applyAlignment="1" applyProtection="1">
      <alignment horizontal="right"/>
      <protection hidden="1"/>
    </xf>
    <xf numFmtId="0" fontId="33" fillId="0" borderId="0" xfId="0" applyFont="1" applyProtection="1">
      <protection hidden="1"/>
    </xf>
    <xf numFmtId="0" fontId="67" fillId="0" borderId="14" xfId="0" quotePrefix="1" applyFont="1" applyBorder="1" applyProtection="1">
      <protection hidden="1"/>
    </xf>
    <xf numFmtId="3" fontId="67" fillId="0" borderId="14" xfId="0" applyNumberFormat="1" applyFont="1" applyBorder="1" applyProtection="1">
      <protection hidden="1"/>
    </xf>
    <xf numFmtId="0" fontId="67" fillId="0" borderId="14" xfId="0" applyFont="1" applyBorder="1" applyProtection="1">
      <protection hidden="1"/>
    </xf>
    <xf numFmtId="0" fontId="68" fillId="0" borderId="4" xfId="0" quotePrefix="1" applyFont="1" applyBorder="1" applyProtection="1">
      <protection hidden="1"/>
    </xf>
    <xf numFmtId="3" fontId="68" fillId="0" borderId="4" xfId="0" applyNumberFormat="1" applyFont="1" applyBorder="1" applyProtection="1">
      <protection hidden="1"/>
    </xf>
    <xf numFmtId="0" fontId="68" fillId="0" borderId="4" xfId="0" applyFont="1" applyBorder="1" applyProtection="1">
      <protection hidden="1"/>
    </xf>
    <xf numFmtId="0" fontId="77" fillId="0" borderId="14" xfId="0" applyFont="1" applyBorder="1" applyAlignment="1" applyProtection="1">
      <alignment horizontal="center" vertical="center"/>
      <protection locked="0"/>
    </xf>
    <xf numFmtId="0" fontId="77" fillId="0" borderId="4" xfId="0" applyFont="1" applyBorder="1" applyAlignment="1" applyProtection="1">
      <alignment horizontal="center" vertical="center"/>
      <protection locked="0"/>
    </xf>
    <xf numFmtId="0" fontId="77" fillId="0" borderId="13" xfId="0" applyFont="1" applyBorder="1" applyAlignment="1" applyProtection="1">
      <alignment horizontal="center" vertical="center"/>
      <protection locked="0"/>
    </xf>
    <xf numFmtId="0" fontId="77" fillId="0" borderId="15" xfId="0" applyFont="1" applyBorder="1" applyAlignment="1" applyProtection="1">
      <alignment horizontal="center" vertical="center"/>
      <protection locked="0"/>
    </xf>
    <xf numFmtId="0" fontId="81" fillId="0" borderId="0" xfId="0" applyFont="1" applyAlignment="1" applyProtection="1">
      <alignment horizontal="right"/>
      <protection hidden="1"/>
    </xf>
    <xf numFmtId="0" fontId="16" fillId="0" borderId="13" xfId="0" quotePrefix="1" applyFont="1" applyBorder="1" applyProtection="1">
      <protection hidden="1"/>
    </xf>
    <xf numFmtId="0" fontId="16" fillId="0" borderId="13" xfId="0" applyFont="1" applyBorder="1" applyProtection="1">
      <protection hidden="1"/>
    </xf>
    <xf numFmtId="3" fontId="16" fillId="0" borderId="13" xfId="0" applyNumberFormat="1" applyFont="1" applyBorder="1" applyProtection="1">
      <protection hidden="1"/>
    </xf>
    <xf numFmtId="3" fontId="16" fillId="0" borderId="2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31" borderId="0" xfId="0" applyFill="1" applyProtection="1">
      <protection locked="0" hidden="1"/>
    </xf>
    <xf numFmtId="0" fontId="0" fillId="30" borderId="1" xfId="0" applyFill="1" applyBorder="1" applyProtection="1">
      <protection hidden="1"/>
    </xf>
    <xf numFmtId="0" fontId="0" fillId="30" borderId="3" xfId="0" applyFill="1" applyBorder="1" applyProtection="1">
      <protection hidden="1"/>
    </xf>
    <xf numFmtId="4" fontId="0" fillId="0" borderId="0" xfId="0" applyNumberFormat="1" applyProtection="1">
      <protection hidden="1"/>
    </xf>
    <xf numFmtId="0" fontId="7" fillId="20" borderId="12" xfId="0" applyFont="1" applyFill="1" applyBorder="1" applyAlignment="1" applyProtection="1">
      <alignment horizontal="center" vertical="center"/>
      <protection hidden="1"/>
    </xf>
    <xf numFmtId="0" fontId="7" fillId="12" borderId="12" xfId="0" applyFont="1" applyFill="1" applyBorder="1" applyAlignment="1" applyProtection="1">
      <alignment horizontal="center" vertical="center"/>
      <protection hidden="1"/>
    </xf>
    <xf numFmtId="3" fontId="10" fillId="0" borderId="17" xfId="1" applyNumberFormat="1" applyFont="1" applyFill="1" applyBorder="1" applyAlignment="1" applyProtection="1">
      <alignment vertical="center"/>
      <protection hidden="1"/>
    </xf>
    <xf numFmtId="3" fontId="10" fillId="0" borderId="23" xfId="1" applyNumberFormat="1" applyFont="1" applyFill="1" applyBorder="1" applyAlignment="1" applyProtection="1">
      <alignment vertical="center"/>
      <protection hidden="1"/>
    </xf>
    <xf numFmtId="3" fontId="11" fillId="0" borderId="0" xfId="1" applyNumberFormat="1" applyFont="1" applyFill="1" applyBorder="1" applyAlignment="1" applyProtection="1">
      <alignment vertical="center"/>
      <protection hidden="1"/>
    </xf>
    <xf numFmtId="164" fontId="11" fillId="0" borderId="0" xfId="1" applyFont="1" applyFill="1" applyBorder="1" applyAlignment="1" applyProtection="1">
      <alignment vertical="center" wrapText="1"/>
      <protection hidden="1"/>
    </xf>
    <xf numFmtId="3" fontId="10" fillId="0" borderId="0" xfId="1" applyNumberFormat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top"/>
      <protection locked="0" hidden="1"/>
    </xf>
    <xf numFmtId="0" fontId="0" fillId="8" borderId="0" xfId="0" applyFill="1" applyAlignment="1" applyProtection="1">
      <alignment vertical="top"/>
      <protection hidden="1"/>
    </xf>
    <xf numFmtId="0" fontId="0" fillId="4" borderId="4" xfId="0" quotePrefix="1" applyFill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center" vertical="center"/>
      <protection hidden="1"/>
    </xf>
    <xf numFmtId="0" fontId="0" fillId="0" borderId="5" xfId="0" quotePrefix="1" applyBorder="1" applyProtection="1">
      <protection locked="0"/>
    </xf>
    <xf numFmtId="0" fontId="0" fillId="27" borderId="5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14" fillId="0" borderId="0" xfId="0" applyFont="1"/>
    <xf numFmtId="0" fontId="0" fillId="0" borderId="14" xfId="0" applyBorder="1" applyAlignment="1" applyProtection="1">
      <alignment horizontal="center" shrinkToFit="1"/>
      <protection hidden="1"/>
    </xf>
    <xf numFmtId="0" fontId="35" fillId="3" borderId="0" xfId="0" applyFont="1" applyFill="1" applyAlignment="1" applyProtection="1">
      <alignment horizontal="center" vertical="center"/>
      <protection hidden="1"/>
    </xf>
    <xf numFmtId="3" fontId="10" fillId="0" borderId="0" xfId="0" applyNumberFormat="1" applyFont="1" applyProtection="1">
      <protection hidden="1"/>
    </xf>
    <xf numFmtId="3" fontId="10" fillId="0" borderId="4" xfId="0" applyNumberFormat="1" applyFont="1" applyBorder="1" applyProtection="1">
      <protection locked="0"/>
    </xf>
    <xf numFmtId="3" fontId="10" fillId="0" borderId="5" xfId="0" applyNumberFormat="1" applyFont="1" applyBorder="1" applyProtection="1">
      <protection locked="0"/>
    </xf>
    <xf numFmtId="3" fontId="10" fillId="0" borderId="2" xfId="0" applyNumberFormat="1" applyFont="1" applyBorder="1" applyProtection="1">
      <protection locked="0"/>
    </xf>
    <xf numFmtId="3" fontId="12" fillId="4" borderId="24" xfId="1" applyNumberFormat="1" applyFont="1" applyFill="1" applyBorder="1" applyAlignment="1" applyProtection="1">
      <alignment vertical="center"/>
      <protection locked="0"/>
    </xf>
    <xf numFmtId="3" fontId="12" fillId="4" borderId="25" xfId="1" applyNumberFormat="1" applyFont="1" applyFill="1" applyBorder="1" applyAlignment="1" applyProtection="1">
      <alignment vertical="center"/>
      <protection locked="0"/>
    </xf>
    <xf numFmtId="3" fontId="12" fillId="4" borderId="25" xfId="3" applyNumberFormat="1" applyFont="1" applyFill="1" applyBorder="1" applyAlignment="1" applyProtection="1">
      <alignment vertical="center"/>
      <protection locked="0"/>
    </xf>
    <xf numFmtId="3" fontId="12" fillId="4" borderId="26" xfId="1" applyNumberFormat="1" applyFont="1" applyFill="1" applyBorder="1" applyAlignment="1" applyProtection="1">
      <alignment vertical="center"/>
      <protection locked="0"/>
    </xf>
    <xf numFmtId="3" fontId="10" fillId="4" borderId="23" xfId="1" applyNumberFormat="1" applyFont="1" applyFill="1" applyBorder="1" applyAlignment="1" applyProtection="1">
      <alignment vertical="center"/>
      <protection locked="0"/>
    </xf>
    <xf numFmtId="0" fontId="9" fillId="0" borderId="12" xfId="0" applyFont="1" applyBorder="1" applyAlignment="1" applyProtection="1">
      <alignment vertical="center" wrapText="1"/>
      <protection hidden="1"/>
    </xf>
    <xf numFmtId="3" fontId="9" fillId="0" borderId="12" xfId="0" applyNumberFormat="1" applyFont="1" applyBorder="1" applyAlignment="1" applyProtection="1">
      <alignment vertical="center"/>
      <protection hidden="1"/>
    </xf>
    <xf numFmtId="0" fontId="10" fillId="0" borderId="17" xfId="0" applyFont="1" applyBorder="1" applyAlignment="1" applyProtection="1">
      <alignment vertical="center" wrapText="1"/>
      <protection hidden="1"/>
    </xf>
    <xf numFmtId="0" fontId="11" fillId="0" borderId="24" xfId="0" applyFont="1" applyBorder="1" applyAlignment="1" applyProtection="1">
      <alignment vertical="center" wrapText="1"/>
      <protection hidden="1"/>
    </xf>
    <xf numFmtId="0" fontId="11" fillId="0" borderId="25" xfId="0" applyFont="1" applyBorder="1" applyAlignment="1" applyProtection="1">
      <alignment vertical="center" wrapText="1"/>
      <protection hidden="1"/>
    </xf>
    <xf numFmtId="0" fontId="11" fillId="0" borderId="26" xfId="0" applyFont="1" applyBorder="1" applyAlignment="1" applyProtection="1">
      <alignment vertical="center" wrapText="1"/>
      <protection hidden="1"/>
    </xf>
    <xf numFmtId="0" fontId="10" fillId="0" borderId="23" xfId="0" applyFont="1" applyBorder="1" applyAlignment="1" applyProtection="1">
      <alignment vertical="center" wrapText="1"/>
      <protection hidden="1"/>
    </xf>
    <xf numFmtId="0" fontId="14" fillId="0" borderId="14" xfId="0" applyFont="1" applyBorder="1" applyAlignment="1" applyProtection="1">
      <alignment horizontal="center" shrinkToFit="1"/>
      <protection hidden="1"/>
    </xf>
    <xf numFmtId="0" fontId="14" fillId="0" borderId="4" xfId="0" applyFont="1" applyBorder="1" applyAlignment="1" applyProtection="1">
      <alignment horizontal="center" vertical="center" shrinkToFit="1"/>
      <protection hidden="1"/>
    </xf>
    <xf numFmtId="0" fontId="14" fillId="0" borderId="12" xfId="0" applyFont="1" applyBorder="1" applyProtection="1">
      <protection hidden="1"/>
    </xf>
    <xf numFmtId="0" fontId="14" fillId="0" borderId="14" xfId="0" applyFont="1" applyBorder="1" applyProtection="1">
      <protection hidden="1"/>
    </xf>
    <xf numFmtId="0" fontId="14" fillId="0" borderId="4" xfId="0" applyFont="1" applyBorder="1" applyProtection="1">
      <protection hidden="1"/>
    </xf>
    <xf numFmtId="0" fontId="14" fillId="0" borderId="15" xfId="0" applyFont="1" applyBorder="1" applyProtection="1"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4" fillId="0" borderId="14" xfId="0" applyFont="1" applyBorder="1" applyAlignment="1" applyProtection="1">
      <alignment horizontal="center" vertical="center" shrinkToFi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/>
      <protection hidden="1"/>
    </xf>
    <xf numFmtId="165" fontId="8" fillId="2" borderId="0" xfId="0" applyNumberFormat="1" applyFont="1" applyFill="1" applyAlignment="1" applyProtection="1">
      <alignment horizontal="center"/>
      <protection hidden="1"/>
    </xf>
    <xf numFmtId="0" fontId="11" fillId="0" borderId="0" xfId="0" applyFont="1" applyAlignment="1" applyProtection="1">
      <alignment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wrapText="1"/>
      <protection hidden="1"/>
    </xf>
    <xf numFmtId="166" fontId="0" fillId="0" borderId="4" xfId="0" applyNumberForma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  <xf numFmtId="0" fontId="28" fillId="0" borderId="11" xfId="0" applyFont="1" applyBorder="1" applyAlignment="1" applyProtection="1">
      <alignment horizontal="center" vertical="center" wrapText="1"/>
      <protection hidden="1"/>
    </xf>
    <xf numFmtId="0" fontId="19" fillId="21" borderId="7" xfId="0" applyFont="1" applyFill="1" applyBorder="1" applyAlignment="1" applyProtection="1">
      <alignment horizontal="center"/>
      <protection hidden="1"/>
    </xf>
    <xf numFmtId="0" fontId="19" fillId="21" borderId="8" xfId="0" applyFont="1" applyFill="1" applyBorder="1" applyAlignment="1" applyProtection="1">
      <alignment horizontal="center"/>
      <protection hidden="1"/>
    </xf>
    <xf numFmtId="0" fontId="19" fillId="21" borderId="9" xfId="0" applyFont="1" applyFill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 vertical="center" wrapText="1"/>
      <protection hidden="1"/>
    </xf>
    <xf numFmtId="0" fontId="59" fillId="10" borderId="0" xfId="0" applyFont="1" applyFill="1" applyAlignment="1" applyProtection="1">
      <alignment horizontal="center" vertical="center"/>
      <protection hidden="1"/>
    </xf>
    <xf numFmtId="0" fontId="59" fillId="10" borderId="20" xfId="0" applyFont="1" applyFill="1" applyBorder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horizontal="center" vertical="center" wrapText="1"/>
      <protection hidden="1"/>
    </xf>
    <xf numFmtId="3" fontId="34" fillId="0" borderId="15" xfId="0" applyNumberFormat="1" applyFont="1" applyBorder="1" applyAlignment="1" applyProtection="1">
      <alignment horizontal="left" vertical="center" wrapText="1"/>
      <protection hidden="1"/>
    </xf>
    <xf numFmtId="3" fontId="33" fillId="0" borderId="15" xfId="0" applyNumberFormat="1" applyFont="1" applyBorder="1" applyAlignment="1" applyProtection="1">
      <alignment horizontal="left" vertical="center" wrapText="1"/>
      <protection hidden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3" fontId="34" fillId="0" borderId="2" xfId="0" applyNumberFormat="1" applyFont="1" applyBorder="1" applyAlignment="1" applyProtection="1">
      <alignment horizontal="left" vertical="center" wrapText="1"/>
      <protection hidden="1"/>
    </xf>
    <xf numFmtId="3" fontId="33" fillId="0" borderId="2" xfId="0" applyNumberFormat="1" applyFont="1" applyBorder="1" applyAlignment="1" applyProtection="1">
      <alignment horizontal="left" vertical="center" wrapText="1"/>
      <protection hidden="1"/>
    </xf>
  </cellXfs>
  <cellStyles count="9">
    <cellStyle name="Dane wyjściowe" xfId="6" builtinId="21"/>
    <cellStyle name="Dziesiętny" xfId="1" builtinId="3"/>
    <cellStyle name="Dziesiętny 2" xfId="3" xr:uid="{00000000-0005-0000-0000-000001000000}"/>
    <cellStyle name="Dziesiętny 2 2" xfId="8" xr:uid="{531D26A1-5168-4455-9227-26BDE9BF6263}"/>
    <cellStyle name="Dziesiętny 3" xfId="7" xr:uid="{567DEA59-77D8-462B-8E2E-34CF00ADFAEC}"/>
    <cellStyle name="Hiperłącze" xfId="5" builtinId="8"/>
    <cellStyle name="Normalny" xfId="0" builtinId="0"/>
    <cellStyle name="Normalny 3" xfId="4" xr:uid="{00000000-0005-0000-0000-000003000000}"/>
    <cellStyle name="Procentowy" xfId="2" builtinId="5"/>
  </cellStyles>
  <dxfs count="661"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 patternType="none">
          <bgColor auto="1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auto="1"/>
      </font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99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59996337778862885"/>
        </patternFill>
      </fill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 patternType="solid">
          <fgColor auto="1"/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 patternType="solid">
          <fgColor auto="1"/>
          <bgColor rgb="FFFFFF99"/>
        </patternFill>
      </fill>
    </dxf>
    <dxf>
      <fill>
        <patternFill patternType="solid"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rgb="FF9C5700"/>
      </font>
      <fill>
        <patternFill>
          <bgColor rgb="FFFFEB9C"/>
        </patternFill>
      </fill>
    </dxf>
    <dxf>
      <fill>
        <patternFill patternType="lightUp">
          <fgColor rgb="FFC00000"/>
          <bgColor auto="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rgb="FF00B0F0"/>
        </patternFill>
      </fill>
    </dxf>
    <dxf>
      <fill>
        <patternFill patternType="none">
          <bgColor auto="1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64B3C953-E45D-48ED-820A-921D76D89F95}"/>
  </tableStyles>
  <colors>
    <mruColors>
      <color rgb="FFFFFF99"/>
      <color rgb="FFFFBEBE"/>
      <color rgb="FFFFFFCC"/>
      <color rgb="FFC0504D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Założenia!$C$179" lockText="1" noThreeD="1"/>
</file>

<file path=xl/ctrlProps/ctrlProp10.xml><?xml version="1.0" encoding="utf-8"?>
<formControlPr xmlns="http://schemas.microsoft.com/office/spreadsheetml/2009/9/main" objectType="CheckBox" fmlaLink="Moduły!$C$561" lockText="1" noThreeD="1"/>
</file>

<file path=xl/ctrlProps/ctrlProp11.xml><?xml version="1.0" encoding="utf-8"?>
<formControlPr xmlns="http://schemas.microsoft.com/office/spreadsheetml/2009/9/main" objectType="CheckBox" fmlaLink="Moduły!$C$562" lockText="1" noThreeD="1"/>
</file>

<file path=xl/ctrlProps/ctrlProp12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GBox"/>
</file>

<file path=xl/ctrlProps/ctrlProp15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GBox"/>
</file>

<file path=xl/ctrlProps/ctrlProp17.xml><?xml version="1.0" encoding="utf-8"?>
<formControlPr xmlns="http://schemas.microsoft.com/office/spreadsheetml/2009/9/main" objectType="GBox"/>
</file>

<file path=xl/ctrlProps/ctrlProp18.xml><?xml version="1.0" encoding="utf-8"?>
<formControlPr xmlns="http://schemas.microsoft.com/office/spreadsheetml/2009/9/main" objectType="Radio" checked="Checked" firstButton="1" fmlaLink="$C$2233" lockText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/>
</file>

<file path=xl/ctrlProps/ctrlProp20.xml><?xml version="1.0" encoding="utf-8"?>
<formControlPr xmlns="http://schemas.microsoft.com/office/spreadsheetml/2009/9/main" objectType="Radio" checked="Checked" firstButton="1" fmlaLink="$C$2232" lockText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/>
</file>

<file path=xl/ctrlProps/ctrlProp23.xml><?xml version="1.0" encoding="utf-8"?>
<formControlPr xmlns="http://schemas.microsoft.com/office/spreadsheetml/2009/9/main" objectType="Radio" checked="Checked" firstButton="1" fmlaLink="$C$2234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GBox"/>
</file>

<file path=xl/ctrlProps/ctrlProp26.xml><?xml version="1.0" encoding="utf-8"?>
<formControlPr xmlns="http://schemas.microsoft.com/office/spreadsheetml/2009/9/main" objectType="Radio" checked="Checked" firstButton="1" fmlaLink="$C$2235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GBox"/>
</file>

<file path=xl/ctrlProps/ctrlProp29.xml><?xml version="1.0" encoding="utf-8"?>
<formControlPr xmlns="http://schemas.microsoft.com/office/spreadsheetml/2009/9/main" objectType="Radio" checked="Checked" firstButton="1" fmlaLink="$C$2236" lockText="1"/>
</file>

<file path=xl/ctrlProps/ctrlProp3.xml><?xml version="1.0" encoding="utf-8"?>
<formControlPr xmlns="http://schemas.microsoft.com/office/spreadsheetml/2009/9/main" objectType="GBox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/>
</file>

<file path=xl/ctrlProps/ctrlProp32.xml><?xml version="1.0" encoding="utf-8"?>
<formControlPr xmlns="http://schemas.microsoft.com/office/spreadsheetml/2009/9/main" objectType="Radio" checked="Checked" firstButton="1" fmlaLink="$C$2237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GBox"/>
</file>

<file path=xl/ctrlProps/ctrlProp35.xml><?xml version="1.0" encoding="utf-8"?>
<formControlPr xmlns="http://schemas.microsoft.com/office/spreadsheetml/2009/9/main" objectType="Radio" checked="Checked" firstButton="1" fmlaLink="$C$2238" lockText="1"/>
</file>

<file path=xl/ctrlProps/ctrlProp36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GBox"/>
</file>

<file path=xl/ctrlProps/ctrlProp38.xml><?xml version="1.0" encoding="utf-8"?>
<formControlPr xmlns="http://schemas.microsoft.com/office/spreadsheetml/2009/9/main" objectType="Radio" checked="Checked" firstButton="1" fmlaLink="$C$2239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/>
</file>

<file path=xl/ctrlProps/ctrlProp41.xml><?xml version="1.0" encoding="utf-8"?>
<formControlPr xmlns="http://schemas.microsoft.com/office/spreadsheetml/2009/9/main" objectType="Radio" checked="Checked" firstButton="1" fmlaLink="$G$193" lockText="1"/>
</file>

<file path=xl/ctrlProps/ctrlProp42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Radio" checked="Checked" firstButton="1" fmlaLink="$G$194" lockText="1"/>
</file>

<file path=xl/ctrlProps/ctrlProp44.xml><?xml version="1.0" encoding="utf-8"?>
<formControlPr xmlns="http://schemas.microsoft.com/office/spreadsheetml/2009/9/main" objectType="Radio" lockText="1"/>
</file>

<file path=xl/ctrlProps/ctrlProp45.xml><?xml version="1.0" encoding="utf-8"?>
<formControlPr xmlns="http://schemas.microsoft.com/office/spreadsheetml/2009/9/main" objectType="GBox"/>
</file>

<file path=xl/ctrlProps/ctrlProp46.xml><?xml version="1.0" encoding="utf-8"?>
<formControlPr xmlns="http://schemas.microsoft.com/office/spreadsheetml/2009/9/main" objectType="GBox"/>
</file>

<file path=xl/ctrlProps/ctrlProp47.xml><?xml version="1.0" encoding="utf-8"?>
<formControlPr xmlns="http://schemas.microsoft.com/office/spreadsheetml/2009/9/main" objectType="Radio" checked="Checked" firstButton="1" fmlaLink="$G$195" lockText="1"/>
</file>

<file path=xl/ctrlProps/ctrlProp48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CheckBox" fmlaLink="Moduły!$C$556" lockText="1" noThreeD="1"/>
</file>

<file path=xl/ctrlProps/ctrlProp50.xml><?xml version="1.0" encoding="utf-8"?>
<formControlPr xmlns="http://schemas.microsoft.com/office/spreadsheetml/2009/9/main" objectType="GBox"/>
</file>

<file path=xl/ctrlProps/ctrlProp51.xml><?xml version="1.0" encoding="utf-8"?>
<formControlPr xmlns="http://schemas.microsoft.com/office/spreadsheetml/2009/9/main" objectType="GBox"/>
</file>

<file path=xl/ctrlProps/ctrlProp52.xml><?xml version="1.0" encoding="utf-8"?>
<formControlPr xmlns="http://schemas.microsoft.com/office/spreadsheetml/2009/9/main" objectType="GBox"/>
</file>

<file path=xl/ctrlProps/ctrlProp53.xml><?xml version="1.0" encoding="utf-8"?>
<formControlPr xmlns="http://schemas.microsoft.com/office/spreadsheetml/2009/9/main" objectType="GBox"/>
</file>

<file path=xl/ctrlProps/ctrlProp6.xml><?xml version="1.0" encoding="utf-8"?>
<formControlPr xmlns="http://schemas.microsoft.com/office/spreadsheetml/2009/9/main" objectType="CheckBox" fmlaLink="Moduły!$C$557" lockText="1" noThreeD="1"/>
</file>

<file path=xl/ctrlProps/ctrlProp7.xml><?xml version="1.0" encoding="utf-8"?>
<formControlPr xmlns="http://schemas.microsoft.com/office/spreadsheetml/2009/9/main" objectType="CheckBox" fmlaLink="Moduły!$C$558" lockText="1" noThreeD="1"/>
</file>

<file path=xl/ctrlProps/ctrlProp8.xml><?xml version="1.0" encoding="utf-8"?>
<formControlPr xmlns="http://schemas.microsoft.com/office/spreadsheetml/2009/9/main" objectType="CheckBox" fmlaLink="Moduły!$C$559" lockText="1" noThreeD="1"/>
</file>

<file path=xl/ctrlProps/ctrlProp9.xml><?xml version="1.0" encoding="utf-8"?>
<formControlPr xmlns="http://schemas.microsoft.com/office/spreadsheetml/2009/9/main" objectType="CheckBox" fmlaLink="Moduły!$C$560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388620</xdr:colOff>
          <xdr:row>9</xdr:row>
          <xdr:rowOff>7620</xdr:rowOff>
        </xdr:from>
        <xdr:to>
          <xdr:col>6</xdr:col>
          <xdr:colOff>1889760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Tak, jesteśmy MŚP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0</xdr:colOff>
      <xdr:row>14</xdr:row>
      <xdr:rowOff>83003</xdr:rowOff>
    </xdr:from>
    <xdr:to>
      <xdr:col>6</xdr:col>
      <xdr:colOff>2257425</xdr:colOff>
      <xdr:row>20</xdr:row>
      <xdr:rowOff>31297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52400" y="2795723"/>
          <a:ext cx="8627745" cy="923654"/>
          <a:chOff x="161925" y="609597"/>
          <a:chExt cx="9258301" cy="95249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Group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161925" y="609597"/>
                <a:ext cx="9258301" cy="952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27" name="pole tekstowe 26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28" name="pole tekstowe 27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29" name="pole tekstowe 28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30" name="pole tekstowe 29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31" name="pole tekstowe 30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32" name="pole tekstowe 31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33" name="pole tekstowe 32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34" name="pole tekstowe 33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35" name="pole tekstowe 34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36" name="pole tekstowe 35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37" name="pole tekstowe 36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8</xdr:col>
      <xdr:colOff>47625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54305" y="559253"/>
          <a:ext cx="762000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2" name="Group Box 4" hidden="1">
                <a:extLst>
                  <a:ext uri="{63B3BB69-23CF-44E3-9099-C40C66FF867C}">
                    <a14:compatExt spid="_x0000_s27652"/>
                  </a:ext>
                  <a:ext uri="{FF2B5EF4-FFF2-40B4-BE49-F238E27FC236}">
                    <a16:creationId xmlns:a16="http://schemas.microsoft.com/office/drawing/2014/main" id="{00000000-0008-0000-0900-0000046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4" name="pole tekstowe 1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900-000015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 editAs="oneCell">
    <xdr:from>
      <xdr:col>1</xdr:col>
      <xdr:colOff>0</xdr:colOff>
      <xdr:row>511</xdr:row>
      <xdr:rowOff>0</xdr:rowOff>
    </xdr:from>
    <xdr:to>
      <xdr:col>15</xdr:col>
      <xdr:colOff>704850</xdr:colOff>
      <xdr:row>550</xdr:row>
      <xdr:rowOff>106137</xdr:rowOff>
    </xdr:to>
    <xdr:sp macro="" textlink="" fLocksText="0">
      <xdr:nvSpPr>
        <xdr:cNvPr id="4" name="pole tekstow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spect="1"/>
        </xdr:cNvSpPr>
      </xdr:nvSpPr>
      <xdr:spPr>
        <a:xfrm>
          <a:off x="161925" y="68027550"/>
          <a:ext cx="13944600" cy="711653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440</xdr:row>
      <xdr:rowOff>0</xdr:rowOff>
    </xdr:from>
    <xdr:to>
      <xdr:col>23</xdr:col>
      <xdr:colOff>714375</xdr:colOff>
      <xdr:row>483</xdr:row>
      <xdr:rowOff>76200</xdr:rowOff>
    </xdr:to>
    <xdr:sp macro="" textlink="" fLocksText="0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spect="1"/>
        </xdr:cNvSpPr>
      </xdr:nvSpPr>
      <xdr:spPr>
        <a:xfrm>
          <a:off x="161925" y="67722750"/>
          <a:ext cx="17430750" cy="66294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119742</xdr:rowOff>
    </xdr:from>
    <xdr:to>
      <xdr:col>12</xdr:col>
      <xdr:colOff>381002</xdr:colOff>
      <xdr:row>10</xdr:row>
      <xdr:rowOff>43542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52400" y="576942"/>
          <a:ext cx="8610602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14" name="Group Box 10" hidden="1">
                <a:extLst>
                  <a:ext uri="{63B3BB69-23CF-44E3-9099-C40C66FF867C}">
                    <a14:compatExt spid="_x0000_s21514"/>
                  </a:ext>
                  <a:ext uri="{FF2B5EF4-FFF2-40B4-BE49-F238E27FC236}">
                    <a16:creationId xmlns:a16="http://schemas.microsoft.com/office/drawing/2014/main" id="{00000000-0008-0000-0A00-00000A5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</xdr:row>
      <xdr:rowOff>0</xdr:rowOff>
    </xdr:from>
    <xdr:to>
      <xdr:col>24</xdr:col>
      <xdr:colOff>0</xdr:colOff>
      <xdr:row>117</xdr:row>
      <xdr:rowOff>38100</xdr:rowOff>
    </xdr:to>
    <xdr:sp macro="" textlink="" fLocksText="0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spect="1"/>
        </xdr:cNvSpPr>
      </xdr:nvSpPr>
      <xdr:spPr>
        <a:xfrm>
          <a:off x="161925" y="9658350"/>
          <a:ext cx="14878050" cy="76581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54428</xdr:rowOff>
    </xdr:from>
    <xdr:to>
      <xdr:col>13</xdr:col>
      <xdr:colOff>292555</xdr:colOff>
      <xdr:row>9</xdr:row>
      <xdr:rowOff>130628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52400" y="511628"/>
          <a:ext cx="8720275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9" name="Group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100-0000073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42862</xdr:colOff>
          <xdr:row>11</xdr:row>
          <xdr:rowOff>902</xdr:rowOff>
        </xdr:from>
        <xdr:to>
          <xdr:col>14</xdr:col>
          <xdr:colOff>255907</xdr:colOff>
          <xdr:row>24</xdr:row>
          <xdr:rowOff>44449</xdr:rowOff>
        </xdr:to>
        <xdr:grpSp>
          <xdr:nvGrpSpPr>
            <xdr:cNvPr id="5" name="Grupa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8104822" y="1677302"/>
              <a:ext cx="1249365" cy="2062847"/>
              <a:chOff x="8462958" y="1677298"/>
              <a:chExt cx="1317945" cy="2062847"/>
            </a:xfrm>
          </xdr:grpSpPr>
          <xdr:sp macro="" textlink="">
            <xdr:nvSpPr>
              <xdr:cNvPr id="13321" name="Group Box 1033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100-000009340000}"/>
                  </a:ext>
                </a:extLst>
              </xdr:cNvPr>
              <xdr:cNvSpPr/>
            </xdr:nvSpPr>
            <xdr:spPr bwMode="auto">
              <a:xfrm>
                <a:off x="8462958" y="1677298"/>
                <a:ext cx="1317945" cy="2062847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Realizowane moduły</a:t>
                </a:r>
              </a:p>
            </xdr:txBody>
          </xdr:sp>
          <xdr:sp macro="" textlink="">
            <xdr:nvSpPr>
              <xdr:cNvPr id="13322" name="Check Box 1034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100-00000A340000}"/>
                  </a:ext>
                </a:extLst>
              </xdr:cNvPr>
              <xdr:cNvSpPr/>
            </xdr:nvSpPr>
            <xdr:spPr bwMode="auto">
              <a:xfrm>
                <a:off x="8540869" y="1878428"/>
                <a:ext cx="1179214" cy="224602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B+R</a:t>
                </a:r>
              </a:p>
            </xdr:txBody>
          </xdr:sp>
          <xdr:sp macro="" textlink="">
            <xdr:nvSpPr>
              <xdr:cNvPr id="13323" name="Check Box 1035" hidden="1">
                <a:extLst>
                  <a:ext uri="{63B3BB69-23CF-44E3-9099-C40C66FF867C}">
                    <a14:compatExt spid="_x0000_s13323"/>
                  </a:ext>
                  <a:ext uri="{FF2B5EF4-FFF2-40B4-BE49-F238E27FC236}">
                    <a16:creationId xmlns:a16="http://schemas.microsoft.com/office/drawing/2014/main" id="{00000000-0008-0000-0100-00000B340000}"/>
                  </a:ext>
                </a:extLst>
              </xdr:cNvPr>
              <xdr:cNvSpPr/>
            </xdr:nvSpPr>
            <xdr:spPr bwMode="auto">
              <a:xfrm>
                <a:off x="8540869" y="2141166"/>
                <a:ext cx="1179214" cy="225385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Wdrożenie innowacji</a:t>
                </a:r>
              </a:p>
            </xdr:txBody>
          </xdr:sp>
          <xdr:sp macro="" textlink="">
            <xdr:nvSpPr>
              <xdr:cNvPr id="13324" name="Check Box 1036" hidden="1">
                <a:extLst>
                  <a:ext uri="{63B3BB69-23CF-44E3-9099-C40C66FF867C}">
                    <a14:compatExt spid="_x0000_s13324"/>
                  </a:ext>
                  <a:ext uri="{FF2B5EF4-FFF2-40B4-BE49-F238E27FC236}">
                    <a16:creationId xmlns:a16="http://schemas.microsoft.com/office/drawing/2014/main" id="{00000000-0008-0000-0100-00000C340000}"/>
                  </a:ext>
                </a:extLst>
              </xdr:cNvPr>
              <xdr:cNvSpPr/>
            </xdr:nvSpPr>
            <xdr:spPr bwMode="auto">
              <a:xfrm>
                <a:off x="8540868" y="2404687"/>
                <a:ext cx="1179214" cy="225385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Infrastruktura B+R</a:t>
                </a:r>
              </a:p>
            </xdr:txBody>
          </xdr:sp>
          <xdr:sp macro="" textlink="">
            <xdr:nvSpPr>
              <xdr:cNvPr id="13325" name="Check Box 1037" hidden="1">
                <a:extLst>
                  <a:ext uri="{63B3BB69-23CF-44E3-9099-C40C66FF867C}">
                    <a14:compatExt spid="_x0000_s13325"/>
                  </a:ext>
                  <a:ext uri="{FF2B5EF4-FFF2-40B4-BE49-F238E27FC236}">
                    <a16:creationId xmlns:a16="http://schemas.microsoft.com/office/drawing/2014/main" id="{00000000-0008-0000-0100-00000D340000}"/>
                  </a:ext>
                </a:extLst>
              </xdr:cNvPr>
              <xdr:cNvSpPr/>
            </xdr:nvSpPr>
            <xdr:spPr bwMode="auto">
              <a:xfrm>
                <a:off x="8540869" y="266820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Cyfryzacja</a:t>
                </a:r>
              </a:p>
            </xdr:txBody>
          </xdr:sp>
          <xdr:sp macro="" textlink="">
            <xdr:nvSpPr>
              <xdr:cNvPr id="13326" name="Check Box 1038" hidden="1">
                <a:extLst>
                  <a:ext uri="{63B3BB69-23CF-44E3-9099-C40C66FF867C}">
                    <a14:compatExt spid="_x0000_s13326"/>
                  </a:ext>
                  <a:ext uri="{FF2B5EF4-FFF2-40B4-BE49-F238E27FC236}">
                    <a16:creationId xmlns:a16="http://schemas.microsoft.com/office/drawing/2014/main" id="{00000000-0008-0000-0100-00000E340000}"/>
                  </a:ext>
                </a:extLst>
              </xdr:cNvPr>
              <xdr:cNvSpPr/>
            </xdr:nvSpPr>
            <xdr:spPr bwMode="auto">
              <a:xfrm>
                <a:off x="8540868" y="2930946"/>
                <a:ext cx="1179214" cy="219906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Zazielenienie</a:t>
                </a:r>
              </a:p>
            </xdr:txBody>
          </xdr:sp>
          <xdr:sp macro="" textlink="">
            <xdr:nvSpPr>
              <xdr:cNvPr id="13327" name="Check Box 1039" hidden="1">
                <a:extLst>
                  <a:ext uri="{63B3BB69-23CF-44E3-9099-C40C66FF867C}">
                    <a14:compatExt spid="_x0000_s13327"/>
                  </a:ext>
                  <a:ext uri="{FF2B5EF4-FFF2-40B4-BE49-F238E27FC236}">
                    <a16:creationId xmlns:a16="http://schemas.microsoft.com/office/drawing/2014/main" id="{00000000-0008-0000-0100-00000F340000}"/>
                  </a:ext>
                </a:extLst>
              </xdr:cNvPr>
              <xdr:cNvSpPr/>
            </xdr:nvSpPr>
            <xdr:spPr bwMode="auto">
              <a:xfrm>
                <a:off x="8540868" y="3188988"/>
                <a:ext cx="1179214" cy="22147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Kompetencje</a:t>
                </a:r>
              </a:p>
            </xdr:txBody>
          </xdr:sp>
          <xdr:sp macro="" textlink="">
            <xdr:nvSpPr>
              <xdr:cNvPr id="13328" name="Check Box 1040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100-000010340000}"/>
                  </a:ext>
                </a:extLst>
              </xdr:cNvPr>
              <xdr:cNvSpPr/>
            </xdr:nvSpPr>
            <xdr:spPr bwMode="auto">
              <a:xfrm>
                <a:off x="8540868" y="344859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Internacjonalizacja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103414</xdr:colOff>
      <xdr:row>3</xdr:row>
      <xdr:rowOff>105039</xdr:rowOff>
    </xdr:from>
    <xdr:to>
      <xdr:col>5</xdr:col>
      <xdr:colOff>659947</xdr:colOff>
      <xdr:row>9</xdr:row>
      <xdr:rowOff>125187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255814" y="562239"/>
          <a:ext cx="5151393" cy="934548"/>
          <a:chOff x="161924" y="609603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Group Box 6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200-000001280000}"/>
                  </a:ext>
                </a:extLst>
              </xdr:cNvPr>
              <xdr:cNvSpPr/>
            </xdr:nvSpPr>
            <xdr:spPr bwMode="auto">
              <a:xfrm>
                <a:off x="161924" y="609603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252</xdr:row>
      <xdr:rowOff>0</xdr:rowOff>
    </xdr:from>
    <xdr:to>
      <xdr:col>23</xdr:col>
      <xdr:colOff>495301</xdr:colOff>
      <xdr:row>305</xdr:row>
      <xdr:rowOff>95250</xdr:rowOff>
    </xdr:to>
    <xdr:sp macro="" textlink="" fLocksText="0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spect="1"/>
        </xdr:cNvSpPr>
      </xdr:nvSpPr>
      <xdr:spPr>
        <a:xfrm>
          <a:off x="238125" y="38671500"/>
          <a:ext cx="14020801" cy="81724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15</xdr:col>
      <xdr:colOff>395969</xdr:colOff>
      <xdr:row>10</xdr:row>
      <xdr:rowOff>14967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154305" y="548367"/>
          <a:ext cx="9118964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Group Box 29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300-0000012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6" name="pole tekstowe 15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12</xdr:col>
      <xdr:colOff>640897</xdr:colOff>
      <xdr:row>10</xdr:row>
      <xdr:rowOff>25853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54305" y="559253"/>
          <a:ext cx="8556172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8" name="Group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400-0000083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641</xdr:row>
      <xdr:rowOff>0</xdr:rowOff>
    </xdr:from>
    <xdr:to>
      <xdr:col>24</xdr:col>
      <xdr:colOff>9525</xdr:colOff>
      <xdr:row>684</xdr:row>
      <xdr:rowOff>127288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spect="1"/>
        </xdr:cNvSpPr>
      </xdr:nvSpPr>
      <xdr:spPr>
        <a:xfrm>
          <a:off x="158750" y="95461667"/>
          <a:ext cx="17260358" cy="649845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818</xdr:row>
      <xdr:rowOff>0</xdr:rowOff>
    </xdr:from>
    <xdr:to>
      <xdr:col>24</xdr:col>
      <xdr:colOff>8283</xdr:colOff>
      <xdr:row>864</xdr:row>
      <xdr:rowOff>90783</xdr:rowOff>
    </xdr:to>
    <xdr:sp macro="" textlink="" fLocksText="0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spect="1"/>
        </xdr:cNvSpPr>
      </xdr:nvSpPr>
      <xdr:spPr>
        <a:xfrm>
          <a:off x="165652" y="100782783"/>
          <a:ext cx="19331609" cy="6948783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2366</xdr:colOff>
      <xdr:row>3</xdr:row>
      <xdr:rowOff>80935</xdr:rowOff>
    </xdr:from>
    <xdr:to>
      <xdr:col>10</xdr:col>
      <xdr:colOff>111224</xdr:colOff>
      <xdr:row>10</xdr:row>
      <xdr:rowOff>4735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54766" y="538135"/>
          <a:ext cx="8864238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Group Box 42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500-0000011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23</xdr:row>
          <xdr:rowOff>66675</xdr:rowOff>
        </xdr:from>
        <xdr:to>
          <xdr:col>7</xdr:col>
          <xdr:colOff>702675</xdr:colOff>
          <xdr:row>25</xdr:row>
          <xdr:rowOff>121875</xdr:rowOff>
        </xdr:to>
        <xdr:grpSp>
          <xdr:nvGrpSpPr>
            <xdr:cNvPr id="16" name="Grupa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pSpPr/>
          </xdr:nvGrpSpPr>
          <xdr:grpSpPr>
            <a:xfrm>
              <a:off x="5255895" y="3602355"/>
              <a:ext cx="2060940" cy="360000"/>
              <a:chOff x="5619749" y="3609973"/>
              <a:chExt cx="2160000" cy="360000"/>
            </a:xfrm>
          </xdr:grpSpPr>
          <xdr:sp macro="" textlink="">
            <xdr:nvSpPr>
              <xdr:cNvPr id="7178" name="Group Box 10" hidden="1">
                <a:extLst>
                  <a:ext uri="{63B3BB69-23CF-44E3-9099-C40C66FF867C}">
                    <a14:compatExt spid="_x0000_s7178"/>
                  </a:ext>
                  <a:ext uri="{FF2B5EF4-FFF2-40B4-BE49-F238E27FC236}">
                    <a16:creationId xmlns:a16="http://schemas.microsoft.com/office/drawing/2014/main" id="{00000000-0008-0000-0500-00000A1C0000}"/>
                  </a:ext>
                </a:extLst>
              </xdr:cNvPr>
              <xdr:cNvSpPr/>
            </xdr:nvSpPr>
            <xdr:spPr bwMode="auto">
              <a:xfrm>
                <a:off x="5619749" y="3609973"/>
                <a:ext cx="2160000" cy="360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79" name="Option Button 11" hidden="1">
                <a:extLst>
                  <a:ext uri="{63B3BB69-23CF-44E3-9099-C40C66FF867C}">
                    <a14:compatExt spid="_x0000_s7179"/>
                  </a:ext>
                  <a:ext uri="{FF2B5EF4-FFF2-40B4-BE49-F238E27FC236}">
                    <a16:creationId xmlns:a16="http://schemas.microsoft.com/office/drawing/2014/main" id="{00000000-0008-0000-0500-00000B1C0000}"/>
                  </a:ext>
                </a:extLst>
              </xdr:cNvPr>
              <xdr:cNvSpPr/>
            </xdr:nvSpPr>
            <xdr:spPr bwMode="auto">
              <a:xfrm>
                <a:off x="572452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0" name="Option Button 12" hidden="1">
                <a:extLst>
                  <a:ext uri="{63B3BB69-23CF-44E3-9099-C40C66FF867C}">
                    <a14:compatExt spid="_x0000_s7180"/>
                  </a:ext>
                  <a:ext uri="{FF2B5EF4-FFF2-40B4-BE49-F238E27FC236}">
                    <a16:creationId xmlns:a16="http://schemas.microsoft.com/office/drawing/2014/main" id="{00000000-0008-0000-0500-00000C1C0000}"/>
                  </a:ext>
                </a:extLst>
              </xdr:cNvPr>
              <xdr:cNvSpPr/>
            </xdr:nvSpPr>
            <xdr:spPr bwMode="auto">
              <a:xfrm>
                <a:off x="673417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15</xdr:row>
          <xdr:rowOff>66675</xdr:rowOff>
        </xdr:from>
        <xdr:to>
          <xdr:col>7</xdr:col>
          <xdr:colOff>693150</xdr:colOff>
          <xdr:row>17</xdr:row>
          <xdr:rowOff>121875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pSpPr/>
          </xdr:nvGrpSpPr>
          <xdr:grpSpPr>
            <a:xfrm>
              <a:off x="5246370" y="2383155"/>
              <a:ext cx="2060940" cy="360000"/>
              <a:chOff x="5572125" y="2257412"/>
              <a:chExt cx="2238375" cy="360002"/>
            </a:xfrm>
          </xdr:grpSpPr>
          <xdr:sp macro="" textlink="">
            <xdr:nvSpPr>
              <xdr:cNvPr id="7172" name="Group Box 4" hidden="1">
                <a:extLst>
                  <a:ext uri="{63B3BB69-23CF-44E3-9099-C40C66FF867C}">
                    <a14:compatExt spid="_x0000_s7172"/>
                  </a:ext>
                  <a:ext uri="{FF2B5EF4-FFF2-40B4-BE49-F238E27FC236}">
                    <a16:creationId xmlns:a16="http://schemas.microsoft.com/office/drawing/2014/main" id="{00000000-0008-0000-0500-0000041C0000}"/>
                  </a:ext>
                </a:extLst>
              </xdr:cNvPr>
              <xdr:cNvSpPr/>
            </xdr:nvSpPr>
            <xdr:spPr bwMode="auto">
              <a:xfrm>
                <a:off x="5572125" y="2257412"/>
                <a:ext cx="2238375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1" name="Option Button 13" hidden="1">
                <a:extLst>
                  <a:ext uri="{63B3BB69-23CF-44E3-9099-C40C66FF867C}">
                    <a14:compatExt spid="_x0000_s7181"/>
                  </a:ext>
                  <a:ext uri="{FF2B5EF4-FFF2-40B4-BE49-F238E27FC236}">
                    <a16:creationId xmlns:a16="http://schemas.microsoft.com/office/drawing/2014/main" id="{00000000-0008-0000-0500-00000D1C0000}"/>
                  </a:ext>
                </a:extLst>
              </xdr:cNvPr>
              <xdr:cNvSpPr/>
            </xdr:nvSpPr>
            <xdr:spPr bwMode="auto">
              <a:xfrm>
                <a:off x="56769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2" name="Option Button 14" hidden="1">
                <a:extLst>
                  <a:ext uri="{63B3BB69-23CF-44E3-9099-C40C66FF867C}">
                    <a14:compatExt spid="_x0000_s7182"/>
                  </a:ext>
                  <a:ext uri="{FF2B5EF4-FFF2-40B4-BE49-F238E27FC236}">
                    <a16:creationId xmlns:a16="http://schemas.microsoft.com/office/drawing/2014/main" id="{00000000-0008-0000-0500-00000E1C0000}"/>
                  </a:ext>
                </a:extLst>
              </xdr:cNvPr>
              <xdr:cNvSpPr/>
            </xdr:nvSpPr>
            <xdr:spPr bwMode="auto">
              <a:xfrm>
                <a:off x="67056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31</xdr:row>
          <xdr:rowOff>57150</xdr:rowOff>
        </xdr:from>
        <xdr:to>
          <xdr:col>7</xdr:col>
          <xdr:colOff>693150</xdr:colOff>
          <xdr:row>33</xdr:row>
          <xdr:rowOff>112350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5246370" y="4812030"/>
              <a:ext cx="2060940" cy="360000"/>
              <a:chOff x="5610223" y="4819587"/>
              <a:chExt cx="2160000" cy="360002"/>
            </a:xfrm>
          </xdr:grpSpPr>
          <xdr:sp macro="" textlink="">
            <xdr:nvSpPr>
              <xdr:cNvPr id="7183" name="Group Box 15" hidden="1">
                <a:extLst>
                  <a:ext uri="{63B3BB69-23CF-44E3-9099-C40C66FF867C}">
                    <a14:compatExt spid="_x0000_s7183"/>
                  </a:ext>
                  <a:ext uri="{FF2B5EF4-FFF2-40B4-BE49-F238E27FC236}">
                    <a16:creationId xmlns:a16="http://schemas.microsoft.com/office/drawing/2014/main" id="{00000000-0008-0000-0500-00000F1C0000}"/>
                  </a:ext>
                </a:extLst>
              </xdr:cNvPr>
              <xdr:cNvSpPr/>
            </xdr:nvSpPr>
            <xdr:spPr bwMode="auto">
              <a:xfrm>
                <a:off x="5610223" y="4819587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4" name="Option Button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500-0000101C0000}"/>
                  </a:ext>
                </a:extLst>
              </xdr:cNvPr>
              <xdr:cNvSpPr/>
            </xdr:nvSpPr>
            <xdr:spPr bwMode="auto">
              <a:xfrm>
                <a:off x="571500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5" name="Option Button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500-0000111C0000}"/>
                  </a:ext>
                </a:extLst>
              </xdr:cNvPr>
              <xdr:cNvSpPr/>
            </xdr:nvSpPr>
            <xdr:spPr bwMode="auto">
              <a:xfrm>
                <a:off x="672465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39</xdr:row>
          <xdr:rowOff>47625</xdr:rowOff>
        </xdr:from>
        <xdr:to>
          <xdr:col>7</xdr:col>
          <xdr:colOff>712200</xdr:colOff>
          <xdr:row>41</xdr:row>
          <xdr:rowOff>102825</xdr:rowOff>
        </xdr:to>
        <xdr:grpSp>
          <xdr:nvGrpSpPr>
            <xdr:cNvPr id="18" name="Grupa 17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/>
          </xdr:nvGrpSpPr>
          <xdr:grpSpPr>
            <a:xfrm>
              <a:off x="5265420" y="6021705"/>
              <a:ext cx="2060940" cy="360000"/>
              <a:chOff x="5629273" y="6029404"/>
              <a:chExt cx="2160000" cy="360003"/>
            </a:xfrm>
          </xdr:grpSpPr>
          <xdr:sp macro="" textlink="">
            <xdr:nvSpPr>
              <xdr:cNvPr id="7186" name="Group Box 18" hidden="1">
                <a:extLst>
                  <a:ext uri="{63B3BB69-23CF-44E3-9099-C40C66FF867C}">
                    <a14:compatExt spid="_x0000_s7186"/>
                  </a:ext>
                  <a:ext uri="{FF2B5EF4-FFF2-40B4-BE49-F238E27FC236}">
                    <a16:creationId xmlns:a16="http://schemas.microsoft.com/office/drawing/2014/main" id="{00000000-0008-0000-0500-0000121C0000}"/>
                  </a:ext>
                </a:extLst>
              </xdr:cNvPr>
              <xdr:cNvSpPr/>
            </xdr:nvSpPr>
            <xdr:spPr bwMode="auto">
              <a:xfrm>
                <a:off x="5629273" y="6029404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7" name="Option Button 19" hidden="1">
                <a:extLst>
                  <a:ext uri="{63B3BB69-23CF-44E3-9099-C40C66FF867C}">
                    <a14:compatExt spid="_x0000_s7187"/>
                  </a:ext>
                  <a:ext uri="{FF2B5EF4-FFF2-40B4-BE49-F238E27FC236}">
                    <a16:creationId xmlns:a16="http://schemas.microsoft.com/office/drawing/2014/main" id="{00000000-0008-0000-0500-0000131C0000}"/>
                  </a:ext>
                </a:extLst>
              </xdr:cNvPr>
              <xdr:cNvSpPr/>
            </xdr:nvSpPr>
            <xdr:spPr bwMode="auto">
              <a:xfrm>
                <a:off x="5734050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8" name="Option Button 20" hidden="1">
                <a:extLst>
                  <a:ext uri="{63B3BB69-23CF-44E3-9099-C40C66FF867C}">
                    <a14:compatExt spid="_x0000_s7188"/>
                  </a:ext>
                  <a:ext uri="{FF2B5EF4-FFF2-40B4-BE49-F238E27FC236}">
                    <a16:creationId xmlns:a16="http://schemas.microsoft.com/office/drawing/2014/main" id="{00000000-0008-0000-0500-0000141C0000}"/>
                  </a:ext>
                </a:extLst>
              </xdr:cNvPr>
              <xdr:cNvSpPr/>
            </xdr:nvSpPr>
            <xdr:spPr bwMode="auto">
              <a:xfrm>
                <a:off x="6734175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47</xdr:row>
          <xdr:rowOff>47625</xdr:rowOff>
        </xdr:from>
        <xdr:to>
          <xdr:col>7</xdr:col>
          <xdr:colOff>702675</xdr:colOff>
          <xdr:row>49</xdr:row>
          <xdr:rowOff>102825</xdr:rowOff>
        </xdr:to>
        <xdr:grpSp>
          <xdr:nvGrpSpPr>
            <xdr:cNvPr id="19" name="Grupa 18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GrpSpPr/>
          </xdr:nvGrpSpPr>
          <xdr:grpSpPr>
            <a:xfrm>
              <a:off x="5255895" y="7240905"/>
              <a:ext cx="2060940" cy="360000"/>
              <a:chOff x="5619749" y="7248438"/>
              <a:chExt cx="2160000" cy="360002"/>
            </a:xfrm>
          </xdr:grpSpPr>
          <xdr:sp macro="" textlink="">
            <xdr:nvSpPr>
              <xdr:cNvPr id="7189" name="Group Box 21" hidden="1">
                <a:extLst>
                  <a:ext uri="{63B3BB69-23CF-44E3-9099-C40C66FF867C}">
                    <a14:compatExt spid="_x0000_s7189"/>
                  </a:ext>
                  <a:ext uri="{FF2B5EF4-FFF2-40B4-BE49-F238E27FC236}">
                    <a16:creationId xmlns:a16="http://schemas.microsoft.com/office/drawing/2014/main" id="{00000000-0008-0000-0500-0000151C0000}"/>
                  </a:ext>
                </a:extLst>
              </xdr:cNvPr>
              <xdr:cNvSpPr/>
            </xdr:nvSpPr>
            <xdr:spPr bwMode="auto">
              <a:xfrm>
                <a:off x="5619749" y="7248438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0" name="Option Button 22" hidden="1">
                <a:extLst>
                  <a:ext uri="{63B3BB69-23CF-44E3-9099-C40C66FF867C}">
                    <a14:compatExt spid="_x0000_s7190"/>
                  </a:ext>
                  <a:ext uri="{FF2B5EF4-FFF2-40B4-BE49-F238E27FC236}">
                    <a16:creationId xmlns:a16="http://schemas.microsoft.com/office/drawing/2014/main" id="{00000000-0008-0000-0500-0000161C0000}"/>
                  </a:ext>
                </a:extLst>
              </xdr:cNvPr>
              <xdr:cNvSpPr/>
            </xdr:nvSpPr>
            <xdr:spPr bwMode="auto">
              <a:xfrm>
                <a:off x="5724525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1" name="Option Button 23" hidden="1">
                <a:extLst>
                  <a:ext uri="{63B3BB69-23CF-44E3-9099-C40C66FF867C}">
                    <a14:compatExt spid="_x0000_s7191"/>
                  </a:ext>
                  <a:ext uri="{FF2B5EF4-FFF2-40B4-BE49-F238E27FC236}">
                    <a16:creationId xmlns:a16="http://schemas.microsoft.com/office/drawing/2014/main" id="{00000000-0008-0000-0500-0000171C0000}"/>
                  </a:ext>
                </a:extLst>
              </xdr:cNvPr>
              <xdr:cNvSpPr/>
            </xdr:nvSpPr>
            <xdr:spPr bwMode="auto">
              <a:xfrm>
                <a:off x="6724650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55</xdr:row>
          <xdr:rowOff>47625</xdr:rowOff>
        </xdr:from>
        <xdr:to>
          <xdr:col>7</xdr:col>
          <xdr:colOff>702675</xdr:colOff>
          <xdr:row>57</xdr:row>
          <xdr:rowOff>102825</xdr:rowOff>
        </xdr:to>
        <xdr:grpSp>
          <xdr:nvGrpSpPr>
            <xdr:cNvPr id="20" name="Grupa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5255895" y="8460105"/>
              <a:ext cx="2060940" cy="360000"/>
              <a:chOff x="5619749" y="8467616"/>
              <a:chExt cx="2160000" cy="360002"/>
            </a:xfrm>
          </xdr:grpSpPr>
          <xdr:sp macro="" textlink="">
            <xdr:nvSpPr>
              <xdr:cNvPr id="7192" name="Group Box 24" hidden="1">
                <a:extLst>
                  <a:ext uri="{63B3BB69-23CF-44E3-9099-C40C66FF867C}">
                    <a14:compatExt spid="_x0000_s7192"/>
                  </a:ext>
                  <a:ext uri="{FF2B5EF4-FFF2-40B4-BE49-F238E27FC236}">
                    <a16:creationId xmlns:a16="http://schemas.microsoft.com/office/drawing/2014/main" id="{00000000-0008-0000-0500-0000181C0000}"/>
                  </a:ext>
                </a:extLst>
              </xdr:cNvPr>
              <xdr:cNvSpPr/>
            </xdr:nvSpPr>
            <xdr:spPr bwMode="auto">
              <a:xfrm>
                <a:off x="5619749" y="8467616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3" name="Option Button 25" hidden="1">
                <a:extLst>
                  <a:ext uri="{63B3BB69-23CF-44E3-9099-C40C66FF867C}">
                    <a14:compatExt spid="_x0000_s7193"/>
                  </a:ext>
                  <a:ext uri="{FF2B5EF4-FFF2-40B4-BE49-F238E27FC236}">
                    <a16:creationId xmlns:a16="http://schemas.microsoft.com/office/drawing/2014/main" id="{00000000-0008-0000-0500-0000191C0000}"/>
                  </a:ext>
                </a:extLst>
              </xdr:cNvPr>
              <xdr:cNvSpPr/>
            </xdr:nvSpPr>
            <xdr:spPr bwMode="auto">
              <a:xfrm>
                <a:off x="5724525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4" name="Option Button 26" hidden="1">
                <a:extLst>
                  <a:ext uri="{63B3BB69-23CF-44E3-9099-C40C66FF867C}">
                    <a14:compatExt spid="_x0000_s7194"/>
                  </a:ext>
                  <a:ext uri="{FF2B5EF4-FFF2-40B4-BE49-F238E27FC236}">
                    <a16:creationId xmlns:a16="http://schemas.microsoft.com/office/drawing/2014/main" id="{00000000-0008-0000-0500-00001A1C0000}"/>
                  </a:ext>
                </a:extLst>
              </xdr:cNvPr>
              <xdr:cNvSpPr/>
            </xdr:nvSpPr>
            <xdr:spPr bwMode="auto">
              <a:xfrm>
                <a:off x="6724650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104774</xdr:colOff>
          <xdr:row>63</xdr:row>
          <xdr:rowOff>57150</xdr:rowOff>
        </xdr:from>
        <xdr:to>
          <xdr:col>7</xdr:col>
          <xdr:colOff>702674</xdr:colOff>
          <xdr:row>65</xdr:row>
          <xdr:rowOff>112350</xdr:rowOff>
        </xdr:to>
        <xdr:grpSp>
          <xdr:nvGrpSpPr>
            <xdr:cNvPr id="21" name="Grupa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GrpSpPr/>
          </xdr:nvGrpSpPr>
          <xdr:grpSpPr>
            <a:xfrm>
              <a:off x="5255894" y="9688830"/>
              <a:ext cx="2060940" cy="360000"/>
              <a:chOff x="5619748" y="9696325"/>
              <a:chExt cx="2160000" cy="360002"/>
            </a:xfrm>
          </xdr:grpSpPr>
          <xdr:sp macro="" textlink="">
            <xdr:nvSpPr>
              <xdr:cNvPr id="7195" name="Group Box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500-00001B1C0000}"/>
                  </a:ext>
                </a:extLst>
              </xdr:cNvPr>
              <xdr:cNvSpPr/>
            </xdr:nvSpPr>
            <xdr:spPr bwMode="auto">
              <a:xfrm>
                <a:off x="5619748" y="9696325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6" name="Option Button 28" hidden="1">
                <a:extLst>
                  <a:ext uri="{63B3BB69-23CF-44E3-9099-C40C66FF867C}">
                    <a14:compatExt spid="_x0000_s7196"/>
                  </a:ext>
                  <a:ext uri="{FF2B5EF4-FFF2-40B4-BE49-F238E27FC236}">
                    <a16:creationId xmlns:a16="http://schemas.microsoft.com/office/drawing/2014/main" id="{00000000-0008-0000-0500-00001C1C0000}"/>
                  </a:ext>
                </a:extLst>
              </xdr:cNvPr>
              <xdr:cNvSpPr/>
            </xdr:nvSpPr>
            <xdr:spPr bwMode="auto">
              <a:xfrm>
                <a:off x="5724525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7" name="Option Button 29" hidden="1">
                <a:extLst>
                  <a:ext uri="{63B3BB69-23CF-44E3-9099-C40C66FF867C}">
                    <a14:compatExt spid="_x0000_s7197"/>
                  </a:ext>
                  <a:ext uri="{FF2B5EF4-FFF2-40B4-BE49-F238E27FC236}">
                    <a16:creationId xmlns:a16="http://schemas.microsoft.com/office/drawing/2014/main" id="{00000000-0008-0000-0500-00001D1C0000}"/>
                  </a:ext>
                </a:extLst>
              </xdr:cNvPr>
              <xdr:cNvSpPr/>
            </xdr:nvSpPr>
            <xdr:spPr bwMode="auto">
              <a:xfrm>
                <a:off x="6724650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95249</xdr:colOff>
          <xdr:row>71</xdr:row>
          <xdr:rowOff>57150</xdr:rowOff>
        </xdr:from>
        <xdr:to>
          <xdr:col>7</xdr:col>
          <xdr:colOff>693149</xdr:colOff>
          <xdr:row>73</xdr:row>
          <xdr:rowOff>112350</xdr:rowOff>
        </xdr:to>
        <xdr:grpSp>
          <xdr:nvGrpSpPr>
            <xdr:cNvPr id="22" name="Grupa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GrpSpPr/>
          </xdr:nvGrpSpPr>
          <xdr:grpSpPr>
            <a:xfrm>
              <a:off x="5246369" y="10908030"/>
              <a:ext cx="2060940" cy="360000"/>
              <a:chOff x="5610222" y="10915532"/>
              <a:chExt cx="2160000" cy="360002"/>
            </a:xfrm>
          </xdr:grpSpPr>
          <xdr:sp macro="" textlink="">
            <xdr:nvSpPr>
              <xdr:cNvPr id="7198" name="Group Box 30" hidden="1">
                <a:extLst>
                  <a:ext uri="{63B3BB69-23CF-44E3-9099-C40C66FF867C}">
                    <a14:compatExt spid="_x0000_s7198"/>
                  </a:ext>
                  <a:ext uri="{FF2B5EF4-FFF2-40B4-BE49-F238E27FC236}">
                    <a16:creationId xmlns:a16="http://schemas.microsoft.com/office/drawing/2014/main" id="{00000000-0008-0000-0500-00001E1C0000}"/>
                  </a:ext>
                </a:extLst>
              </xdr:cNvPr>
              <xdr:cNvSpPr/>
            </xdr:nvSpPr>
            <xdr:spPr bwMode="auto">
              <a:xfrm>
                <a:off x="5610222" y="10915532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9" name="Option Button 31" hidden="1">
                <a:extLst>
                  <a:ext uri="{63B3BB69-23CF-44E3-9099-C40C66FF867C}">
                    <a14:compatExt spid="_x0000_s7199"/>
                  </a:ext>
                  <a:ext uri="{FF2B5EF4-FFF2-40B4-BE49-F238E27FC236}">
                    <a16:creationId xmlns:a16="http://schemas.microsoft.com/office/drawing/2014/main" id="{00000000-0008-0000-0500-00001F1C0000}"/>
                  </a:ext>
                </a:extLst>
              </xdr:cNvPr>
              <xdr:cNvSpPr/>
            </xdr:nvSpPr>
            <xdr:spPr bwMode="auto">
              <a:xfrm>
                <a:off x="5715000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200" name="Option Button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500-0000201C0000}"/>
                  </a:ext>
                </a:extLst>
              </xdr:cNvPr>
              <xdr:cNvSpPr/>
            </xdr:nvSpPr>
            <xdr:spPr bwMode="auto">
              <a:xfrm>
                <a:off x="6715125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260</xdr:row>
      <xdr:rowOff>0</xdr:rowOff>
    </xdr:from>
    <xdr:to>
      <xdr:col>24</xdr:col>
      <xdr:colOff>1</xdr:colOff>
      <xdr:row>307</xdr:row>
      <xdr:rowOff>122464</xdr:rowOff>
    </xdr:to>
    <xdr:sp macro="" textlink="" fLocksText="0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spect="1"/>
        </xdr:cNvSpPr>
      </xdr:nvSpPr>
      <xdr:spPr>
        <a:xfrm>
          <a:off x="163287" y="37895893"/>
          <a:ext cx="16219714" cy="715735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13</xdr:col>
      <xdr:colOff>178255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154305" y="548367"/>
          <a:ext cx="899269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Group Box 7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600-0000011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38100</xdr:rowOff>
        </xdr:from>
        <xdr:to>
          <xdr:col>1</xdr:col>
          <xdr:colOff>2505075</xdr:colOff>
          <xdr:row>14</xdr:row>
          <xdr:rowOff>428625</xdr:rowOff>
        </xdr:to>
        <xdr:grpSp>
          <xdr:nvGrpSpPr>
            <xdr:cNvPr id="2" name="Grupa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257175" y="2202180"/>
              <a:ext cx="2331720" cy="390525"/>
              <a:chOff x="180975" y="2209813"/>
              <a:chExt cx="2400300" cy="390523"/>
            </a:xfrm>
          </xdr:grpSpPr>
          <xdr:sp macro="" textlink="">
            <xdr:nvSpPr>
              <xdr:cNvPr id="18452" name="Option Button 20" hidden="1">
                <a:extLst>
                  <a:ext uri="{63B3BB69-23CF-44E3-9099-C40C66FF867C}">
                    <a14:compatExt spid="_x0000_s18452"/>
                  </a:ext>
                  <a:ext uri="{FF2B5EF4-FFF2-40B4-BE49-F238E27FC236}">
                    <a16:creationId xmlns:a16="http://schemas.microsoft.com/office/drawing/2014/main" id="{00000000-0008-0000-0700-000014480000}"/>
                  </a:ext>
                </a:extLst>
              </xdr:cNvPr>
              <xdr:cNvSpPr/>
            </xdr:nvSpPr>
            <xdr:spPr bwMode="auto">
              <a:xfrm>
                <a:off x="247650" y="2333625"/>
                <a:ext cx="9620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3" name="Option Button 21" hidden="1">
                <a:extLst>
                  <a:ext uri="{63B3BB69-23CF-44E3-9099-C40C66FF867C}">
                    <a14:compatExt spid="_x0000_s18453"/>
                  </a:ext>
                  <a:ext uri="{FF2B5EF4-FFF2-40B4-BE49-F238E27FC236}">
                    <a16:creationId xmlns:a16="http://schemas.microsoft.com/office/drawing/2014/main" id="{00000000-0008-0000-0700-000015480000}"/>
                  </a:ext>
                </a:extLst>
              </xdr:cNvPr>
              <xdr:cNvSpPr/>
            </xdr:nvSpPr>
            <xdr:spPr bwMode="auto">
              <a:xfrm>
                <a:off x="1476375" y="2333625"/>
                <a:ext cx="8382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2" name="Group Box 30" hidden="1">
                <a:extLst>
                  <a:ext uri="{63B3BB69-23CF-44E3-9099-C40C66FF867C}">
                    <a14:compatExt spid="_x0000_s18462"/>
                  </a:ext>
                  <a:ext uri="{FF2B5EF4-FFF2-40B4-BE49-F238E27FC236}">
                    <a16:creationId xmlns:a16="http://schemas.microsoft.com/office/drawing/2014/main" id="{00000000-0008-0000-0700-00001E480000}"/>
                  </a:ext>
                </a:extLst>
              </xdr:cNvPr>
              <xdr:cNvSpPr/>
            </xdr:nvSpPr>
            <xdr:spPr bwMode="auto">
              <a:xfrm>
                <a:off x="180975" y="2209813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zapasów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38100</xdr:rowOff>
        </xdr:from>
        <xdr:to>
          <xdr:col>1</xdr:col>
          <xdr:colOff>2505075</xdr:colOff>
          <xdr:row>29</xdr:row>
          <xdr:rowOff>428625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GrpSpPr/>
          </xdr:nvGrpSpPr>
          <xdr:grpSpPr>
            <a:xfrm>
              <a:off x="257175" y="4792980"/>
              <a:ext cx="2331720" cy="390525"/>
              <a:chOff x="180975" y="4800641"/>
              <a:chExt cx="2400300" cy="390523"/>
            </a:xfrm>
          </xdr:grpSpPr>
          <xdr:sp macro="" textlink="">
            <xdr:nvSpPr>
              <xdr:cNvPr id="18456" name="Option Button 24" hidden="1">
                <a:extLst>
                  <a:ext uri="{63B3BB69-23CF-44E3-9099-C40C66FF867C}">
                    <a14:compatExt spid="_x0000_s18456"/>
                  </a:ext>
                  <a:ext uri="{FF2B5EF4-FFF2-40B4-BE49-F238E27FC236}">
                    <a16:creationId xmlns:a16="http://schemas.microsoft.com/office/drawing/2014/main" id="{00000000-0008-0000-0700-000018480000}"/>
                  </a:ext>
                </a:extLst>
              </xdr:cNvPr>
              <xdr:cNvSpPr/>
            </xdr:nvSpPr>
            <xdr:spPr bwMode="auto">
              <a:xfrm>
                <a:off x="247650" y="4933950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7" name="Option Button 25" hidden="1">
                <a:extLst>
                  <a:ext uri="{63B3BB69-23CF-44E3-9099-C40C66FF867C}">
                    <a14:compatExt spid="_x0000_s18457"/>
                  </a:ext>
                  <a:ext uri="{FF2B5EF4-FFF2-40B4-BE49-F238E27FC236}">
                    <a16:creationId xmlns:a16="http://schemas.microsoft.com/office/drawing/2014/main" id="{00000000-0008-0000-0700-000019480000}"/>
                  </a:ext>
                </a:extLst>
              </xdr:cNvPr>
              <xdr:cNvSpPr/>
            </xdr:nvSpPr>
            <xdr:spPr bwMode="auto">
              <a:xfrm>
                <a:off x="1485900" y="4933950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3" name="Group Box 31" hidden="1">
                <a:extLst>
                  <a:ext uri="{63B3BB69-23CF-44E3-9099-C40C66FF867C}">
                    <a14:compatExt spid="_x0000_s18463"/>
                  </a:ext>
                  <a:ext uri="{FF2B5EF4-FFF2-40B4-BE49-F238E27FC236}">
                    <a16:creationId xmlns:a16="http://schemas.microsoft.com/office/drawing/2014/main" id="{00000000-0008-0000-0700-00001F480000}"/>
                  </a:ext>
                </a:extLst>
              </xdr:cNvPr>
              <xdr:cNvSpPr/>
            </xdr:nvSpPr>
            <xdr:spPr bwMode="auto">
              <a:xfrm>
                <a:off x="180975" y="4800641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należności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47625</xdr:rowOff>
        </xdr:from>
        <xdr:to>
          <xdr:col>1</xdr:col>
          <xdr:colOff>2505075</xdr:colOff>
          <xdr:row>44</xdr:row>
          <xdr:rowOff>438150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257175" y="7393305"/>
              <a:ext cx="2331720" cy="390525"/>
              <a:chOff x="180975" y="7400925"/>
              <a:chExt cx="2400300" cy="390525"/>
            </a:xfrm>
          </xdr:grpSpPr>
          <xdr:sp macro="" textlink="">
            <xdr:nvSpPr>
              <xdr:cNvPr id="18464" name="Option Button 32" hidden="1">
                <a:extLst>
                  <a:ext uri="{63B3BB69-23CF-44E3-9099-C40C66FF867C}">
                    <a14:compatExt spid="_x0000_s18464"/>
                  </a:ext>
                  <a:ext uri="{FF2B5EF4-FFF2-40B4-BE49-F238E27FC236}">
                    <a16:creationId xmlns:a16="http://schemas.microsoft.com/office/drawing/2014/main" id="{00000000-0008-0000-0700-000020480000}"/>
                  </a:ext>
                </a:extLst>
              </xdr:cNvPr>
              <xdr:cNvSpPr/>
            </xdr:nvSpPr>
            <xdr:spPr bwMode="auto">
              <a:xfrm>
                <a:off x="247650" y="7534275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65" name="Option Button 33" hidden="1">
                <a:extLst>
                  <a:ext uri="{63B3BB69-23CF-44E3-9099-C40C66FF867C}">
                    <a14:compatExt spid="_x0000_s18465"/>
                  </a:ext>
                  <a:ext uri="{FF2B5EF4-FFF2-40B4-BE49-F238E27FC236}">
                    <a16:creationId xmlns:a16="http://schemas.microsoft.com/office/drawing/2014/main" id="{00000000-0008-0000-0700-000021480000}"/>
                  </a:ext>
                </a:extLst>
              </xdr:cNvPr>
              <xdr:cNvSpPr/>
            </xdr:nvSpPr>
            <xdr:spPr bwMode="auto">
              <a:xfrm>
                <a:off x="1485900" y="7534275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6" name="Group Box 34" hidden="1">
                <a:extLst>
                  <a:ext uri="{63B3BB69-23CF-44E3-9099-C40C66FF867C}">
                    <a14:compatExt spid="_x0000_s18466"/>
                  </a:ext>
                  <a:ext uri="{FF2B5EF4-FFF2-40B4-BE49-F238E27FC236}">
                    <a16:creationId xmlns:a16="http://schemas.microsoft.com/office/drawing/2014/main" id="{00000000-0008-0000-0700-000022480000}"/>
                  </a:ext>
                </a:extLst>
              </xdr:cNvPr>
              <xdr:cNvSpPr/>
            </xdr:nvSpPr>
            <xdr:spPr bwMode="auto">
              <a:xfrm>
                <a:off x="180975" y="7400925"/>
                <a:ext cx="2400300" cy="390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zobowiązań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</xdr:colOff>
      <xdr:row>129</xdr:row>
      <xdr:rowOff>152399</xdr:rowOff>
    </xdr:from>
    <xdr:to>
      <xdr:col>23</xdr:col>
      <xdr:colOff>552451</xdr:colOff>
      <xdr:row>186</xdr:row>
      <xdr:rowOff>9524</xdr:rowOff>
    </xdr:to>
    <xdr:sp macro="" textlink="" fLocksText="0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spect="1"/>
        </xdr:cNvSpPr>
      </xdr:nvSpPr>
      <xdr:spPr>
        <a:xfrm>
          <a:off x="161926" y="20878799"/>
          <a:ext cx="13525500" cy="85439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16</xdr:col>
      <xdr:colOff>401411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54305" y="548367"/>
          <a:ext cx="9695906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69" name="Group Box 37" hidden="1">
                <a:extLst>
                  <a:ext uri="{63B3BB69-23CF-44E3-9099-C40C66FF867C}">
                    <a14:compatExt spid="_x0000_s18469"/>
                  </a:ext>
                  <a:ext uri="{FF2B5EF4-FFF2-40B4-BE49-F238E27FC236}">
                    <a16:creationId xmlns:a16="http://schemas.microsoft.com/office/drawing/2014/main" id="{00000000-0008-0000-0700-0000254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17</xdr:col>
      <xdr:colOff>102055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54305" y="559253"/>
          <a:ext cx="952609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61" name="Group Box 9" hidden="1">
                <a:extLst>
                  <a:ext uri="{63B3BB69-23CF-44E3-9099-C40C66FF867C}">
                    <a14:compatExt spid="_x0000_s23561"/>
                  </a:ext>
                  <a:ext uri="{FF2B5EF4-FFF2-40B4-BE49-F238E27FC236}">
                    <a16:creationId xmlns:a16="http://schemas.microsoft.com/office/drawing/2014/main" id="{00000000-0008-0000-0800-0000095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138</xdr:row>
      <xdr:rowOff>0</xdr:rowOff>
    </xdr:from>
    <xdr:to>
      <xdr:col>23</xdr:col>
      <xdr:colOff>695325</xdr:colOff>
      <xdr:row>195</xdr:row>
      <xdr:rowOff>132522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spect="1"/>
        </xdr:cNvSpPr>
      </xdr:nvSpPr>
      <xdr:spPr>
        <a:xfrm>
          <a:off x="161925" y="21202650"/>
          <a:ext cx="15182850" cy="881932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5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3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4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0" Type="http://schemas.openxmlformats.org/officeDocument/2006/relationships/ctrlProp" Target="../ctrlProps/ctrlProp47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4"/>
    <pageSetUpPr fitToPage="1"/>
  </sheetPr>
  <dimension ref="B4:K21"/>
  <sheetViews>
    <sheetView showGridLines="0" tabSelected="1" topLeftCell="B4" workbookViewId="0">
      <selection activeCell="B4" sqref="B4"/>
    </sheetView>
  </sheetViews>
  <sheetFormatPr defaultColWidth="0" defaultRowHeight="14.4" zeroHeight="1"/>
  <cols>
    <col min="1" max="1" width="9.28515625" style="6" hidden="1" customWidth="1"/>
    <col min="2" max="2" width="2.85546875" style="6" customWidth="1"/>
    <col min="3" max="3" width="16.28515625" style="6" bestFit="1" customWidth="1"/>
    <col min="4" max="4" width="75.85546875" style="6" customWidth="1"/>
    <col min="5" max="5" width="9.28515625" style="6" customWidth="1"/>
    <col min="6" max="6" width="19.42578125" style="6" customWidth="1"/>
    <col min="7" max="7" width="40.85546875" style="6" customWidth="1"/>
    <col min="8" max="8" width="2.85546875" style="6" customWidth="1"/>
    <col min="9" max="11" width="0" style="6" hidden="1" customWidth="1"/>
    <col min="12" max="16384" width="9.28515625" style="6" hidden="1"/>
  </cols>
  <sheetData>
    <row r="4" spans="3:11" ht="5.0999999999999996" customHeight="1">
      <c r="C4" s="217"/>
      <c r="D4" s="217"/>
      <c r="E4" s="217"/>
      <c r="F4" s="217"/>
      <c r="G4" s="217"/>
    </row>
    <row r="5" spans="3:11">
      <c r="C5" s="11" t="s">
        <v>0</v>
      </c>
      <c r="D5" s="217"/>
      <c r="E5" s="217"/>
      <c r="F5" s="217"/>
      <c r="G5" s="217"/>
    </row>
    <row r="6" spans="3:11" ht="15" thickBot="1">
      <c r="C6" s="217"/>
      <c r="D6" s="217"/>
      <c r="E6" s="217"/>
      <c r="F6" s="217"/>
      <c r="G6" s="217"/>
    </row>
    <row r="7" spans="3:11" ht="15" thickBot="1">
      <c r="C7" s="217" t="s">
        <v>1</v>
      </c>
      <c r="D7" s="389"/>
      <c r="E7" s="217"/>
      <c r="F7" s="457" t="s">
        <v>741</v>
      </c>
      <c r="G7" s="291"/>
    </row>
    <row r="8" spans="3:11" ht="15" thickBot="1">
      <c r="C8" s="217" t="s">
        <v>2</v>
      </c>
      <c r="D8" s="291"/>
      <c r="E8" s="217"/>
      <c r="F8" s="457" t="s">
        <v>742</v>
      </c>
      <c r="G8" s="291"/>
    </row>
    <row r="9" spans="3:11" ht="15" thickBot="1">
      <c r="C9" s="217" t="s">
        <v>3</v>
      </c>
      <c r="D9" s="291"/>
      <c r="E9" s="217"/>
      <c r="F9" s="217" t="s">
        <v>4</v>
      </c>
      <c r="G9" s="291"/>
    </row>
    <row r="10" spans="3:11" ht="15" thickBot="1">
      <c r="C10" s="217" t="s">
        <v>5</v>
      </c>
      <c r="D10" s="291"/>
      <c r="E10" s="217"/>
      <c r="F10" s="217" t="s">
        <v>6</v>
      </c>
      <c r="G10" s="217"/>
    </row>
    <row r="11" spans="3:11" ht="15" thickBot="1">
      <c r="C11" s="217" t="s">
        <v>7</v>
      </c>
      <c r="D11" s="291"/>
      <c r="E11" s="217"/>
      <c r="F11" s="217"/>
      <c r="G11" s="217"/>
    </row>
    <row r="12" spans="3:11" ht="15" thickBot="1">
      <c r="C12" s="217"/>
      <c r="D12" s="217"/>
      <c r="E12" s="217"/>
      <c r="F12" s="217"/>
      <c r="G12" s="217"/>
    </row>
    <row r="13" spans="3:11" ht="75" customHeight="1" thickBot="1">
      <c r="C13" s="333" t="s">
        <v>8</v>
      </c>
      <c r="D13" s="292"/>
      <c r="E13" s="217"/>
      <c r="F13" s="1"/>
      <c r="G13" s="1"/>
    </row>
    <row r="14" spans="3:11">
      <c r="C14"/>
      <c r="D14"/>
      <c r="E14" s="1"/>
      <c r="F14" s="1"/>
      <c r="G14" s="1"/>
      <c r="H14"/>
      <c r="I14"/>
      <c r="J14"/>
      <c r="K14"/>
    </row>
    <row r="15" spans="3:11">
      <c r="C15"/>
      <c r="D15"/>
      <c r="E15" s="1"/>
      <c r="F15" s="1"/>
      <c r="G15" s="1"/>
      <c r="H15"/>
      <c r="I15"/>
      <c r="J15"/>
      <c r="K15"/>
    </row>
    <row r="16" spans="3:11" ht="14.4" customHeight="1">
      <c r="C16"/>
      <c r="D16"/>
      <c r="E16" s="1"/>
      <c r="F16"/>
      <c r="G16"/>
      <c r="H16"/>
      <c r="I16"/>
      <c r="J16"/>
      <c r="K16"/>
    </row>
    <row r="17" spans="3:11">
      <c r="C17"/>
      <c r="D17"/>
      <c r="E17" s="1"/>
      <c r="F17"/>
      <c r="G17"/>
      <c r="H17"/>
      <c r="I17"/>
      <c r="J17"/>
      <c r="K17"/>
    </row>
    <row r="18" spans="3:11">
      <c r="C18"/>
      <c r="D18"/>
      <c r="E18" s="1"/>
      <c r="F18"/>
      <c r="G18"/>
      <c r="H18"/>
      <c r="I18"/>
      <c r="J18"/>
      <c r="K18"/>
    </row>
    <row r="19" spans="3:11">
      <c r="C19"/>
      <c r="D19"/>
      <c r="E19" s="1"/>
      <c r="F19"/>
      <c r="G19"/>
      <c r="H19"/>
      <c r="I19"/>
      <c r="J19"/>
      <c r="K19"/>
    </row>
    <row r="20" spans="3:11" ht="5.0999999999999996" customHeight="1">
      <c r="C20" s="217"/>
      <c r="D20" s="217"/>
      <c r="E20" s="217"/>
      <c r="F20" s="217"/>
      <c r="G20" s="217"/>
    </row>
    <row r="21" spans="3:11">
      <c r="C21" s="217"/>
      <c r="D21" s="217"/>
      <c r="E21" s="217"/>
      <c r="F21" s="217"/>
      <c r="G21" s="475" t="s">
        <v>783</v>
      </c>
    </row>
  </sheetData>
  <sheetProtection algorithmName="SHA-512" hashValue="uBi+dU3UTTqk5koix6MC4theEUWWFg+gUV5bGOwvoBdPJJMxDTaCH64wxdyhIsrg5Y1Uob8zKMxLgvLeX/iLBA==" saltValue="NuOX6IbIfZSPfPWcRNJN/g==" spinCount="100000" sheet="1" objects="1" scenarios="1"/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  <headerFooter>
    <oddHeader>&amp;C&amp;A</oddHeader>
    <oddFooter>&amp;L&amp;F&amp;CStrona &amp;P z &amp;N&amp;RData i godzina wydruku: &amp;D 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388620</xdr:colOff>
                    <xdr:row>9</xdr:row>
                    <xdr:rowOff>7620</xdr:rowOff>
                  </from>
                  <to>
                    <xdr:col>6</xdr:col>
                    <xdr:colOff>1889760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Group Box 9">
              <controlPr defaultSize="0" autoFill="0" autoPict="0">
                <anchor moveWithCells="1">
                  <from>
                    <xdr:col>2</xdr:col>
                    <xdr:colOff>0</xdr:colOff>
                    <xdr:row>14</xdr:row>
                    <xdr:rowOff>83820</xdr:rowOff>
                  </from>
                  <to>
                    <xdr:col>7</xdr:col>
                    <xdr:colOff>0</xdr:colOff>
                    <xdr:row>20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CD70-3CC2-48AB-BD84-66C7F32DDDC8}">
  <sheetPr codeName="Arkusz16">
    <tabColor rgb="FF92D050"/>
    <pageSetUpPr fitToPage="1"/>
  </sheetPr>
  <dimension ref="A1:AA596"/>
  <sheetViews>
    <sheetView showGridLines="0" workbookViewId="0"/>
  </sheetViews>
  <sheetFormatPr defaultColWidth="0" defaultRowHeight="12" zeroHeight="1"/>
  <cols>
    <col min="1" max="1" width="2.85546875" customWidth="1"/>
    <col min="2" max="2" width="64.85546875" style="1" bestFit="1" customWidth="1"/>
    <col min="3" max="16" width="12.85546875" style="1" customWidth="1"/>
    <col min="17" max="17" width="2.85546875" style="1" customWidth="1"/>
    <col min="18" max="18" width="9.28515625" style="1" hidden="1" customWidth="1"/>
    <col min="19" max="19" width="11.28515625" style="1" hidden="1" customWidth="1"/>
    <col min="20" max="27" width="0" style="1" hidden="1" customWidth="1"/>
    <col min="28" max="16384" width="9.28515625" style="1" hidden="1"/>
  </cols>
  <sheetData>
    <row r="1" spans="2:16"/>
    <row r="2" spans="2:16">
      <c r="B2" s="543" t="str">
        <f>Założenia!B2</f>
        <v>Wstaw nazwę firmy w zakładce Dane Firmy</v>
      </c>
      <c r="C2" s="543"/>
      <c r="D2" s="543"/>
      <c r="E2" s="543"/>
      <c r="F2" s="543"/>
    </row>
    <row r="3" spans="2:16">
      <c r="B3" s="544"/>
      <c r="C3" s="544"/>
      <c r="D3" s="544"/>
      <c r="E3" s="544"/>
      <c r="F3" s="544"/>
    </row>
    <row r="4" spans="2:16"/>
    <row r="5" spans="2:16"/>
    <row r="6" spans="2:16"/>
    <row r="7" spans="2:16"/>
    <row r="8" spans="2:16"/>
    <row r="9" spans="2:16"/>
    <row r="10" spans="2:16"/>
    <row r="11" spans="2:16"/>
    <row r="12" spans="2:16"/>
    <row r="13" spans="2:16" ht="14.4">
      <c r="B13" s="32" t="s">
        <v>688</v>
      </c>
      <c r="C13" s="32" t="str">
        <f>'Koszty operacyjne'!K114</f>
        <v>Uzupełnij dane</v>
      </c>
      <c r="D13" s="32" t="str">
        <f>'Koszty operacyjne'!L114</f>
        <v/>
      </c>
      <c r="E13" s="32" t="str">
        <f>'Koszty operacyjne'!M114</f>
        <v/>
      </c>
      <c r="F13" s="32" t="str">
        <f>'Koszty operacyjne'!N114</f>
        <v/>
      </c>
      <c r="G13" s="32" t="str">
        <f>'Koszty operacyjne'!O114</f>
        <v/>
      </c>
      <c r="H13" s="32" t="str">
        <f>'Koszty operacyjne'!P114</f>
        <v/>
      </c>
      <c r="I13" s="32" t="str">
        <f>'Koszty operacyjne'!Q114</f>
        <v/>
      </c>
      <c r="J13" s="32" t="str">
        <f>'Koszty operacyjne'!R114</f>
        <v/>
      </c>
      <c r="K13" s="32" t="str">
        <f>'Koszty operacyjne'!S114</f>
        <v/>
      </c>
      <c r="L13" s="32" t="str">
        <f>'Koszty operacyjne'!T114</f>
        <v/>
      </c>
      <c r="M13" s="32" t="str">
        <f>'Koszty operacyjne'!U114</f>
        <v/>
      </c>
      <c r="N13" s="32" t="str">
        <f>'Koszty operacyjne'!V114</f>
        <v/>
      </c>
      <c r="O13" s="32" t="str">
        <f>'Koszty operacyjne'!W114</f>
        <v/>
      </c>
      <c r="P13" s="32" t="str">
        <f>'Koszty operacyjne'!X114</f>
        <v/>
      </c>
    </row>
    <row r="14" spans="2:16" ht="3.9" customHeight="1"/>
    <row r="15" spans="2:16" ht="3.9" customHeight="1"/>
    <row r="16" spans="2:16">
      <c r="B16" s="99" t="s">
        <v>93</v>
      </c>
      <c r="C16" s="98">
        <f>C20+C24+C28+C32+C36+C40+C44</f>
        <v>0</v>
      </c>
      <c r="D16" s="98">
        <f t="shared" ref="D16:P16" si="0">D20+D24+D28+D32+D36+D40+D44</f>
        <v>0</v>
      </c>
      <c r="E16" s="98">
        <f t="shared" si="0"/>
        <v>0</v>
      </c>
      <c r="F16" s="98">
        <f t="shared" si="0"/>
        <v>0</v>
      </c>
      <c r="G16" s="98">
        <f t="shared" si="0"/>
        <v>0</v>
      </c>
      <c r="H16" s="98">
        <f t="shared" si="0"/>
        <v>0</v>
      </c>
      <c r="I16" s="98">
        <f t="shared" si="0"/>
        <v>0</v>
      </c>
      <c r="J16" s="98">
        <f t="shared" si="0"/>
        <v>0</v>
      </c>
      <c r="K16" s="98">
        <f t="shared" si="0"/>
        <v>0</v>
      </c>
      <c r="L16" s="98">
        <f t="shared" si="0"/>
        <v>0</v>
      </c>
      <c r="M16" s="98">
        <f t="shared" si="0"/>
        <v>0</v>
      </c>
      <c r="N16" s="98">
        <f t="shared" si="0"/>
        <v>0</v>
      </c>
      <c r="O16" s="98">
        <f t="shared" si="0"/>
        <v>0</v>
      </c>
      <c r="P16" s="98">
        <f t="shared" si="0"/>
        <v>0</v>
      </c>
    </row>
    <row r="17" spans="2:16">
      <c r="B17" s="465" t="s">
        <v>95</v>
      </c>
      <c r="C17" s="466">
        <f>C21+C25+C29+C33+C37+C41+C45</f>
        <v>0</v>
      </c>
      <c r="D17" s="466">
        <f t="shared" ref="D17:P17" si="1">D21+D25+D29+D33+D37+D41+D45</f>
        <v>0</v>
      </c>
      <c r="E17" s="466">
        <f t="shared" si="1"/>
        <v>0</v>
      </c>
      <c r="F17" s="466">
        <f t="shared" si="1"/>
        <v>0</v>
      </c>
      <c r="G17" s="466">
        <f t="shared" si="1"/>
        <v>0</v>
      </c>
      <c r="H17" s="466">
        <f t="shared" si="1"/>
        <v>0</v>
      </c>
      <c r="I17" s="466">
        <f t="shared" si="1"/>
        <v>0</v>
      </c>
      <c r="J17" s="466">
        <f t="shared" si="1"/>
        <v>0</v>
      </c>
      <c r="K17" s="467">
        <f t="shared" si="1"/>
        <v>0</v>
      </c>
      <c r="L17" s="467">
        <f t="shared" si="1"/>
        <v>0</v>
      </c>
      <c r="M17" s="467">
        <f t="shared" si="1"/>
        <v>0</v>
      </c>
      <c r="N17" s="467">
        <f t="shared" si="1"/>
        <v>0</v>
      </c>
      <c r="O17" s="467">
        <f t="shared" si="1"/>
        <v>0</v>
      </c>
      <c r="P17" s="467">
        <f t="shared" si="1"/>
        <v>0</v>
      </c>
    </row>
    <row r="18" spans="2:16">
      <c r="B18" s="468" t="s">
        <v>96</v>
      </c>
      <c r="C18" s="469">
        <f>C22+C26+C30+C34+C38+C42+C46</f>
        <v>0</v>
      </c>
      <c r="D18" s="469">
        <f t="shared" ref="D18:P18" si="2">D22+D26+D30+D34+D38+D42+D46</f>
        <v>0</v>
      </c>
      <c r="E18" s="469">
        <f t="shared" si="2"/>
        <v>0</v>
      </c>
      <c r="F18" s="469">
        <f t="shared" si="2"/>
        <v>0</v>
      </c>
      <c r="G18" s="469">
        <f t="shared" si="2"/>
        <v>0</v>
      </c>
      <c r="H18" s="469">
        <f t="shared" si="2"/>
        <v>0</v>
      </c>
      <c r="I18" s="469">
        <f t="shared" si="2"/>
        <v>0</v>
      </c>
      <c r="J18" s="469">
        <f t="shared" si="2"/>
        <v>0</v>
      </c>
      <c r="K18" s="470">
        <f t="shared" si="2"/>
        <v>0</v>
      </c>
      <c r="L18" s="470">
        <f t="shared" si="2"/>
        <v>0</v>
      </c>
      <c r="M18" s="470">
        <f t="shared" si="2"/>
        <v>0</v>
      </c>
      <c r="N18" s="470">
        <f t="shared" si="2"/>
        <v>0</v>
      </c>
      <c r="O18" s="470">
        <f t="shared" si="2"/>
        <v>0</v>
      </c>
      <c r="P18" s="470">
        <f t="shared" si="2"/>
        <v>0</v>
      </c>
    </row>
    <row r="19" spans="2:16" ht="3.9" customHeight="1"/>
    <row r="20" spans="2:16">
      <c r="B20" s="355" t="s">
        <v>94</v>
      </c>
      <c r="C20" s="356">
        <f>C21+C22</f>
        <v>0</v>
      </c>
      <c r="D20" s="356">
        <f t="shared" ref="D20:P20" si="3">D21+D22</f>
        <v>0</v>
      </c>
      <c r="E20" s="356">
        <f t="shared" si="3"/>
        <v>0</v>
      </c>
      <c r="F20" s="356">
        <f t="shared" si="3"/>
        <v>0</v>
      </c>
      <c r="G20" s="356">
        <f t="shared" si="3"/>
        <v>0</v>
      </c>
      <c r="H20" s="356">
        <f t="shared" si="3"/>
        <v>0</v>
      </c>
      <c r="I20" s="356">
        <f t="shared" si="3"/>
        <v>0</v>
      </c>
      <c r="J20" s="356">
        <f t="shared" si="3"/>
        <v>0</v>
      </c>
      <c r="K20" s="356">
        <f t="shared" si="3"/>
        <v>0</v>
      </c>
      <c r="L20" s="356">
        <f t="shared" si="3"/>
        <v>0</v>
      </c>
      <c r="M20" s="356">
        <f t="shared" si="3"/>
        <v>0</v>
      </c>
      <c r="N20" s="356">
        <f t="shared" si="3"/>
        <v>0</v>
      </c>
      <c r="O20" s="356">
        <f t="shared" si="3"/>
        <v>0</v>
      </c>
      <c r="P20" s="356">
        <f t="shared" si="3"/>
        <v>0</v>
      </c>
    </row>
    <row r="21" spans="2:16">
      <c r="B21" s="357" t="s">
        <v>95</v>
      </c>
      <c r="C21" s="358">
        <f t="shared" ref="C21:P21" si="4">C80+C162+C284+C331+C378+C425+C472</f>
        <v>0</v>
      </c>
      <c r="D21" s="358">
        <f t="shared" si="4"/>
        <v>0</v>
      </c>
      <c r="E21" s="358">
        <f t="shared" si="4"/>
        <v>0</v>
      </c>
      <c r="F21" s="358">
        <f t="shared" si="4"/>
        <v>0</v>
      </c>
      <c r="G21" s="358">
        <f t="shared" si="4"/>
        <v>0</v>
      </c>
      <c r="H21" s="358">
        <f t="shared" si="4"/>
        <v>0</v>
      </c>
      <c r="I21" s="358">
        <f t="shared" si="4"/>
        <v>0</v>
      </c>
      <c r="J21" s="358">
        <f t="shared" si="4"/>
        <v>0</v>
      </c>
      <c r="K21" s="358">
        <f t="shared" si="4"/>
        <v>0</v>
      </c>
      <c r="L21" s="358">
        <f t="shared" si="4"/>
        <v>0</v>
      </c>
      <c r="M21" s="358">
        <f t="shared" si="4"/>
        <v>0</v>
      </c>
      <c r="N21" s="358">
        <f t="shared" si="4"/>
        <v>0</v>
      </c>
      <c r="O21" s="358">
        <f t="shared" si="4"/>
        <v>0</v>
      </c>
      <c r="P21" s="358">
        <f t="shared" si="4"/>
        <v>0</v>
      </c>
    </row>
    <row r="22" spans="2:16">
      <c r="B22" s="359" t="s">
        <v>96</v>
      </c>
      <c r="C22" s="360">
        <f t="shared" ref="C22:P22" si="5">C81+C163+C285+C332+C379+C426+C473</f>
        <v>0</v>
      </c>
      <c r="D22" s="360">
        <f t="shared" si="5"/>
        <v>0</v>
      </c>
      <c r="E22" s="360">
        <f t="shared" si="5"/>
        <v>0</v>
      </c>
      <c r="F22" s="360">
        <f t="shared" si="5"/>
        <v>0</v>
      </c>
      <c r="G22" s="360">
        <f t="shared" si="5"/>
        <v>0</v>
      </c>
      <c r="H22" s="360">
        <f t="shared" si="5"/>
        <v>0</v>
      </c>
      <c r="I22" s="360">
        <f t="shared" si="5"/>
        <v>0</v>
      </c>
      <c r="J22" s="360">
        <f t="shared" si="5"/>
        <v>0</v>
      </c>
      <c r="K22" s="361">
        <f t="shared" si="5"/>
        <v>0</v>
      </c>
      <c r="L22" s="361">
        <f t="shared" si="5"/>
        <v>0</v>
      </c>
      <c r="M22" s="361">
        <f t="shared" si="5"/>
        <v>0</v>
      </c>
      <c r="N22" s="361">
        <f t="shared" si="5"/>
        <v>0</v>
      </c>
      <c r="O22" s="361">
        <f t="shared" si="5"/>
        <v>0</v>
      </c>
      <c r="P22" s="361">
        <f t="shared" si="5"/>
        <v>0</v>
      </c>
    </row>
    <row r="23" spans="2:16" ht="3.9" customHeight="1">
      <c r="B23" s="362"/>
      <c r="C23" s="363"/>
      <c r="D23" s="363"/>
      <c r="E23" s="363"/>
      <c r="F23" s="363"/>
      <c r="G23" s="363"/>
      <c r="H23" s="363"/>
      <c r="I23" s="363"/>
      <c r="J23" s="363"/>
      <c r="K23" s="364"/>
      <c r="L23" s="364"/>
      <c r="M23" s="364"/>
      <c r="N23" s="364"/>
      <c r="O23" s="364"/>
      <c r="P23" s="364"/>
    </row>
    <row r="24" spans="2:16">
      <c r="B24" s="355" t="s">
        <v>97</v>
      </c>
      <c r="C24" s="356">
        <f t="shared" ref="C24:P24" si="6">C25+C26</f>
        <v>0</v>
      </c>
      <c r="D24" s="356">
        <f t="shared" si="6"/>
        <v>0</v>
      </c>
      <c r="E24" s="356">
        <f t="shared" si="6"/>
        <v>0</v>
      </c>
      <c r="F24" s="356">
        <f t="shared" si="6"/>
        <v>0</v>
      </c>
      <c r="G24" s="356">
        <f t="shared" si="6"/>
        <v>0</v>
      </c>
      <c r="H24" s="356">
        <f t="shared" si="6"/>
        <v>0</v>
      </c>
      <c r="I24" s="356">
        <f t="shared" si="6"/>
        <v>0</v>
      </c>
      <c r="J24" s="356">
        <f t="shared" si="6"/>
        <v>0</v>
      </c>
      <c r="K24" s="356">
        <f t="shared" si="6"/>
        <v>0</v>
      </c>
      <c r="L24" s="356">
        <f t="shared" si="6"/>
        <v>0</v>
      </c>
      <c r="M24" s="356">
        <f t="shared" si="6"/>
        <v>0</v>
      </c>
      <c r="N24" s="356">
        <f t="shared" si="6"/>
        <v>0</v>
      </c>
      <c r="O24" s="356">
        <f t="shared" si="6"/>
        <v>0</v>
      </c>
      <c r="P24" s="356">
        <f t="shared" si="6"/>
        <v>0</v>
      </c>
    </row>
    <row r="25" spans="2:16">
      <c r="B25" s="357" t="s">
        <v>95</v>
      </c>
      <c r="C25" s="358">
        <f t="shared" ref="C25:P25" si="7">C84+C166+C288+C335+C382+C429+C476</f>
        <v>0</v>
      </c>
      <c r="D25" s="358">
        <f t="shared" si="7"/>
        <v>0</v>
      </c>
      <c r="E25" s="358">
        <f t="shared" si="7"/>
        <v>0</v>
      </c>
      <c r="F25" s="358">
        <f t="shared" si="7"/>
        <v>0</v>
      </c>
      <c r="G25" s="358">
        <f t="shared" si="7"/>
        <v>0</v>
      </c>
      <c r="H25" s="358">
        <f t="shared" si="7"/>
        <v>0</v>
      </c>
      <c r="I25" s="358">
        <f t="shared" si="7"/>
        <v>0</v>
      </c>
      <c r="J25" s="358">
        <f t="shared" si="7"/>
        <v>0</v>
      </c>
      <c r="K25" s="358">
        <f t="shared" si="7"/>
        <v>0</v>
      </c>
      <c r="L25" s="358">
        <f t="shared" si="7"/>
        <v>0</v>
      </c>
      <c r="M25" s="358">
        <f t="shared" si="7"/>
        <v>0</v>
      </c>
      <c r="N25" s="358">
        <f t="shared" si="7"/>
        <v>0</v>
      </c>
      <c r="O25" s="358">
        <f t="shared" si="7"/>
        <v>0</v>
      </c>
      <c r="P25" s="358">
        <f t="shared" si="7"/>
        <v>0</v>
      </c>
    </row>
    <row r="26" spans="2:16">
      <c r="B26" s="359" t="s">
        <v>96</v>
      </c>
      <c r="C26" s="360">
        <f t="shared" ref="C26:P26" si="8">C85+C167+C289+C336+C383+C430+C477</f>
        <v>0</v>
      </c>
      <c r="D26" s="360">
        <f t="shared" si="8"/>
        <v>0</v>
      </c>
      <c r="E26" s="360">
        <f t="shared" si="8"/>
        <v>0</v>
      </c>
      <c r="F26" s="360">
        <f t="shared" si="8"/>
        <v>0</v>
      </c>
      <c r="G26" s="360">
        <f t="shared" si="8"/>
        <v>0</v>
      </c>
      <c r="H26" s="360">
        <f t="shared" si="8"/>
        <v>0</v>
      </c>
      <c r="I26" s="360">
        <f t="shared" si="8"/>
        <v>0</v>
      </c>
      <c r="J26" s="360">
        <f t="shared" si="8"/>
        <v>0</v>
      </c>
      <c r="K26" s="361">
        <f t="shared" si="8"/>
        <v>0</v>
      </c>
      <c r="L26" s="361">
        <f t="shared" si="8"/>
        <v>0</v>
      </c>
      <c r="M26" s="361">
        <f t="shared" si="8"/>
        <v>0</v>
      </c>
      <c r="N26" s="361">
        <f t="shared" si="8"/>
        <v>0</v>
      </c>
      <c r="O26" s="361">
        <f t="shared" si="8"/>
        <v>0</v>
      </c>
      <c r="P26" s="361">
        <f t="shared" si="8"/>
        <v>0</v>
      </c>
    </row>
    <row r="27" spans="2:16" ht="3.9" customHeight="1">
      <c r="B27" s="8"/>
      <c r="C27" s="363"/>
      <c r="D27" s="363"/>
      <c r="E27" s="363"/>
      <c r="F27" s="363"/>
      <c r="G27" s="363"/>
      <c r="H27" s="363"/>
      <c r="I27" s="363"/>
      <c r="J27" s="363"/>
      <c r="K27" s="364"/>
      <c r="L27" s="364"/>
      <c r="M27" s="364"/>
      <c r="N27" s="364"/>
      <c r="O27" s="364"/>
      <c r="P27" s="364"/>
    </row>
    <row r="28" spans="2:16">
      <c r="B28" s="355" t="s">
        <v>98</v>
      </c>
      <c r="C28" s="356">
        <f t="shared" ref="C28:P28" si="9">C29+C30</f>
        <v>0</v>
      </c>
      <c r="D28" s="356">
        <f t="shared" si="9"/>
        <v>0</v>
      </c>
      <c r="E28" s="356">
        <f t="shared" si="9"/>
        <v>0</v>
      </c>
      <c r="F28" s="356">
        <f t="shared" si="9"/>
        <v>0</v>
      </c>
      <c r="G28" s="356">
        <f t="shared" si="9"/>
        <v>0</v>
      </c>
      <c r="H28" s="356">
        <f t="shared" si="9"/>
        <v>0</v>
      </c>
      <c r="I28" s="356">
        <f t="shared" si="9"/>
        <v>0</v>
      </c>
      <c r="J28" s="356">
        <f t="shared" si="9"/>
        <v>0</v>
      </c>
      <c r="K28" s="356">
        <f t="shared" si="9"/>
        <v>0</v>
      </c>
      <c r="L28" s="356">
        <f t="shared" si="9"/>
        <v>0</v>
      </c>
      <c r="M28" s="356">
        <f t="shared" si="9"/>
        <v>0</v>
      </c>
      <c r="N28" s="356">
        <f t="shared" si="9"/>
        <v>0</v>
      </c>
      <c r="O28" s="356">
        <f t="shared" si="9"/>
        <v>0</v>
      </c>
      <c r="P28" s="356">
        <f t="shared" si="9"/>
        <v>0</v>
      </c>
    </row>
    <row r="29" spans="2:16">
      <c r="B29" s="357" t="s">
        <v>95</v>
      </c>
      <c r="C29" s="358">
        <f t="shared" ref="C29:P29" si="10">C88+C170+C292+C339+C386+C433+C480</f>
        <v>0</v>
      </c>
      <c r="D29" s="358">
        <f t="shared" si="10"/>
        <v>0</v>
      </c>
      <c r="E29" s="358">
        <f t="shared" si="10"/>
        <v>0</v>
      </c>
      <c r="F29" s="358">
        <f t="shared" si="10"/>
        <v>0</v>
      </c>
      <c r="G29" s="358">
        <f t="shared" si="10"/>
        <v>0</v>
      </c>
      <c r="H29" s="358">
        <f t="shared" si="10"/>
        <v>0</v>
      </c>
      <c r="I29" s="358">
        <f t="shared" si="10"/>
        <v>0</v>
      </c>
      <c r="J29" s="358">
        <f t="shared" si="10"/>
        <v>0</v>
      </c>
      <c r="K29" s="358">
        <f t="shared" si="10"/>
        <v>0</v>
      </c>
      <c r="L29" s="358">
        <f t="shared" si="10"/>
        <v>0</v>
      </c>
      <c r="M29" s="358">
        <f t="shared" si="10"/>
        <v>0</v>
      </c>
      <c r="N29" s="358">
        <f t="shared" si="10"/>
        <v>0</v>
      </c>
      <c r="O29" s="358">
        <f t="shared" si="10"/>
        <v>0</v>
      </c>
      <c r="P29" s="358">
        <f t="shared" si="10"/>
        <v>0</v>
      </c>
    </row>
    <row r="30" spans="2:16">
      <c r="B30" s="359" t="s">
        <v>96</v>
      </c>
      <c r="C30" s="360">
        <f t="shared" ref="C30:P30" si="11">C89+C171+C293+C340+C387+C434+C481</f>
        <v>0</v>
      </c>
      <c r="D30" s="360">
        <f t="shared" si="11"/>
        <v>0</v>
      </c>
      <c r="E30" s="360">
        <f t="shared" si="11"/>
        <v>0</v>
      </c>
      <c r="F30" s="360">
        <f t="shared" si="11"/>
        <v>0</v>
      </c>
      <c r="G30" s="360">
        <f t="shared" si="11"/>
        <v>0</v>
      </c>
      <c r="H30" s="360">
        <f t="shared" si="11"/>
        <v>0</v>
      </c>
      <c r="I30" s="360">
        <f t="shared" si="11"/>
        <v>0</v>
      </c>
      <c r="J30" s="360">
        <f t="shared" si="11"/>
        <v>0</v>
      </c>
      <c r="K30" s="361">
        <f t="shared" si="11"/>
        <v>0</v>
      </c>
      <c r="L30" s="361">
        <f t="shared" si="11"/>
        <v>0</v>
      </c>
      <c r="M30" s="361">
        <f t="shared" si="11"/>
        <v>0</v>
      </c>
      <c r="N30" s="361">
        <f t="shared" si="11"/>
        <v>0</v>
      </c>
      <c r="O30" s="361">
        <f t="shared" si="11"/>
        <v>0</v>
      </c>
      <c r="P30" s="361">
        <f t="shared" si="11"/>
        <v>0</v>
      </c>
    </row>
    <row r="31" spans="2:16" ht="3.9" customHeight="1">
      <c r="B31" s="8"/>
      <c r="C31" s="363"/>
      <c r="D31" s="363"/>
      <c r="E31" s="363"/>
      <c r="F31" s="363"/>
      <c r="G31" s="363"/>
      <c r="H31" s="363"/>
      <c r="I31" s="363"/>
      <c r="J31" s="363"/>
      <c r="K31" s="364"/>
      <c r="L31" s="364"/>
      <c r="M31" s="364"/>
      <c r="N31" s="364"/>
      <c r="O31" s="364"/>
      <c r="P31" s="364"/>
    </row>
    <row r="32" spans="2:16">
      <c r="B32" s="355" t="s">
        <v>99</v>
      </c>
      <c r="C32" s="356">
        <f t="shared" ref="C32:P32" si="12">C33+C34</f>
        <v>0</v>
      </c>
      <c r="D32" s="356">
        <f t="shared" si="12"/>
        <v>0</v>
      </c>
      <c r="E32" s="356">
        <f t="shared" si="12"/>
        <v>0</v>
      </c>
      <c r="F32" s="356">
        <f t="shared" si="12"/>
        <v>0</v>
      </c>
      <c r="G32" s="356">
        <f t="shared" si="12"/>
        <v>0</v>
      </c>
      <c r="H32" s="356">
        <f t="shared" si="12"/>
        <v>0</v>
      </c>
      <c r="I32" s="356">
        <f t="shared" si="12"/>
        <v>0</v>
      </c>
      <c r="J32" s="356">
        <f t="shared" si="12"/>
        <v>0</v>
      </c>
      <c r="K32" s="356">
        <f t="shared" si="12"/>
        <v>0</v>
      </c>
      <c r="L32" s="356">
        <f t="shared" si="12"/>
        <v>0</v>
      </c>
      <c r="M32" s="356">
        <f t="shared" si="12"/>
        <v>0</v>
      </c>
      <c r="N32" s="356">
        <f t="shared" si="12"/>
        <v>0</v>
      </c>
      <c r="O32" s="356">
        <f t="shared" si="12"/>
        <v>0</v>
      </c>
      <c r="P32" s="356">
        <f t="shared" si="12"/>
        <v>0</v>
      </c>
    </row>
    <row r="33" spans="2:27">
      <c r="B33" s="357" t="s">
        <v>95</v>
      </c>
      <c r="C33" s="358">
        <f t="shared" ref="C33:P33" si="13">C92+C174+C296+C343+C390+C437+C484</f>
        <v>0</v>
      </c>
      <c r="D33" s="358">
        <f t="shared" si="13"/>
        <v>0</v>
      </c>
      <c r="E33" s="358">
        <f t="shared" si="13"/>
        <v>0</v>
      </c>
      <c r="F33" s="358">
        <f t="shared" si="13"/>
        <v>0</v>
      </c>
      <c r="G33" s="358">
        <f t="shared" si="13"/>
        <v>0</v>
      </c>
      <c r="H33" s="358">
        <f t="shared" si="13"/>
        <v>0</v>
      </c>
      <c r="I33" s="358">
        <f t="shared" si="13"/>
        <v>0</v>
      </c>
      <c r="J33" s="358">
        <f t="shared" si="13"/>
        <v>0</v>
      </c>
      <c r="K33" s="358">
        <f t="shared" si="13"/>
        <v>0</v>
      </c>
      <c r="L33" s="358">
        <f t="shared" si="13"/>
        <v>0</v>
      </c>
      <c r="M33" s="358">
        <f t="shared" si="13"/>
        <v>0</v>
      </c>
      <c r="N33" s="358">
        <f t="shared" si="13"/>
        <v>0</v>
      </c>
      <c r="O33" s="358">
        <f t="shared" si="13"/>
        <v>0</v>
      </c>
      <c r="P33" s="358">
        <f t="shared" si="13"/>
        <v>0</v>
      </c>
    </row>
    <row r="34" spans="2:27">
      <c r="B34" s="359" t="s">
        <v>96</v>
      </c>
      <c r="C34" s="360">
        <f t="shared" ref="C34:P34" si="14">C93+C175+C297+C344+C391+C438+C485</f>
        <v>0</v>
      </c>
      <c r="D34" s="360">
        <f t="shared" si="14"/>
        <v>0</v>
      </c>
      <c r="E34" s="360">
        <f t="shared" si="14"/>
        <v>0</v>
      </c>
      <c r="F34" s="360">
        <f t="shared" si="14"/>
        <v>0</v>
      </c>
      <c r="G34" s="360">
        <f t="shared" si="14"/>
        <v>0</v>
      </c>
      <c r="H34" s="360">
        <f t="shared" si="14"/>
        <v>0</v>
      </c>
      <c r="I34" s="360">
        <f t="shared" si="14"/>
        <v>0</v>
      </c>
      <c r="J34" s="360">
        <f t="shared" si="14"/>
        <v>0</v>
      </c>
      <c r="K34" s="361">
        <f t="shared" si="14"/>
        <v>0</v>
      </c>
      <c r="L34" s="361">
        <f t="shared" si="14"/>
        <v>0</v>
      </c>
      <c r="M34" s="361">
        <f t="shared" si="14"/>
        <v>0</v>
      </c>
      <c r="N34" s="361">
        <f t="shared" si="14"/>
        <v>0</v>
      </c>
      <c r="O34" s="361">
        <f t="shared" si="14"/>
        <v>0</v>
      </c>
      <c r="P34" s="361">
        <f t="shared" si="14"/>
        <v>0</v>
      </c>
    </row>
    <row r="35" spans="2:27" ht="3.9" customHeight="1">
      <c r="B35" s="8"/>
      <c r="C35" s="363"/>
      <c r="D35" s="363"/>
      <c r="E35" s="363"/>
      <c r="F35" s="363"/>
      <c r="G35" s="363"/>
      <c r="H35" s="363"/>
      <c r="I35" s="363"/>
      <c r="J35" s="363"/>
      <c r="K35" s="364"/>
      <c r="L35" s="364"/>
      <c r="M35" s="364"/>
      <c r="N35" s="364"/>
      <c r="O35" s="364"/>
      <c r="P35" s="364"/>
    </row>
    <row r="36" spans="2:27">
      <c r="B36" s="355" t="s">
        <v>100</v>
      </c>
      <c r="C36" s="356">
        <f t="shared" ref="C36:P36" si="15">C37+C38</f>
        <v>0</v>
      </c>
      <c r="D36" s="356">
        <f t="shared" si="15"/>
        <v>0</v>
      </c>
      <c r="E36" s="356">
        <f t="shared" si="15"/>
        <v>0</v>
      </c>
      <c r="F36" s="356">
        <f t="shared" si="15"/>
        <v>0</v>
      </c>
      <c r="G36" s="356">
        <f t="shared" si="15"/>
        <v>0</v>
      </c>
      <c r="H36" s="356">
        <f t="shared" si="15"/>
        <v>0</v>
      </c>
      <c r="I36" s="356">
        <f t="shared" si="15"/>
        <v>0</v>
      </c>
      <c r="J36" s="356">
        <f t="shared" si="15"/>
        <v>0</v>
      </c>
      <c r="K36" s="356">
        <f t="shared" si="15"/>
        <v>0</v>
      </c>
      <c r="L36" s="356">
        <f t="shared" si="15"/>
        <v>0</v>
      </c>
      <c r="M36" s="356">
        <f t="shared" si="15"/>
        <v>0</v>
      </c>
      <c r="N36" s="356">
        <f t="shared" si="15"/>
        <v>0</v>
      </c>
      <c r="O36" s="356">
        <f t="shared" si="15"/>
        <v>0</v>
      </c>
      <c r="P36" s="356">
        <f t="shared" si="15"/>
        <v>0</v>
      </c>
    </row>
    <row r="37" spans="2:27">
      <c r="B37" s="357" t="s">
        <v>95</v>
      </c>
      <c r="C37" s="358">
        <f t="shared" ref="C37:P37" si="16">C96+C178+C300+C347+C394+C441+C488</f>
        <v>0</v>
      </c>
      <c r="D37" s="358">
        <f t="shared" si="16"/>
        <v>0</v>
      </c>
      <c r="E37" s="358">
        <f t="shared" si="16"/>
        <v>0</v>
      </c>
      <c r="F37" s="358">
        <f t="shared" si="16"/>
        <v>0</v>
      </c>
      <c r="G37" s="358">
        <f t="shared" si="16"/>
        <v>0</v>
      </c>
      <c r="H37" s="358">
        <f t="shared" si="16"/>
        <v>0</v>
      </c>
      <c r="I37" s="358">
        <f t="shared" si="16"/>
        <v>0</v>
      </c>
      <c r="J37" s="358">
        <f t="shared" si="16"/>
        <v>0</v>
      </c>
      <c r="K37" s="358">
        <f t="shared" si="16"/>
        <v>0</v>
      </c>
      <c r="L37" s="358">
        <f t="shared" si="16"/>
        <v>0</v>
      </c>
      <c r="M37" s="358">
        <f t="shared" si="16"/>
        <v>0</v>
      </c>
      <c r="N37" s="358">
        <f t="shared" si="16"/>
        <v>0</v>
      </c>
      <c r="O37" s="358">
        <f t="shared" si="16"/>
        <v>0</v>
      </c>
      <c r="P37" s="358">
        <f t="shared" si="16"/>
        <v>0</v>
      </c>
    </row>
    <row r="38" spans="2:27">
      <c r="B38" s="359" t="s">
        <v>96</v>
      </c>
      <c r="C38" s="360">
        <f t="shared" ref="C38:P38" si="17">C97+C179+C301+C348+C395+C442+C489</f>
        <v>0</v>
      </c>
      <c r="D38" s="360">
        <f t="shared" si="17"/>
        <v>0</v>
      </c>
      <c r="E38" s="360">
        <f t="shared" si="17"/>
        <v>0</v>
      </c>
      <c r="F38" s="360">
        <f t="shared" si="17"/>
        <v>0</v>
      </c>
      <c r="G38" s="360">
        <f t="shared" si="17"/>
        <v>0</v>
      </c>
      <c r="H38" s="360">
        <f t="shared" si="17"/>
        <v>0</v>
      </c>
      <c r="I38" s="360">
        <f t="shared" si="17"/>
        <v>0</v>
      </c>
      <c r="J38" s="360">
        <f t="shared" si="17"/>
        <v>0</v>
      </c>
      <c r="K38" s="361">
        <f t="shared" si="17"/>
        <v>0</v>
      </c>
      <c r="L38" s="361">
        <f t="shared" si="17"/>
        <v>0</v>
      </c>
      <c r="M38" s="361">
        <f t="shared" si="17"/>
        <v>0</v>
      </c>
      <c r="N38" s="361">
        <f t="shared" si="17"/>
        <v>0</v>
      </c>
      <c r="O38" s="361">
        <f t="shared" si="17"/>
        <v>0</v>
      </c>
      <c r="P38" s="361">
        <f t="shared" si="17"/>
        <v>0</v>
      </c>
    </row>
    <row r="39" spans="2:27" ht="3.9" customHeight="1">
      <c r="B39" s="8"/>
      <c r="C39" s="363"/>
      <c r="D39" s="363"/>
      <c r="E39" s="363"/>
      <c r="F39" s="363"/>
      <c r="G39" s="363"/>
      <c r="H39" s="363"/>
      <c r="I39" s="363"/>
      <c r="J39" s="363"/>
      <c r="K39" s="364"/>
      <c r="L39" s="364"/>
      <c r="M39" s="364"/>
      <c r="N39" s="364"/>
      <c r="O39" s="364"/>
      <c r="P39" s="364"/>
    </row>
    <row r="40" spans="2:27">
      <c r="B40" s="355" t="s">
        <v>101</v>
      </c>
      <c r="C40" s="356">
        <f t="shared" ref="C40:P40" si="18">C41+C42</f>
        <v>0</v>
      </c>
      <c r="D40" s="356">
        <f t="shared" si="18"/>
        <v>0</v>
      </c>
      <c r="E40" s="356">
        <f t="shared" si="18"/>
        <v>0</v>
      </c>
      <c r="F40" s="356">
        <f t="shared" si="18"/>
        <v>0</v>
      </c>
      <c r="G40" s="356">
        <f t="shared" si="18"/>
        <v>0</v>
      </c>
      <c r="H40" s="356">
        <f t="shared" si="18"/>
        <v>0</v>
      </c>
      <c r="I40" s="356">
        <f t="shared" si="18"/>
        <v>0</v>
      </c>
      <c r="J40" s="356">
        <f t="shared" si="18"/>
        <v>0</v>
      </c>
      <c r="K40" s="356">
        <f t="shared" si="18"/>
        <v>0</v>
      </c>
      <c r="L40" s="356">
        <f t="shared" si="18"/>
        <v>0</v>
      </c>
      <c r="M40" s="356">
        <f t="shared" si="18"/>
        <v>0</v>
      </c>
      <c r="N40" s="356">
        <f t="shared" si="18"/>
        <v>0</v>
      </c>
      <c r="O40" s="356">
        <f t="shared" si="18"/>
        <v>0</v>
      </c>
      <c r="P40" s="356">
        <f t="shared" si="18"/>
        <v>0</v>
      </c>
    </row>
    <row r="41" spans="2:27">
      <c r="B41" s="357" t="s">
        <v>95</v>
      </c>
      <c r="C41" s="358">
        <f t="shared" ref="C41:P41" si="19">C100+C182+C304+C351+C398+C445+C492</f>
        <v>0</v>
      </c>
      <c r="D41" s="358">
        <f t="shared" si="19"/>
        <v>0</v>
      </c>
      <c r="E41" s="358">
        <f t="shared" si="19"/>
        <v>0</v>
      </c>
      <c r="F41" s="358">
        <f t="shared" si="19"/>
        <v>0</v>
      </c>
      <c r="G41" s="358">
        <f t="shared" si="19"/>
        <v>0</v>
      </c>
      <c r="H41" s="358">
        <f t="shared" si="19"/>
        <v>0</v>
      </c>
      <c r="I41" s="358">
        <f t="shared" si="19"/>
        <v>0</v>
      </c>
      <c r="J41" s="358">
        <f t="shared" si="19"/>
        <v>0</v>
      </c>
      <c r="K41" s="358">
        <f t="shared" si="19"/>
        <v>0</v>
      </c>
      <c r="L41" s="358">
        <f t="shared" si="19"/>
        <v>0</v>
      </c>
      <c r="M41" s="358">
        <f t="shared" si="19"/>
        <v>0</v>
      </c>
      <c r="N41" s="358">
        <f t="shared" si="19"/>
        <v>0</v>
      </c>
      <c r="O41" s="358">
        <f t="shared" si="19"/>
        <v>0</v>
      </c>
      <c r="P41" s="358">
        <f t="shared" si="19"/>
        <v>0</v>
      </c>
    </row>
    <row r="42" spans="2:27">
      <c r="B42" s="359" t="s">
        <v>96</v>
      </c>
      <c r="C42" s="360">
        <f t="shared" ref="C42:P42" si="20">C101+C183+C305+C352+C399+C446+C493</f>
        <v>0</v>
      </c>
      <c r="D42" s="360">
        <f t="shared" si="20"/>
        <v>0</v>
      </c>
      <c r="E42" s="360">
        <f t="shared" si="20"/>
        <v>0</v>
      </c>
      <c r="F42" s="360">
        <f t="shared" si="20"/>
        <v>0</v>
      </c>
      <c r="G42" s="360">
        <f t="shared" si="20"/>
        <v>0</v>
      </c>
      <c r="H42" s="360">
        <f t="shared" si="20"/>
        <v>0</v>
      </c>
      <c r="I42" s="360">
        <f t="shared" si="20"/>
        <v>0</v>
      </c>
      <c r="J42" s="360">
        <f t="shared" si="20"/>
        <v>0</v>
      </c>
      <c r="K42" s="361">
        <f t="shared" si="20"/>
        <v>0</v>
      </c>
      <c r="L42" s="361">
        <f t="shared" si="20"/>
        <v>0</v>
      </c>
      <c r="M42" s="361">
        <f t="shared" si="20"/>
        <v>0</v>
      </c>
      <c r="N42" s="361">
        <f t="shared" si="20"/>
        <v>0</v>
      </c>
      <c r="O42" s="361">
        <f t="shared" si="20"/>
        <v>0</v>
      </c>
      <c r="P42" s="361">
        <f t="shared" si="20"/>
        <v>0</v>
      </c>
    </row>
    <row r="43" spans="2:27" ht="3.9" customHeight="1">
      <c r="B43" s="8"/>
      <c r="C43" s="363"/>
      <c r="D43" s="363"/>
      <c r="E43" s="363"/>
      <c r="F43" s="363"/>
      <c r="G43" s="363"/>
      <c r="H43" s="363"/>
      <c r="I43" s="363"/>
      <c r="J43" s="363"/>
      <c r="K43" s="364"/>
      <c r="L43" s="364"/>
      <c r="M43" s="364"/>
      <c r="N43" s="364"/>
      <c r="O43" s="364"/>
      <c r="P43" s="364"/>
    </row>
    <row r="44" spans="2:27">
      <c r="B44" s="355" t="s">
        <v>102</v>
      </c>
      <c r="C44" s="356">
        <f t="shared" ref="C44:P44" si="21">C45+C46</f>
        <v>0</v>
      </c>
      <c r="D44" s="356">
        <f t="shared" si="21"/>
        <v>0</v>
      </c>
      <c r="E44" s="356">
        <f t="shared" si="21"/>
        <v>0</v>
      </c>
      <c r="F44" s="356">
        <f t="shared" si="21"/>
        <v>0</v>
      </c>
      <c r="G44" s="356">
        <f t="shared" si="21"/>
        <v>0</v>
      </c>
      <c r="H44" s="356">
        <f t="shared" si="21"/>
        <v>0</v>
      </c>
      <c r="I44" s="356">
        <f t="shared" si="21"/>
        <v>0</v>
      </c>
      <c r="J44" s="356">
        <f t="shared" si="21"/>
        <v>0</v>
      </c>
      <c r="K44" s="356">
        <f t="shared" si="21"/>
        <v>0</v>
      </c>
      <c r="L44" s="356">
        <f t="shared" si="21"/>
        <v>0</v>
      </c>
      <c r="M44" s="356">
        <f t="shared" si="21"/>
        <v>0</v>
      </c>
      <c r="N44" s="356">
        <f t="shared" si="21"/>
        <v>0</v>
      </c>
      <c r="O44" s="356">
        <f t="shared" si="21"/>
        <v>0</v>
      </c>
      <c r="P44" s="356">
        <f t="shared" si="21"/>
        <v>0</v>
      </c>
    </row>
    <row r="45" spans="2:27">
      <c r="B45" s="357" t="s">
        <v>95</v>
      </c>
      <c r="C45" s="358">
        <f t="shared" ref="C45:P45" si="22">C104+C186+C308+C355+C402+C449+C496</f>
        <v>0</v>
      </c>
      <c r="D45" s="358">
        <f t="shared" si="22"/>
        <v>0</v>
      </c>
      <c r="E45" s="358">
        <f t="shared" si="22"/>
        <v>0</v>
      </c>
      <c r="F45" s="358">
        <f t="shared" si="22"/>
        <v>0</v>
      </c>
      <c r="G45" s="358">
        <f t="shared" si="22"/>
        <v>0</v>
      </c>
      <c r="H45" s="358">
        <f t="shared" si="22"/>
        <v>0</v>
      </c>
      <c r="I45" s="358">
        <f t="shared" si="22"/>
        <v>0</v>
      </c>
      <c r="J45" s="358">
        <f t="shared" si="22"/>
        <v>0</v>
      </c>
      <c r="K45" s="358">
        <f t="shared" si="22"/>
        <v>0</v>
      </c>
      <c r="L45" s="358">
        <f t="shared" si="22"/>
        <v>0</v>
      </c>
      <c r="M45" s="358">
        <f t="shared" si="22"/>
        <v>0</v>
      </c>
      <c r="N45" s="358">
        <f t="shared" si="22"/>
        <v>0</v>
      </c>
      <c r="O45" s="358">
        <f t="shared" si="22"/>
        <v>0</v>
      </c>
      <c r="P45" s="358">
        <f t="shared" si="22"/>
        <v>0</v>
      </c>
    </row>
    <row r="46" spans="2:27">
      <c r="B46" s="359" t="s">
        <v>96</v>
      </c>
      <c r="C46" s="360">
        <f t="shared" ref="C46:P46" si="23">C105+C187+C309+C356+C403+C450+C497</f>
        <v>0</v>
      </c>
      <c r="D46" s="360">
        <f t="shared" si="23"/>
        <v>0</v>
      </c>
      <c r="E46" s="360">
        <f t="shared" si="23"/>
        <v>0</v>
      </c>
      <c r="F46" s="360">
        <f t="shared" si="23"/>
        <v>0</v>
      </c>
      <c r="G46" s="360">
        <f t="shared" si="23"/>
        <v>0</v>
      </c>
      <c r="H46" s="360">
        <f t="shared" si="23"/>
        <v>0</v>
      </c>
      <c r="I46" s="360">
        <f t="shared" si="23"/>
        <v>0</v>
      </c>
      <c r="J46" s="360">
        <f t="shared" si="23"/>
        <v>0</v>
      </c>
      <c r="K46" s="361">
        <f t="shared" si="23"/>
        <v>0</v>
      </c>
      <c r="L46" s="361">
        <f t="shared" si="23"/>
        <v>0</v>
      </c>
      <c r="M46" s="361">
        <f t="shared" si="23"/>
        <v>0</v>
      </c>
      <c r="N46" s="361">
        <f t="shared" si="23"/>
        <v>0</v>
      </c>
      <c r="O46" s="361">
        <f t="shared" si="23"/>
        <v>0</v>
      </c>
      <c r="P46" s="361">
        <f t="shared" si="23"/>
        <v>0</v>
      </c>
    </row>
    <row r="47" spans="2:27">
      <c r="B47" s="8"/>
      <c r="C47" s="363"/>
      <c r="D47" s="363"/>
      <c r="E47" s="363"/>
      <c r="F47" s="363"/>
      <c r="G47" s="363"/>
      <c r="H47" s="363"/>
      <c r="I47" s="363"/>
      <c r="J47" s="363"/>
      <c r="K47" s="364"/>
      <c r="L47" s="364"/>
      <c r="M47" s="364"/>
      <c r="N47" s="364"/>
      <c r="O47" s="364"/>
      <c r="P47" s="364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2:27">
      <c r="B48" s="353" t="s">
        <v>688</v>
      </c>
      <c r="C48" s="352" t="str">
        <f>C$13</f>
        <v>Uzupełnij dane</v>
      </c>
      <c r="D48" s="352" t="str">
        <f t="shared" ref="D48:P48" si="24">D$13</f>
        <v/>
      </c>
      <c r="E48" s="352" t="str">
        <f t="shared" si="24"/>
        <v/>
      </c>
      <c r="F48" s="352" t="str">
        <f t="shared" si="24"/>
        <v/>
      </c>
      <c r="G48" s="352" t="str">
        <f t="shared" si="24"/>
        <v/>
      </c>
      <c r="H48" s="352" t="str">
        <f t="shared" si="24"/>
        <v/>
      </c>
      <c r="I48" s="352" t="str">
        <f t="shared" si="24"/>
        <v/>
      </c>
      <c r="J48" s="352" t="str">
        <f t="shared" si="24"/>
        <v/>
      </c>
      <c r="K48" s="352" t="str">
        <f t="shared" si="24"/>
        <v/>
      </c>
      <c r="L48" s="352" t="str">
        <f t="shared" si="24"/>
        <v/>
      </c>
      <c r="M48" s="352" t="str">
        <f t="shared" si="24"/>
        <v/>
      </c>
      <c r="N48" s="352" t="str">
        <f t="shared" si="24"/>
        <v/>
      </c>
      <c r="O48" s="352" t="str">
        <f t="shared" si="24"/>
        <v/>
      </c>
      <c r="P48" s="352" t="str">
        <f t="shared" si="24"/>
        <v/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2:27" ht="3.9" customHeight="1">
      <c r="B49" s="354"/>
      <c r="C49" s="365"/>
      <c r="D49" s="365"/>
      <c r="E49" s="365"/>
      <c r="F49" s="365"/>
      <c r="G49" s="365"/>
      <c r="H49" s="365"/>
      <c r="I49" s="365"/>
      <c r="J49" s="365"/>
      <c r="K49" s="365"/>
      <c r="L49" s="365"/>
      <c r="M49" s="365"/>
      <c r="N49" s="365"/>
      <c r="O49" s="365"/>
      <c r="P49" s="36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2:27">
      <c r="B50" s="99" t="s">
        <v>104</v>
      </c>
      <c r="C50" s="98">
        <f t="shared" ref="C50:P50" si="25">IF(C$62&lt;=Koniec,C107+C189+C311+C358+C405+C452+C499,0)</f>
        <v>0</v>
      </c>
      <c r="D50" s="98">
        <f t="shared" si="25"/>
        <v>0</v>
      </c>
      <c r="E50" s="98">
        <f t="shared" si="25"/>
        <v>0</v>
      </c>
      <c r="F50" s="98">
        <f t="shared" si="25"/>
        <v>0</v>
      </c>
      <c r="G50" s="98">
        <f t="shared" si="25"/>
        <v>0</v>
      </c>
      <c r="H50" s="98">
        <f t="shared" si="25"/>
        <v>0</v>
      </c>
      <c r="I50" s="98">
        <f t="shared" si="25"/>
        <v>0</v>
      </c>
      <c r="J50" s="98">
        <f t="shared" si="25"/>
        <v>0</v>
      </c>
      <c r="K50" s="98">
        <f t="shared" si="25"/>
        <v>0</v>
      </c>
      <c r="L50" s="98">
        <f t="shared" si="25"/>
        <v>0</v>
      </c>
      <c r="M50" s="98">
        <f t="shared" si="25"/>
        <v>0</v>
      </c>
      <c r="N50" s="98">
        <f t="shared" si="25"/>
        <v>0</v>
      </c>
      <c r="O50" s="98">
        <f t="shared" si="25"/>
        <v>0</v>
      </c>
      <c r="P50" s="98">
        <f t="shared" si="25"/>
        <v>0</v>
      </c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2:27" ht="3.9" customHeight="1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>
      <c r="B52" s="99" t="s">
        <v>105</v>
      </c>
      <c r="C52" s="98">
        <f t="shared" ref="C52:P52" ca="1" si="26">IF(C$62&lt;=Koniec,SUM(C53:C60),0)</f>
        <v>0</v>
      </c>
      <c r="D52" s="98">
        <f t="shared" ca="1" si="26"/>
        <v>0</v>
      </c>
      <c r="E52" s="98">
        <f t="shared" ca="1" si="26"/>
        <v>0</v>
      </c>
      <c r="F52" s="98">
        <f t="shared" ca="1" si="26"/>
        <v>0</v>
      </c>
      <c r="G52" s="98">
        <f t="shared" ca="1" si="26"/>
        <v>0</v>
      </c>
      <c r="H52" s="98">
        <f t="shared" ca="1" si="26"/>
        <v>0</v>
      </c>
      <c r="I52" s="98">
        <f t="shared" ca="1" si="26"/>
        <v>0</v>
      </c>
      <c r="J52" s="98">
        <f t="shared" ca="1" si="26"/>
        <v>0</v>
      </c>
      <c r="K52" s="98">
        <f t="shared" ca="1" si="26"/>
        <v>0</v>
      </c>
      <c r="L52" s="98">
        <f t="shared" ca="1" si="26"/>
        <v>0</v>
      </c>
      <c r="M52" s="98">
        <f t="shared" ca="1" si="26"/>
        <v>0</v>
      </c>
      <c r="N52" s="98">
        <f t="shared" ca="1" si="26"/>
        <v>0</v>
      </c>
      <c r="O52" s="98">
        <f t="shared" ca="1" si="26"/>
        <v>0</v>
      </c>
      <c r="P52" s="98">
        <f t="shared" ca="1" si="26"/>
        <v>0</v>
      </c>
    </row>
    <row r="53" spans="2:27">
      <c r="B53" s="104" t="s">
        <v>106</v>
      </c>
      <c r="C53" s="103">
        <f t="shared" ref="C53:P53" ca="1" si="27">IF(C$62&lt;=Koniec,C502+C455+C408+C361+C314+C192+C110,0)</f>
        <v>0</v>
      </c>
      <c r="D53" s="103">
        <f t="shared" ca="1" si="27"/>
        <v>0</v>
      </c>
      <c r="E53" s="103">
        <f t="shared" ca="1" si="27"/>
        <v>0</v>
      </c>
      <c r="F53" s="103">
        <f t="shared" ca="1" si="27"/>
        <v>0</v>
      </c>
      <c r="G53" s="103">
        <f t="shared" ca="1" si="27"/>
        <v>0</v>
      </c>
      <c r="H53" s="103">
        <f t="shared" ca="1" si="27"/>
        <v>0</v>
      </c>
      <c r="I53" s="103">
        <f t="shared" ca="1" si="27"/>
        <v>0</v>
      </c>
      <c r="J53" s="103">
        <f t="shared" ca="1" si="27"/>
        <v>0</v>
      </c>
      <c r="K53" s="103">
        <f t="shared" ca="1" si="27"/>
        <v>0</v>
      </c>
      <c r="L53" s="103">
        <f t="shared" ca="1" si="27"/>
        <v>0</v>
      </c>
      <c r="M53" s="103">
        <f t="shared" ca="1" si="27"/>
        <v>0</v>
      </c>
      <c r="N53" s="103">
        <f t="shared" ca="1" si="27"/>
        <v>0</v>
      </c>
      <c r="O53" s="103">
        <f t="shared" ca="1" si="27"/>
        <v>0</v>
      </c>
      <c r="P53" s="103">
        <f t="shared" ca="1" si="27"/>
        <v>0</v>
      </c>
    </row>
    <row r="54" spans="2:27">
      <c r="B54" s="37" t="s">
        <v>107</v>
      </c>
      <c r="C54" s="33">
        <f t="shared" ref="C54:P54" si="28">IF(C$62&lt;=Koniec,C503+C456+C409+C362+C315+C193+C111,0)</f>
        <v>0</v>
      </c>
      <c r="D54" s="33">
        <f t="shared" si="28"/>
        <v>0</v>
      </c>
      <c r="E54" s="33">
        <f t="shared" si="28"/>
        <v>0</v>
      </c>
      <c r="F54" s="33">
        <f t="shared" si="28"/>
        <v>0</v>
      </c>
      <c r="G54" s="33">
        <f t="shared" si="28"/>
        <v>0</v>
      </c>
      <c r="H54" s="33">
        <f t="shared" si="28"/>
        <v>0</v>
      </c>
      <c r="I54" s="33">
        <f t="shared" si="28"/>
        <v>0</v>
      </c>
      <c r="J54" s="33">
        <f t="shared" si="28"/>
        <v>0</v>
      </c>
      <c r="K54" s="33">
        <f t="shared" si="28"/>
        <v>0</v>
      </c>
      <c r="L54" s="33">
        <f t="shared" si="28"/>
        <v>0</v>
      </c>
      <c r="M54" s="33">
        <f t="shared" si="28"/>
        <v>0</v>
      </c>
      <c r="N54" s="33">
        <f t="shared" si="28"/>
        <v>0</v>
      </c>
      <c r="O54" s="33">
        <f t="shared" si="28"/>
        <v>0</v>
      </c>
      <c r="P54" s="33">
        <f t="shared" si="28"/>
        <v>0</v>
      </c>
    </row>
    <row r="55" spans="2:27">
      <c r="B55" s="37" t="s">
        <v>108</v>
      </c>
      <c r="C55" s="33">
        <f t="shared" ref="C55:P55" si="29">IF(C$62&lt;=Koniec,C504+C457+C410+C363+C316+C194+C112,0)</f>
        <v>0</v>
      </c>
      <c r="D55" s="33">
        <f t="shared" si="29"/>
        <v>0</v>
      </c>
      <c r="E55" s="33">
        <f t="shared" si="29"/>
        <v>0</v>
      </c>
      <c r="F55" s="33">
        <f t="shared" si="29"/>
        <v>0</v>
      </c>
      <c r="G55" s="33">
        <f t="shared" si="29"/>
        <v>0</v>
      </c>
      <c r="H55" s="33">
        <f t="shared" si="29"/>
        <v>0</v>
      </c>
      <c r="I55" s="33">
        <f t="shared" si="29"/>
        <v>0</v>
      </c>
      <c r="J55" s="33">
        <f t="shared" si="29"/>
        <v>0</v>
      </c>
      <c r="K55" s="33">
        <f t="shared" si="29"/>
        <v>0</v>
      </c>
      <c r="L55" s="33">
        <f t="shared" si="29"/>
        <v>0</v>
      </c>
      <c r="M55" s="33">
        <f t="shared" si="29"/>
        <v>0</v>
      </c>
      <c r="N55" s="33">
        <f t="shared" si="29"/>
        <v>0</v>
      </c>
      <c r="O55" s="33">
        <f t="shared" si="29"/>
        <v>0</v>
      </c>
      <c r="P55" s="33">
        <f t="shared" si="29"/>
        <v>0</v>
      </c>
    </row>
    <row r="56" spans="2:27">
      <c r="B56" s="37" t="s">
        <v>778</v>
      </c>
      <c r="C56" s="33">
        <f t="shared" ref="C56:P56" si="30">IF(C$62&lt;=Koniec,C505+C458+C411+C364+C317+C195+C113,0)</f>
        <v>0</v>
      </c>
      <c r="D56" s="33">
        <f t="shared" si="30"/>
        <v>0</v>
      </c>
      <c r="E56" s="33">
        <f t="shared" si="30"/>
        <v>0</v>
      </c>
      <c r="F56" s="33">
        <f t="shared" si="30"/>
        <v>0</v>
      </c>
      <c r="G56" s="33">
        <f t="shared" si="30"/>
        <v>0</v>
      </c>
      <c r="H56" s="33">
        <f t="shared" si="30"/>
        <v>0</v>
      </c>
      <c r="I56" s="33">
        <f t="shared" si="30"/>
        <v>0</v>
      </c>
      <c r="J56" s="33">
        <f t="shared" si="30"/>
        <v>0</v>
      </c>
      <c r="K56" s="33">
        <f t="shared" si="30"/>
        <v>0</v>
      </c>
      <c r="L56" s="33">
        <f t="shared" si="30"/>
        <v>0</v>
      </c>
      <c r="M56" s="33">
        <f t="shared" si="30"/>
        <v>0</v>
      </c>
      <c r="N56" s="33">
        <f t="shared" si="30"/>
        <v>0</v>
      </c>
      <c r="O56" s="33">
        <f t="shared" si="30"/>
        <v>0</v>
      </c>
      <c r="P56" s="33">
        <f t="shared" si="30"/>
        <v>0</v>
      </c>
    </row>
    <row r="57" spans="2:27">
      <c r="B57" s="37" t="s">
        <v>109</v>
      </c>
      <c r="C57" s="33">
        <f t="shared" ref="C57:P57" si="31">IF(C$62&lt;=Koniec,C506+C459+C412+C365+C318+C196+C114,0)</f>
        <v>0</v>
      </c>
      <c r="D57" s="33">
        <f t="shared" si="31"/>
        <v>0</v>
      </c>
      <c r="E57" s="33">
        <f t="shared" si="31"/>
        <v>0</v>
      </c>
      <c r="F57" s="33">
        <f t="shared" si="31"/>
        <v>0</v>
      </c>
      <c r="G57" s="33">
        <f t="shared" si="31"/>
        <v>0</v>
      </c>
      <c r="H57" s="33">
        <f t="shared" si="31"/>
        <v>0</v>
      </c>
      <c r="I57" s="33">
        <f t="shared" si="31"/>
        <v>0</v>
      </c>
      <c r="J57" s="33">
        <f t="shared" si="31"/>
        <v>0</v>
      </c>
      <c r="K57" s="33">
        <f t="shared" si="31"/>
        <v>0</v>
      </c>
      <c r="L57" s="33">
        <f t="shared" si="31"/>
        <v>0</v>
      </c>
      <c r="M57" s="33">
        <f t="shared" si="31"/>
        <v>0</v>
      </c>
      <c r="N57" s="33">
        <f t="shared" si="31"/>
        <v>0</v>
      </c>
      <c r="O57" s="33">
        <f t="shared" si="31"/>
        <v>0</v>
      </c>
      <c r="P57" s="33">
        <f t="shared" si="31"/>
        <v>0</v>
      </c>
    </row>
    <row r="58" spans="2:27">
      <c r="B58" s="37" t="s">
        <v>110</v>
      </c>
      <c r="C58" s="33">
        <f t="shared" ref="C58:P58" si="32">IF(C$62&lt;=Koniec,C507+C460+C413+C366+C319+C197+C115,0)</f>
        <v>0</v>
      </c>
      <c r="D58" s="33">
        <f t="shared" si="32"/>
        <v>0</v>
      </c>
      <c r="E58" s="33">
        <f t="shared" si="32"/>
        <v>0</v>
      </c>
      <c r="F58" s="33">
        <f t="shared" si="32"/>
        <v>0</v>
      </c>
      <c r="G58" s="33">
        <f t="shared" si="32"/>
        <v>0</v>
      </c>
      <c r="H58" s="33">
        <f t="shared" si="32"/>
        <v>0</v>
      </c>
      <c r="I58" s="33">
        <f t="shared" si="32"/>
        <v>0</v>
      </c>
      <c r="J58" s="33">
        <f t="shared" si="32"/>
        <v>0</v>
      </c>
      <c r="K58" s="33">
        <f t="shared" si="32"/>
        <v>0</v>
      </c>
      <c r="L58" s="33">
        <f t="shared" si="32"/>
        <v>0</v>
      </c>
      <c r="M58" s="33">
        <f t="shared" si="32"/>
        <v>0</v>
      </c>
      <c r="N58" s="33">
        <f t="shared" si="32"/>
        <v>0</v>
      </c>
      <c r="O58" s="33">
        <f t="shared" si="32"/>
        <v>0</v>
      </c>
      <c r="P58" s="33">
        <f t="shared" si="32"/>
        <v>0</v>
      </c>
    </row>
    <row r="59" spans="2:27">
      <c r="B59" s="37" t="s">
        <v>111</v>
      </c>
      <c r="C59" s="33">
        <f t="shared" ref="C59:P59" si="33">IF(C$62&lt;=Koniec,C508+C461+C414+C367+C320+C198+C116,0)</f>
        <v>0</v>
      </c>
      <c r="D59" s="33">
        <f t="shared" si="33"/>
        <v>0</v>
      </c>
      <c r="E59" s="33">
        <f t="shared" si="33"/>
        <v>0</v>
      </c>
      <c r="F59" s="33">
        <f t="shared" si="33"/>
        <v>0</v>
      </c>
      <c r="G59" s="33">
        <f t="shared" si="33"/>
        <v>0</v>
      </c>
      <c r="H59" s="33">
        <f t="shared" si="33"/>
        <v>0</v>
      </c>
      <c r="I59" s="33">
        <f t="shared" si="33"/>
        <v>0</v>
      </c>
      <c r="J59" s="33">
        <f t="shared" si="33"/>
        <v>0</v>
      </c>
      <c r="K59" s="33">
        <f t="shared" si="33"/>
        <v>0</v>
      </c>
      <c r="L59" s="33">
        <f t="shared" si="33"/>
        <v>0</v>
      </c>
      <c r="M59" s="33">
        <f t="shared" si="33"/>
        <v>0</v>
      </c>
      <c r="N59" s="33">
        <f t="shared" si="33"/>
        <v>0</v>
      </c>
      <c r="O59" s="33">
        <f t="shared" si="33"/>
        <v>0</v>
      </c>
      <c r="P59" s="33">
        <f t="shared" si="33"/>
        <v>0</v>
      </c>
    </row>
    <row r="60" spans="2:27">
      <c r="B60" s="37" t="s">
        <v>112</v>
      </c>
      <c r="C60" s="33">
        <f t="shared" ref="C60:P60" si="34">IF(C$62&lt;=Koniec,C509+C462+C415+C368+C321+C199+C117,0)</f>
        <v>0</v>
      </c>
      <c r="D60" s="33">
        <f t="shared" si="34"/>
        <v>0</v>
      </c>
      <c r="E60" s="33">
        <f t="shared" si="34"/>
        <v>0</v>
      </c>
      <c r="F60" s="33">
        <f t="shared" si="34"/>
        <v>0</v>
      </c>
      <c r="G60" s="33">
        <f t="shared" si="34"/>
        <v>0</v>
      </c>
      <c r="H60" s="33">
        <f t="shared" si="34"/>
        <v>0</v>
      </c>
      <c r="I60" s="33">
        <f t="shared" si="34"/>
        <v>0</v>
      </c>
      <c r="J60" s="33">
        <f t="shared" si="34"/>
        <v>0</v>
      </c>
      <c r="K60" s="33">
        <f t="shared" si="34"/>
        <v>0</v>
      </c>
      <c r="L60" s="33">
        <f t="shared" si="34"/>
        <v>0</v>
      </c>
      <c r="M60" s="33">
        <f t="shared" si="34"/>
        <v>0</v>
      </c>
      <c r="N60" s="33">
        <f t="shared" si="34"/>
        <v>0</v>
      </c>
      <c r="O60" s="33">
        <f t="shared" si="34"/>
        <v>0</v>
      </c>
      <c r="P60" s="33">
        <f t="shared" si="34"/>
        <v>0</v>
      </c>
    </row>
    <row r="61" spans="2:27">
      <c r="C61" s="5"/>
      <c r="D61" s="5"/>
      <c r="E61" s="5"/>
      <c r="F61" s="5"/>
      <c r="G61" s="5"/>
      <c r="H61" s="5"/>
      <c r="I61" s="5"/>
    </row>
    <row r="62" spans="2:27">
      <c r="B62" s="353" t="s">
        <v>688</v>
      </c>
      <c r="C62" s="352" t="str">
        <f>C$13</f>
        <v>Uzupełnij dane</v>
      </c>
      <c r="D62" s="352" t="str">
        <f t="shared" ref="D62:P62" si="35">D$13</f>
        <v/>
      </c>
      <c r="E62" s="352" t="str">
        <f t="shared" si="35"/>
        <v/>
      </c>
      <c r="F62" s="352" t="str">
        <f t="shared" si="35"/>
        <v/>
      </c>
      <c r="G62" s="352" t="str">
        <f t="shared" si="35"/>
        <v/>
      </c>
      <c r="H62" s="352" t="str">
        <f t="shared" si="35"/>
        <v/>
      </c>
      <c r="I62" s="352" t="str">
        <f t="shared" si="35"/>
        <v/>
      </c>
      <c r="J62" s="352" t="str">
        <f t="shared" si="35"/>
        <v/>
      </c>
      <c r="K62" s="352" t="str">
        <f t="shared" si="35"/>
        <v/>
      </c>
      <c r="L62" s="352" t="str">
        <f t="shared" si="35"/>
        <v/>
      </c>
      <c r="M62" s="352" t="str">
        <f t="shared" si="35"/>
        <v/>
      </c>
      <c r="N62" s="352" t="str">
        <f t="shared" si="35"/>
        <v/>
      </c>
      <c r="O62" s="352" t="str">
        <f t="shared" si="35"/>
        <v/>
      </c>
      <c r="P62" s="352" t="str">
        <f t="shared" si="35"/>
        <v/>
      </c>
    </row>
    <row r="63" spans="2:27" ht="3.9" customHeight="1">
      <c r="B63" s="354"/>
      <c r="C63" s="365"/>
      <c r="D63" s="365"/>
      <c r="E63" s="365"/>
      <c r="F63" s="365"/>
      <c r="G63" s="365"/>
      <c r="H63" s="365"/>
      <c r="I63" s="365"/>
      <c r="J63" s="365"/>
      <c r="K63" s="365"/>
      <c r="L63" s="365"/>
      <c r="M63" s="365"/>
      <c r="N63" s="365"/>
      <c r="O63" s="365"/>
      <c r="P63" s="365"/>
    </row>
    <row r="64" spans="2:27">
      <c r="B64" s="372" t="s">
        <v>687</v>
      </c>
      <c r="C64" s="373"/>
      <c r="D64" s="373"/>
      <c r="E64" s="373"/>
      <c r="F64" s="373"/>
      <c r="G64" s="373"/>
      <c r="H64" s="373"/>
      <c r="I64" s="373"/>
      <c r="J64" s="373"/>
      <c r="K64" s="373"/>
      <c r="L64" s="373"/>
      <c r="M64" s="373"/>
      <c r="N64" s="373"/>
      <c r="O64" s="373"/>
      <c r="P64" s="373"/>
    </row>
    <row r="65" spans="2:20" ht="3.9" customHeight="1">
      <c r="C65" s="5"/>
      <c r="D65" s="5"/>
      <c r="E65" s="5"/>
      <c r="F65" s="5"/>
      <c r="G65" s="5"/>
      <c r="H65" s="5"/>
      <c r="I65" s="5"/>
    </row>
    <row r="66" spans="2:20">
      <c r="B66" s="104" t="s">
        <v>689</v>
      </c>
      <c r="C66" s="103">
        <f ca="1">'Rozliczenie dotacji'!K1216</f>
        <v>0</v>
      </c>
      <c r="D66" s="103">
        <f ca="1">'Rozliczenie dotacji'!L1216</f>
        <v>0</v>
      </c>
      <c r="E66" s="103">
        <f ca="1">'Rozliczenie dotacji'!M1216</f>
        <v>0</v>
      </c>
      <c r="F66" s="103">
        <f ca="1">'Rozliczenie dotacji'!N1216</f>
        <v>0</v>
      </c>
      <c r="G66" s="103">
        <f ca="1">'Rozliczenie dotacji'!O1216</f>
        <v>0</v>
      </c>
      <c r="H66" s="103">
        <f ca="1">'Rozliczenie dotacji'!P1216</f>
        <v>0</v>
      </c>
      <c r="I66" s="103">
        <f ca="1">'Rozliczenie dotacji'!Q1216</f>
        <v>0</v>
      </c>
      <c r="J66" s="103">
        <f ca="1">'Rozliczenie dotacji'!R1216</f>
        <v>0</v>
      </c>
      <c r="K66" s="103">
        <f ca="1">'Rozliczenie dotacji'!S1216</f>
        <v>0</v>
      </c>
      <c r="L66" s="103">
        <f ca="1">'Rozliczenie dotacji'!T1216</f>
        <v>0</v>
      </c>
      <c r="M66" s="103">
        <f ca="1">'Rozliczenie dotacji'!U1216</f>
        <v>0</v>
      </c>
      <c r="N66" s="103">
        <f ca="1">'Rozliczenie dotacji'!V1216</f>
        <v>0</v>
      </c>
      <c r="O66" s="103">
        <f ca="1">'Rozliczenie dotacji'!W1216</f>
        <v>0</v>
      </c>
      <c r="P66" s="103">
        <f ca="1">'Rozliczenie dotacji'!X1216</f>
        <v>0</v>
      </c>
    </row>
    <row r="67" spans="2:20">
      <c r="B67" s="37" t="s">
        <v>690</v>
      </c>
      <c r="C67" s="33">
        <f>IF(C$62&lt;=Koniec,('Rozliczenie dotacji'!K250),0)</f>
        <v>0</v>
      </c>
      <c r="D67" s="33">
        <f>IF(D$62&lt;=Koniec,('Rozliczenie dotacji'!L250),0)</f>
        <v>0</v>
      </c>
      <c r="E67" s="33">
        <f>IF(E$62&lt;=Koniec,('Rozliczenie dotacji'!M250),0)</f>
        <v>0</v>
      </c>
      <c r="F67" s="33">
        <f>IF(F$62&lt;=Koniec,('Rozliczenie dotacji'!N250),0)</f>
        <v>0</v>
      </c>
      <c r="G67" s="33">
        <f>IF(G$62&lt;=Koniec,('Rozliczenie dotacji'!O250),0)</f>
        <v>0</v>
      </c>
      <c r="H67" s="33">
        <f>IF(H$62&lt;=Koniec,('Rozliczenie dotacji'!P250),0)</f>
        <v>0</v>
      </c>
      <c r="I67" s="33">
        <f>IF(I$62&lt;=Koniec,('Rozliczenie dotacji'!Q250),0)</f>
        <v>0</v>
      </c>
      <c r="J67" s="33">
        <f>IF(J$62&lt;=Koniec,('Rozliczenie dotacji'!R250),0)</f>
        <v>0</v>
      </c>
      <c r="K67" s="33">
        <f>IF(K$62&lt;=Koniec,('Rozliczenie dotacji'!S250),0)</f>
        <v>0</v>
      </c>
      <c r="L67" s="33">
        <f>IF(L$62&lt;=Koniec,('Rozliczenie dotacji'!T250),0)</f>
        <v>0</v>
      </c>
      <c r="M67" s="33">
        <f>IF(M$62&lt;=Koniec,('Rozliczenie dotacji'!U250),0)</f>
        <v>0</v>
      </c>
      <c r="N67" s="33">
        <f>IF(N$62&lt;=Koniec,('Rozliczenie dotacji'!V250),0)</f>
        <v>0</v>
      </c>
      <c r="O67" s="33">
        <f>IF(O$62&lt;=Koniec,('Rozliczenie dotacji'!W250),0)</f>
        <v>0</v>
      </c>
      <c r="P67" s="33">
        <f>IF(P$62&lt;=Koniec,('Rozliczenie dotacji'!X250),0)</f>
        <v>0</v>
      </c>
    </row>
    <row r="68" spans="2:20">
      <c r="B68" s="37" t="s">
        <v>692</v>
      </c>
      <c r="C68" s="33">
        <f>IF(C$62&lt;=Koniec,('Koszty operacyjne'!K1411),0)</f>
        <v>0</v>
      </c>
      <c r="D68" s="33">
        <f>IF(D$62&lt;=Koniec,('Koszty operacyjne'!L1411),0)</f>
        <v>0</v>
      </c>
      <c r="E68" s="33">
        <f>IF(E$62&lt;=Koniec,('Koszty operacyjne'!M1411),0)</f>
        <v>0</v>
      </c>
      <c r="F68" s="33">
        <f>IF(F$62&lt;=Koniec,('Koszty operacyjne'!N1411),0)</f>
        <v>0</v>
      </c>
      <c r="G68" s="33">
        <f>IF(G$62&lt;=Koniec,('Koszty operacyjne'!O1411),0)</f>
        <v>0</v>
      </c>
      <c r="H68" s="33">
        <f>IF(H$62&lt;=Koniec,('Koszty operacyjne'!P1411),0)</f>
        <v>0</v>
      </c>
      <c r="I68" s="33">
        <f>IF(I$62&lt;=Koniec,('Koszty operacyjne'!Q1411),0)</f>
        <v>0</v>
      </c>
      <c r="J68" s="33">
        <f>IF(J$62&lt;=Koniec,('Koszty operacyjne'!R1411),0)</f>
        <v>0</v>
      </c>
      <c r="K68" s="33">
        <f>IF(K$62&lt;=Koniec,('Koszty operacyjne'!S1411),0)</f>
        <v>0</v>
      </c>
      <c r="L68" s="33">
        <f>IF(L$62&lt;=Koniec,('Koszty operacyjne'!T1411),0)</f>
        <v>0</v>
      </c>
      <c r="M68" s="33">
        <f>IF(M$62&lt;=Koniec,('Koszty operacyjne'!U1411),0)</f>
        <v>0</v>
      </c>
      <c r="N68" s="33">
        <f>IF(N$62&lt;=Koniec,('Koszty operacyjne'!V1411),0)</f>
        <v>0</v>
      </c>
      <c r="O68" s="33">
        <f>IF(O$62&lt;=Koniec,('Koszty operacyjne'!W1411),0)</f>
        <v>0</v>
      </c>
      <c r="P68" s="33">
        <f>IF(P$62&lt;=Koniec,('Koszty operacyjne'!X1411),0)</f>
        <v>0</v>
      </c>
    </row>
    <row r="69" spans="2:20">
      <c r="B69" s="37" t="s">
        <v>691</v>
      </c>
      <c r="C69" s="33">
        <f>IF(C$62&lt;=Koniec,('Rozliczenie dotacji'!K251),0)</f>
        <v>0</v>
      </c>
      <c r="D69" s="33">
        <f>IF(D$62&lt;=Koniec,('Rozliczenie dotacji'!L251),0)</f>
        <v>0</v>
      </c>
      <c r="E69" s="33">
        <f>IF(E$62&lt;=Koniec,('Rozliczenie dotacji'!M251),0)</f>
        <v>0</v>
      </c>
      <c r="F69" s="33">
        <f>IF(F$62&lt;=Koniec,('Rozliczenie dotacji'!N251),0)</f>
        <v>0</v>
      </c>
      <c r="G69" s="33">
        <f>IF(G$62&lt;=Koniec,('Rozliczenie dotacji'!O251),0)</f>
        <v>0</v>
      </c>
      <c r="H69" s="33">
        <f>IF(H$62&lt;=Koniec,('Rozliczenie dotacji'!P251),0)</f>
        <v>0</v>
      </c>
      <c r="I69" s="33">
        <f>IF(I$62&lt;=Koniec,('Rozliczenie dotacji'!Q251),0)</f>
        <v>0</v>
      </c>
      <c r="J69" s="33">
        <f>IF(J$62&lt;=Koniec,('Rozliczenie dotacji'!R251),0)</f>
        <v>0</v>
      </c>
      <c r="K69" s="33">
        <f>IF(K$62&lt;=Koniec,('Rozliczenie dotacji'!S251),0)</f>
        <v>0</v>
      </c>
      <c r="L69" s="33">
        <f>IF(L$62&lt;=Koniec,('Rozliczenie dotacji'!T251),0)</f>
        <v>0</v>
      </c>
      <c r="M69" s="33">
        <f>IF(M$62&lt;=Koniec,('Rozliczenie dotacji'!U251),0)</f>
        <v>0</v>
      </c>
      <c r="N69" s="33">
        <f>IF(N$62&lt;=Koniec,('Rozliczenie dotacji'!V251),0)</f>
        <v>0</v>
      </c>
      <c r="O69" s="33">
        <f>IF(O$62&lt;=Koniec,('Rozliczenie dotacji'!W251),0)</f>
        <v>0</v>
      </c>
      <c r="P69" s="33">
        <f>IF(P$62&lt;=Koniec,('Rozliczenie dotacji'!X251),0)</f>
        <v>0</v>
      </c>
    </row>
    <row r="70" spans="2:20">
      <c r="B70" s="99" t="s">
        <v>335</v>
      </c>
      <c r="C70" s="98">
        <f ca="1">SUM(C66:C69)</f>
        <v>0</v>
      </c>
      <c r="D70" s="98">
        <f t="shared" ref="D70:P70" ca="1" si="36">SUM(D66:D69)</f>
        <v>0</v>
      </c>
      <c r="E70" s="98">
        <f t="shared" ca="1" si="36"/>
        <v>0</v>
      </c>
      <c r="F70" s="98">
        <f t="shared" ca="1" si="36"/>
        <v>0</v>
      </c>
      <c r="G70" s="98">
        <f t="shared" ca="1" si="36"/>
        <v>0</v>
      </c>
      <c r="H70" s="98">
        <f t="shared" ca="1" si="36"/>
        <v>0</v>
      </c>
      <c r="I70" s="98">
        <f t="shared" ca="1" si="36"/>
        <v>0</v>
      </c>
      <c r="J70" s="98">
        <f t="shared" ca="1" si="36"/>
        <v>0</v>
      </c>
      <c r="K70" s="98">
        <f t="shared" ca="1" si="36"/>
        <v>0</v>
      </c>
      <c r="L70" s="98">
        <f t="shared" ca="1" si="36"/>
        <v>0</v>
      </c>
      <c r="M70" s="98">
        <f t="shared" ca="1" si="36"/>
        <v>0</v>
      </c>
      <c r="N70" s="98">
        <f t="shared" ca="1" si="36"/>
        <v>0</v>
      </c>
      <c r="O70" s="98">
        <f t="shared" ca="1" si="36"/>
        <v>0</v>
      </c>
      <c r="P70" s="98">
        <f t="shared" ca="1" si="36"/>
        <v>0</v>
      </c>
    </row>
    <row r="71" spans="2:20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2:20">
      <c r="C72" s="5"/>
      <c r="D72" s="5"/>
      <c r="E72" s="5"/>
      <c r="F72" s="5"/>
      <c r="G72" s="5"/>
      <c r="H72" s="5"/>
      <c r="I72" s="5"/>
    </row>
    <row r="73" spans="2:20">
      <c r="B73" s="370" t="s">
        <v>103</v>
      </c>
      <c r="C73" s="370" t="str">
        <f>'Koszty operacyjne'!K114</f>
        <v>Uzupełnij dane</v>
      </c>
      <c r="D73" s="370" t="str">
        <f>'Koszty operacyjne'!L114</f>
        <v/>
      </c>
      <c r="E73" s="370" t="str">
        <f>'Koszty operacyjne'!M114</f>
        <v/>
      </c>
      <c r="F73" s="370" t="str">
        <f>'Koszty operacyjne'!N114</f>
        <v/>
      </c>
      <c r="G73" s="370" t="str">
        <f>'Koszty operacyjne'!O114</f>
        <v/>
      </c>
      <c r="H73" s="370" t="str">
        <f>'Koszty operacyjne'!P114</f>
        <v/>
      </c>
      <c r="I73" s="370" t="str">
        <f>'Koszty operacyjne'!Q114</f>
        <v/>
      </c>
      <c r="J73" s="370" t="str">
        <f>'Koszty operacyjne'!R114</f>
        <v/>
      </c>
      <c r="K73" s="370" t="str">
        <f>'Koszty operacyjne'!S114</f>
        <v/>
      </c>
      <c r="L73" s="370" t="str">
        <f>'Koszty operacyjne'!T114</f>
        <v/>
      </c>
      <c r="M73" s="370" t="str">
        <f>'Koszty operacyjne'!U114</f>
        <v/>
      </c>
      <c r="N73" s="370" t="str">
        <f>'Koszty operacyjne'!V114</f>
        <v/>
      </c>
      <c r="O73" s="370" t="str">
        <f>'Koszty operacyjne'!W114</f>
        <v/>
      </c>
      <c r="P73" s="370" t="str">
        <f>'Koszty operacyjne'!X114</f>
        <v/>
      </c>
      <c r="Q73" s="375"/>
      <c r="R73" s="375"/>
    </row>
    <row r="74" spans="2:20" ht="3.9" customHeight="1"/>
    <row r="75" spans="2:20" ht="12" customHeight="1">
      <c r="B75" s="99" t="s">
        <v>93</v>
      </c>
      <c r="C75" s="98">
        <f>C76+C77</f>
        <v>0</v>
      </c>
      <c r="D75" s="98">
        <f t="shared" ref="D75:P75" si="37">D76+D77</f>
        <v>0</v>
      </c>
      <c r="E75" s="98">
        <f t="shared" si="37"/>
        <v>0</v>
      </c>
      <c r="F75" s="98">
        <f t="shared" si="37"/>
        <v>0</v>
      </c>
      <c r="G75" s="98">
        <f t="shared" si="37"/>
        <v>0</v>
      </c>
      <c r="H75" s="98">
        <f t="shared" si="37"/>
        <v>0</v>
      </c>
      <c r="I75" s="98">
        <f t="shared" si="37"/>
        <v>0</v>
      </c>
      <c r="J75" s="98">
        <f t="shared" si="37"/>
        <v>0</v>
      </c>
      <c r="K75" s="98">
        <f t="shared" si="37"/>
        <v>0</v>
      </c>
      <c r="L75" s="98">
        <f t="shared" si="37"/>
        <v>0</v>
      </c>
      <c r="M75" s="98">
        <f t="shared" si="37"/>
        <v>0</v>
      </c>
      <c r="N75" s="98">
        <f t="shared" si="37"/>
        <v>0</v>
      </c>
      <c r="O75" s="98">
        <f t="shared" si="37"/>
        <v>0</v>
      </c>
      <c r="P75" s="98">
        <f t="shared" si="37"/>
        <v>0</v>
      </c>
    </row>
    <row r="76" spans="2:20">
      <c r="B76" s="465" t="s">
        <v>95</v>
      </c>
      <c r="C76" s="466">
        <f>C80+C84+C88+C92+C96+C100+C104</f>
        <v>0</v>
      </c>
      <c r="D76" s="466">
        <f t="shared" ref="D76:P76" si="38">D80+D84+D88+D92+D96+D100+D104</f>
        <v>0</v>
      </c>
      <c r="E76" s="466">
        <f t="shared" si="38"/>
        <v>0</v>
      </c>
      <c r="F76" s="466">
        <f t="shared" si="38"/>
        <v>0</v>
      </c>
      <c r="G76" s="466">
        <f t="shared" si="38"/>
        <v>0</v>
      </c>
      <c r="H76" s="466">
        <f t="shared" si="38"/>
        <v>0</v>
      </c>
      <c r="I76" s="466">
        <f t="shared" si="38"/>
        <v>0</v>
      </c>
      <c r="J76" s="466">
        <f t="shared" si="38"/>
        <v>0</v>
      </c>
      <c r="K76" s="467">
        <f t="shared" si="38"/>
        <v>0</v>
      </c>
      <c r="L76" s="467">
        <f t="shared" si="38"/>
        <v>0</v>
      </c>
      <c r="M76" s="467">
        <f t="shared" si="38"/>
        <v>0</v>
      </c>
      <c r="N76" s="467">
        <f t="shared" si="38"/>
        <v>0</v>
      </c>
      <c r="O76" s="467">
        <f t="shared" si="38"/>
        <v>0</v>
      </c>
      <c r="P76" s="467">
        <f t="shared" si="38"/>
        <v>0</v>
      </c>
    </row>
    <row r="77" spans="2:20">
      <c r="B77" s="468" t="s">
        <v>96</v>
      </c>
      <c r="C77" s="469">
        <f>C81+C85+C89+C93+C97+C101+C105</f>
        <v>0</v>
      </c>
      <c r="D77" s="469">
        <f t="shared" ref="D77:P77" si="39">D81+D85+D89+D93+D97+D101+D105</f>
        <v>0</v>
      </c>
      <c r="E77" s="469">
        <f t="shared" si="39"/>
        <v>0</v>
      </c>
      <c r="F77" s="469">
        <f t="shared" si="39"/>
        <v>0</v>
      </c>
      <c r="G77" s="469">
        <f t="shared" si="39"/>
        <v>0</v>
      </c>
      <c r="H77" s="469">
        <f t="shared" si="39"/>
        <v>0</v>
      </c>
      <c r="I77" s="469">
        <f t="shared" si="39"/>
        <v>0</v>
      </c>
      <c r="J77" s="469">
        <f t="shared" si="39"/>
        <v>0</v>
      </c>
      <c r="K77" s="470">
        <f t="shared" si="39"/>
        <v>0</v>
      </c>
      <c r="L77" s="470">
        <f t="shared" si="39"/>
        <v>0</v>
      </c>
      <c r="M77" s="470">
        <f t="shared" si="39"/>
        <v>0</v>
      </c>
      <c r="N77" s="470">
        <f t="shared" si="39"/>
        <v>0</v>
      </c>
      <c r="O77" s="470">
        <f t="shared" si="39"/>
        <v>0</v>
      </c>
      <c r="P77" s="470">
        <f t="shared" si="39"/>
        <v>0</v>
      </c>
    </row>
    <row r="78" spans="2:20" ht="3.9" customHeight="1"/>
    <row r="79" spans="2:20" ht="12" customHeight="1">
      <c r="B79" s="355" t="s">
        <v>94</v>
      </c>
      <c r="C79" s="356">
        <f t="shared" ref="C79:P79" si="40">SUM(C80:C81)</f>
        <v>0</v>
      </c>
      <c r="D79" s="356">
        <f t="shared" si="40"/>
        <v>0</v>
      </c>
      <c r="E79" s="356">
        <f t="shared" si="40"/>
        <v>0</v>
      </c>
      <c r="F79" s="356">
        <f t="shared" si="40"/>
        <v>0</v>
      </c>
      <c r="G79" s="356">
        <f t="shared" si="40"/>
        <v>0</v>
      </c>
      <c r="H79" s="356">
        <f t="shared" si="40"/>
        <v>0</v>
      </c>
      <c r="I79" s="356">
        <f t="shared" si="40"/>
        <v>0</v>
      </c>
      <c r="J79" s="356">
        <f t="shared" si="40"/>
        <v>0</v>
      </c>
      <c r="K79" s="356">
        <f t="shared" si="40"/>
        <v>0</v>
      </c>
      <c r="L79" s="356">
        <f t="shared" si="40"/>
        <v>0</v>
      </c>
      <c r="M79" s="356">
        <f t="shared" si="40"/>
        <v>0</v>
      </c>
      <c r="N79" s="356">
        <f t="shared" si="40"/>
        <v>0</v>
      </c>
      <c r="O79" s="356">
        <f t="shared" si="40"/>
        <v>0</v>
      </c>
      <c r="P79" s="356">
        <f t="shared" si="40"/>
        <v>0</v>
      </c>
    </row>
    <row r="80" spans="2:20" ht="12" customHeight="1">
      <c r="B80" s="357" t="s">
        <v>95</v>
      </c>
      <c r="C80" s="358" cm="1">
        <f t="array" ref="C80">SUMPRODUCT(ISNUMBER(MATCH(mod_st_zpr,$B$73,0))*('Koszty operacyjne'!$K$114:$X$114=Moduły!C$73)*ISNUMBER(MATCH(st_zpr_kw,tak,0)),st_zpr)</f>
        <v>0</v>
      </c>
      <c r="D80" s="358" cm="1">
        <f t="array" ref="D80">SUMPRODUCT(ISNUMBER(MATCH(mod_st_zpr,$B$73,0))*('Koszty operacyjne'!$K$114:$X$114=Moduły!D$73)*ISNUMBER(MATCH(st_zpr_kw,tak,0)),st_zpr)</f>
        <v>0</v>
      </c>
      <c r="E80" s="358" cm="1">
        <f t="array" ref="E80">SUMPRODUCT(ISNUMBER(MATCH(mod_st_zpr,$B$73,0))*('Koszty operacyjne'!$K$114:$X$114=Moduły!E$73)*ISNUMBER(MATCH(st_zpr_kw,tak,0)),st_zpr)</f>
        <v>0</v>
      </c>
      <c r="F80" s="358" cm="1">
        <f t="array" ref="F80">SUMPRODUCT(ISNUMBER(MATCH(mod_st_zpr,$B$73,0))*('Koszty operacyjne'!$K$114:$X$114=Moduły!F$73)*ISNUMBER(MATCH(st_zpr_kw,tak,0)),st_zpr)</f>
        <v>0</v>
      </c>
      <c r="G80" s="358" cm="1">
        <f t="array" ref="G80">SUMPRODUCT(ISNUMBER(MATCH(mod_st_zpr,$B$73,0))*('Koszty operacyjne'!$K$114:$X$114=Moduły!G$73)*ISNUMBER(MATCH(st_zpr_kw,tak,0)),st_zpr)</f>
        <v>0</v>
      </c>
      <c r="H80" s="358" cm="1">
        <f t="array" ref="H80">SUMPRODUCT(ISNUMBER(MATCH(mod_st_zpr,$B$73,0))*('Koszty operacyjne'!$K$114:$X$114=Moduły!H$73)*ISNUMBER(MATCH(st_zpr_kw,tak,0)),st_zpr)</f>
        <v>0</v>
      </c>
      <c r="I80" s="358" cm="1">
        <f t="array" ref="I80">SUMPRODUCT(ISNUMBER(MATCH(mod_st_zpr,$B$73,0))*('Koszty operacyjne'!$K$114:$X$114=Moduły!I$73)*ISNUMBER(MATCH(st_zpr_kw,tak,0)),st_zpr)</f>
        <v>0</v>
      </c>
      <c r="J80" s="358" cm="1">
        <f t="array" ref="J80">SUMPRODUCT(ISNUMBER(MATCH(mod_st_zpr,$B$73,0))*('Koszty operacyjne'!$K$114:$X$114=Moduły!J$73)*ISNUMBER(MATCH(st_zpr_kw,tak,0)),st_zpr)</f>
        <v>0</v>
      </c>
      <c r="K80" s="358" cm="1">
        <f t="array" ref="K80">SUMPRODUCT(ISNUMBER(MATCH(mod_st_zpr,$B$73,0))*('Koszty operacyjne'!$K$114:$X$114=Moduły!K$73)*ISNUMBER(MATCH(st_zpr_kw,tak,0)),st_zpr)</f>
        <v>0</v>
      </c>
      <c r="L80" s="358" cm="1">
        <f t="array" ref="L80">SUMPRODUCT(ISNUMBER(MATCH(mod_st_zpr,$B$73,0))*('Koszty operacyjne'!$K$114:$X$114=Moduły!L$73)*ISNUMBER(MATCH(st_zpr_kw,tak,0)),st_zpr)</f>
        <v>0</v>
      </c>
      <c r="M80" s="358" cm="1">
        <f t="array" ref="M80">SUMPRODUCT(ISNUMBER(MATCH(mod_st_zpr,$B$73,0))*('Koszty operacyjne'!$K$114:$X$114=Moduły!M$73)*ISNUMBER(MATCH(st_zpr_kw,tak,0)),st_zpr)</f>
        <v>0</v>
      </c>
      <c r="N80" s="358" cm="1">
        <f t="array" ref="N80">SUMPRODUCT(ISNUMBER(MATCH(mod_st_zpr,$B$73,0))*('Koszty operacyjne'!$K$114:$X$114=Moduły!N$73)*ISNUMBER(MATCH(st_zpr_kw,tak,0)),st_zpr)</f>
        <v>0</v>
      </c>
      <c r="O80" s="358" cm="1">
        <f t="array" ref="O80">SUMPRODUCT(ISNUMBER(MATCH(mod_st_zpr,$B$73,0))*('Koszty operacyjne'!$K$114:$X$114=Moduły!O$73)*ISNUMBER(MATCH(st_zpr_kw,tak,0)),st_zpr)</f>
        <v>0</v>
      </c>
      <c r="P80" s="358" cm="1">
        <f t="array" ref="P80">SUMPRODUCT(ISNUMBER(MATCH(mod_st_zpr,$B$73,0))*('Koszty operacyjne'!$K$114:$X$114=Moduły!P$73)*ISNUMBER(MATCH(st_zpr_kw,tak,0)),st_zpr)</f>
        <v>0</v>
      </c>
      <c r="Q80" s="5"/>
      <c r="R80" s="5"/>
      <c r="S80" s="5"/>
      <c r="T80" s="5"/>
    </row>
    <row r="81" spans="2:25" ht="12" customHeight="1">
      <c r="B81" s="359" t="s">
        <v>96</v>
      </c>
      <c r="C81" s="360" cm="1">
        <f t="array" ref="C81">SUMPRODUCT(ISNUMBER(MATCH(mod_st_zpr,$B$73,0))*('Koszty operacyjne'!$K$114:$X$114=Moduły!C$73)*ISNUMBER(MATCH(st_zpr_kw,nie,0)),st_zpr)</f>
        <v>0</v>
      </c>
      <c r="D81" s="360" cm="1">
        <f t="array" ref="D81">SUMPRODUCT(ISNUMBER(MATCH(mod_st_zpr,$B$73,0))*('Koszty operacyjne'!$K$114:$X$114=Moduły!D$73)*ISNUMBER(MATCH(st_zpr_kw,nie,0)),st_zpr)</f>
        <v>0</v>
      </c>
      <c r="E81" s="360" cm="1">
        <f t="array" ref="E81">SUMPRODUCT(ISNUMBER(MATCH(mod_st_zpr,$B$73,0))*('Koszty operacyjne'!$K$114:$X$114=Moduły!E$73)*ISNUMBER(MATCH(st_zpr_kw,nie,0)),st_zpr)</f>
        <v>0</v>
      </c>
      <c r="F81" s="360" cm="1">
        <f t="array" ref="F81">SUMPRODUCT(ISNUMBER(MATCH(mod_st_zpr,$B$73,0))*('Koszty operacyjne'!$K$114:$X$114=Moduły!F$73)*ISNUMBER(MATCH(st_zpr_kw,nie,0)),st_zpr)</f>
        <v>0</v>
      </c>
      <c r="G81" s="360" cm="1">
        <f t="array" ref="G81">SUMPRODUCT(ISNUMBER(MATCH(mod_st_zpr,$B$73,0))*('Koszty operacyjne'!$K$114:$X$114=Moduły!G$73)*ISNUMBER(MATCH(st_zpr_kw,nie,0)),st_zpr)</f>
        <v>0</v>
      </c>
      <c r="H81" s="360" cm="1">
        <f t="array" ref="H81">SUMPRODUCT(ISNUMBER(MATCH(mod_st_zpr,$B$73,0))*('Koszty operacyjne'!$K$114:$X$114=Moduły!H$73)*ISNUMBER(MATCH(st_zpr_kw,nie,0)),st_zpr)</f>
        <v>0</v>
      </c>
      <c r="I81" s="360" cm="1">
        <f t="array" ref="I81">SUMPRODUCT(ISNUMBER(MATCH(mod_st_zpr,$B$73,0))*('Koszty operacyjne'!$K$114:$X$114=Moduły!I$73)*ISNUMBER(MATCH(st_zpr_kw,nie,0)),st_zpr)</f>
        <v>0</v>
      </c>
      <c r="J81" s="360" cm="1">
        <f t="array" ref="J81">SUMPRODUCT(ISNUMBER(MATCH(mod_st_zpr,$B$73,0))*('Koszty operacyjne'!$K$114:$X$114=Moduły!J$73)*ISNUMBER(MATCH(st_zpr_kw,nie,0)),st_zpr)</f>
        <v>0</v>
      </c>
      <c r="K81" s="361" cm="1">
        <f t="array" ref="K81">SUMPRODUCT(ISNUMBER(MATCH(mod_st_zpr,$B$73,0))*('Koszty operacyjne'!$K$114:$X$114=Moduły!K$73)*ISNUMBER(MATCH(st_zpr_kw,nie,0)),st_zpr)</f>
        <v>0</v>
      </c>
      <c r="L81" s="361" cm="1">
        <f t="array" ref="L81">SUMPRODUCT(ISNUMBER(MATCH(mod_st_zpr,$B$73,0))*('Koszty operacyjne'!$K$114:$X$114=Moduły!L$73)*ISNUMBER(MATCH(st_zpr_kw,nie,0)),st_zpr)</f>
        <v>0</v>
      </c>
      <c r="M81" s="361" cm="1">
        <f t="array" ref="M81">SUMPRODUCT(ISNUMBER(MATCH(mod_st_zpr,$B$73,0))*('Koszty operacyjne'!$K$114:$X$114=Moduły!M$73)*ISNUMBER(MATCH(st_zpr_kw,nie,0)),st_zpr)</f>
        <v>0</v>
      </c>
      <c r="N81" s="361" cm="1">
        <f t="array" ref="N81">SUMPRODUCT(ISNUMBER(MATCH(mod_st_zpr,$B$73,0))*('Koszty operacyjne'!$K$114:$X$114=Moduły!N$73)*ISNUMBER(MATCH(st_zpr_kw,nie,0)),st_zpr)</f>
        <v>0</v>
      </c>
      <c r="O81" s="361" cm="1">
        <f t="array" ref="O81">SUMPRODUCT(ISNUMBER(MATCH(mod_st_zpr,$B$73,0))*('Koszty operacyjne'!$K$114:$X$114=Moduły!O$73)*ISNUMBER(MATCH(st_zpr_kw,nie,0)),st_zpr)</f>
        <v>0</v>
      </c>
      <c r="P81" s="361" cm="1">
        <f t="array" ref="P81">SUMPRODUCT(ISNUMBER(MATCH(mod_st_zpr,$B$73,0))*('Koszty operacyjne'!$K$114:$X$114=Moduły!P$73)*ISNUMBER(MATCH(st_zpr_kw,nie,0)),st_zpr)</f>
        <v>0</v>
      </c>
      <c r="Q81" s="5"/>
      <c r="R81" s="5"/>
      <c r="S81" s="5"/>
      <c r="T81" s="5"/>
    </row>
    <row r="82" spans="2:25" ht="3.9" customHeight="1">
      <c r="B82" s="362"/>
      <c r="C82" s="363"/>
      <c r="D82" s="363"/>
      <c r="E82" s="363"/>
      <c r="F82" s="363"/>
      <c r="G82" s="363"/>
      <c r="H82" s="363"/>
      <c r="I82" s="363"/>
      <c r="J82" s="363"/>
      <c r="K82" s="364"/>
      <c r="L82" s="364"/>
      <c r="M82" s="364"/>
      <c r="N82" s="364"/>
      <c r="O82" s="364"/>
      <c r="P82" s="364"/>
      <c r="Q82" s="5"/>
      <c r="R82" s="5"/>
      <c r="S82" s="5"/>
      <c r="T82" s="5"/>
    </row>
    <row r="83" spans="2:25" ht="12" customHeight="1">
      <c r="B83" s="355" t="s">
        <v>97</v>
      </c>
      <c r="C83" s="356">
        <f t="shared" ref="C83:P83" si="41">SUM(C84:C85)</f>
        <v>0</v>
      </c>
      <c r="D83" s="356">
        <f t="shared" si="41"/>
        <v>0</v>
      </c>
      <c r="E83" s="356">
        <f t="shared" si="41"/>
        <v>0</v>
      </c>
      <c r="F83" s="356">
        <f t="shared" si="41"/>
        <v>0</v>
      </c>
      <c r="G83" s="356">
        <f t="shared" si="41"/>
        <v>0</v>
      </c>
      <c r="H83" s="356">
        <f t="shared" si="41"/>
        <v>0</v>
      </c>
      <c r="I83" s="356">
        <f t="shared" si="41"/>
        <v>0</v>
      </c>
      <c r="J83" s="356">
        <f t="shared" si="41"/>
        <v>0</v>
      </c>
      <c r="K83" s="356">
        <f t="shared" si="41"/>
        <v>0</v>
      </c>
      <c r="L83" s="356">
        <f t="shared" si="41"/>
        <v>0</v>
      </c>
      <c r="M83" s="356">
        <f t="shared" si="41"/>
        <v>0</v>
      </c>
      <c r="N83" s="356">
        <f t="shared" si="41"/>
        <v>0</v>
      </c>
      <c r="O83" s="356">
        <f t="shared" si="41"/>
        <v>0</v>
      </c>
      <c r="P83" s="356">
        <f t="shared" si="41"/>
        <v>0</v>
      </c>
      <c r="Q83" s="5"/>
      <c r="R83" s="5"/>
      <c r="S83" s="5"/>
      <c r="T83" s="5"/>
    </row>
    <row r="84" spans="2:25" ht="12" customHeight="1">
      <c r="B84" s="357" t="s">
        <v>95</v>
      </c>
      <c r="C84" s="358" cm="1">
        <f t="array" ref="C84">SUMPRODUCT(ISNUMBER(MATCH(mod_st_wnp,$B$73,0))*('Koszty operacyjne'!$K$114:$X$114=Moduły!C$73)*ISNUMBER(MATCH(st_wnp_kw,tak,0)),st_wnp)</f>
        <v>0</v>
      </c>
      <c r="D84" s="358" cm="1">
        <f t="array" ref="D84">SUMPRODUCT(ISNUMBER(MATCH(mod_st_wnp,$B$73,0))*('Koszty operacyjne'!$K$114:$X$114=Moduły!D$73)*ISNUMBER(MATCH(st_wnp_kw,tak,0)),st_wnp)</f>
        <v>0</v>
      </c>
      <c r="E84" s="358" cm="1">
        <f t="array" ref="E84">SUMPRODUCT(ISNUMBER(MATCH(mod_st_wnp,$B$73,0))*('Koszty operacyjne'!$K$114:$X$114=Moduły!E$73)*ISNUMBER(MATCH(st_wnp_kw,tak,0)),st_wnp)</f>
        <v>0</v>
      </c>
      <c r="F84" s="358" cm="1">
        <f t="array" ref="F84">SUMPRODUCT(ISNUMBER(MATCH(mod_st_wnp,$B$73,0))*('Koszty operacyjne'!$K$114:$X$114=Moduły!F$73)*ISNUMBER(MATCH(st_wnp_kw,tak,0)),st_wnp)</f>
        <v>0</v>
      </c>
      <c r="G84" s="358" cm="1">
        <f t="array" ref="G84">SUMPRODUCT(ISNUMBER(MATCH(mod_st_wnp,$B$73,0))*('Koszty operacyjne'!$K$114:$X$114=Moduły!G$73)*ISNUMBER(MATCH(st_wnp_kw,tak,0)),st_wnp)</f>
        <v>0</v>
      </c>
      <c r="H84" s="358" cm="1">
        <f t="array" ref="H84">SUMPRODUCT(ISNUMBER(MATCH(mod_st_wnp,$B$73,0))*('Koszty operacyjne'!$K$114:$X$114=Moduły!H$73)*ISNUMBER(MATCH(st_wnp_kw,tak,0)),st_wnp)</f>
        <v>0</v>
      </c>
      <c r="I84" s="358" cm="1">
        <f t="array" ref="I84">SUMPRODUCT(ISNUMBER(MATCH(mod_st_wnp,$B$73,0))*('Koszty operacyjne'!$K$114:$X$114=Moduły!I$73)*ISNUMBER(MATCH(st_wnp_kw,tak,0)),st_wnp)</f>
        <v>0</v>
      </c>
      <c r="J84" s="358" cm="1">
        <f t="array" ref="J84">SUMPRODUCT(ISNUMBER(MATCH(mod_st_wnp,$B$73,0))*('Koszty operacyjne'!$K$114:$X$114=Moduły!J$73)*ISNUMBER(MATCH(st_wnp_kw,tak,0)),st_wnp)</f>
        <v>0</v>
      </c>
      <c r="K84" s="358" cm="1">
        <f t="array" ref="K84">SUMPRODUCT(ISNUMBER(MATCH(mod_st_wnp,$B$73,0))*('Koszty operacyjne'!$K$114:$X$114=Moduły!K$73)*ISNUMBER(MATCH(st_wnp_kw,tak,0)),st_wnp)</f>
        <v>0</v>
      </c>
      <c r="L84" s="358" cm="1">
        <f t="array" ref="L84">SUMPRODUCT(ISNUMBER(MATCH(mod_st_wnp,$B$73,0))*('Koszty operacyjne'!$K$114:$X$114=Moduły!L$73)*ISNUMBER(MATCH(st_wnp_kw,tak,0)),st_wnp)</f>
        <v>0</v>
      </c>
      <c r="M84" s="358" cm="1">
        <f t="array" ref="M84">SUMPRODUCT(ISNUMBER(MATCH(mod_st_wnp,$B$73,0))*('Koszty operacyjne'!$K$114:$X$114=Moduły!M$73)*ISNUMBER(MATCH(st_wnp_kw,tak,0)),st_wnp)</f>
        <v>0</v>
      </c>
      <c r="N84" s="358" cm="1">
        <f t="array" ref="N84">SUMPRODUCT(ISNUMBER(MATCH(mod_st_wnp,$B$73,0))*('Koszty operacyjne'!$K$114:$X$114=Moduły!N$73)*ISNUMBER(MATCH(st_wnp_kw,tak,0)),st_wnp)</f>
        <v>0</v>
      </c>
      <c r="O84" s="358" cm="1">
        <f t="array" ref="O84">SUMPRODUCT(ISNUMBER(MATCH(mod_st_wnp,$B$73,0))*('Koszty operacyjne'!$K$114:$X$114=Moduły!O$73)*ISNUMBER(MATCH(st_wnp_kw,tak,0)),st_wnp)</f>
        <v>0</v>
      </c>
      <c r="P84" s="358" cm="1">
        <f t="array" ref="P84">SUMPRODUCT(ISNUMBER(MATCH(mod_st_wnp,$B$73,0))*('Koszty operacyjne'!$K$114:$X$114=Moduły!P$73)*ISNUMBER(MATCH(st_wnp_kw,tak,0)),st_wnp)</f>
        <v>0</v>
      </c>
      <c r="Q84" s="5"/>
      <c r="R84" s="5"/>
      <c r="S84" s="5"/>
      <c r="T84" s="5"/>
    </row>
    <row r="85" spans="2:25" ht="12" customHeight="1">
      <c r="B85" s="359" t="s">
        <v>96</v>
      </c>
      <c r="C85" s="360" cm="1">
        <f t="array" ref="C85">SUMPRODUCT(ISNUMBER(MATCH(mod_st_wnp,$B$73,0))*('Koszty operacyjne'!$K$114:$X$114=Moduły!C$73)*ISNUMBER(MATCH(st_wnp_kw,nie,0)),st_wnp)</f>
        <v>0</v>
      </c>
      <c r="D85" s="360" cm="1">
        <f t="array" ref="D85">SUMPRODUCT(ISNUMBER(MATCH(mod_st_wnp,$B$73,0))*('Koszty operacyjne'!$K$114:$X$114=Moduły!D$73)*ISNUMBER(MATCH(st_wnp_kw,nie,0)),st_wnp)</f>
        <v>0</v>
      </c>
      <c r="E85" s="360" cm="1">
        <f t="array" ref="E85">SUMPRODUCT(ISNUMBER(MATCH(mod_st_wnp,$B$73,0))*('Koszty operacyjne'!$K$114:$X$114=Moduły!E$73)*ISNUMBER(MATCH(st_wnp_kw,nie,0)),st_wnp)</f>
        <v>0</v>
      </c>
      <c r="F85" s="360" cm="1">
        <f t="array" ref="F85">SUMPRODUCT(ISNUMBER(MATCH(mod_st_wnp,$B$73,0))*('Koszty operacyjne'!$K$114:$X$114=Moduły!F$73)*ISNUMBER(MATCH(st_wnp_kw,nie,0)),st_wnp)</f>
        <v>0</v>
      </c>
      <c r="G85" s="360" cm="1">
        <f t="array" ref="G85">SUMPRODUCT(ISNUMBER(MATCH(mod_st_wnp,$B$73,0))*('Koszty operacyjne'!$K$114:$X$114=Moduły!G$73)*ISNUMBER(MATCH(st_wnp_kw,nie,0)),st_wnp)</f>
        <v>0</v>
      </c>
      <c r="H85" s="360" cm="1">
        <f t="array" ref="H85">SUMPRODUCT(ISNUMBER(MATCH(mod_st_wnp,$B$73,0))*('Koszty operacyjne'!$K$114:$X$114=Moduły!H$73)*ISNUMBER(MATCH(st_wnp_kw,nie,0)),st_wnp)</f>
        <v>0</v>
      </c>
      <c r="I85" s="360" cm="1">
        <f t="array" ref="I85">SUMPRODUCT(ISNUMBER(MATCH(mod_st_wnp,$B$73,0))*('Koszty operacyjne'!$K$114:$X$114=Moduły!I$73)*ISNUMBER(MATCH(st_wnp_kw,nie,0)),st_wnp)</f>
        <v>0</v>
      </c>
      <c r="J85" s="360" cm="1">
        <f t="array" ref="J85">SUMPRODUCT(ISNUMBER(MATCH(mod_st_wnp,$B$73,0))*('Koszty operacyjne'!$K$114:$X$114=Moduły!J$73)*ISNUMBER(MATCH(st_wnp_kw,nie,0)),st_wnp)</f>
        <v>0</v>
      </c>
      <c r="K85" s="361" cm="1">
        <f t="array" ref="K85">SUMPRODUCT(ISNUMBER(MATCH(mod_st_wnp,$B$73,0))*('Koszty operacyjne'!$K$114:$X$114=Moduły!K$73)*ISNUMBER(MATCH(st_wnp_kw,nie,0)),st_wnp)</f>
        <v>0</v>
      </c>
      <c r="L85" s="361" cm="1">
        <f t="array" ref="L85">SUMPRODUCT(ISNUMBER(MATCH(mod_st_wnp,$B$73,0))*('Koszty operacyjne'!$K$114:$X$114=Moduły!L$73)*ISNUMBER(MATCH(st_wnp_kw,nie,0)),st_wnp)</f>
        <v>0</v>
      </c>
      <c r="M85" s="361" cm="1">
        <f t="array" ref="M85">SUMPRODUCT(ISNUMBER(MATCH(mod_st_wnp,$B$73,0))*('Koszty operacyjne'!$K$114:$X$114=Moduły!M$73)*ISNUMBER(MATCH(st_wnp_kw,nie,0)),st_wnp)</f>
        <v>0</v>
      </c>
      <c r="N85" s="361" cm="1">
        <f t="array" ref="N85">SUMPRODUCT(ISNUMBER(MATCH(mod_st_wnp,$B$73,0))*('Koszty operacyjne'!$K$114:$X$114=Moduły!N$73)*ISNUMBER(MATCH(st_wnp_kw,nie,0)),st_wnp)</f>
        <v>0</v>
      </c>
      <c r="O85" s="361" cm="1">
        <f t="array" ref="O85">SUMPRODUCT(ISNUMBER(MATCH(mod_st_wnp,$B$73,0))*('Koszty operacyjne'!$K$114:$X$114=Moduły!O$73)*ISNUMBER(MATCH(st_wnp_kw,nie,0)),st_wnp)</f>
        <v>0</v>
      </c>
      <c r="P85" s="361" cm="1">
        <f t="array" ref="P85">SUMPRODUCT(ISNUMBER(MATCH(mod_st_wnp,$B$73,0))*('Koszty operacyjne'!$K$114:$X$114=Moduły!P$73)*ISNUMBER(MATCH(st_wnp_kw,nie,0)),st_wnp)</f>
        <v>0</v>
      </c>
      <c r="Q85" s="5"/>
      <c r="R85" s="5"/>
      <c r="S85" s="5"/>
      <c r="T85" s="5"/>
    </row>
    <row r="86" spans="2:25" ht="3.9" customHeight="1">
      <c r="B86" s="8"/>
      <c r="C86" s="363"/>
      <c r="D86" s="363"/>
      <c r="E86" s="363"/>
      <c r="F86" s="363"/>
      <c r="G86" s="363"/>
      <c r="H86" s="363"/>
      <c r="I86" s="363"/>
      <c r="J86" s="363"/>
      <c r="K86" s="364"/>
      <c r="L86" s="364"/>
      <c r="M86" s="364"/>
      <c r="N86" s="364"/>
      <c r="O86" s="364"/>
      <c r="P86" s="364"/>
      <c r="Q86" s="5"/>
      <c r="R86" s="5"/>
      <c r="S86" s="5"/>
      <c r="T86" s="5"/>
    </row>
    <row r="87" spans="2:25" ht="12" customHeight="1">
      <c r="B87" s="355" t="s">
        <v>98</v>
      </c>
      <c r="C87" s="356">
        <f t="shared" ref="C87:P87" si="42">SUM(C88:C89)</f>
        <v>0</v>
      </c>
      <c r="D87" s="356">
        <f t="shared" si="42"/>
        <v>0</v>
      </c>
      <c r="E87" s="356">
        <f t="shared" si="42"/>
        <v>0</v>
      </c>
      <c r="F87" s="356">
        <f t="shared" si="42"/>
        <v>0</v>
      </c>
      <c r="G87" s="356">
        <f t="shared" si="42"/>
        <v>0</v>
      </c>
      <c r="H87" s="356">
        <f t="shared" si="42"/>
        <v>0</v>
      </c>
      <c r="I87" s="356">
        <f t="shared" si="42"/>
        <v>0</v>
      </c>
      <c r="J87" s="356">
        <f t="shared" si="42"/>
        <v>0</v>
      </c>
      <c r="K87" s="356">
        <f t="shared" si="42"/>
        <v>0</v>
      </c>
      <c r="L87" s="356">
        <f t="shared" si="42"/>
        <v>0</v>
      </c>
      <c r="M87" s="356">
        <f t="shared" si="42"/>
        <v>0</v>
      </c>
      <c r="N87" s="356">
        <f t="shared" si="42"/>
        <v>0</v>
      </c>
      <c r="O87" s="356">
        <f t="shared" si="42"/>
        <v>0</v>
      </c>
      <c r="P87" s="356">
        <f t="shared" si="42"/>
        <v>0</v>
      </c>
      <c r="Q87" s="5"/>
      <c r="R87" s="5"/>
      <c r="S87" s="5"/>
      <c r="T87" s="5"/>
    </row>
    <row r="88" spans="2:25" ht="12" customHeight="1">
      <c r="B88" s="357" t="s">
        <v>95</v>
      </c>
      <c r="C88" s="358" cm="1">
        <f t="array" ref="C88">SUMPRODUCT(ISNUMBER(MATCH(mod_st_gry,$B$73,0))*('Koszty operacyjne'!$K$114:$X$114=Moduły!C$73)*ISNUMBER(MATCH(st_gry_kw,tak,0)),st_gry)</f>
        <v>0</v>
      </c>
      <c r="D88" s="358" cm="1">
        <f t="array" ref="D88">SUMPRODUCT(ISNUMBER(MATCH(mod_st_gry,$B$73,0))*('Koszty operacyjne'!$K$114:$X$114=Moduły!D$73)*ISNUMBER(MATCH(st_gry_kw,tak,0)),st_gry)</f>
        <v>0</v>
      </c>
      <c r="E88" s="358" cm="1">
        <f t="array" ref="E88">SUMPRODUCT(ISNUMBER(MATCH(mod_st_gry,$B$73,0))*('Koszty operacyjne'!$K$114:$X$114=Moduły!E$73)*ISNUMBER(MATCH(st_gry_kw,tak,0)),st_gry)</f>
        <v>0</v>
      </c>
      <c r="F88" s="358" cm="1">
        <f t="array" ref="F88">SUMPRODUCT(ISNUMBER(MATCH(mod_st_gry,$B$73,0))*('Koszty operacyjne'!$K$114:$X$114=Moduły!F$73)*ISNUMBER(MATCH(st_gry_kw,tak,0)),st_gry)</f>
        <v>0</v>
      </c>
      <c r="G88" s="358" cm="1">
        <f t="array" ref="G88">SUMPRODUCT(ISNUMBER(MATCH(mod_st_gry,$B$73,0))*('Koszty operacyjne'!$K$114:$X$114=Moduły!G$73)*ISNUMBER(MATCH(st_gry_kw,tak,0)),st_gry)</f>
        <v>0</v>
      </c>
      <c r="H88" s="358" cm="1">
        <f t="array" ref="H88">SUMPRODUCT(ISNUMBER(MATCH(mod_st_gry,$B$73,0))*('Koszty operacyjne'!$K$114:$X$114=Moduły!H$73)*ISNUMBER(MATCH(st_gry_kw,tak,0)),st_gry)</f>
        <v>0</v>
      </c>
      <c r="I88" s="358" cm="1">
        <f t="array" ref="I88">SUMPRODUCT(ISNUMBER(MATCH(mod_st_gry,$B$73,0))*('Koszty operacyjne'!$K$114:$X$114=Moduły!I$73)*ISNUMBER(MATCH(st_gry_kw,tak,0)),st_gry)</f>
        <v>0</v>
      </c>
      <c r="J88" s="358" cm="1">
        <f t="array" ref="J88">SUMPRODUCT(ISNUMBER(MATCH(mod_st_gry,$B$73,0))*('Koszty operacyjne'!$K$114:$X$114=Moduły!J$73)*ISNUMBER(MATCH(st_gry_kw,tak,0)),st_gry)</f>
        <v>0</v>
      </c>
      <c r="K88" s="358" cm="1">
        <f t="array" ref="K88">SUMPRODUCT(ISNUMBER(MATCH(mod_st_gry,$B$73,0))*('Koszty operacyjne'!$K$114:$X$114=Moduły!K$73)*ISNUMBER(MATCH(st_gry_kw,tak,0)),st_gry)</f>
        <v>0</v>
      </c>
      <c r="L88" s="358" cm="1">
        <f t="array" ref="L88">SUMPRODUCT(ISNUMBER(MATCH(mod_st_gry,$B$73,0))*('Koszty operacyjne'!$K$114:$X$114=Moduły!L$73)*ISNUMBER(MATCH(st_gry_kw,tak,0)),st_gry)</f>
        <v>0</v>
      </c>
      <c r="M88" s="358" cm="1">
        <f t="array" ref="M88">SUMPRODUCT(ISNUMBER(MATCH(mod_st_gry,$B$73,0))*('Koszty operacyjne'!$K$114:$X$114=Moduły!M$73)*ISNUMBER(MATCH(st_gry_kw,tak,0)),st_gry)</f>
        <v>0</v>
      </c>
      <c r="N88" s="358" cm="1">
        <f t="array" ref="N88">SUMPRODUCT(ISNUMBER(MATCH(mod_st_gry,$B$73,0))*('Koszty operacyjne'!$K$114:$X$114=Moduły!N$73)*ISNUMBER(MATCH(st_gry_kw,tak,0)),st_gry)</f>
        <v>0</v>
      </c>
      <c r="O88" s="358" cm="1">
        <f t="array" ref="O88">SUMPRODUCT(ISNUMBER(MATCH(mod_st_gry,$B$73,0))*('Koszty operacyjne'!$K$114:$X$114=Moduły!O$73)*ISNUMBER(MATCH(st_gry_kw,tak,0)),st_gry)</f>
        <v>0</v>
      </c>
      <c r="P88" s="358" cm="1">
        <f t="array" ref="P88">SUMPRODUCT(ISNUMBER(MATCH(mod_st_gry,$B$73,0))*('Koszty operacyjne'!$K$114:$X$114=Moduły!P$73)*ISNUMBER(MATCH(st_gry_kw,tak,0)),st_gry)</f>
        <v>0</v>
      </c>
      <c r="Q88" s="5"/>
      <c r="R88" s="5"/>
      <c r="S88" s="5"/>
      <c r="T88" s="5"/>
    </row>
    <row r="89" spans="2:25" ht="12" customHeight="1">
      <c r="B89" s="359" t="s">
        <v>96</v>
      </c>
      <c r="C89" s="360" cm="1">
        <f t="array" ref="C89">SUMPRODUCT(ISNUMBER(MATCH(mod_st_gry,$B$73,0))*('Koszty operacyjne'!$K$114:$X$114=Moduły!C$73)*ISNUMBER(MATCH(st_gry_kw,nie,0)),st_gry)</f>
        <v>0</v>
      </c>
      <c r="D89" s="360" cm="1">
        <f t="array" ref="D89">SUMPRODUCT(ISNUMBER(MATCH(mod_st_gry,$B$73,0))*('Koszty operacyjne'!$K$114:$X$114=Moduły!D$73)*ISNUMBER(MATCH(st_gry_kw,nie,0)),st_gry)</f>
        <v>0</v>
      </c>
      <c r="E89" s="360" cm="1">
        <f t="array" ref="E89">SUMPRODUCT(ISNUMBER(MATCH(mod_st_gry,$B$73,0))*('Koszty operacyjne'!$K$114:$X$114=Moduły!E$73)*ISNUMBER(MATCH(st_gry_kw,nie,0)),st_gry)</f>
        <v>0</v>
      </c>
      <c r="F89" s="360" cm="1">
        <f t="array" ref="F89">SUMPRODUCT(ISNUMBER(MATCH(mod_st_gry,$B$73,0))*('Koszty operacyjne'!$K$114:$X$114=Moduły!F$73)*ISNUMBER(MATCH(st_gry_kw,nie,0)),st_gry)</f>
        <v>0</v>
      </c>
      <c r="G89" s="360" cm="1">
        <f t="array" ref="G89">SUMPRODUCT(ISNUMBER(MATCH(mod_st_gry,$B$73,0))*('Koszty operacyjne'!$K$114:$X$114=Moduły!G$73)*ISNUMBER(MATCH(st_gry_kw,nie,0)),st_gry)</f>
        <v>0</v>
      </c>
      <c r="H89" s="360" cm="1">
        <f t="array" ref="H89">SUMPRODUCT(ISNUMBER(MATCH(mod_st_gry,$B$73,0))*('Koszty operacyjne'!$K$114:$X$114=Moduły!H$73)*ISNUMBER(MATCH(st_gry_kw,nie,0)),st_gry)</f>
        <v>0</v>
      </c>
      <c r="I89" s="360" cm="1">
        <f t="array" ref="I89">SUMPRODUCT(ISNUMBER(MATCH(mod_st_gry,$B$73,0))*('Koszty operacyjne'!$K$114:$X$114=Moduły!I$73)*ISNUMBER(MATCH(st_gry_kw,nie,0)),st_gry)</f>
        <v>0</v>
      </c>
      <c r="J89" s="360" cm="1">
        <f t="array" ref="J89">SUMPRODUCT(ISNUMBER(MATCH(mod_st_gry,$B$73,0))*('Koszty operacyjne'!$K$114:$X$114=Moduły!J$73)*ISNUMBER(MATCH(st_gry_kw,nie,0)),st_gry)</f>
        <v>0</v>
      </c>
      <c r="K89" s="361" cm="1">
        <f t="array" ref="K89">SUMPRODUCT(ISNUMBER(MATCH(mod_st_gry,$B$73,0))*('Koszty operacyjne'!$K$114:$X$114=Moduły!K$73)*ISNUMBER(MATCH(st_gry_kw,nie,0)),st_gry)</f>
        <v>0</v>
      </c>
      <c r="L89" s="361" cm="1">
        <f t="array" ref="L89">SUMPRODUCT(ISNUMBER(MATCH(mod_st_gry,$B$73,0))*('Koszty operacyjne'!$K$114:$X$114=Moduły!L$73)*ISNUMBER(MATCH(st_gry_kw,nie,0)),st_gry)</f>
        <v>0</v>
      </c>
      <c r="M89" s="361" cm="1">
        <f t="array" ref="M89">SUMPRODUCT(ISNUMBER(MATCH(mod_st_gry,$B$73,0))*('Koszty operacyjne'!$K$114:$X$114=Moduły!M$73)*ISNUMBER(MATCH(st_gry_kw,nie,0)),st_gry)</f>
        <v>0</v>
      </c>
      <c r="N89" s="361" cm="1">
        <f t="array" ref="N89">SUMPRODUCT(ISNUMBER(MATCH(mod_st_gry,$B$73,0))*('Koszty operacyjne'!$K$114:$X$114=Moduły!N$73)*ISNUMBER(MATCH(st_gry_kw,nie,0)),st_gry)</f>
        <v>0</v>
      </c>
      <c r="O89" s="361" cm="1">
        <f t="array" ref="O89">SUMPRODUCT(ISNUMBER(MATCH(mod_st_gry,$B$73,0))*('Koszty operacyjne'!$K$114:$X$114=Moduły!O$73)*ISNUMBER(MATCH(st_gry_kw,nie,0)),st_gry)</f>
        <v>0</v>
      </c>
      <c r="P89" s="361" cm="1">
        <f t="array" ref="P89">SUMPRODUCT(ISNUMBER(MATCH(mod_st_gry,$B$73,0))*('Koszty operacyjne'!$K$114:$X$114=Moduły!P$73)*ISNUMBER(MATCH(st_gry_kw,nie,0)),st_gry)</f>
        <v>0</v>
      </c>
      <c r="Q89" s="5"/>
      <c r="R89" s="5"/>
      <c r="S89" s="5"/>
      <c r="T89" s="5"/>
    </row>
    <row r="90" spans="2:25" ht="3.9" customHeight="1">
      <c r="B90" s="8"/>
      <c r="C90" s="363"/>
      <c r="D90" s="363"/>
      <c r="E90" s="363"/>
      <c r="F90" s="363"/>
      <c r="G90" s="363"/>
      <c r="H90" s="363"/>
      <c r="I90" s="363"/>
      <c r="J90" s="363"/>
      <c r="K90" s="364"/>
      <c r="L90" s="364"/>
      <c r="M90" s="364"/>
      <c r="N90" s="364"/>
      <c r="O90" s="364"/>
      <c r="P90" s="364"/>
      <c r="Q90" s="5"/>
      <c r="R90" s="5"/>
      <c r="S90" s="5"/>
      <c r="T90" s="5"/>
      <c r="U90" s="5"/>
      <c r="V90" s="5"/>
      <c r="W90" s="5"/>
      <c r="X90" s="5"/>
      <c r="Y90" s="5"/>
    </row>
    <row r="91" spans="2:25" ht="12" customHeight="1">
      <c r="B91" s="355" t="s">
        <v>99</v>
      </c>
      <c r="C91" s="356">
        <f t="shared" ref="C91:P91" si="43">SUM(C92:C93)</f>
        <v>0</v>
      </c>
      <c r="D91" s="356">
        <f t="shared" si="43"/>
        <v>0</v>
      </c>
      <c r="E91" s="356">
        <f t="shared" si="43"/>
        <v>0</v>
      </c>
      <c r="F91" s="356">
        <f t="shared" si="43"/>
        <v>0</v>
      </c>
      <c r="G91" s="356">
        <f t="shared" si="43"/>
        <v>0</v>
      </c>
      <c r="H91" s="356">
        <f t="shared" si="43"/>
        <v>0</v>
      </c>
      <c r="I91" s="356">
        <f t="shared" si="43"/>
        <v>0</v>
      </c>
      <c r="J91" s="356">
        <f t="shared" si="43"/>
        <v>0</v>
      </c>
      <c r="K91" s="356">
        <f t="shared" si="43"/>
        <v>0</v>
      </c>
      <c r="L91" s="356">
        <f t="shared" si="43"/>
        <v>0</v>
      </c>
      <c r="M91" s="356">
        <f t="shared" si="43"/>
        <v>0</v>
      </c>
      <c r="N91" s="356">
        <f t="shared" si="43"/>
        <v>0</v>
      </c>
      <c r="O91" s="356">
        <f t="shared" si="43"/>
        <v>0</v>
      </c>
      <c r="P91" s="356">
        <f t="shared" si="43"/>
        <v>0</v>
      </c>
      <c r="Q91" s="5"/>
      <c r="R91" s="5"/>
      <c r="S91" s="5"/>
      <c r="T91" s="5"/>
      <c r="U91" s="5"/>
      <c r="V91" s="5"/>
      <c r="W91" s="5"/>
      <c r="X91" s="5"/>
      <c r="Y91" s="5"/>
    </row>
    <row r="92" spans="2:25" ht="12" customHeight="1">
      <c r="B92" s="357" t="s">
        <v>95</v>
      </c>
      <c r="C92" s="358" cm="1">
        <f t="array" ref="C92">SUMPRODUCT(ISNUMBER(MATCH(mod_st_bib,$B$73,0))*('Koszty operacyjne'!$K$114:$X$114=Moduły!C$73)*ISNUMBER(MATCH(st_bib_kw,tak,0)),st_bib)</f>
        <v>0</v>
      </c>
      <c r="D92" s="358" cm="1">
        <f t="array" ref="D92">SUMPRODUCT(ISNUMBER(MATCH(mod_st_bib,$B$73,0))*('Koszty operacyjne'!$K$114:$X$114=Moduły!D$73)*ISNUMBER(MATCH(st_bib_kw,tak,0)),st_bib)</f>
        <v>0</v>
      </c>
      <c r="E92" s="358" cm="1">
        <f t="array" ref="E92">SUMPRODUCT(ISNUMBER(MATCH(mod_st_bib,$B$73,0))*('Koszty operacyjne'!$K$114:$X$114=Moduły!E$73)*ISNUMBER(MATCH(st_bib_kw,tak,0)),st_bib)</f>
        <v>0</v>
      </c>
      <c r="F92" s="358" cm="1">
        <f t="array" ref="F92">SUMPRODUCT(ISNUMBER(MATCH(mod_st_bib,$B$73,0))*('Koszty operacyjne'!$K$114:$X$114=Moduły!F$73)*ISNUMBER(MATCH(st_bib_kw,tak,0)),st_bib)</f>
        <v>0</v>
      </c>
      <c r="G92" s="358" cm="1">
        <f t="array" ref="G92">SUMPRODUCT(ISNUMBER(MATCH(mod_st_bib,$B$73,0))*('Koszty operacyjne'!$K$114:$X$114=Moduły!G$73)*ISNUMBER(MATCH(st_bib_kw,tak,0)),st_bib)</f>
        <v>0</v>
      </c>
      <c r="H92" s="358" cm="1">
        <f t="array" ref="H92">SUMPRODUCT(ISNUMBER(MATCH(mod_st_bib,$B$73,0))*('Koszty operacyjne'!$K$114:$X$114=Moduły!H$73)*ISNUMBER(MATCH(st_bib_kw,tak,0)),st_bib)</f>
        <v>0</v>
      </c>
      <c r="I92" s="358" cm="1">
        <f t="array" ref="I92">SUMPRODUCT(ISNUMBER(MATCH(mod_st_bib,$B$73,0))*('Koszty operacyjne'!$K$114:$X$114=Moduły!I$73)*ISNUMBER(MATCH(st_bib_kw,tak,0)),st_bib)</f>
        <v>0</v>
      </c>
      <c r="J92" s="358" cm="1">
        <f t="array" ref="J92">SUMPRODUCT(ISNUMBER(MATCH(mod_st_bib,$B$73,0))*('Koszty operacyjne'!$K$114:$X$114=Moduły!J$73)*ISNUMBER(MATCH(st_bib_kw,tak,0)),st_bib)</f>
        <v>0</v>
      </c>
      <c r="K92" s="358" cm="1">
        <f t="array" ref="K92">SUMPRODUCT(ISNUMBER(MATCH(mod_st_bib,$B$73,0))*('Koszty operacyjne'!$K$114:$X$114=Moduły!K$73)*ISNUMBER(MATCH(st_bib_kw,tak,0)),st_bib)</f>
        <v>0</v>
      </c>
      <c r="L92" s="358" cm="1">
        <f t="array" ref="L92">SUMPRODUCT(ISNUMBER(MATCH(mod_st_bib,$B$73,0))*('Koszty operacyjne'!$K$114:$X$114=Moduły!L$73)*ISNUMBER(MATCH(st_bib_kw,tak,0)),st_bib)</f>
        <v>0</v>
      </c>
      <c r="M92" s="358" cm="1">
        <f t="array" ref="M92">SUMPRODUCT(ISNUMBER(MATCH(mod_st_bib,$B$73,0))*('Koszty operacyjne'!$K$114:$X$114=Moduły!M$73)*ISNUMBER(MATCH(st_bib_kw,tak,0)),st_bib)</f>
        <v>0</v>
      </c>
      <c r="N92" s="358" cm="1">
        <f t="array" ref="N92">SUMPRODUCT(ISNUMBER(MATCH(mod_st_bib,$B$73,0))*('Koszty operacyjne'!$K$114:$X$114=Moduły!N$73)*ISNUMBER(MATCH(st_bib_kw,tak,0)),st_bib)</f>
        <v>0</v>
      </c>
      <c r="O92" s="358" cm="1">
        <f t="array" ref="O92">SUMPRODUCT(ISNUMBER(MATCH(mod_st_bib,$B$73,0))*('Koszty operacyjne'!$K$114:$X$114=Moduły!O$73)*ISNUMBER(MATCH(st_bib_kw,tak,0)),st_bib)</f>
        <v>0</v>
      </c>
      <c r="P92" s="358" cm="1">
        <f t="array" ref="P92">SUMPRODUCT(ISNUMBER(MATCH(mod_st_bib,$B$73,0))*('Koszty operacyjne'!$K$114:$X$114=Moduły!P$73)*ISNUMBER(MATCH(st_bib_kw,tak,0)),st_bib)</f>
        <v>0</v>
      </c>
      <c r="Q92" s="5"/>
      <c r="R92" s="5"/>
      <c r="S92" s="5"/>
      <c r="T92" s="5"/>
      <c r="U92" s="5"/>
      <c r="V92" s="5"/>
      <c r="W92" s="5"/>
      <c r="X92" s="5"/>
      <c r="Y92" s="5"/>
    </row>
    <row r="93" spans="2:25" ht="12" customHeight="1">
      <c r="B93" s="359" t="s">
        <v>96</v>
      </c>
      <c r="C93" s="360" cm="1">
        <f t="array" ref="C93">SUMPRODUCT(ISNUMBER(MATCH(mod_st_bib,$B$73,0))*('Koszty operacyjne'!$K$114:$X$114=Moduły!C$73)*ISNUMBER(MATCH(st_bib_kw,nie,0)),st_bib)</f>
        <v>0</v>
      </c>
      <c r="D93" s="360" cm="1">
        <f t="array" ref="D93">SUMPRODUCT(ISNUMBER(MATCH(mod_st_bib,$B$73,0))*('Koszty operacyjne'!$K$114:$X$114=Moduły!D$73)*ISNUMBER(MATCH(st_bib_kw,nie,0)),st_bib)</f>
        <v>0</v>
      </c>
      <c r="E93" s="360" cm="1">
        <f t="array" ref="E93">SUMPRODUCT(ISNUMBER(MATCH(mod_st_bib,$B$73,0))*('Koszty operacyjne'!$K$114:$X$114=Moduły!E$73)*ISNUMBER(MATCH(st_bib_kw,nie,0)),st_bib)</f>
        <v>0</v>
      </c>
      <c r="F93" s="360" cm="1">
        <f t="array" ref="F93">SUMPRODUCT(ISNUMBER(MATCH(mod_st_bib,$B$73,0))*('Koszty operacyjne'!$K$114:$X$114=Moduły!F$73)*ISNUMBER(MATCH(st_bib_kw,nie,0)),st_bib)</f>
        <v>0</v>
      </c>
      <c r="G93" s="360" cm="1">
        <f t="array" ref="G93">SUMPRODUCT(ISNUMBER(MATCH(mod_st_bib,$B$73,0))*('Koszty operacyjne'!$K$114:$X$114=Moduły!G$73)*ISNUMBER(MATCH(st_bib_kw,nie,0)),st_bib)</f>
        <v>0</v>
      </c>
      <c r="H93" s="360" cm="1">
        <f t="array" ref="H93">SUMPRODUCT(ISNUMBER(MATCH(mod_st_bib,$B$73,0))*('Koszty operacyjne'!$K$114:$X$114=Moduły!H$73)*ISNUMBER(MATCH(st_bib_kw,nie,0)),st_bib)</f>
        <v>0</v>
      </c>
      <c r="I93" s="360" cm="1">
        <f t="array" ref="I93">SUMPRODUCT(ISNUMBER(MATCH(mod_st_bib,$B$73,0))*('Koszty operacyjne'!$K$114:$X$114=Moduły!I$73)*ISNUMBER(MATCH(st_bib_kw,nie,0)),st_bib)</f>
        <v>0</v>
      </c>
      <c r="J93" s="360" cm="1">
        <f t="array" ref="J93">SUMPRODUCT(ISNUMBER(MATCH(mod_st_bib,$B$73,0))*('Koszty operacyjne'!$K$114:$X$114=Moduły!J$73)*ISNUMBER(MATCH(st_bib_kw,nie,0)),st_bib)</f>
        <v>0</v>
      </c>
      <c r="K93" s="361" cm="1">
        <f t="array" ref="K93">SUMPRODUCT(ISNUMBER(MATCH(mod_st_bib,$B$73,0))*('Koszty operacyjne'!$K$114:$X$114=Moduły!K$73)*ISNUMBER(MATCH(st_bib_kw,nie,0)),st_bib)</f>
        <v>0</v>
      </c>
      <c r="L93" s="361" cm="1">
        <f t="array" ref="L93">SUMPRODUCT(ISNUMBER(MATCH(mod_st_bib,$B$73,0))*('Koszty operacyjne'!$K$114:$X$114=Moduły!L$73)*ISNUMBER(MATCH(st_bib_kw,nie,0)),st_bib)</f>
        <v>0</v>
      </c>
      <c r="M93" s="361" cm="1">
        <f t="array" ref="M93">SUMPRODUCT(ISNUMBER(MATCH(mod_st_bib,$B$73,0))*('Koszty operacyjne'!$K$114:$X$114=Moduły!M$73)*ISNUMBER(MATCH(st_bib_kw,nie,0)),st_bib)</f>
        <v>0</v>
      </c>
      <c r="N93" s="361" cm="1">
        <f t="array" ref="N93">SUMPRODUCT(ISNUMBER(MATCH(mod_st_bib,$B$73,0))*('Koszty operacyjne'!$K$114:$X$114=Moduły!N$73)*ISNUMBER(MATCH(st_bib_kw,nie,0)),st_bib)</f>
        <v>0</v>
      </c>
      <c r="O93" s="361" cm="1">
        <f t="array" ref="O93">SUMPRODUCT(ISNUMBER(MATCH(mod_st_bib,$B$73,0))*('Koszty operacyjne'!$K$114:$X$114=Moduły!O$73)*ISNUMBER(MATCH(st_bib_kw,nie,0)),st_bib)</f>
        <v>0</v>
      </c>
      <c r="P93" s="361" cm="1">
        <f t="array" ref="P93">SUMPRODUCT(ISNUMBER(MATCH(mod_st_bib,$B$73,0))*('Koszty operacyjne'!$K$114:$X$114=Moduły!P$73)*ISNUMBER(MATCH(st_bib_kw,nie,0)),st_bib)</f>
        <v>0</v>
      </c>
      <c r="Q93" s="5"/>
      <c r="R93" s="5"/>
      <c r="S93" s="5"/>
      <c r="T93" s="5"/>
      <c r="U93" s="5"/>
      <c r="V93" s="5"/>
      <c r="W93" s="5"/>
      <c r="X93" s="5"/>
      <c r="Y93" s="5"/>
    </row>
    <row r="94" spans="2:25" ht="3.9" customHeight="1">
      <c r="B94" s="8"/>
      <c r="C94" s="363"/>
      <c r="D94" s="363"/>
      <c r="E94" s="363"/>
      <c r="F94" s="363"/>
      <c r="G94" s="363"/>
      <c r="H94" s="363"/>
      <c r="I94" s="363"/>
      <c r="J94" s="363"/>
      <c r="K94" s="364"/>
      <c r="L94" s="364"/>
      <c r="M94" s="364"/>
      <c r="N94" s="364"/>
      <c r="O94" s="364"/>
      <c r="P94" s="364"/>
      <c r="Q94" s="5"/>
      <c r="R94" s="5"/>
      <c r="S94" s="5"/>
      <c r="T94" s="5"/>
      <c r="U94" s="5"/>
      <c r="V94" s="5"/>
      <c r="W94" s="5"/>
      <c r="X94" s="5"/>
      <c r="Y94" s="5"/>
    </row>
    <row r="95" spans="2:25" ht="12" customHeight="1">
      <c r="B95" s="355" t="s">
        <v>100</v>
      </c>
      <c r="C95" s="356">
        <f t="shared" ref="C95:P95" si="44">SUM(C96:C97)</f>
        <v>0</v>
      </c>
      <c r="D95" s="356">
        <f t="shared" si="44"/>
        <v>0</v>
      </c>
      <c r="E95" s="356">
        <f t="shared" si="44"/>
        <v>0</v>
      </c>
      <c r="F95" s="356">
        <f t="shared" si="44"/>
        <v>0</v>
      </c>
      <c r="G95" s="356">
        <f t="shared" si="44"/>
        <v>0</v>
      </c>
      <c r="H95" s="356">
        <f t="shared" si="44"/>
        <v>0</v>
      </c>
      <c r="I95" s="356">
        <f t="shared" si="44"/>
        <v>0</v>
      </c>
      <c r="J95" s="356">
        <f t="shared" si="44"/>
        <v>0</v>
      </c>
      <c r="K95" s="356">
        <f t="shared" si="44"/>
        <v>0</v>
      </c>
      <c r="L95" s="356">
        <f t="shared" si="44"/>
        <v>0</v>
      </c>
      <c r="M95" s="356">
        <f t="shared" si="44"/>
        <v>0</v>
      </c>
      <c r="N95" s="356">
        <f t="shared" si="44"/>
        <v>0</v>
      </c>
      <c r="O95" s="356">
        <f t="shared" si="44"/>
        <v>0</v>
      </c>
      <c r="P95" s="356">
        <f t="shared" si="44"/>
        <v>0</v>
      </c>
      <c r="Q95" s="5"/>
      <c r="R95" s="5"/>
      <c r="S95" s="5"/>
      <c r="T95" s="5"/>
      <c r="U95" s="5"/>
      <c r="V95" s="5"/>
      <c r="W95" s="5"/>
      <c r="X95" s="5"/>
      <c r="Y95" s="5"/>
    </row>
    <row r="96" spans="2:25" ht="12" customHeight="1">
      <c r="B96" s="357" t="s">
        <v>95</v>
      </c>
      <c r="C96" s="358" cm="1">
        <f t="array" ref="C96">SUMPRODUCT(ISNUMBER(MATCH(mod_st_utm,$B$73,0))*('Koszty operacyjne'!$K$114:$X$114=Moduły!C$73)*ISNUMBER(MATCH(st_utm_kw,tak,0)),st_utm)</f>
        <v>0</v>
      </c>
      <c r="D96" s="358" cm="1">
        <f t="array" ref="D96">SUMPRODUCT(ISNUMBER(MATCH(mod_st_utm,$B$73,0))*('Koszty operacyjne'!$K$114:$X$114=Moduły!D$73)*ISNUMBER(MATCH(st_utm_kw,tak,0)),st_utm)</f>
        <v>0</v>
      </c>
      <c r="E96" s="358" cm="1">
        <f t="array" ref="E96">SUMPRODUCT(ISNUMBER(MATCH(mod_st_utm,$B$73,0))*('Koszty operacyjne'!$K$114:$X$114=Moduły!E$73)*ISNUMBER(MATCH(st_utm_kw,tak,0)),st_utm)</f>
        <v>0</v>
      </c>
      <c r="F96" s="358" cm="1">
        <f t="array" ref="F96">SUMPRODUCT(ISNUMBER(MATCH(mod_st_utm,$B$73,0))*('Koszty operacyjne'!$K$114:$X$114=Moduły!F$73)*ISNUMBER(MATCH(st_utm_kw,tak,0)),st_utm)</f>
        <v>0</v>
      </c>
      <c r="G96" s="358" cm="1">
        <f t="array" ref="G96">SUMPRODUCT(ISNUMBER(MATCH(mod_st_utm,$B$73,0))*('Koszty operacyjne'!$K$114:$X$114=Moduły!G$73)*ISNUMBER(MATCH(st_utm_kw,tak,0)),st_utm)</f>
        <v>0</v>
      </c>
      <c r="H96" s="358" cm="1">
        <f t="array" ref="H96">SUMPRODUCT(ISNUMBER(MATCH(mod_st_utm,$B$73,0))*('Koszty operacyjne'!$K$114:$X$114=Moduły!H$73)*ISNUMBER(MATCH(st_utm_kw,tak,0)),st_utm)</f>
        <v>0</v>
      </c>
      <c r="I96" s="358" cm="1">
        <f t="array" ref="I96">SUMPRODUCT(ISNUMBER(MATCH(mod_st_utm,$B$73,0))*('Koszty operacyjne'!$K$114:$X$114=Moduły!I$73)*ISNUMBER(MATCH(st_utm_kw,tak,0)),st_utm)</f>
        <v>0</v>
      </c>
      <c r="J96" s="358" cm="1">
        <f t="array" ref="J96">SUMPRODUCT(ISNUMBER(MATCH(mod_st_utm,$B$73,0))*('Koszty operacyjne'!$K$114:$X$114=Moduły!J$73)*ISNUMBER(MATCH(st_utm_kw,tak,0)),st_utm)</f>
        <v>0</v>
      </c>
      <c r="K96" s="358" cm="1">
        <f t="array" ref="K96">SUMPRODUCT(ISNUMBER(MATCH(mod_st_utm,$B$73,0))*('Koszty operacyjne'!$K$114:$X$114=Moduły!K$73)*ISNUMBER(MATCH(st_utm_kw,tak,0)),st_utm)</f>
        <v>0</v>
      </c>
      <c r="L96" s="358" cm="1">
        <f t="array" ref="L96">SUMPRODUCT(ISNUMBER(MATCH(mod_st_utm,$B$73,0))*('Koszty operacyjne'!$K$114:$X$114=Moduły!L$73)*ISNUMBER(MATCH(st_utm_kw,tak,0)),st_utm)</f>
        <v>0</v>
      </c>
      <c r="M96" s="358" cm="1">
        <f t="array" ref="M96">SUMPRODUCT(ISNUMBER(MATCH(mod_st_utm,$B$73,0))*('Koszty operacyjne'!$K$114:$X$114=Moduły!M$73)*ISNUMBER(MATCH(st_utm_kw,tak,0)),st_utm)</f>
        <v>0</v>
      </c>
      <c r="N96" s="358" cm="1">
        <f t="array" ref="N96">SUMPRODUCT(ISNUMBER(MATCH(mod_st_utm,$B$73,0))*('Koszty operacyjne'!$K$114:$X$114=Moduły!N$73)*ISNUMBER(MATCH(st_utm_kw,tak,0)),st_utm)</f>
        <v>0</v>
      </c>
      <c r="O96" s="358" cm="1">
        <f t="array" ref="O96">SUMPRODUCT(ISNUMBER(MATCH(mod_st_utm,$B$73,0))*('Koszty operacyjne'!$K$114:$X$114=Moduły!O$73)*ISNUMBER(MATCH(st_utm_kw,tak,0)),st_utm)</f>
        <v>0</v>
      </c>
      <c r="P96" s="358" cm="1">
        <f t="array" ref="P96">SUMPRODUCT(ISNUMBER(MATCH(mod_st_utm,$B$73,0))*('Koszty operacyjne'!$K$114:$X$114=Moduły!P$73)*ISNUMBER(MATCH(st_utm_kw,tak,0)),st_utm)</f>
        <v>0</v>
      </c>
      <c r="Q96" s="5"/>
      <c r="R96" s="5"/>
      <c r="S96" s="5"/>
      <c r="T96" s="5"/>
      <c r="U96" s="5"/>
      <c r="V96" s="5"/>
      <c r="W96" s="5"/>
      <c r="X96" s="5"/>
      <c r="Y96" s="5"/>
    </row>
    <row r="97" spans="2:25" ht="12" customHeight="1">
      <c r="B97" s="359" t="s">
        <v>96</v>
      </c>
      <c r="C97" s="360" cm="1">
        <f t="array" ref="C97">SUMPRODUCT(ISNUMBER(MATCH(mod_st_utm,$B$73,0))*('Koszty operacyjne'!$K$114:$X$114=Moduły!C$73)*ISNUMBER(MATCH(st_utm_kw,nie,0)),st_utm)</f>
        <v>0</v>
      </c>
      <c r="D97" s="360" cm="1">
        <f t="array" ref="D97">SUMPRODUCT(ISNUMBER(MATCH(mod_st_utm,$B$73,0))*('Koszty operacyjne'!$K$114:$X$114=Moduły!D$73)*ISNUMBER(MATCH(st_utm_kw,nie,0)),st_utm)</f>
        <v>0</v>
      </c>
      <c r="E97" s="360" cm="1">
        <f t="array" ref="E97">SUMPRODUCT(ISNUMBER(MATCH(mod_st_utm,$B$73,0))*('Koszty operacyjne'!$K$114:$X$114=Moduły!E$73)*ISNUMBER(MATCH(st_utm_kw,nie,0)),st_utm)</f>
        <v>0</v>
      </c>
      <c r="F97" s="360" cm="1">
        <f t="array" ref="F97">SUMPRODUCT(ISNUMBER(MATCH(mod_st_utm,$B$73,0))*('Koszty operacyjne'!$K$114:$X$114=Moduły!F$73)*ISNUMBER(MATCH(st_utm_kw,nie,0)),st_utm)</f>
        <v>0</v>
      </c>
      <c r="G97" s="360" cm="1">
        <f t="array" ref="G97">SUMPRODUCT(ISNUMBER(MATCH(mod_st_utm,$B$73,0))*('Koszty operacyjne'!$K$114:$X$114=Moduły!G$73)*ISNUMBER(MATCH(st_utm_kw,nie,0)),st_utm)</f>
        <v>0</v>
      </c>
      <c r="H97" s="360" cm="1">
        <f t="array" ref="H97">SUMPRODUCT(ISNUMBER(MATCH(mod_st_utm,$B$73,0))*('Koszty operacyjne'!$K$114:$X$114=Moduły!H$73)*ISNUMBER(MATCH(st_utm_kw,nie,0)),st_utm)</f>
        <v>0</v>
      </c>
      <c r="I97" s="360" cm="1">
        <f t="array" ref="I97">SUMPRODUCT(ISNUMBER(MATCH(mod_st_utm,$B$73,0))*('Koszty operacyjne'!$K$114:$X$114=Moduły!I$73)*ISNUMBER(MATCH(st_utm_kw,nie,0)),st_utm)</f>
        <v>0</v>
      </c>
      <c r="J97" s="360" cm="1">
        <f t="array" ref="J97">SUMPRODUCT(ISNUMBER(MATCH(mod_st_utm,$B$73,0))*('Koszty operacyjne'!$K$114:$X$114=Moduły!J$73)*ISNUMBER(MATCH(st_utm_kw,nie,0)),st_utm)</f>
        <v>0</v>
      </c>
      <c r="K97" s="361" cm="1">
        <f t="array" ref="K97">SUMPRODUCT(ISNUMBER(MATCH(mod_st_utm,$B$73,0))*('Koszty operacyjne'!$K$114:$X$114=Moduły!K$73)*ISNUMBER(MATCH(st_utm_kw,nie,0)),st_utm)</f>
        <v>0</v>
      </c>
      <c r="L97" s="361" cm="1">
        <f t="array" ref="L97">SUMPRODUCT(ISNUMBER(MATCH(mod_st_utm,$B$73,0))*('Koszty operacyjne'!$K$114:$X$114=Moduły!L$73)*ISNUMBER(MATCH(st_utm_kw,nie,0)),st_utm)</f>
        <v>0</v>
      </c>
      <c r="M97" s="361" cm="1">
        <f t="array" ref="M97">SUMPRODUCT(ISNUMBER(MATCH(mod_st_utm,$B$73,0))*('Koszty operacyjne'!$K$114:$X$114=Moduły!M$73)*ISNUMBER(MATCH(st_utm_kw,nie,0)),st_utm)</f>
        <v>0</v>
      </c>
      <c r="N97" s="361" cm="1">
        <f t="array" ref="N97">SUMPRODUCT(ISNUMBER(MATCH(mod_st_utm,$B$73,0))*('Koszty operacyjne'!$K$114:$X$114=Moduły!N$73)*ISNUMBER(MATCH(st_utm_kw,nie,0)),st_utm)</f>
        <v>0</v>
      </c>
      <c r="O97" s="361" cm="1">
        <f t="array" ref="O97">SUMPRODUCT(ISNUMBER(MATCH(mod_st_utm,$B$73,0))*('Koszty operacyjne'!$K$114:$X$114=Moduły!O$73)*ISNUMBER(MATCH(st_utm_kw,nie,0)),st_utm)</f>
        <v>0</v>
      </c>
      <c r="P97" s="361" cm="1">
        <f t="array" ref="P97">SUMPRODUCT(ISNUMBER(MATCH(mod_st_utm,$B$73,0))*('Koszty operacyjne'!$K$114:$X$114=Moduły!P$73)*ISNUMBER(MATCH(st_utm_kw,nie,0)),st_utm)</f>
        <v>0</v>
      </c>
      <c r="Q97" s="5"/>
      <c r="R97" s="5"/>
      <c r="S97" s="5"/>
      <c r="T97" s="5"/>
      <c r="U97" s="5"/>
      <c r="V97" s="5"/>
      <c r="W97" s="5"/>
      <c r="X97" s="5"/>
      <c r="Y97" s="5"/>
    </row>
    <row r="98" spans="2:25" ht="3.9" customHeight="1">
      <c r="B98" s="8"/>
      <c r="C98" s="363"/>
      <c r="D98" s="363"/>
      <c r="E98" s="363"/>
      <c r="F98" s="363"/>
      <c r="G98" s="363"/>
      <c r="H98" s="363"/>
      <c r="I98" s="363"/>
      <c r="J98" s="363"/>
      <c r="K98" s="364"/>
      <c r="L98" s="364"/>
      <c r="M98" s="364"/>
      <c r="N98" s="364"/>
      <c r="O98" s="364"/>
      <c r="P98" s="364"/>
      <c r="Q98" s="5"/>
      <c r="R98" s="5"/>
      <c r="S98" s="5"/>
      <c r="T98" s="5"/>
      <c r="U98" s="5"/>
      <c r="V98" s="5"/>
      <c r="W98" s="5"/>
      <c r="X98" s="5"/>
      <c r="Y98" s="5"/>
    </row>
    <row r="99" spans="2:25" ht="12" customHeight="1">
      <c r="B99" s="355" t="s">
        <v>101</v>
      </c>
      <c r="C99" s="356">
        <f t="shared" ref="C99:P99" si="45">SUM(C100:C101)</f>
        <v>0</v>
      </c>
      <c r="D99" s="356">
        <f t="shared" si="45"/>
        <v>0</v>
      </c>
      <c r="E99" s="356">
        <f t="shared" si="45"/>
        <v>0</v>
      </c>
      <c r="F99" s="356">
        <f t="shared" si="45"/>
        <v>0</v>
      </c>
      <c r="G99" s="356">
        <f t="shared" si="45"/>
        <v>0</v>
      </c>
      <c r="H99" s="356">
        <f t="shared" si="45"/>
        <v>0</v>
      </c>
      <c r="I99" s="356">
        <f t="shared" si="45"/>
        <v>0</v>
      </c>
      <c r="J99" s="356">
        <f t="shared" si="45"/>
        <v>0</v>
      </c>
      <c r="K99" s="356">
        <f t="shared" si="45"/>
        <v>0</v>
      </c>
      <c r="L99" s="356">
        <f t="shared" si="45"/>
        <v>0</v>
      </c>
      <c r="M99" s="356">
        <f t="shared" si="45"/>
        <v>0</v>
      </c>
      <c r="N99" s="356">
        <f t="shared" si="45"/>
        <v>0</v>
      </c>
      <c r="O99" s="356">
        <f t="shared" si="45"/>
        <v>0</v>
      </c>
      <c r="P99" s="356">
        <f t="shared" si="45"/>
        <v>0</v>
      </c>
      <c r="Q99" s="5"/>
      <c r="R99" s="5"/>
      <c r="S99" s="5"/>
      <c r="T99" s="5"/>
      <c r="U99" s="5"/>
      <c r="V99" s="5"/>
      <c r="W99" s="5"/>
      <c r="X99" s="5"/>
      <c r="Y99" s="5"/>
    </row>
    <row r="100" spans="2:25" ht="12" customHeight="1">
      <c r="B100" s="357" t="s">
        <v>95</v>
      </c>
      <c r="C100" s="358" cm="1">
        <f t="array" ref="C100">SUMPRODUCT(ISNUMBER(MATCH(mod_st_stu,$B$73,0))*('Koszty operacyjne'!$K$114:$X$114=Moduły!C$73)*ISNUMBER(MATCH(st_stu_kw,tak,0)),st_stu)</f>
        <v>0</v>
      </c>
      <c r="D100" s="358" cm="1">
        <f t="array" ref="D100">SUMPRODUCT(ISNUMBER(MATCH(mod_st_stu,$B$73,0))*('Koszty operacyjne'!$K$114:$X$114=Moduły!D$73)*ISNUMBER(MATCH(st_stu_kw,tak,0)),st_stu)</f>
        <v>0</v>
      </c>
      <c r="E100" s="358" cm="1">
        <f t="array" ref="E100">SUMPRODUCT(ISNUMBER(MATCH(mod_st_stu,$B$73,0))*('Koszty operacyjne'!$K$114:$X$114=Moduły!E$73)*ISNUMBER(MATCH(st_stu_kw,tak,0)),st_stu)</f>
        <v>0</v>
      </c>
      <c r="F100" s="358" cm="1">
        <f t="array" ref="F100">SUMPRODUCT(ISNUMBER(MATCH(mod_st_stu,$B$73,0))*('Koszty operacyjne'!$K$114:$X$114=Moduły!F$73)*ISNUMBER(MATCH(st_stu_kw,tak,0)),st_stu)</f>
        <v>0</v>
      </c>
      <c r="G100" s="358" cm="1">
        <f t="array" ref="G100">SUMPRODUCT(ISNUMBER(MATCH(mod_st_stu,$B$73,0))*('Koszty operacyjne'!$K$114:$X$114=Moduły!G$73)*ISNUMBER(MATCH(st_stu_kw,tak,0)),st_stu)</f>
        <v>0</v>
      </c>
      <c r="H100" s="358" cm="1">
        <f t="array" ref="H100">SUMPRODUCT(ISNUMBER(MATCH(mod_st_stu,$B$73,0))*('Koszty operacyjne'!$K$114:$X$114=Moduły!H$73)*ISNUMBER(MATCH(st_stu_kw,tak,0)),st_stu)</f>
        <v>0</v>
      </c>
      <c r="I100" s="358" cm="1">
        <f t="array" ref="I100">SUMPRODUCT(ISNUMBER(MATCH(mod_st_stu,$B$73,0))*('Koszty operacyjne'!$K$114:$X$114=Moduły!I$73)*ISNUMBER(MATCH(st_stu_kw,tak,0)),st_stu)</f>
        <v>0</v>
      </c>
      <c r="J100" s="358" cm="1">
        <f t="array" ref="J100">SUMPRODUCT(ISNUMBER(MATCH(mod_st_stu,$B$73,0))*('Koszty operacyjne'!$K$114:$X$114=Moduły!J$73)*ISNUMBER(MATCH(st_stu_kw,tak,0)),st_stu)</f>
        <v>0</v>
      </c>
      <c r="K100" s="358" cm="1">
        <f t="array" ref="K100">SUMPRODUCT(ISNUMBER(MATCH(mod_st_stu,$B$73,0))*('Koszty operacyjne'!$K$114:$X$114=Moduły!K$73)*ISNUMBER(MATCH(st_stu_kw,tak,0)),st_stu)</f>
        <v>0</v>
      </c>
      <c r="L100" s="358" cm="1">
        <f t="array" ref="L100">SUMPRODUCT(ISNUMBER(MATCH(mod_st_stu,$B$73,0))*('Koszty operacyjne'!$K$114:$X$114=Moduły!L$73)*ISNUMBER(MATCH(st_stu_kw,tak,0)),st_stu)</f>
        <v>0</v>
      </c>
      <c r="M100" s="358" cm="1">
        <f t="array" ref="M100">SUMPRODUCT(ISNUMBER(MATCH(mod_st_stu,$B$73,0))*('Koszty operacyjne'!$K$114:$X$114=Moduły!M$73)*ISNUMBER(MATCH(st_stu_kw,tak,0)),st_stu)</f>
        <v>0</v>
      </c>
      <c r="N100" s="358" cm="1">
        <f t="array" ref="N100">SUMPRODUCT(ISNUMBER(MATCH(mod_st_stu,$B$73,0))*('Koszty operacyjne'!$K$114:$X$114=Moduły!N$73)*ISNUMBER(MATCH(st_stu_kw,tak,0)),st_stu)</f>
        <v>0</v>
      </c>
      <c r="O100" s="358" cm="1">
        <f t="array" ref="O100">SUMPRODUCT(ISNUMBER(MATCH(mod_st_stu,$B$73,0))*('Koszty operacyjne'!$K$114:$X$114=Moduły!O$73)*ISNUMBER(MATCH(st_stu_kw,tak,0)),st_stu)</f>
        <v>0</v>
      </c>
      <c r="P100" s="358" cm="1">
        <f t="array" ref="P100">SUMPRODUCT(ISNUMBER(MATCH(mod_st_stu,$B$73,0))*('Koszty operacyjne'!$K$114:$X$114=Moduły!P$73)*ISNUMBER(MATCH(st_stu_kw,tak,0)),st_stu)</f>
        <v>0</v>
      </c>
      <c r="Q100" s="5"/>
      <c r="R100" s="5"/>
      <c r="S100" s="5"/>
      <c r="T100" s="5"/>
      <c r="U100" s="5"/>
      <c r="V100" s="5"/>
      <c r="W100" s="5"/>
      <c r="X100" s="5"/>
      <c r="Y100" s="5"/>
    </row>
    <row r="101" spans="2:25" ht="12" customHeight="1">
      <c r="B101" s="359" t="s">
        <v>96</v>
      </c>
      <c r="C101" s="360" cm="1">
        <f t="array" ref="C101">SUMPRODUCT(ISNUMBER(MATCH(mod_st_stu,$B$73,0))*('Koszty operacyjne'!$K$114:$X$114=Moduły!C$73)*ISNUMBER(MATCH(st_stu_kw,nie,0)),st_stu)</f>
        <v>0</v>
      </c>
      <c r="D101" s="360" cm="1">
        <f t="array" ref="D101">SUMPRODUCT(ISNUMBER(MATCH(mod_st_stu,$B$73,0))*('Koszty operacyjne'!$K$114:$X$114=Moduły!D$73)*ISNUMBER(MATCH(st_stu_kw,nie,0)),st_stu)</f>
        <v>0</v>
      </c>
      <c r="E101" s="360" cm="1">
        <f t="array" ref="E101">SUMPRODUCT(ISNUMBER(MATCH(mod_st_stu,$B$73,0))*('Koszty operacyjne'!$K$114:$X$114=Moduły!E$73)*ISNUMBER(MATCH(st_stu_kw,nie,0)),st_stu)</f>
        <v>0</v>
      </c>
      <c r="F101" s="360" cm="1">
        <f t="array" ref="F101">SUMPRODUCT(ISNUMBER(MATCH(mod_st_stu,$B$73,0))*('Koszty operacyjne'!$K$114:$X$114=Moduły!F$73)*ISNUMBER(MATCH(st_stu_kw,nie,0)),st_stu)</f>
        <v>0</v>
      </c>
      <c r="G101" s="360" cm="1">
        <f t="array" ref="G101">SUMPRODUCT(ISNUMBER(MATCH(mod_st_stu,$B$73,0))*('Koszty operacyjne'!$K$114:$X$114=Moduły!G$73)*ISNUMBER(MATCH(st_stu_kw,nie,0)),st_stu)</f>
        <v>0</v>
      </c>
      <c r="H101" s="360" cm="1">
        <f t="array" ref="H101">SUMPRODUCT(ISNUMBER(MATCH(mod_st_stu,$B$73,0))*('Koszty operacyjne'!$K$114:$X$114=Moduły!H$73)*ISNUMBER(MATCH(st_stu_kw,nie,0)),st_stu)</f>
        <v>0</v>
      </c>
      <c r="I101" s="360" cm="1">
        <f t="array" ref="I101">SUMPRODUCT(ISNUMBER(MATCH(mod_st_stu,$B$73,0))*('Koszty operacyjne'!$K$114:$X$114=Moduły!I$73)*ISNUMBER(MATCH(st_stu_kw,nie,0)),st_stu)</f>
        <v>0</v>
      </c>
      <c r="J101" s="360" cm="1">
        <f t="array" ref="J101">SUMPRODUCT(ISNUMBER(MATCH(mod_st_stu,$B$73,0))*('Koszty operacyjne'!$K$114:$X$114=Moduły!J$73)*ISNUMBER(MATCH(st_stu_kw,nie,0)),st_stu)</f>
        <v>0</v>
      </c>
      <c r="K101" s="361" cm="1">
        <f t="array" ref="K101">SUMPRODUCT(ISNUMBER(MATCH(mod_st_stu,$B$73,0))*('Koszty operacyjne'!$K$114:$X$114=Moduły!K$73)*ISNUMBER(MATCH(st_stu_kw,nie,0)),st_stu)</f>
        <v>0</v>
      </c>
      <c r="L101" s="361" cm="1">
        <f t="array" ref="L101">SUMPRODUCT(ISNUMBER(MATCH(mod_st_stu,$B$73,0))*('Koszty operacyjne'!$K$114:$X$114=Moduły!L$73)*ISNUMBER(MATCH(st_stu_kw,nie,0)),st_stu)</f>
        <v>0</v>
      </c>
      <c r="M101" s="361" cm="1">
        <f t="array" ref="M101">SUMPRODUCT(ISNUMBER(MATCH(mod_st_stu,$B$73,0))*('Koszty operacyjne'!$K$114:$X$114=Moduły!M$73)*ISNUMBER(MATCH(st_stu_kw,nie,0)),st_stu)</f>
        <v>0</v>
      </c>
      <c r="N101" s="361" cm="1">
        <f t="array" ref="N101">SUMPRODUCT(ISNUMBER(MATCH(mod_st_stu,$B$73,0))*('Koszty operacyjne'!$K$114:$X$114=Moduły!N$73)*ISNUMBER(MATCH(st_stu_kw,nie,0)),st_stu)</f>
        <v>0</v>
      </c>
      <c r="O101" s="361" cm="1">
        <f t="array" ref="O101">SUMPRODUCT(ISNUMBER(MATCH(mod_st_stu,$B$73,0))*('Koszty operacyjne'!$K$114:$X$114=Moduły!O$73)*ISNUMBER(MATCH(st_stu_kw,nie,0)),st_stu)</f>
        <v>0</v>
      </c>
      <c r="P101" s="361" cm="1">
        <f t="array" ref="P101">SUMPRODUCT(ISNUMBER(MATCH(mod_st_stu,$B$73,0))*('Koszty operacyjne'!$K$114:$X$114=Moduły!P$73)*ISNUMBER(MATCH(st_stu_kw,nie,0)),st_stu)</f>
        <v>0</v>
      </c>
      <c r="Q101" s="5"/>
      <c r="R101" s="5"/>
      <c r="S101" s="5"/>
      <c r="T101" s="5"/>
      <c r="U101" s="5"/>
      <c r="V101" s="5"/>
      <c r="W101" s="5"/>
      <c r="X101" s="5"/>
      <c r="Y101" s="5"/>
    </row>
    <row r="102" spans="2:25" ht="3.9" customHeight="1">
      <c r="B102" s="8"/>
      <c r="C102" s="363"/>
      <c r="D102" s="363"/>
      <c r="E102" s="363"/>
      <c r="F102" s="363"/>
      <c r="G102" s="363"/>
      <c r="H102" s="363"/>
      <c r="I102" s="363"/>
      <c r="J102" s="363"/>
      <c r="K102" s="364"/>
      <c r="L102" s="364"/>
      <c r="M102" s="364"/>
      <c r="N102" s="364"/>
      <c r="O102" s="364"/>
      <c r="P102" s="364"/>
      <c r="Q102" s="5"/>
      <c r="R102" s="5"/>
      <c r="S102" s="5"/>
      <c r="T102" s="5"/>
      <c r="U102" s="5"/>
      <c r="V102" s="5"/>
      <c r="W102" s="5"/>
      <c r="X102" s="5"/>
      <c r="Y102" s="5"/>
    </row>
    <row r="103" spans="2:25" ht="12" customHeight="1">
      <c r="B103" s="355" t="s">
        <v>102</v>
      </c>
      <c r="C103" s="356">
        <f t="shared" ref="C103:P103" si="46">SUM(C104:C105)</f>
        <v>0</v>
      </c>
      <c r="D103" s="356">
        <f t="shared" si="46"/>
        <v>0</v>
      </c>
      <c r="E103" s="356">
        <f t="shared" si="46"/>
        <v>0</v>
      </c>
      <c r="F103" s="356">
        <f t="shared" si="46"/>
        <v>0</v>
      </c>
      <c r="G103" s="356">
        <f t="shared" si="46"/>
        <v>0</v>
      </c>
      <c r="H103" s="356">
        <f t="shared" si="46"/>
        <v>0</v>
      </c>
      <c r="I103" s="356">
        <f t="shared" si="46"/>
        <v>0</v>
      </c>
      <c r="J103" s="356">
        <f t="shared" si="46"/>
        <v>0</v>
      </c>
      <c r="K103" s="356">
        <f t="shared" si="46"/>
        <v>0</v>
      </c>
      <c r="L103" s="356">
        <f t="shared" si="46"/>
        <v>0</v>
      </c>
      <c r="M103" s="356">
        <f t="shared" si="46"/>
        <v>0</v>
      </c>
      <c r="N103" s="356">
        <f t="shared" si="46"/>
        <v>0</v>
      </c>
      <c r="O103" s="356">
        <f t="shared" si="46"/>
        <v>0</v>
      </c>
      <c r="P103" s="356">
        <f t="shared" si="46"/>
        <v>0</v>
      </c>
      <c r="Q103" s="5"/>
      <c r="R103" s="5"/>
      <c r="S103" s="5"/>
      <c r="T103" s="5"/>
      <c r="U103" s="5"/>
      <c r="V103" s="5"/>
      <c r="W103" s="5"/>
      <c r="X103" s="5"/>
      <c r="Y103" s="5"/>
    </row>
    <row r="104" spans="2:25" ht="12" customHeight="1">
      <c r="B104" s="357" t="s">
        <v>95</v>
      </c>
      <c r="C104" s="358" cm="1">
        <f t="array" ref="C104">SUMPRODUCT(ISNUMBER(MATCH(mod_st_ist,$B$73,0))*('Koszty operacyjne'!$K$114:$X$114=Moduły!C$73)*ISNUMBER(MATCH(st_ist_kw,tak,0)),st_ist)</f>
        <v>0</v>
      </c>
      <c r="D104" s="358" cm="1">
        <f t="array" ref="D104">SUMPRODUCT(ISNUMBER(MATCH(mod_st_ist,$B$73,0))*('Koszty operacyjne'!$K$114:$X$114=Moduły!D$73)*ISNUMBER(MATCH(st_ist_kw,tak,0)),st_ist)</f>
        <v>0</v>
      </c>
      <c r="E104" s="358" cm="1">
        <f t="array" ref="E104">SUMPRODUCT(ISNUMBER(MATCH(mod_st_ist,$B$73,0))*('Koszty operacyjne'!$K$114:$X$114=Moduły!E$73)*ISNUMBER(MATCH(st_ist_kw,tak,0)),st_ist)</f>
        <v>0</v>
      </c>
      <c r="F104" s="358" cm="1">
        <f t="array" ref="F104">SUMPRODUCT(ISNUMBER(MATCH(mod_st_ist,$B$73,0))*('Koszty operacyjne'!$K$114:$X$114=Moduły!F$73)*ISNUMBER(MATCH(st_ist_kw,tak,0)),st_ist)</f>
        <v>0</v>
      </c>
      <c r="G104" s="358" cm="1">
        <f t="array" ref="G104">SUMPRODUCT(ISNUMBER(MATCH(mod_st_ist,$B$73,0))*('Koszty operacyjne'!$K$114:$X$114=Moduły!G$73)*ISNUMBER(MATCH(st_ist_kw,tak,0)),st_ist)</f>
        <v>0</v>
      </c>
      <c r="H104" s="358" cm="1">
        <f t="array" ref="H104">SUMPRODUCT(ISNUMBER(MATCH(mod_st_ist,$B$73,0))*('Koszty operacyjne'!$K$114:$X$114=Moduły!H$73)*ISNUMBER(MATCH(st_ist_kw,tak,0)),st_ist)</f>
        <v>0</v>
      </c>
      <c r="I104" s="358" cm="1">
        <f t="array" ref="I104">SUMPRODUCT(ISNUMBER(MATCH(mod_st_ist,$B$73,0))*('Koszty operacyjne'!$K$114:$X$114=Moduły!I$73)*ISNUMBER(MATCH(st_ist_kw,tak,0)),st_ist)</f>
        <v>0</v>
      </c>
      <c r="J104" s="358" cm="1">
        <f t="array" ref="J104">SUMPRODUCT(ISNUMBER(MATCH(mod_st_ist,$B$73,0))*('Koszty operacyjne'!$K$114:$X$114=Moduły!J$73)*ISNUMBER(MATCH(st_ist_kw,tak,0)),st_ist)</f>
        <v>0</v>
      </c>
      <c r="K104" s="358" cm="1">
        <f t="array" ref="K104">SUMPRODUCT(ISNUMBER(MATCH(mod_st_ist,$B$73,0))*('Koszty operacyjne'!$K$114:$X$114=Moduły!K$73)*ISNUMBER(MATCH(st_ist_kw,tak,0)),st_ist)</f>
        <v>0</v>
      </c>
      <c r="L104" s="358" cm="1">
        <f t="array" ref="L104">SUMPRODUCT(ISNUMBER(MATCH(mod_st_ist,$B$73,0))*('Koszty operacyjne'!$K$114:$X$114=Moduły!L$73)*ISNUMBER(MATCH(st_ist_kw,tak,0)),st_ist)</f>
        <v>0</v>
      </c>
      <c r="M104" s="358" cm="1">
        <f t="array" ref="M104">SUMPRODUCT(ISNUMBER(MATCH(mod_st_ist,$B$73,0))*('Koszty operacyjne'!$K$114:$X$114=Moduły!M$73)*ISNUMBER(MATCH(st_ist_kw,tak,0)),st_ist)</f>
        <v>0</v>
      </c>
      <c r="N104" s="358" cm="1">
        <f t="array" ref="N104">SUMPRODUCT(ISNUMBER(MATCH(mod_st_ist,$B$73,0))*('Koszty operacyjne'!$K$114:$X$114=Moduły!N$73)*ISNUMBER(MATCH(st_ist_kw,tak,0)),st_ist)</f>
        <v>0</v>
      </c>
      <c r="O104" s="358" cm="1">
        <f t="array" ref="O104">SUMPRODUCT(ISNUMBER(MATCH(mod_st_ist,$B$73,0))*('Koszty operacyjne'!$K$114:$X$114=Moduły!O$73)*ISNUMBER(MATCH(st_ist_kw,tak,0)),st_ist)</f>
        <v>0</v>
      </c>
      <c r="P104" s="358" cm="1">
        <f t="array" ref="P104">SUMPRODUCT(ISNUMBER(MATCH(mod_st_ist,$B$73,0))*('Koszty operacyjne'!$K$114:$X$114=Moduły!P$73)*ISNUMBER(MATCH(st_ist_kw,tak,0)),st_ist)</f>
        <v>0</v>
      </c>
      <c r="Q104" s="5"/>
      <c r="R104" s="5"/>
      <c r="S104" s="5"/>
      <c r="T104" s="5"/>
      <c r="U104" s="5"/>
      <c r="V104" s="5"/>
      <c r="W104" s="5"/>
      <c r="X104" s="5"/>
      <c r="Y104" s="5"/>
    </row>
    <row r="105" spans="2:25" ht="12" customHeight="1">
      <c r="B105" s="359" t="s">
        <v>96</v>
      </c>
      <c r="C105" s="360" cm="1">
        <f t="array" ref="C105">SUMPRODUCT(ISNUMBER(MATCH(mod_st_ist,$B$73,0))*('Koszty operacyjne'!$K$114:$X$114=Moduły!C$73)*ISNUMBER(MATCH(st_ist_kw,nie,0)),st_ist)</f>
        <v>0</v>
      </c>
      <c r="D105" s="360" cm="1">
        <f t="array" ref="D105">SUMPRODUCT(ISNUMBER(MATCH(mod_st_ist,$B$73,0))*('Koszty operacyjne'!$K$114:$X$114=Moduły!D$73)*ISNUMBER(MATCH(st_ist_kw,nie,0)),st_ist)</f>
        <v>0</v>
      </c>
      <c r="E105" s="360" cm="1">
        <f t="array" ref="E105">SUMPRODUCT(ISNUMBER(MATCH(mod_st_ist,$B$73,0))*('Koszty operacyjne'!$K$114:$X$114=Moduły!E$73)*ISNUMBER(MATCH(st_ist_kw,nie,0)),st_ist)</f>
        <v>0</v>
      </c>
      <c r="F105" s="360" cm="1">
        <f t="array" ref="F105">SUMPRODUCT(ISNUMBER(MATCH(mod_st_ist,$B$73,0))*('Koszty operacyjne'!$K$114:$X$114=Moduły!F$73)*ISNUMBER(MATCH(st_ist_kw,nie,0)),st_ist)</f>
        <v>0</v>
      </c>
      <c r="G105" s="360" cm="1">
        <f t="array" ref="G105">SUMPRODUCT(ISNUMBER(MATCH(mod_st_ist,$B$73,0))*('Koszty operacyjne'!$K$114:$X$114=Moduły!G$73)*ISNUMBER(MATCH(st_ist_kw,nie,0)),st_ist)</f>
        <v>0</v>
      </c>
      <c r="H105" s="360" cm="1">
        <f t="array" ref="H105">SUMPRODUCT(ISNUMBER(MATCH(mod_st_ist,$B$73,0))*('Koszty operacyjne'!$K$114:$X$114=Moduły!H$73)*ISNUMBER(MATCH(st_ist_kw,nie,0)),st_ist)</f>
        <v>0</v>
      </c>
      <c r="I105" s="360" cm="1">
        <f t="array" ref="I105">SUMPRODUCT(ISNUMBER(MATCH(mod_st_ist,$B$73,0))*('Koszty operacyjne'!$K$114:$X$114=Moduły!I$73)*ISNUMBER(MATCH(st_ist_kw,nie,0)),st_ist)</f>
        <v>0</v>
      </c>
      <c r="J105" s="360" cm="1">
        <f t="array" ref="J105">SUMPRODUCT(ISNUMBER(MATCH(mod_st_ist,$B$73,0))*('Koszty operacyjne'!$K$114:$X$114=Moduły!J$73)*ISNUMBER(MATCH(st_ist_kw,nie,0)),st_ist)</f>
        <v>0</v>
      </c>
      <c r="K105" s="361" cm="1">
        <f t="array" ref="K105">SUMPRODUCT(ISNUMBER(MATCH(mod_st_ist,$B$73,0))*('Koszty operacyjne'!$K$114:$X$114=Moduły!K$73)*ISNUMBER(MATCH(st_ist_kw,nie,0)),st_ist)</f>
        <v>0</v>
      </c>
      <c r="L105" s="361" cm="1">
        <f t="array" ref="L105">SUMPRODUCT(ISNUMBER(MATCH(mod_st_ist,$B$73,0))*('Koszty operacyjne'!$K$114:$X$114=Moduły!L$73)*ISNUMBER(MATCH(st_ist_kw,nie,0)),st_ist)</f>
        <v>0</v>
      </c>
      <c r="M105" s="361" cm="1">
        <f t="array" ref="M105">SUMPRODUCT(ISNUMBER(MATCH(mod_st_ist,$B$73,0))*('Koszty operacyjne'!$K$114:$X$114=Moduły!M$73)*ISNUMBER(MATCH(st_ist_kw,nie,0)),st_ist)</f>
        <v>0</v>
      </c>
      <c r="N105" s="361" cm="1">
        <f t="array" ref="N105">SUMPRODUCT(ISNUMBER(MATCH(mod_st_ist,$B$73,0))*('Koszty operacyjne'!$K$114:$X$114=Moduły!N$73)*ISNUMBER(MATCH(st_ist_kw,nie,0)),st_ist)</f>
        <v>0</v>
      </c>
      <c r="O105" s="361" cm="1">
        <f t="array" ref="O105">SUMPRODUCT(ISNUMBER(MATCH(mod_st_ist,$B$73,0))*('Koszty operacyjne'!$K$114:$X$114=Moduły!O$73)*ISNUMBER(MATCH(st_ist_kw,nie,0)),st_ist)</f>
        <v>0</v>
      </c>
      <c r="P105" s="361" cm="1">
        <f t="array" ref="P105">SUMPRODUCT(ISNUMBER(MATCH(mod_st_ist,$B$73,0))*('Koszty operacyjne'!$K$114:$X$114=Moduły!P$73)*ISNUMBER(MATCH(st_ist_kw,nie,0)),st_ist)</f>
        <v>0</v>
      </c>
      <c r="Q105" s="5"/>
      <c r="R105" s="5"/>
      <c r="S105" s="5"/>
      <c r="T105" s="5"/>
      <c r="U105" s="5"/>
      <c r="V105" s="5"/>
      <c r="W105" s="5"/>
      <c r="X105" s="5"/>
      <c r="Y105" s="5"/>
    </row>
    <row r="106" spans="2:25" ht="12" customHeight="1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2:25" ht="12" customHeight="1">
      <c r="B107" s="99" t="s">
        <v>104</v>
      </c>
      <c r="C107" s="98" cm="1">
        <f t="array" ref="C107">IF(C$62&lt;=Koniec,SUMPRODUCT(ISNUMBER(MATCH(mod_pp_ppu,$B$73,0))*('Koszty operacyjne'!$K$114:$X$114=Moduły!C$73),pp_ppu)+SUMPRODUCT(ISNUMBER(MATCH(mod_pp_ptim,$B$73,0))*('Koszty operacyjne'!$K$114:$X$114=Moduły!C$73),pp_ptim),0)</f>
        <v>0</v>
      </c>
      <c r="D107" s="98" cm="1">
        <f t="array" ref="D107">IF(D$62&lt;=Koniec,SUMPRODUCT(ISNUMBER(MATCH(mod_pp_ppu,$B$73,0))*('Koszty operacyjne'!$K$114:$X$114=Moduły!D$73),pp_ppu)+SUMPRODUCT(ISNUMBER(MATCH(mod_pp_ptim,$B$73,0))*('Koszty operacyjne'!$K$114:$X$114=Moduły!D$73),pp_ptim),0)</f>
        <v>0</v>
      </c>
      <c r="E107" s="98" cm="1">
        <f t="array" ref="E107">IF(E$62&lt;=Koniec,SUMPRODUCT(ISNUMBER(MATCH(mod_pp_ppu,$B$73,0))*('Koszty operacyjne'!$K$114:$X$114=Moduły!E$73),pp_ppu)+SUMPRODUCT(ISNUMBER(MATCH(mod_pp_ptim,$B$73,0))*('Koszty operacyjne'!$K$114:$X$114=Moduły!E$73),pp_ptim),0)</f>
        <v>0</v>
      </c>
      <c r="F107" s="98" cm="1">
        <f t="array" ref="F107">IF(F$62&lt;=Koniec,SUMPRODUCT(ISNUMBER(MATCH(mod_pp_ppu,$B$73,0))*('Koszty operacyjne'!$K$114:$X$114=Moduły!F$73),pp_ppu)+SUMPRODUCT(ISNUMBER(MATCH(mod_pp_ptim,$B$73,0))*('Koszty operacyjne'!$K$114:$X$114=Moduły!F$73),pp_ptim),0)</f>
        <v>0</v>
      </c>
      <c r="G107" s="98" cm="1">
        <f t="array" ref="G107">IF(G$62&lt;=Koniec,SUMPRODUCT(ISNUMBER(MATCH(mod_pp_ppu,$B$73,0))*('Koszty operacyjne'!$K$114:$X$114=Moduły!G$73),pp_ppu)+SUMPRODUCT(ISNUMBER(MATCH(mod_pp_ptim,$B$73,0))*('Koszty operacyjne'!$K$114:$X$114=Moduły!G$73),pp_ptim),0)</f>
        <v>0</v>
      </c>
      <c r="H107" s="98" cm="1">
        <f t="array" ref="H107">IF(H$62&lt;=Koniec,SUMPRODUCT(ISNUMBER(MATCH(mod_pp_ppu,$B$73,0))*('Koszty operacyjne'!$K$114:$X$114=Moduły!H$73),pp_ppu)+SUMPRODUCT(ISNUMBER(MATCH(mod_pp_ptim,$B$73,0))*('Koszty operacyjne'!$K$114:$X$114=Moduły!H$73),pp_ptim),0)</f>
        <v>0</v>
      </c>
      <c r="I107" s="98" cm="1">
        <f t="array" ref="I107">IF(I$62&lt;=Koniec,SUMPRODUCT(ISNUMBER(MATCH(mod_pp_ppu,$B$73,0))*('Koszty operacyjne'!$K$114:$X$114=Moduły!I$73),pp_ppu)+SUMPRODUCT(ISNUMBER(MATCH(mod_pp_ptim,$B$73,0))*('Koszty operacyjne'!$K$114:$X$114=Moduły!I$73),pp_ptim),0)</f>
        <v>0</v>
      </c>
      <c r="J107" s="98" cm="1">
        <f t="array" ref="J107">IF(J$62&lt;=Koniec,SUMPRODUCT(ISNUMBER(MATCH(mod_pp_ppu,$B$73,0))*('Koszty operacyjne'!$K$114:$X$114=Moduły!J$73),pp_ppu)+SUMPRODUCT(ISNUMBER(MATCH(mod_pp_ptim,$B$73,0))*('Koszty operacyjne'!$K$114:$X$114=Moduły!J$73),pp_ptim),0)</f>
        <v>0</v>
      </c>
      <c r="K107" s="98" cm="1">
        <f t="array" ref="K107">IF(K$62&lt;=Koniec,SUMPRODUCT(ISNUMBER(MATCH(mod_pp_ppu,$B$73,0))*('Koszty operacyjne'!$K$114:$X$114=Moduły!K$73),pp_ppu)+SUMPRODUCT(ISNUMBER(MATCH(mod_pp_ptim,$B$73,0))*('Koszty operacyjne'!$K$114:$X$114=Moduły!K$73),pp_ptim),0)</f>
        <v>0</v>
      </c>
      <c r="L107" s="98" cm="1">
        <f t="array" ref="L107">IF(L$62&lt;=Koniec,SUMPRODUCT(ISNUMBER(MATCH(mod_pp_ppu,$B$73,0))*('Koszty operacyjne'!$K$114:$X$114=Moduły!L$73),pp_ppu)+SUMPRODUCT(ISNUMBER(MATCH(mod_pp_ptim,$B$73,0))*('Koszty operacyjne'!$K$114:$X$114=Moduły!L$73),pp_ptim),0)</f>
        <v>0</v>
      </c>
      <c r="M107" s="98" cm="1">
        <f t="array" ref="M107">IF(M$62&lt;=Koniec,SUMPRODUCT(ISNUMBER(MATCH(mod_pp_ppu,$B$73,0))*('Koszty operacyjne'!$K$114:$X$114=Moduły!M$73),pp_ppu)+SUMPRODUCT(ISNUMBER(MATCH(mod_pp_ptim,$B$73,0))*('Koszty operacyjne'!$K$114:$X$114=Moduły!M$73),pp_ptim),0)</f>
        <v>0</v>
      </c>
      <c r="N107" s="98" cm="1">
        <f t="array" ref="N107">IF(N$62&lt;=Koniec,SUMPRODUCT(ISNUMBER(MATCH(mod_pp_ppu,$B$73,0))*('Koszty operacyjne'!$K$114:$X$114=Moduły!N$73),pp_ppu)+SUMPRODUCT(ISNUMBER(MATCH(mod_pp_ptim,$B$73,0))*('Koszty operacyjne'!$K$114:$X$114=Moduły!N$73),pp_ptim),0)</f>
        <v>0</v>
      </c>
      <c r="O107" s="98" cm="1">
        <f t="array" ref="O107">IF(O$62&lt;=Koniec,SUMPRODUCT(ISNUMBER(MATCH(mod_pp_ppu,$B$73,0))*('Koszty operacyjne'!$K$114:$X$114=Moduły!O$73),pp_ppu)+SUMPRODUCT(ISNUMBER(MATCH(mod_pp_ptim,$B$73,0))*('Koszty operacyjne'!$K$114:$X$114=Moduły!O$73),pp_ptim),0)</f>
        <v>0</v>
      </c>
      <c r="P107" s="98" cm="1">
        <f t="array" ref="P107">IF(P$62&lt;=Koniec,SUMPRODUCT(ISNUMBER(MATCH(mod_pp_ppu,$B$73,0))*('Koszty operacyjne'!$K$114:$X$114=Moduły!P$73),pp_ppu)+SUMPRODUCT(ISNUMBER(MATCH(mod_pp_ptim,$B$73,0))*('Koszty operacyjne'!$K$114:$X$114=Moduły!P$73),pp_ptim),0)</f>
        <v>0</v>
      </c>
      <c r="Q107" s="5"/>
      <c r="R107" s="5"/>
      <c r="S107" s="5"/>
      <c r="T107" s="5"/>
      <c r="U107" s="5"/>
      <c r="V107" s="5"/>
      <c r="W107" s="5"/>
      <c r="X107" s="5"/>
      <c r="Y107" s="5"/>
    </row>
    <row r="108" spans="2:25" ht="3.9" customHeight="1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2:25">
      <c r="B109" s="99" t="s">
        <v>105</v>
      </c>
      <c r="C109" s="98">
        <f t="shared" ref="C109:P109" ca="1" si="47">IF(C$62&lt;=Koniec,SUM(C110:C117),0)</f>
        <v>0</v>
      </c>
      <c r="D109" s="98">
        <f t="shared" ca="1" si="47"/>
        <v>0</v>
      </c>
      <c r="E109" s="98">
        <f t="shared" ca="1" si="47"/>
        <v>0</v>
      </c>
      <c r="F109" s="98">
        <f t="shared" ca="1" si="47"/>
        <v>0</v>
      </c>
      <c r="G109" s="98">
        <f t="shared" ca="1" si="47"/>
        <v>0</v>
      </c>
      <c r="H109" s="98">
        <f t="shared" ca="1" si="47"/>
        <v>0</v>
      </c>
      <c r="I109" s="98">
        <f t="shared" ca="1" si="47"/>
        <v>0</v>
      </c>
      <c r="J109" s="98">
        <f t="shared" ca="1" si="47"/>
        <v>0</v>
      </c>
      <c r="K109" s="98">
        <f t="shared" ca="1" si="47"/>
        <v>0</v>
      </c>
      <c r="L109" s="98">
        <f t="shared" ca="1" si="47"/>
        <v>0</v>
      </c>
      <c r="M109" s="98">
        <f t="shared" ca="1" si="47"/>
        <v>0</v>
      </c>
      <c r="N109" s="98">
        <f t="shared" ca="1" si="47"/>
        <v>0</v>
      </c>
      <c r="O109" s="98">
        <f t="shared" ca="1" si="47"/>
        <v>0</v>
      </c>
      <c r="P109" s="98">
        <f t="shared" ca="1" si="47"/>
        <v>0</v>
      </c>
      <c r="Q109" s="5"/>
      <c r="R109" s="5"/>
      <c r="S109" s="5"/>
      <c r="T109" s="5"/>
      <c r="U109" s="5"/>
      <c r="V109" s="5"/>
      <c r="W109" s="5"/>
      <c r="X109" s="5"/>
      <c r="Y109" s="5"/>
    </row>
    <row r="110" spans="2:25">
      <c r="B110" s="104" t="s">
        <v>106</v>
      </c>
      <c r="C110" s="103" cm="1">
        <f t="array" aca="1" ref="C110" ca="1">IF(C$62&lt;=Koniec,SUMPRODUCT(ISNUMBER(MATCH(mod_st_am,$B$73,0))*('Koszty operacyjne'!$K$114:$X$114=Moduły!C$73),st_am),0)</f>
        <v>0</v>
      </c>
      <c r="D110" s="103" cm="1">
        <f t="array" aca="1" ref="D110" ca="1">IF(D$62&lt;=Koniec,SUMPRODUCT(ISNUMBER(MATCH(mod_st_am,$B$73,0))*('Koszty operacyjne'!$K$114:$X$114=Moduły!D$73),st_am),0)</f>
        <v>0</v>
      </c>
      <c r="E110" s="103" cm="1">
        <f t="array" aca="1" ref="E110" ca="1">IF(E$62&lt;=Koniec,SUMPRODUCT(ISNUMBER(MATCH(mod_st_am,$B$73,0))*('Koszty operacyjne'!$K$114:$X$114=Moduły!E$73),st_am),0)</f>
        <v>0</v>
      </c>
      <c r="F110" s="103" cm="1">
        <f t="array" aca="1" ref="F110" ca="1">IF(F$62&lt;=Koniec,SUMPRODUCT(ISNUMBER(MATCH(mod_st_am,$B$73,0))*('Koszty operacyjne'!$K$114:$X$114=Moduły!F$73),st_am),0)</f>
        <v>0</v>
      </c>
      <c r="G110" s="103" cm="1">
        <f t="array" aca="1" ref="G110" ca="1">IF(G$62&lt;=Koniec,SUMPRODUCT(ISNUMBER(MATCH(mod_st_am,$B$73,0))*('Koszty operacyjne'!$K$114:$X$114=Moduły!G$73),st_am),0)</f>
        <v>0</v>
      </c>
      <c r="H110" s="103" cm="1">
        <f t="array" aca="1" ref="H110" ca="1">IF(H$62&lt;=Koniec,SUMPRODUCT(ISNUMBER(MATCH(mod_st_am,$B$73,0))*('Koszty operacyjne'!$K$114:$X$114=Moduły!H$73),st_am),0)</f>
        <v>0</v>
      </c>
      <c r="I110" s="103" cm="1">
        <f t="array" aca="1" ref="I110" ca="1">IF(I$62&lt;=Koniec,SUMPRODUCT(ISNUMBER(MATCH(mod_st_am,$B$73,0))*('Koszty operacyjne'!$K$114:$X$114=Moduły!I$73),st_am),0)</f>
        <v>0</v>
      </c>
      <c r="J110" s="103" cm="1">
        <f t="array" aca="1" ref="J110" ca="1">IF(J$62&lt;=Koniec,SUMPRODUCT(ISNUMBER(MATCH(mod_st_am,$B$73,0))*('Koszty operacyjne'!$K$114:$X$114=Moduły!J$73),st_am),0)</f>
        <v>0</v>
      </c>
      <c r="K110" s="103" cm="1">
        <f t="array" aca="1" ref="K110" ca="1">IF(K$62&lt;=Koniec,SUMPRODUCT(ISNUMBER(MATCH(mod_st_am,$B$73,0))*('Koszty operacyjne'!$K$114:$X$114=Moduły!K$73),st_am),0)</f>
        <v>0</v>
      </c>
      <c r="L110" s="103" cm="1">
        <f t="array" aca="1" ref="L110" ca="1">IF(L$62&lt;=Koniec,SUMPRODUCT(ISNUMBER(MATCH(mod_st_am,$B$73,0))*('Koszty operacyjne'!$K$114:$X$114=Moduły!L$73),st_am),0)</f>
        <v>0</v>
      </c>
      <c r="M110" s="103" cm="1">
        <f t="array" aca="1" ref="M110" ca="1">IF(M$62&lt;=Koniec,SUMPRODUCT(ISNUMBER(MATCH(mod_st_am,$B$73,0))*('Koszty operacyjne'!$K$114:$X$114=Moduły!M$73),st_am),0)</f>
        <v>0</v>
      </c>
      <c r="N110" s="103" cm="1">
        <f t="array" aca="1" ref="N110" ca="1">IF(N$62&lt;=Koniec,SUMPRODUCT(ISNUMBER(MATCH(mod_st_am,$B$73,0))*('Koszty operacyjne'!$K$114:$X$114=Moduły!N$73),st_am),0)</f>
        <v>0</v>
      </c>
      <c r="O110" s="103" cm="1">
        <f t="array" aca="1" ref="O110" ca="1">IF(O$62&lt;=Koniec,SUMPRODUCT(ISNUMBER(MATCH(mod_st_am,$B$73,0))*('Koszty operacyjne'!$K$114:$X$114=Moduły!O$73),st_am),0)</f>
        <v>0</v>
      </c>
      <c r="P110" s="103" cm="1">
        <f t="array" aca="1" ref="P110" ca="1">IF(P$62&lt;=Koniec,SUMPRODUCT(ISNUMBER(MATCH(mod_st_am,$B$73,0))*('Koszty operacyjne'!$K$114:$X$114=Moduły!P$73),st_am),0)</f>
        <v>0</v>
      </c>
      <c r="Q110" s="5"/>
      <c r="R110" s="5"/>
      <c r="S110" s="5"/>
      <c r="T110" s="5"/>
      <c r="U110" s="5"/>
      <c r="V110" s="5"/>
      <c r="W110" s="5"/>
      <c r="X110" s="5"/>
      <c r="Y110" s="5"/>
    </row>
    <row r="111" spans="2:25">
      <c r="B111" s="37" t="s">
        <v>107</v>
      </c>
      <c r="C111" s="33" cm="1">
        <f t="array" ref="C111">IF(C$62&lt;=Koniec,SUMPRODUCT(ISNUMBER(MATCH(mod_ko_zme,$B$73,0))*('Koszty operacyjne'!$K$114:$X$114=Moduły!C$73),ko_zme),0)</f>
        <v>0</v>
      </c>
      <c r="D111" s="33" cm="1">
        <f t="array" ref="D111">IF(D$62&lt;=Koniec,SUMPRODUCT(ISNUMBER(MATCH(mod_ko_zme,$B$73,0))*('Koszty operacyjne'!$K$114:$X$114=Moduły!D$73),ko_zme),0)</f>
        <v>0</v>
      </c>
      <c r="E111" s="33" cm="1">
        <f t="array" ref="E111">IF(E$62&lt;=Koniec,SUMPRODUCT(ISNUMBER(MATCH(mod_ko_zme,$B$73,0))*('Koszty operacyjne'!$K$114:$X$114=Moduły!E$73),ko_zme),0)</f>
        <v>0</v>
      </c>
      <c r="F111" s="33" cm="1">
        <f t="array" ref="F111">IF(F$62&lt;=Koniec,SUMPRODUCT(ISNUMBER(MATCH(mod_ko_zme,$B$73,0))*('Koszty operacyjne'!$K$114:$X$114=Moduły!F$73),ko_zme),0)</f>
        <v>0</v>
      </c>
      <c r="G111" s="33" cm="1">
        <f t="array" ref="G111">IF(G$62&lt;=Koniec,SUMPRODUCT(ISNUMBER(MATCH(mod_ko_zme,$B$73,0))*('Koszty operacyjne'!$K$114:$X$114=Moduły!G$73),ko_zme),0)</f>
        <v>0</v>
      </c>
      <c r="H111" s="33" cm="1">
        <f t="array" ref="H111">IF(H$62&lt;=Koniec,SUMPRODUCT(ISNUMBER(MATCH(mod_ko_zme,$B$73,0))*('Koszty operacyjne'!$K$114:$X$114=Moduły!H$73),ko_zme),0)</f>
        <v>0</v>
      </c>
      <c r="I111" s="33" cm="1">
        <f t="array" ref="I111">IF(I$62&lt;=Koniec,SUMPRODUCT(ISNUMBER(MATCH(mod_ko_zme,$B$73,0))*('Koszty operacyjne'!$K$114:$X$114=Moduły!I$73),ko_zme),0)</f>
        <v>0</v>
      </c>
      <c r="J111" s="33" cm="1">
        <f t="array" ref="J111">IF(J$62&lt;=Koniec,SUMPRODUCT(ISNUMBER(MATCH(mod_ko_zme,$B$73,0))*('Koszty operacyjne'!$K$114:$X$114=Moduły!J$73),ko_zme),0)</f>
        <v>0</v>
      </c>
      <c r="K111" s="33" cm="1">
        <f t="array" ref="K111">IF(K$62&lt;=Koniec,SUMPRODUCT(ISNUMBER(MATCH(mod_ko_zme,$B$73,0))*('Koszty operacyjne'!$K$114:$X$114=Moduły!K$73),ko_zme),0)</f>
        <v>0</v>
      </c>
      <c r="L111" s="33" cm="1">
        <f t="array" ref="L111">IF(L$62&lt;=Koniec,SUMPRODUCT(ISNUMBER(MATCH(mod_ko_zme,$B$73,0))*('Koszty operacyjne'!$K$114:$X$114=Moduły!L$73),ko_zme),0)</f>
        <v>0</v>
      </c>
      <c r="M111" s="33" cm="1">
        <f t="array" ref="M111">IF(M$62&lt;=Koniec,SUMPRODUCT(ISNUMBER(MATCH(mod_ko_zme,$B$73,0))*('Koszty operacyjne'!$K$114:$X$114=Moduły!M$73),ko_zme),0)</f>
        <v>0</v>
      </c>
      <c r="N111" s="33" cm="1">
        <f t="array" ref="N111">IF(N$62&lt;=Koniec,SUMPRODUCT(ISNUMBER(MATCH(mod_ko_zme,$B$73,0))*('Koszty operacyjne'!$K$114:$X$114=Moduły!N$73),ko_zme),0)</f>
        <v>0</v>
      </c>
      <c r="O111" s="33" cm="1">
        <f t="array" ref="O111">IF(O$62&lt;=Koniec,SUMPRODUCT(ISNUMBER(MATCH(mod_ko_zme,$B$73,0))*('Koszty operacyjne'!$K$114:$X$114=Moduły!O$73),ko_zme),0)</f>
        <v>0</v>
      </c>
      <c r="P111" s="33" cm="1">
        <f t="array" ref="P111">IF(P$62&lt;=Koniec,SUMPRODUCT(ISNUMBER(MATCH(mod_ko_zme,$B$73,0))*('Koszty operacyjne'!$K$114:$X$114=Moduły!P$73),ko_zme),0)</f>
        <v>0</v>
      </c>
      <c r="Q111" s="5"/>
      <c r="R111" s="5"/>
      <c r="S111" s="5"/>
      <c r="T111" s="5"/>
      <c r="U111" s="5"/>
      <c r="V111" s="5"/>
      <c r="W111" s="5"/>
      <c r="X111" s="5"/>
      <c r="Y111" s="5"/>
    </row>
    <row r="112" spans="2:25">
      <c r="B112" s="37" t="s">
        <v>108</v>
      </c>
      <c r="C112" s="33" cm="1">
        <f t="array" ref="C112">IF(C$62&lt;=Koniec,SUMPRODUCT(ISNUMBER(MATCH(mod_ko_uoe,$B$73,0))*('Koszty operacyjne'!$K$114:$X$114=Moduły!C$73),ko_uoe),0)</f>
        <v>0</v>
      </c>
      <c r="D112" s="33" cm="1">
        <f t="array" ref="D112">IF(D$62&lt;=Koniec,SUMPRODUCT(ISNUMBER(MATCH(mod_ko_uoe,$B$73,0))*('Koszty operacyjne'!$K$114:$X$114=Moduły!D$73),ko_uoe),0)</f>
        <v>0</v>
      </c>
      <c r="E112" s="33" cm="1">
        <f t="array" ref="E112">IF(E$62&lt;=Koniec,SUMPRODUCT(ISNUMBER(MATCH(mod_ko_uoe,$B$73,0))*('Koszty operacyjne'!$K$114:$X$114=Moduły!E$73),ko_uoe),0)</f>
        <v>0</v>
      </c>
      <c r="F112" s="33" cm="1">
        <f t="array" ref="F112">IF(F$62&lt;=Koniec,SUMPRODUCT(ISNUMBER(MATCH(mod_ko_uoe,$B$73,0))*('Koszty operacyjne'!$K$114:$X$114=Moduły!F$73),ko_uoe),0)</f>
        <v>0</v>
      </c>
      <c r="G112" s="33" cm="1">
        <f t="array" ref="G112">IF(G$62&lt;=Koniec,SUMPRODUCT(ISNUMBER(MATCH(mod_ko_uoe,$B$73,0))*('Koszty operacyjne'!$K$114:$X$114=Moduły!G$73),ko_uoe),0)</f>
        <v>0</v>
      </c>
      <c r="H112" s="33" cm="1">
        <f t="array" ref="H112">IF(H$62&lt;=Koniec,SUMPRODUCT(ISNUMBER(MATCH(mod_ko_uoe,$B$73,0))*('Koszty operacyjne'!$K$114:$X$114=Moduły!H$73),ko_uoe),0)</f>
        <v>0</v>
      </c>
      <c r="I112" s="33" cm="1">
        <f t="array" ref="I112">IF(I$62&lt;=Koniec,SUMPRODUCT(ISNUMBER(MATCH(mod_ko_uoe,$B$73,0))*('Koszty operacyjne'!$K$114:$X$114=Moduły!I$73),ko_uoe),0)</f>
        <v>0</v>
      </c>
      <c r="J112" s="33" cm="1">
        <f t="array" ref="J112">IF(J$62&lt;=Koniec,SUMPRODUCT(ISNUMBER(MATCH(mod_ko_uoe,$B$73,0))*('Koszty operacyjne'!$K$114:$X$114=Moduły!J$73),ko_uoe),0)</f>
        <v>0</v>
      </c>
      <c r="K112" s="33" cm="1">
        <f t="array" ref="K112">IF(K$62&lt;=Koniec,SUMPRODUCT(ISNUMBER(MATCH(mod_ko_uoe,$B$73,0))*('Koszty operacyjne'!$K$114:$X$114=Moduły!K$73),ko_uoe),0)</f>
        <v>0</v>
      </c>
      <c r="L112" s="33" cm="1">
        <f t="array" ref="L112">IF(L$62&lt;=Koniec,SUMPRODUCT(ISNUMBER(MATCH(mod_ko_uoe,$B$73,0))*('Koszty operacyjne'!$K$114:$X$114=Moduły!L$73),ko_uoe),0)</f>
        <v>0</v>
      </c>
      <c r="M112" s="33" cm="1">
        <f t="array" ref="M112">IF(M$62&lt;=Koniec,SUMPRODUCT(ISNUMBER(MATCH(mod_ko_uoe,$B$73,0))*('Koszty operacyjne'!$K$114:$X$114=Moduły!M$73),ko_uoe),0)</f>
        <v>0</v>
      </c>
      <c r="N112" s="33" cm="1">
        <f t="array" ref="N112">IF(N$62&lt;=Koniec,SUMPRODUCT(ISNUMBER(MATCH(mod_ko_uoe,$B$73,0))*('Koszty operacyjne'!$K$114:$X$114=Moduły!N$73),ko_uoe),0)</f>
        <v>0</v>
      </c>
      <c r="O112" s="33" cm="1">
        <f t="array" ref="O112">IF(O$62&lt;=Koniec,SUMPRODUCT(ISNUMBER(MATCH(mod_ko_uoe,$B$73,0))*('Koszty operacyjne'!$K$114:$X$114=Moduły!O$73),ko_uoe),0)</f>
        <v>0</v>
      </c>
      <c r="P112" s="33" cm="1">
        <f t="array" ref="P112">IF(P$62&lt;=Koniec,SUMPRODUCT(ISNUMBER(MATCH(mod_ko_uoe,$B$73,0))*('Koszty operacyjne'!$K$114:$X$114=Moduły!P$73),ko_uoe),0)</f>
        <v>0</v>
      </c>
      <c r="Q112" s="5"/>
      <c r="R112" s="5"/>
      <c r="S112" s="5"/>
      <c r="T112" s="5"/>
      <c r="U112" s="5"/>
      <c r="V112" s="5"/>
      <c r="W112" s="5"/>
      <c r="X112" s="5"/>
      <c r="Y112" s="5"/>
    </row>
    <row r="113" spans="2:25">
      <c r="B113" s="37" t="s">
        <v>778</v>
      </c>
      <c r="C113" s="33" cm="1">
        <f t="array" ref="C113">IF(C$62&lt;=Koniec,SUMPRODUCT(ISNUMBER(MATCH(mod_ko_pio,$B$73,0))*('Koszty operacyjne'!$K$114:$X$114=Moduły!C$73),ko_pio),0)</f>
        <v>0</v>
      </c>
      <c r="D113" s="33" cm="1">
        <f t="array" ref="D113">IF(D$62&lt;=Koniec,SUMPRODUCT(ISNUMBER(MATCH(mod_ko_pio,$B$73,0))*('Koszty operacyjne'!$K$114:$X$114=Moduły!D$73),ko_pio),0)</f>
        <v>0</v>
      </c>
      <c r="E113" s="33" cm="1">
        <f t="array" ref="E113">IF(E$62&lt;=Koniec,SUMPRODUCT(ISNUMBER(MATCH(mod_ko_pio,$B$73,0))*('Koszty operacyjne'!$K$114:$X$114=Moduły!E$73),ko_pio),0)</f>
        <v>0</v>
      </c>
      <c r="F113" s="33" cm="1">
        <f t="array" ref="F113">IF(F$62&lt;=Koniec,SUMPRODUCT(ISNUMBER(MATCH(mod_ko_pio,$B$73,0))*('Koszty operacyjne'!$K$114:$X$114=Moduły!F$73),ko_pio),0)</f>
        <v>0</v>
      </c>
      <c r="G113" s="33" cm="1">
        <f t="array" ref="G113">IF(G$62&lt;=Koniec,SUMPRODUCT(ISNUMBER(MATCH(mod_ko_pio,$B$73,0))*('Koszty operacyjne'!$K$114:$X$114=Moduły!G$73),ko_pio),0)</f>
        <v>0</v>
      </c>
      <c r="H113" s="33" cm="1">
        <f t="array" ref="H113">IF(H$62&lt;=Koniec,SUMPRODUCT(ISNUMBER(MATCH(mod_ko_pio,$B$73,0))*('Koszty operacyjne'!$K$114:$X$114=Moduły!H$73),ko_pio),0)</f>
        <v>0</v>
      </c>
      <c r="I113" s="33" cm="1">
        <f t="array" ref="I113">IF(I$62&lt;=Koniec,SUMPRODUCT(ISNUMBER(MATCH(mod_ko_pio,$B$73,0))*('Koszty operacyjne'!$K$114:$X$114=Moduły!I$73),ko_pio),0)</f>
        <v>0</v>
      </c>
      <c r="J113" s="33" cm="1">
        <f t="array" ref="J113">IF(J$62&lt;=Koniec,SUMPRODUCT(ISNUMBER(MATCH(mod_ko_pio,$B$73,0))*('Koszty operacyjne'!$K$114:$X$114=Moduły!J$73),ko_pio),0)</f>
        <v>0</v>
      </c>
      <c r="K113" s="33" cm="1">
        <f t="array" ref="K113">IF(K$62&lt;=Koniec,SUMPRODUCT(ISNUMBER(MATCH(mod_ko_pio,$B$73,0))*('Koszty operacyjne'!$K$114:$X$114=Moduły!K$73),ko_pio),0)</f>
        <v>0</v>
      </c>
      <c r="L113" s="33" cm="1">
        <f t="array" ref="L113">IF(L$62&lt;=Koniec,SUMPRODUCT(ISNUMBER(MATCH(mod_ko_pio,$B$73,0))*('Koszty operacyjne'!$K$114:$X$114=Moduły!L$73),ko_pio),0)</f>
        <v>0</v>
      </c>
      <c r="M113" s="33" cm="1">
        <f t="array" ref="M113">IF(M$62&lt;=Koniec,SUMPRODUCT(ISNUMBER(MATCH(mod_ko_pio,$B$73,0))*('Koszty operacyjne'!$K$114:$X$114=Moduły!M$73),ko_pio),0)</f>
        <v>0</v>
      </c>
      <c r="N113" s="33" cm="1">
        <f t="array" ref="N113">IF(N$62&lt;=Koniec,SUMPRODUCT(ISNUMBER(MATCH(mod_ko_pio,$B$73,0))*('Koszty operacyjne'!$K$114:$X$114=Moduły!N$73),ko_pio),0)</f>
        <v>0</v>
      </c>
      <c r="O113" s="33" cm="1">
        <f t="array" ref="O113">IF(O$62&lt;=Koniec,SUMPRODUCT(ISNUMBER(MATCH(mod_ko_pio,$B$73,0))*('Koszty operacyjne'!$K$114:$X$114=Moduły!O$73),ko_pio),0)</f>
        <v>0</v>
      </c>
      <c r="P113" s="33" cm="1">
        <f t="array" ref="P113">IF(P$62&lt;=Koniec,SUMPRODUCT(ISNUMBER(MATCH(mod_ko_pio,$B$73,0))*('Koszty operacyjne'!$K$114:$X$114=Moduły!P$73),ko_pio),0)</f>
        <v>0</v>
      </c>
      <c r="Q113" s="5"/>
      <c r="R113" s="5"/>
      <c r="S113" s="5"/>
      <c r="T113" s="5"/>
      <c r="U113" s="5"/>
      <c r="V113" s="5"/>
      <c r="W113" s="5"/>
      <c r="X113" s="5"/>
      <c r="Y113" s="5"/>
    </row>
    <row r="114" spans="2:25">
      <c r="B114" s="37" t="s">
        <v>109</v>
      </c>
      <c r="C114" s="33" cm="1">
        <f t="array" ref="C114">IF(C$62&lt;=Koniec,SUMPRODUCT(ISNUMBER(MATCH(mod_ko_wyn,$B$73,0))*('Koszty operacyjne'!$K$114:$X$114=Moduły!C$73),ko_wyn),0)</f>
        <v>0</v>
      </c>
      <c r="D114" s="33" cm="1">
        <f t="array" ref="D114">IF(D$62&lt;=Koniec,SUMPRODUCT(ISNUMBER(MATCH(mod_ko_wyn,$B$73,0))*('Koszty operacyjne'!$K$114:$X$114=Moduły!D$73),ko_wyn),0)</f>
        <v>0</v>
      </c>
      <c r="E114" s="33" cm="1">
        <f t="array" ref="E114">IF(E$62&lt;=Koniec,SUMPRODUCT(ISNUMBER(MATCH(mod_ko_wyn,$B$73,0))*('Koszty operacyjne'!$K$114:$X$114=Moduły!E$73),ko_wyn),0)</f>
        <v>0</v>
      </c>
      <c r="F114" s="33" cm="1">
        <f t="array" ref="F114">IF(F$62&lt;=Koniec,SUMPRODUCT(ISNUMBER(MATCH(mod_ko_wyn,$B$73,0))*('Koszty operacyjne'!$K$114:$X$114=Moduły!F$73),ko_wyn),0)</f>
        <v>0</v>
      </c>
      <c r="G114" s="33" cm="1">
        <f t="array" ref="G114">IF(G$62&lt;=Koniec,SUMPRODUCT(ISNUMBER(MATCH(mod_ko_wyn,$B$73,0))*('Koszty operacyjne'!$K$114:$X$114=Moduły!G$73),ko_wyn),0)</f>
        <v>0</v>
      </c>
      <c r="H114" s="33" cm="1">
        <f t="array" ref="H114">IF(H$62&lt;=Koniec,SUMPRODUCT(ISNUMBER(MATCH(mod_ko_wyn,$B$73,0))*('Koszty operacyjne'!$K$114:$X$114=Moduły!H$73),ko_wyn),0)</f>
        <v>0</v>
      </c>
      <c r="I114" s="33" cm="1">
        <f t="array" ref="I114">IF(I$62&lt;=Koniec,SUMPRODUCT(ISNUMBER(MATCH(mod_ko_wyn,$B$73,0))*('Koszty operacyjne'!$K$114:$X$114=Moduły!I$73),ko_wyn),0)</f>
        <v>0</v>
      </c>
      <c r="J114" s="33" cm="1">
        <f t="array" ref="J114">IF(J$62&lt;=Koniec,SUMPRODUCT(ISNUMBER(MATCH(mod_ko_wyn,$B$73,0))*('Koszty operacyjne'!$K$114:$X$114=Moduły!J$73),ko_wyn),0)</f>
        <v>0</v>
      </c>
      <c r="K114" s="33" cm="1">
        <f t="array" ref="K114">IF(K$62&lt;=Koniec,SUMPRODUCT(ISNUMBER(MATCH(mod_ko_wyn,$B$73,0))*('Koszty operacyjne'!$K$114:$X$114=Moduły!K$73),ko_wyn),0)</f>
        <v>0</v>
      </c>
      <c r="L114" s="33" cm="1">
        <f t="array" ref="L114">IF(L$62&lt;=Koniec,SUMPRODUCT(ISNUMBER(MATCH(mod_ko_wyn,$B$73,0))*('Koszty operacyjne'!$K$114:$X$114=Moduły!L$73),ko_wyn),0)</f>
        <v>0</v>
      </c>
      <c r="M114" s="33" cm="1">
        <f t="array" ref="M114">IF(M$62&lt;=Koniec,SUMPRODUCT(ISNUMBER(MATCH(mod_ko_wyn,$B$73,0))*('Koszty operacyjne'!$K$114:$X$114=Moduły!M$73),ko_wyn),0)</f>
        <v>0</v>
      </c>
      <c r="N114" s="33" cm="1">
        <f t="array" ref="N114">IF(N$62&lt;=Koniec,SUMPRODUCT(ISNUMBER(MATCH(mod_ko_wyn,$B$73,0))*('Koszty operacyjne'!$K$114:$X$114=Moduły!N$73),ko_wyn),0)</f>
        <v>0</v>
      </c>
      <c r="O114" s="33" cm="1">
        <f t="array" ref="O114">IF(O$62&lt;=Koniec,SUMPRODUCT(ISNUMBER(MATCH(mod_ko_wyn,$B$73,0))*('Koszty operacyjne'!$K$114:$X$114=Moduły!O$73),ko_wyn),0)</f>
        <v>0</v>
      </c>
      <c r="P114" s="33" cm="1">
        <f t="array" ref="P114">IF(P$62&lt;=Koniec,SUMPRODUCT(ISNUMBER(MATCH(mod_ko_wyn,$B$73,0))*('Koszty operacyjne'!$K$114:$X$114=Moduły!P$73),ko_wyn),0)</f>
        <v>0</v>
      </c>
      <c r="Q114" s="5"/>
      <c r="R114" s="5"/>
      <c r="S114" s="5"/>
      <c r="T114" s="5"/>
      <c r="U114" s="5"/>
      <c r="V114" s="5"/>
      <c r="W114" s="5"/>
      <c r="X114" s="5"/>
      <c r="Y114" s="5"/>
    </row>
    <row r="115" spans="2:25">
      <c r="B115" s="37" t="s">
        <v>110</v>
      </c>
      <c r="C115" s="33" cm="1">
        <f t="array" ref="C115">IF(C$62&lt;=Koniec,SUMPRODUCT(ISNUMBER(MATCH(mod_ko_zus,$B$73,0))*('Koszty operacyjne'!$K$114:$X$114=Moduły!C$73),ko_zus),0)</f>
        <v>0</v>
      </c>
      <c r="D115" s="33" cm="1">
        <f t="array" ref="D115">IF(D$62&lt;=Koniec,SUMPRODUCT(ISNUMBER(MATCH(mod_ko_zus,$B$73,0))*('Koszty operacyjne'!$K$114:$X$114=Moduły!D$73),ko_zus),0)</f>
        <v>0</v>
      </c>
      <c r="E115" s="33" cm="1">
        <f t="array" ref="E115">IF(E$62&lt;=Koniec,SUMPRODUCT(ISNUMBER(MATCH(mod_ko_zus,$B$73,0))*('Koszty operacyjne'!$K$114:$X$114=Moduły!E$73),ko_zus),0)</f>
        <v>0</v>
      </c>
      <c r="F115" s="33" cm="1">
        <f t="array" ref="F115">IF(F$62&lt;=Koniec,SUMPRODUCT(ISNUMBER(MATCH(mod_ko_zus,$B$73,0))*('Koszty operacyjne'!$K$114:$X$114=Moduły!F$73),ko_zus),0)</f>
        <v>0</v>
      </c>
      <c r="G115" s="33" cm="1">
        <f t="array" ref="G115">IF(G$62&lt;=Koniec,SUMPRODUCT(ISNUMBER(MATCH(mod_ko_zus,$B$73,0))*('Koszty operacyjne'!$K$114:$X$114=Moduły!G$73),ko_zus),0)</f>
        <v>0</v>
      </c>
      <c r="H115" s="33" cm="1">
        <f t="array" ref="H115">IF(H$62&lt;=Koniec,SUMPRODUCT(ISNUMBER(MATCH(mod_ko_zus,$B$73,0))*('Koszty operacyjne'!$K$114:$X$114=Moduły!H$73),ko_zus),0)</f>
        <v>0</v>
      </c>
      <c r="I115" s="33" cm="1">
        <f t="array" ref="I115">IF(I$62&lt;=Koniec,SUMPRODUCT(ISNUMBER(MATCH(mod_ko_zus,$B$73,0))*('Koszty operacyjne'!$K$114:$X$114=Moduły!I$73),ko_zus),0)</f>
        <v>0</v>
      </c>
      <c r="J115" s="33" cm="1">
        <f t="array" ref="J115">IF(J$62&lt;=Koniec,SUMPRODUCT(ISNUMBER(MATCH(mod_ko_zus,$B$73,0))*('Koszty operacyjne'!$K$114:$X$114=Moduły!J$73),ko_zus),0)</f>
        <v>0</v>
      </c>
      <c r="K115" s="33" cm="1">
        <f t="array" ref="K115">IF(K$62&lt;=Koniec,SUMPRODUCT(ISNUMBER(MATCH(mod_ko_zus,$B$73,0))*('Koszty operacyjne'!$K$114:$X$114=Moduły!K$73),ko_zus),0)</f>
        <v>0</v>
      </c>
      <c r="L115" s="33" cm="1">
        <f t="array" ref="L115">IF(L$62&lt;=Koniec,SUMPRODUCT(ISNUMBER(MATCH(mod_ko_zus,$B$73,0))*('Koszty operacyjne'!$K$114:$X$114=Moduły!L$73),ko_zus),0)</f>
        <v>0</v>
      </c>
      <c r="M115" s="33" cm="1">
        <f t="array" ref="M115">IF(M$62&lt;=Koniec,SUMPRODUCT(ISNUMBER(MATCH(mod_ko_zus,$B$73,0))*('Koszty operacyjne'!$K$114:$X$114=Moduły!M$73),ko_zus),0)</f>
        <v>0</v>
      </c>
      <c r="N115" s="33" cm="1">
        <f t="array" ref="N115">IF(N$62&lt;=Koniec,SUMPRODUCT(ISNUMBER(MATCH(mod_ko_zus,$B$73,0))*('Koszty operacyjne'!$K$114:$X$114=Moduły!N$73),ko_zus),0)</f>
        <v>0</v>
      </c>
      <c r="O115" s="33" cm="1">
        <f t="array" ref="O115">IF(O$62&lt;=Koniec,SUMPRODUCT(ISNUMBER(MATCH(mod_ko_zus,$B$73,0))*('Koszty operacyjne'!$K$114:$X$114=Moduły!O$73),ko_zus),0)</f>
        <v>0</v>
      </c>
      <c r="P115" s="33" cm="1">
        <f t="array" ref="P115">IF(P$62&lt;=Koniec,SUMPRODUCT(ISNUMBER(MATCH(mod_ko_zus,$B$73,0))*('Koszty operacyjne'!$K$114:$X$114=Moduły!P$73),ko_zus),0)</f>
        <v>0</v>
      </c>
    </row>
    <row r="116" spans="2:25">
      <c r="B116" s="37" t="s">
        <v>111</v>
      </c>
      <c r="C116" s="33" cm="1">
        <f t="array" ref="C116">IF(C$62&lt;=Koniec,SUMPRODUCT(ISNUMBER(MATCH(mod_ko_pkr,$B$73,0))*('Koszty operacyjne'!$K$114:$X$114=Moduły!C$73),ko_pkr),0)</f>
        <v>0</v>
      </c>
      <c r="D116" s="33" cm="1">
        <f t="array" ref="D116">IF(D$62&lt;=Koniec,SUMPRODUCT(ISNUMBER(MATCH(mod_ko_pkr,$B$73,0))*('Koszty operacyjne'!$K$114:$X$114=Moduły!D$73),ko_pkr),0)</f>
        <v>0</v>
      </c>
      <c r="E116" s="33" cm="1">
        <f t="array" ref="E116">IF(E$62&lt;=Koniec,SUMPRODUCT(ISNUMBER(MATCH(mod_ko_pkr,$B$73,0))*('Koszty operacyjne'!$K$114:$X$114=Moduły!E$73),ko_pkr),0)</f>
        <v>0</v>
      </c>
      <c r="F116" s="33" cm="1">
        <f t="array" ref="F116">IF(F$62&lt;=Koniec,SUMPRODUCT(ISNUMBER(MATCH(mod_ko_pkr,$B$73,0))*('Koszty operacyjne'!$K$114:$X$114=Moduły!F$73),ko_pkr),0)</f>
        <v>0</v>
      </c>
      <c r="G116" s="33" cm="1">
        <f t="array" ref="G116">IF(G$62&lt;=Koniec,SUMPRODUCT(ISNUMBER(MATCH(mod_ko_pkr,$B$73,0))*('Koszty operacyjne'!$K$114:$X$114=Moduły!G$73),ko_pkr),0)</f>
        <v>0</v>
      </c>
      <c r="H116" s="33" cm="1">
        <f t="array" ref="H116">IF(H$62&lt;=Koniec,SUMPRODUCT(ISNUMBER(MATCH(mod_ko_pkr,$B$73,0))*('Koszty operacyjne'!$K$114:$X$114=Moduły!H$73),ko_pkr),0)</f>
        <v>0</v>
      </c>
      <c r="I116" s="33" cm="1">
        <f t="array" ref="I116">IF(I$62&lt;=Koniec,SUMPRODUCT(ISNUMBER(MATCH(mod_ko_pkr,$B$73,0))*('Koszty operacyjne'!$K$114:$X$114=Moduły!I$73),ko_pkr),0)</f>
        <v>0</v>
      </c>
      <c r="J116" s="33" cm="1">
        <f t="array" ref="J116">IF(J$62&lt;=Koniec,SUMPRODUCT(ISNUMBER(MATCH(mod_ko_pkr,$B$73,0))*('Koszty operacyjne'!$K$114:$X$114=Moduły!J$73),ko_pkr),0)</f>
        <v>0</v>
      </c>
      <c r="K116" s="33" cm="1">
        <f t="array" ref="K116">IF(K$62&lt;=Koniec,SUMPRODUCT(ISNUMBER(MATCH(mod_ko_pkr,$B$73,0))*('Koszty operacyjne'!$K$114:$X$114=Moduły!K$73),ko_pkr),0)</f>
        <v>0</v>
      </c>
      <c r="L116" s="33" cm="1">
        <f t="array" ref="L116">IF(L$62&lt;=Koniec,SUMPRODUCT(ISNUMBER(MATCH(mod_ko_pkr,$B$73,0))*('Koszty operacyjne'!$K$114:$X$114=Moduły!L$73),ko_pkr),0)</f>
        <v>0</v>
      </c>
      <c r="M116" s="33" cm="1">
        <f t="array" ref="M116">IF(M$62&lt;=Koniec,SUMPRODUCT(ISNUMBER(MATCH(mod_ko_pkr,$B$73,0))*('Koszty operacyjne'!$K$114:$X$114=Moduły!M$73),ko_pkr),0)</f>
        <v>0</v>
      </c>
      <c r="N116" s="33" cm="1">
        <f t="array" ref="N116">IF(N$62&lt;=Koniec,SUMPRODUCT(ISNUMBER(MATCH(mod_ko_pkr,$B$73,0))*('Koszty operacyjne'!$K$114:$X$114=Moduły!N$73),ko_pkr),0)</f>
        <v>0</v>
      </c>
      <c r="O116" s="33" cm="1">
        <f t="array" ref="O116">IF(O$62&lt;=Koniec,SUMPRODUCT(ISNUMBER(MATCH(mod_ko_pkr,$B$73,0))*('Koszty operacyjne'!$K$114:$X$114=Moduły!O$73),ko_pkr),0)</f>
        <v>0</v>
      </c>
      <c r="P116" s="33" cm="1">
        <f t="array" ref="P116">IF(P$62&lt;=Koniec,SUMPRODUCT(ISNUMBER(MATCH(mod_ko_pkr,$B$73,0))*('Koszty operacyjne'!$K$114:$X$114=Moduły!P$73),ko_pkr),0)</f>
        <v>0</v>
      </c>
    </row>
    <row r="117" spans="2:25">
      <c r="B117" s="37" t="s">
        <v>112</v>
      </c>
      <c r="C117" s="33" cm="1">
        <f t="array" ref="C117">IF(C$62&lt;=Koniec,SUMPRODUCT(ISNUMBER(MATCH(mod_pp_ptim_wstim,$B$73,0))*('Koszty operacyjne'!$K$114:$X$114=Moduły!C$73),pp_ptim_wstim),0)</f>
        <v>0</v>
      </c>
      <c r="D117" s="33" cm="1">
        <f t="array" ref="D117">IF(D$62&lt;=Koniec,SUMPRODUCT(ISNUMBER(MATCH(mod_pp_ptim_wstim,$B$73,0))*('Koszty operacyjne'!$K$114:$X$114=Moduły!D$73),pp_ptim_wstim),0)</f>
        <v>0</v>
      </c>
      <c r="E117" s="33" cm="1">
        <f t="array" ref="E117">IF(E$62&lt;=Koniec,SUMPRODUCT(ISNUMBER(MATCH(mod_pp_ptim_wstim,$B$73,0))*('Koszty operacyjne'!$K$114:$X$114=Moduły!E$73),pp_ptim_wstim),0)</f>
        <v>0</v>
      </c>
      <c r="F117" s="33" cm="1">
        <f t="array" ref="F117">IF(F$62&lt;=Koniec,SUMPRODUCT(ISNUMBER(MATCH(mod_pp_ptim_wstim,$B$73,0))*('Koszty operacyjne'!$K$114:$X$114=Moduły!F$73),pp_ptim_wstim),0)</f>
        <v>0</v>
      </c>
      <c r="G117" s="33" cm="1">
        <f t="array" ref="G117">IF(G$62&lt;=Koniec,SUMPRODUCT(ISNUMBER(MATCH(mod_pp_ptim_wstim,$B$73,0))*('Koszty operacyjne'!$K$114:$X$114=Moduły!G$73),pp_ptim_wstim),0)</f>
        <v>0</v>
      </c>
      <c r="H117" s="33" cm="1">
        <f t="array" ref="H117">IF(H$62&lt;=Koniec,SUMPRODUCT(ISNUMBER(MATCH(mod_pp_ptim_wstim,$B$73,0))*('Koszty operacyjne'!$K$114:$X$114=Moduły!H$73),pp_ptim_wstim),0)</f>
        <v>0</v>
      </c>
      <c r="I117" s="33" cm="1">
        <f t="array" ref="I117">IF(I$62&lt;=Koniec,SUMPRODUCT(ISNUMBER(MATCH(mod_pp_ptim_wstim,$B$73,0))*('Koszty operacyjne'!$K$114:$X$114=Moduły!I$73),pp_ptim_wstim),0)</f>
        <v>0</v>
      </c>
      <c r="J117" s="33" cm="1">
        <f t="array" ref="J117">IF(J$62&lt;=Koniec,SUMPRODUCT(ISNUMBER(MATCH(mod_pp_ptim_wstim,$B$73,0))*('Koszty operacyjne'!$K$114:$X$114=Moduły!J$73),pp_ptim_wstim),0)</f>
        <v>0</v>
      </c>
      <c r="K117" s="33" cm="1">
        <f t="array" ref="K117">IF(K$62&lt;=Koniec,SUMPRODUCT(ISNUMBER(MATCH(mod_pp_ptim_wstim,$B$73,0))*('Koszty operacyjne'!$K$114:$X$114=Moduły!K$73),pp_ptim_wstim),0)</f>
        <v>0</v>
      </c>
      <c r="L117" s="33" cm="1">
        <f t="array" ref="L117">IF(L$62&lt;=Koniec,SUMPRODUCT(ISNUMBER(MATCH(mod_pp_ptim_wstim,$B$73,0))*('Koszty operacyjne'!$K$114:$X$114=Moduły!L$73),pp_ptim_wstim),0)</f>
        <v>0</v>
      </c>
      <c r="M117" s="33" cm="1">
        <f t="array" ref="M117">IF(M$62&lt;=Koniec,SUMPRODUCT(ISNUMBER(MATCH(mod_pp_ptim_wstim,$B$73,0))*('Koszty operacyjne'!$K$114:$X$114=Moduły!M$73),pp_ptim_wstim),0)</f>
        <v>0</v>
      </c>
      <c r="N117" s="33" cm="1">
        <f t="array" ref="N117">IF(N$62&lt;=Koniec,SUMPRODUCT(ISNUMBER(MATCH(mod_pp_ptim_wstim,$B$73,0))*('Koszty operacyjne'!$K$114:$X$114=Moduły!N$73),pp_ptim_wstim),0)</f>
        <v>0</v>
      </c>
      <c r="O117" s="33" cm="1">
        <f t="array" ref="O117">IF(O$62&lt;=Koniec,SUMPRODUCT(ISNUMBER(MATCH(mod_pp_ptim_wstim,$B$73,0))*('Koszty operacyjne'!$K$114:$X$114=Moduły!O$73),pp_ptim_wstim),0)</f>
        <v>0</v>
      </c>
      <c r="P117" s="33" cm="1">
        <f t="array" ref="P117">IF(P$62&lt;=Koniec,SUMPRODUCT(ISNUMBER(MATCH(mod_pp_ptim_wstim,$B$73,0))*('Koszty operacyjne'!$K$114:$X$114=Moduły!P$73),pp_ptim_wstim),0)</f>
        <v>0</v>
      </c>
    </row>
    <row r="118" spans="2:25"/>
    <row r="119" spans="2:25">
      <c r="B119" s="372" t="s">
        <v>762</v>
      </c>
      <c r="C119" s="485" t="str">
        <f>C73</f>
        <v>Uzupełnij dane</v>
      </c>
      <c r="D119" s="485" t="str">
        <f t="shared" ref="D119:P119" si="48">D73</f>
        <v/>
      </c>
      <c r="E119" s="485" t="str">
        <f t="shared" si="48"/>
        <v/>
      </c>
      <c r="F119" s="485" t="str">
        <f t="shared" si="48"/>
        <v/>
      </c>
      <c r="G119" s="485" t="str">
        <f t="shared" si="48"/>
        <v/>
      </c>
      <c r="H119" s="485" t="str">
        <f t="shared" si="48"/>
        <v/>
      </c>
      <c r="I119" s="485" t="str">
        <f t="shared" si="48"/>
        <v/>
      </c>
      <c r="J119" s="485" t="str">
        <f t="shared" si="48"/>
        <v/>
      </c>
      <c r="K119" s="485" t="str">
        <f t="shared" si="48"/>
        <v/>
      </c>
      <c r="L119" s="485" t="str">
        <f t="shared" si="48"/>
        <v/>
      </c>
      <c r="M119" s="485" t="str">
        <f t="shared" si="48"/>
        <v/>
      </c>
      <c r="N119" s="485" t="str">
        <f t="shared" si="48"/>
        <v/>
      </c>
      <c r="O119" s="485" t="str">
        <f t="shared" si="48"/>
        <v/>
      </c>
      <c r="P119" s="485" t="str">
        <f t="shared" si="48"/>
        <v/>
      </c>
    </row>
    <row r="120" spans="2:25" ht="3.9" customHeight="1">
      <c r="C120" s="5"/>
      <c r="D120" s="5"/>
      <c r="E120" s="5"/>
      <c r="F120" s="5"/>
      <c r="G120" s="5"/>
      <c r="H120" s="5"/>
      <c r="I120" s="5"/>
    </row>
    <row r="121" spans="2:25">
      <c r="B121" s="104" t="s">
        <v>689</v>
      </c>
      <c r="C121" s="103" cm="1">
        <f t="array" aca="1" ref="C121" ca="1">IF(C$62&lt;=Koniec,SUMPRODUCT(ISNUMBER(MATCH(mod_dot_st_npv,$B$73,0))*('Koszty operacyjne'!$K$114:$X$114=Moduły!C$73),mod_dot_st_npv_war),0)</f>
        <v>0</v>
      </c>
      <c r="D121" s="103" cm="1">
        <f t="array" aca="1" ref="D121" ca="1">IF(D$62&lt;=Koniec,SUMPRODUCT(ISNUMBER(MATCH(mod_dot_st_npv,$B$73,0))*('Koszty operacyjne'!$K$114:$X$114=Moduły!D$73),mod_dot_st_npv_war),0)</f>
        <v>0</v>
      </c>
      <c r="E121" s="103" cm="1">
        <f t="array" aca="1" ref="E121" ca="1">IF(E$62&lt;=Koniec,SUMPRODUCT(ISNUMBER(MATCH(mod_dot_st_npv,$B$73,0))*('Koszty operacyjne'!$K$114:$X$114=Moduły!E$73),mod_dot_st_npv_war),0)</f>
        <v>0</v>
      </c>
      <c r="F121" s="103" cm="1">
        <f t="array" aca="1" ref="F121" ca="1">IF(F$62&lt;=Koniec,SUMPRODUCT(ISNUMBER(MATCH(mod_dot_st_npv,$B$73,0))*('Koszty operacyjne'!$K$114:$X$114=Moduły!F$73),mod_dot_st_npv_war),0)</f>
        <v>0</v>
      </c>
      <c r="G121" s="103" cm="1">
        <f t="array" aca="1" ref="G121" ca="1">IF(G$62&lt;=Koniec,SUMPRODUCT(ISNUMBER(MATCH(mod_dot_st_npv,$B$73,0))*('Koszty operacyjne'!$K$114:$X$114=Moduły!G$73),mod_dot_st_npv_war),0)</f>
        <v>0</v>
      </c>
      <c r="H121" s="103" cm="1">
        <f t="array" aca="1" ref="H121" ca="1">IF(H$62&lt;=Koniec,SUMPRODUCT(ISNUMBER(MATCH(mod_dot_st_npv,$B$73,0))*('Koszty operacyjne'!$K$114:$X$114=Moduły!H$73),mod_dot_st_npv_war),0)</f>
        <v>0</v>
      </c>
      <c r="I121" s="103" cm="1">
        <f t="array" aca="1" ref="I121" ca="1">IF(I$62&lt;=Koniec,SUMPRODUCT(ISNUMBER(MATCH(mod_dot_st_npv,$B$73,0))*('Koszty operacyjne'!$K$114:$X$114=Moduły!I$73),mod_dot_st_npv_war),0)</f>
        <v>0</v>
      </c>
      <c r="J121" s="103" cm="1">
        <f t="array" aca="1" ref="J121" ca="1">IF(J$62&lt;=Koniec,SUMPRODUCT(ISNUMBER(MATCH(mod_dot_st_npv,$B$73,0))*('Koszty operacyjne'!$K$114:$X$114=Moduły!J$73),mod_dot_st_npv_war),0)</f>
        <v>0</v>
      </c>
      <c r="K121" s="103" cm="1">
        <f t="array" aca="1" ref="K121" ca="1">IF(K$62&lt;=Koniec,SUMPRODUCT(ISNUMBER(MATCH(mod_dot_st_npv,$B$73,0))*('Koszty operacyjne'!$K$114:$X$114=Moduły!K$73),mod_dot_st_npv_war),0)</f>
        <v>0</v>
      </c>
      <c r="L121" s="103" cm="1">
        <f t="array" aca="1" ref="L121" ca="1">IF(L$62&lt;=Koniec,SUMPRODUCT(ISNUMBER(MATCH(mod_dot_st_npv,$B$73,0))*('Koszty operacyjne'!$K$114:$X$114=Moduły!L$73),mod_dot_st_npv_war),0)</f>
        <v>0</v>
      </c>
      <c r="M121" s="103" cm="1">
        <f t="array" aca="1" ref="M121" ca="1">IF(M$62&lt;=Koniec,SUMPRODUCT(ISNUMBER(MATCH(mod_dot_st_npv,$B$73,0))*('Koszty operacyjne'!$K$114:$X$114=Moduły!M$73),mod_dot_st_npv_war),0)</f>
        <v>0</v>
      </c>
      <c r="N121" s="103" cm="1">
        <f t="array" aca="1" ref="N121" ca="1">IF(N$62&lt;=Koniec,SUMPRODUCT(ISNUMBER(MATCH(mod_dot_st_npv,$B$73,0))*('Koszty operacyjne'!$K$114:$X$114=Moduły!N$73),mod_dot_st_npv_war),0)</f>
        <v>0</v>
      </c>
      <c r="O121" s="103" cm="1">
        <f t="array" aca="1" ref="O121" ca="1">IF(O$62&lt;=Koniec,SUMPRODUCT(ISNUMBER(MATCH(mod_dot_st_npv,$B$73,0))*('Koszty operacyjne'!$K$114:$X$114=Moduły!O$73),mod_dot_st_npv_war),0)</f>
        <v>0</v>
      </c>
      <c r="P121" s="103" cm="1">
        <f t="array" aca="1" ref="P121" ca="1">IF(P$62&lt;=Koniec,SUMPRODUCT(ISNUMBER(MATCH(mod_dot_st_npv,$B$73,0))*('Koszty operacyjne'!$K$114:$X$114=Moduły!P$73),mod_dot_st_npv_war),0)</f>
        <v>0</v>
      </c>
    </row>
    <row r="122" spans="2:25">
      <c r="B122" s="37" t="s">
        <v>690</v>
      </c>
      <c r="C122" s="33" cm="1">
        <f t="array" ref="C122">IF(C$62&lt;=Koniec,SUMPRODUCT(ISNUMBER(MATCH(mod_dot_ko,$B$73,0))*('Koszty operacyjne'!$K$114:$X$114=Moduły!C$73),mod_dot_ko_war),0)</f>
        <v>0</v>
      </c>
      <c r="D122" s="33" cm="1">
        <f t="array" ref="D122">IF(D$62&lt;=Koniec,SUMPRODUCT(ISNUMBER(MATCH(mod_dot_ko,$B$73,0))*('Koszty operacyjne'!$K$114:$X$114=Moduły!D$73),mod_dot_ko_war),0)</f>
        <v>0</v>
      </c>
      <c r="E122" s="33" cm="1">
        <f t="array" ref="E122">IF(E$62&lt;=Koniec,SUMPRODUCT(ISNUMBER(MATCH(mod_dot_ko,$B$73,0))*('Koszty operacyjne'!$K$114:$X$114=Moduły!E$73),mod_dot_ko_war),0)</f>
        <v>0</v>
      </c>
      <c r="F122" s="33" cm="1">
        <f t="array" ref="F122">IF(F$62&lt;=Koniec,SUMPRODUCT(ISNUMBER(MATCH(mod_dot_ko,$B$73,0))*('Koszty operacyjne'!$K$114:$X$114=Moduły!F$73),mod_dot_ko_war),0)</f>
        <v>0</v>
      </c>
      <c r="G122" s="33" cm="1">
        <f t="array" ref="G122">IF(G$62&lt;=Koniec,SUMPRODUCT(ISNUMBER(MATCH(mod_dot_ko,$B$73,0))*('Koszty operacyjne'!$K$114:$X$114=Moduły!G$73),mod_dot_ko_war),0)</f>
        <v>0</v>
      </c>
      <c r="H122" s="33" cm="1">
        <f t="array" ref="H122">IF(H$62&lt;=Koniec,SUMPRODUCT(ISNUMBER(MATCH(mod_dot_ko,$B$73,0))*('Koszty operacyjne'!$K$114:$X$114=Moduły!H$73),mod_dot_ko_war),0)</f>
        <v>0</v>
      </c>
      <c r="I122" s="33" cm="1">
        <f t="array" ref="I122">IF(I$62&lt;=Koniec,SUMPRODUCT(ISNUMBER(MATCH(mod_dot_ko,$B$73,0))*('Koszty operacyjne'!$K$114:$X$114=Moduły!I$73),mod_dot_ko_war),0)</f>
        <v>0</v>
      </c>
      <c r="J122" s="33" cm="1">
        <f t="array" ref="J122">IF(J$62&lt;=Koniec,SUMPRODUCT(ISNUMBER(MATCH(mod_dot_ko,$B$73,0))*('Koszty operacyjne'!$K$114:$X$114=Moduły!J$73),mod_dot_ko_war),0)</f>
        <v>0</v>
      </c>
      <c r="K122" s="33" cm="1">
        <f t="array" ref="K122">IF(K$62&lt;=Koniec,SUMPRODUCT(ISNUMBER(MATCH(mod_dot_ko,$B$73,0))*('Koszty operacyjne'!$K$114:$X$114=Moduły!K$73),mod_dot_ko_war),0)</f>
        <v>0</v>
      </c>
      <c r="L122" s="33" cm="1">
        <f t="array" ref="L122">IF(L$62&lt;=Koniec,SUMPRODUCT(ISNUMBER(MATCH(mod_dot_ko,$B$73,0))*('Koszty operacyjne'!$K$114:$X$114=Moduły!L$73),mod_dot_ko_war),0)</f>
        <v>0</v>
      </c>
      <c r="M122" s="33" cm="1">
        <f t="array" ref="M122">IF(M$62&lt;=Koniec,SUMPRODUCT(ISNUMBER(MATCH(mod_dot_ko,$B$73,0))*('Koszty operacyjne'!$K$114:$X$114=Moduły!M$73),mod_dot_ko_war),0)</f>
        <v>0</v>
      </c>
      <c r="N122" s="33" cm="1">
        <f t="array" ref="N122">IF(N$62&lt;=Koniec,SUMPRODUCT(ISNUMBER(MATCH(mod_dot_ko,$B$73,0))*('Koszty operacyjne'!$K$114:$X$114=Moduły!N$73),mod_dot_ko_war),0)</f>
        <v>0</v>
      </c>
      <c r="O122" s="33" cm="1">
        <f t="array" ref="O122">IF(O$62&lt;=Koniec,SUMPRODUCT(ISNUMBER(MATCH(mod_dot_ko,$B$73,0))*('Koszty operacyjne'!$K$114:$X$114=Moduły!O$73),mod_dot_ko_war),0)</f>
        <v>0</v>
      </c>
      <c r="P122" s="33" cm="1">
        <f t="array" ref="P122">IF(P$62&lt;=Koniec,SUMPRODUCT(ISNUMBER(MATCH(mod_dot_ko,$B$73,0))*('Koszty operacyjne'!$K$114:$X$114=Moduły!P$73),mod_dot_ko_war),0)</f>
        <v>0</v>
      </c>
    </row>
    <row r="123" spans="2:25">
      <c r="B123" s="37" t="s">
        <v>692</v>
      </c>
      <c r="C123" s="33" cm="1">
        <f t="array" ref="C123">IF(C$62&lt;=Koniec,SUMPRODUCT(ISNUMBER(MATCH(mod_dot_ko_br,$B$73,0))*('Koszty operacyjne'!$K$114:$X$114=Moduły!C$73),mod_dot_ko_br_war),0)</f>
        <v>0</v>
      </c>
      <c r="D123" s="33" cm="1">
        <f t="array" ref="D123">IF(D$62&lt;=Koniec,SUMPRODUCT(ISNUMBER(MATCH(mod_dot_ko_br,$B$73,0))*('Koszty operacyjne'!$K$114:$X$114=Moduły!D$73),mod_dot_ko_br_war),0)</f>
        <v>0</v>
      </c>
      <c r="E123" s="33" cm="1">
        <f t="array" ref="E123">IF(E$62&lt;=Koniec,SUMPRODUCT(ISNUMBER(MATCH(mod_dot_ko_br,$B$73,0))*('Koszty operacyjne'!$K$114:$X$114=Moduły!E$73),mod_dot_ko_br_war),0)</f>
        <v>0</v>
      </c>
      <c r="F123" s="33" cm="1">
        <f t="array" ref="F123">IF(F$62&lt;=Koniec,SUMPRODUCT(ISNUMBER(MATCH(mod_dot_ko_br,$B$73,0))*('Koszty operacyjne'!$K$114:$X$114=Moduły!F$73),mod_dot_ko_br_war),0)</f>
        <v>0</v>
      </c>
      <c r="G123" s="33" cm="1">
        <f t="array" ref="G123">IF(G$62&lt;=Koniec,SUMPRODUCT(ISNUMBER(MATCH(mod_dot_ko_br,$B$73,0))*('Koszty operacyjne'!$K$114:$X$114=Moduły!G$73),mod_dot_ko_br_war),0)</f>
        <v>0</v>
      </c>
      <c r="H123" s="33" cm="1">
        <f t="array" ref="H123">IF(H$62&lt;=Koniec,SUMPRODUCT(ISNUMBER(MATCH(mod_dot_ko_br,$B$73,0))*('Koszty operacyjne'!$K$114:$X$114=Moduły!H$73),mod_dot_ko_br_war),0)</f>
        <v>0</v>
      </c>
      <c r="I123" s="33" cm="1">
        <f t="array" ref="I123">IF(I$62&lt;=Koniec,SUMPRODUCT(ISNUMBER(MATCH(mod_dot_ko_br,$B$73,0))*('Koszty operacyjne'!$K$114:$X$114=Moduły!I$73),mod_dot_ko_br_war),0)</f>
        <v>0</v>
      </c>
      <c r="J123" s="33" cm="1">
        <f t="array" ref="J123">IF(J$62&lt;=Koniec,SUMPRODUCT(ISNUMBER(MATCH(mod_dot_ko_br,$B$73,0))*('Koszty operacyjne'!$K$114:$X$114=Moduły!J$73),mod_dot_ko_br_war),0)</f>
        <v>0</v>
      </c>
      <c r="K123" s="33" cm="1">
        <f t="array" ref="K123">IF(K$62&lt;=Koniec,SUMPRODUCT(ISNUMBER(MATCH(mod_dot_ko_br,$B$73,0))*('Koszty operacyjne'!$K$114:$X$114=Moduły!K$73),mod_dot_ko_br_war),0)</f>
        <v>0</v>
      </c>
      <c r="L123" s="33" cm="1">
        <f t="array" ref="L123">IF(L$62&lt;=Koniec,SUMPRODUCT(ISNUMBER(MATCH(mod_dot_ko_br,$B$73,0))*('Koszty operacyjne'!$K$114:$X$114=Moduły!L$73),mod_dot_ko_br_war),0)</f>
        <v>0</v>
      </c>
      <c r="M123" s="33" cm="1">
        <f t="array" ref="M123">IF(M$62&lt;=Koniec,SUMPRODUCT(ISNUMBER(MATCH(mod_dot_ko_br,$B$73,0))*('Koszty operacyjne'!$K$114:$X$114=Moduły!M$73),mod_dot_ko_br_war),0)</f>
        <v>0</v>
      </c>
      <c r="N123" s="33" cm="1">
        <f t="array" ref="N123">IF(N$62&lt;=Koniec,SUMPRODUCT(ISNUMBER(MATCH(mod_dot_ko_br,$B$73,0))*('Koszty operacyjne'!$K$114:$X$114=Moduły!N$73),mod_dot_ko_br_war),0)</f>
        <v>0</v>
      </c>
      <c r="O123" s="33" cm="1">
        <f t="array" ref="O123">IF(O$62&lt;=Koniec,SUMPRODUCT(ISNUMBER(MATCH(mod_dot_ko_br,$B$73,0))*('Koszty operacyjne'!$K$114:$X$114=Moduły!O$73),mod_dot_ko_br_war),0)</f>
        <v>0</v>
      </c>
      <c r="P123" s="33" cm="1">
        <f t="array" ref="P123">IF(P$62&lt;=Koniec,SUMPRODUCT(ISNUMBER(MATCH(mod_dot_ko_br,$B$73,0))*('Koszty operacyjne'!$K$114:$X$114=Moduły!P$73),mod_dot_ko_br_war),0)</f>
        <v>0</v>
      </c>
    </row>
    <row r="124" spans="2:25">
      <c r="B124" s="37" t="s">
        <v>691</v>
      </c>
      <c r="C124" s="33" cm="1">
        <f t="array" aca="1" ref="C124" ca="1">IF(C$62&lt;=Koniec,SUMPRODUCT(ISNUMBER(MATCH(mod_dot_am,$B$73,0))*('Koszty operacyjne'!$K$114:$X$114=Moduły!C$73),mod_dot_am_war),0)</f>
        <v>0</v>
      </c>
      <c r="D124" s="33" cm="1">
        <f t="array" aca="1" ref="D124" ca="1">IF(D$62&lt;=Koniec,SUMPRODUCT(ISNUMBER(MATCH(mod_dot_am,$B$73,0))*('Koszty operacyjne'!$K$114:$X$114=Moduły!D$73),mod_dot_am_war),0)</f>
        <v>0</v>
      </c>
      <c r="E124" s="33" cm="1">
        <f t="array" aca="1" ref="E124" ca="1">IF(E$62&lt;=Koniec,SUMPRODUCT(ISNUMBER(MATCH(mod_dot_am,$B$73,0))*('Koszty operacyjne'!$K$114:$X$114=Moduły!E$73),mod_dot_am_war),0)</f>
        <v>0</v>
      </c>
      <c r="F124" s="33" cm="1">
        <f t="array" aca="1" ref="F124" ca="1">IF(F$62&lt;=Koniec,SUMPRODUCT(ISNUMBER(MATCH(mod_dot_am,$B$73,0))*('Koszty operacyjne'!$K$114:$X$114=Moduły!F$73),mod_dot_am_war),0)</f>
        <v>0</v>
      </c>
      <c r="G124" s="33" cm="1">
        <f t="array" aca="1" ref="G124" ca="1">IF(G$62&lt;=Koniec,SUMPRODUCT(ISNUMBER(MATCH(mod_dot_am,$B$73,0))*('Koszty operacyjne'!$K$114:$X$114=Moduły!G$73),mod_dot_am_war),0)</f>
        <v>0</v>
      </c>
      <c r="H124" s="33" cm="1">
        <f t="array" aca="1" ref="H124" ca="1">IF(H$62&lt;=Koniec,SUMPRODUCT(ISNUMBER(MATCH(mod_dot_am,$B$73,0))*('Koszty operacyjne'!$K$114:$X$114=Moduły!H$73),mod_dot_am_war),0)</f>
        <v>0</v>
      </c>
      <c r="I124" s="33" cm="1">
        <f t="array" aca="1" ref="I124" ca="1">IF(I$62&lt;=Koniec,SUMPRODUCT(ISNUMBER(MATCH(mod_dot_am,$B$73,0))*('Koszty operacyjne'!$K$114:$X$114=Moduły!I$73),mod_dot_am_war),0)</f>
        <v>0</v>
      </c>
      <c r="J124" s="33" cm="1">
        <f t="array" aca="1" ref="J124" ca="1">IF(J$62&lt;=Koniec,SUMPRODUCT(ISNUMBER(MATCH(mod_dot_am,$B$73,0))*('Koszty operacyjne'!$K$114:$X$114=Moduły!J$73),mod_dot_am_war),0)</f>
        <v>0</v>
      </c>
      <c r="K124" s="33" cm="1">
        <f t="array" aca="1" ref="K124" ca="1">IF(K$62&lt;=Koniec,SUMPRODUCT(ISNUMBER(MATCH(mod_dot_am,$B$73,0))*('Koszty operacyjne'!$K$114:$X$114=Moduły!K$73),mod_dot_am_war),0)</f>
        <v>0</v>
      </c>
      <c r="L124" s="33" cm="1">
        <f t="array" aca="1" ref="L124" ca="1">IF(L$62&lt;=Koniec,SUMPRODUCT(ISNUMBER(MATCH(mod_dot_am,$B$73,0))*('Koszty operacyjne'!$K$114:$X$114=Moduły!L$73),mod_dot_am_war),0)</f>
        <v>0</v>
      </c>
      <c r="M124" s="33" cm="1">
        <f t="array" aca="1" ref="M124" ca="1">IF(M$62&lt;=Koniec,SUMPRODUCT(ISNUMBER(MATCH(mod_dot_am,$B$73,0))*('Koszty operacyjne'!$K$114:$X$114=Moduły!M$73),mod_dot_am_war),0)</f>
        <v>0</v>
      </c>
      <c r="N124" s="33" cm="1">
        <f t="array" aca="1" ref="N124" ca="1">IF(N$62&lt;=Koniec,SUMPRODUCT(ISNUMBER(MATCH(mod_dot_am,$B$73,0))*('Koszty operacyjne'!$K$114:$X$114=Moduły!N$73),mod_dot_am_war),0)</f>
        <v>0</v>
      </c>
      <c r="O124" s="33" cm="1">
        <f t="array" aca="1" ref="O124" ca="1">IF(O$62&lt;=Koniec,SUMPRODUCT(ISNUMBER(MATCH(mod_dot_am,$B$73,0))*('Koszty operacyjne'!$K$114:$X$114=Moduły!O$73),mod_dot_am_war),0)</f>
        <v>0</v>
      </c>
      <c r="P124" s="33" cm="1">
        <f t="array" aca="1" ref="P124" ca="1">IF(P$62&lt;=Koniec,SUMPRODUCT(ISNUMBER(MATCH(mod_dot_am,$B$73,0))*('Koszty operacyjne'!$K$114:$X$114=Moduły!P$73),mod_dot_am_war),0)</f>
        <v>0</v>
      </c>
    </row>
    <row r="125" spans="2:25">
      <c r="B125" s="99" t="s">
        <v>335</v>
      </c>
      <c r="C125" s="98">
        <f ca="1">SUM(C121:C124)</f>
        <v>0</v>
      </c>
      <c r="D125" s="98">
        <f t="shared" ref="D125:P125" ca="1" si="49">SUM(D121:D124)</f>
        <v>0</v>
      </c>
      <c r="E125" s="98">
        <f t="shared" ca="1" si="49"/>
        <v>0</v>
      </c>
      <c r="F125" s="98">
        <f t="shared" ca="1" si="49"/>
        <v>0</v>
      </c>
      <c r="G125" s="98">
        <f t="shared" ca="1" si="49"/>
        <v>0</v>
      </c>
      <c r="H125" s="98">
        <f t="shared" ca="1" si="49"/>
        <v>0</v>
      </c>
      <c r="I125" s="98">
        <f t="shared" ca="1" si="49"/>
        <v>0</v>
      </c>
      <c r="J125" s="98">
        <f t="shared" ca="1" si="49"/>
        <v>0</v>
      </c>
      <c r="K125" s="98">
        <f t="shared" ca="1" si="49"/>
        <v>0</v>
      </c>
      <c r="L125" s="98">
        <f t="shared" ca="1" si="49"/>
        <v>0</v>
      </c>
      <c r="M125" s="98">
        <f t="shared" ca="1" si="49"/>
        <v>0</v>
      </c>
      <c r="N125" s="98">
        <f t="shared" ca="1" si="49"/>
        <v>0</v>
      </c>
      <c r="O125" s="98">
        <f t="shared" ca="1" si="49"/>
        <v>0</v>
      </c>
      <c r="P125" s="98">
        <f t="shared" ca="1" si="49"/>
        <v>0</v>
      </c>
    </row>
    <row r="126" spans="2:25"/>
    <row r="127" spans="2:25">
      <c r="B127" s="374" t="s">
        <v>763</v>
      </c>
      <c r="C127" s="486" t="str">
        <f>C119</f>
        <v>Uzupełnij dane</v>
      </c>
      <c r="D127" s="486" t="str">
        <f t="shared" ref="D127:P127" si="50">D119</f>
        <v/>
      </c>
      <c r="E127" s="486" t="str">
        <f t="shared" si="50"/>
        <v/>
      </c>
      <c r="F127" s="486" t="str">
        <f t="shared" si="50"/>
        <v/>
      </c>
      <c r="G127" s="486" t="str">
        <f t="shared" si="50"/>
        <v/>
      </c>
      <c r="H127" s="486" t="str">
        <f t="shared" si="50"/>
        <v/>
      </c>
      <c r="I127" s="486" t="str">
        <f t="shared" si="50"/>
        <v/>
      </c>
      <c r="J127" s="486" t="str">
        <f t="shared" si="50"/>
        <v/>
      </c>
      <c r="K127" s="486" t="str">
        <f t="shared" si="50"/>
        <v/>
      </c>
      <c r="L127" s="486" t="str">
        <f t="shared" si="50"/>
        <v/>
      </c>
      <c r="M127" s="486" t="str">
        <f t="shared" si="50"/>
        <v/>
      </c>
      <c r="N127" s="486" t="str">
        <f t="shared" si="50"/>
        <v/>
      </c>
      <c r="O127" s="486" t="str">
        <f t="shared" si="50"/>
        <v/>
      </c>
      <c r="P127" s="486" t="str">
        <f t="shared" si="50"/>
        <v/>
      </c>
    </row>
    <row r="128" spans="2:25">
      <c r="B128" s="102" t="s">
        <v>104</v>
      </c>
      <c r="C128" s="103">
        <f t="shared" ref="C128:P128" si="51">C107</f>
        <v>0</v>
      </c>
      <c r="D128" s="103">
        <f t="shared" si="51"/>
        <v>0</v>
      </c>
      <c r="E128" s="103">
        <f t="shared" si="51"/>
        <v>0</v>
      </c>
      <c r="F128" s="103">
        <f t="shared" si="51"/>
        <v>0</v>
      </c>
      <c r="G128" s="103">
        <f t="shared" si="51"/>
        <v>0</v>
      </c>
      <c r="H128" s="103">
        <f t="shared" si="51"/>
        <v>0</v>
      </c>
      <c r="I128" s="103">
        <f t="shared" si="51"/>
        <v>0</v>
      </c>
      <c r="J128" s="103">
        <f t="shared" si="51"/>
        <v>0</v>
      </c>
      <c r="K128" s="103">
        <f t="shared" si="51"/>
        <v>0</v>
      </c>
      <c r="L128" s="103">
        <f t="shared" si="51"/>
        <v>0</v>
      </c>
      <c r="M128" s="103">
        <f t="shared" si="51"/>
        <v>0</v>
      </c>
      <c r="N128" s="103">
        <f t="shared" si="51"/>
        <v>0</v>
      </c>
      <c r="O128" s="103">
        <f t="shared" si="51"/>
        <v>0</v>
      </c>
      <c r="P128" s="103">
        <f t="shared" si="51"/>
        <v>0</v>
      </c>
    </row>
    <row r="129" spans="2:16">
      <c r="B129" s="52" t="s">
        <v>693</v>
      </c>
      <c r="C129" s="33">
        <f t="shared" ref="C129:P129" si="52">ROUND(SUM(C111:C117),0)</f>
        <v>0</v>
      </c>
      <c r="D129" s="33">
        <f t="shared" si="52"/>
        <v>0</v>
      </c>
      <c r="E129" s="33">
        <f t="shared" si="52"/>
        <v>0</v>
      </c>
      <c r="F129" s="33">
        <f t="shared" si="52"/>
        <v>0</v>
      </c>
      <c r="G129" s="33">
        <f t="shared" si="52"/>
        <v>0</v>
      </c>
      <c r="H129" s="33">
        <f t="shared" si="52"/>
        <v>0</v>
      </c>
      <c r="I129" s="33">
        <f t="shared" si="52"/>
        <v>0</v>
      </c>
      <c r="J129" s="33">
        <f t="shared" si="52"/>
        <v>0</v>
      </c>
      <c r="K129" s="33">
        <f t="shared" si="52"/>
        <v>0</v>
      </c>
      <c r="L129" s="33">
        <f t="shared" si="52"/>
        <v>0</v>
      </c>
      <c r="M129" s="33">
        <f t="shared" si="52"/>
        <v>0</v>
      </c>
      <c r="N129" s="33">
        <f t="shared" si="52"/>
        <v>0</v>
      </c>
      <c r="O129" s="33">
        <f t="shared" si="52"/>
        <v>0</v>
      </c>
      <c r="P129" s="33">
        <f t="shared" si="52"/>
        <v>0</v>
      </c>
    </row>
    <row r="130" spans="2:16">
      <c r="B130" s="52" t="s">
        <v>331</v>
      </c>
      <c r="C130" s="33">
        <f t="shared" ref="C130:P130" ca="1" si="53">C110</f>
        <v>0</v>
      </c>
      <c r="D130" s="33">
        <f t="shared" ca="1" si="53"/>
        <v>0</v>
      </c>
      <c r="E130" s="33">
        <f t="shared" ca="1" si="53"/>
        <v>0</v>
      </c>
      <c r="F130" s="33">
        <f t="shared" ca="1" si="53"/>
        <v>0</v>
      </c>
      <c r="G130" s="33">
        <f t="shared" ca="1" si="53"/>
        <v>0</v>
      </c>
      <c r="H130" s="33">
        <f t="shared" ca="1" si="53"/>
        <v>0</v>
      </c>
      <c r="I130" s="33">
        <f t="shared" ca="1" si="53"/>
        <v>0</v>
      </c>
      <c r="J130" s="33">
        <f t="shared" ca="1" si="53"/>
        <v>0</v>
      </c>
      <c r="K130" s="33">
        <f t="shared" ca="1" si="53"/>
        <v>0</v>
      </c>
      <c r="L130" s="33">
        <f t="shared" ca="1" si="53"/>
        <v>0</v>
      </c>
      <c r="M130" s="33">
        <f t="shared" ca="1" si="53"/>
        <v>0</v>
      </c>
      <c r="N130" s="33">
        <f t="shared" ca="1" si="53"/>
        <v>0</v>
      </c>
      <c r="O130" s="33">
        <f t="shared" ca="1" si="53"/>
        <v>0</v>
      </c>
      <c r="P130" s="33">
        <f t="shared" ca="1" si="53"/>
        <v>0</v>
      </c>
    </row>
    <row r="131" spans="2:16">
      <c r="B131" s="366" t="s">
        <v>660</v>
      </c>
      <c r="C131" s="367">
        <f t="shared" ref="C131:P131" si="54">C75</f>
        <v>0</v>
      </c>
      <c r="D131" s="367">
        <f t="shared" si="54"/>
        <v>0</v>
      </c>
      <c r="E131" s="367">
        <f t="shared" si="54"/>
        <v>0</v>
      </c>
      <c r="F131" s="367">
        <f t="shared" si="54"/>
        <v>0</v>
      </c>
      <c r="G131" s="367">
        <f t="shared" si="54"/>
        <v>0</v>
      </c>
      <c r="H131" s="367">
        <f t="shared" si="54"/>
        <v>0</v>
      </c>
      <c r="I131" s="367">
        <f t="shared" si="54"/>
        <v>0</v>
      </c>
      <c r="J131" s="367">
        <f t="shared" si="54"/>
        <v>0</v>
      </c>
      <c r="K131" s="367">
        <f t="shared" si="54"/>
        <v>0</v>
      </c>
      <c r="L131" s="367">
        <f t="shared" si="54"/>
        <v>0</v>
      </c>
      <c r="M131" s="367">
        <f t="shared" si="54"/>
        <v>0</v>
      </c>
      <c r="N131" s="367">
        <f t="shared" si="54"/>
        <v>0</v>
      </c>
      <c r="O131" s="367">
        <f t="shared" si="54"/>
        <v>0</v>
      </c>
      <c r="P131" s="367">
        <f t="shared" si="54"/>
        <v>0</v>
      </c>
    </row>
    <row r="132" spans="2:16">
      <c r="B132" s="368" t="s">
        <v>661</v>
      </c>
      <c r="C132" s="369">
        <f t="shared" ref="C132:P132" ca="1" si="55">C125</f>
        <v>0</v>
      </c>
      <c r="D132" s="369">
        <f t="shared" ca="1" si="55"/>
        <v>0</v>
      </c>
      <c r="E132" s="369">
        <f t="shared" ca="1" si="55"/>
        <v>0</v>
      </c>
      <c r="F132" s="369">
        <f t="shared" ca="1" si="55"/>
        <v>0</v>
      </c>
      <c r="G132" s="369">
        <f t="shared" ca="1" si="55"/>
        <v>0</v>
      </c>
      <c r="H132" s="369">
        <f t="shared" ca="1" si="55"/>
        <v>0</v>
      </c>
      <c r="I132" s="369">
        <f t="shared" ca="1" si="55"/>
        <v>0</v>
      </c>
      <c r="J132" s="369">
        <f t="shared" ca="1" si="55"/>
        <v>0</v>
      </c>
      <c r="K132" s="369">
        <f t="shared" ca="1" si="55"/>
        <v>0</v>
      </c>
      <c r="L132" s="369">
        <f t="shared" ca="1" si="55"/>
        <v>0</v>
      </c>
      <c r="M132" s="369">
        <f t="shared" ca="1" si="55"/>
        <v>0</v>
      </c>
      <c r="N132" s="369">
        <f t="shared" ca="1" si="55"/>
        <v>0</v>
      </c>
      <c r="O132" s="369">
        <f t="shared" ca="1" si="55"/>
        <v>0</v>
      </c>
      <c r="P132" s="369">
        <f t="shared" ca="1" si="55"/>
        <v>0</v>
      </c>
    </row>
    <row r="133" spans="2:16">
      <c r="B133" s="52" t="s">
        <v>662</v>
      </c>
      <c r="C133" s="33">
        <f ca="1">'Kapitał pracujący'!K$93</f>
        <v>0</v>
      </c>
      <c r="D133" s="33">
        <f ca="1">'Kapitał pracujący'!L$93</f>
        <v>0</v>
      </c>
      <c r="E133" s="33">
        <f ca="1">'Kapitał pracujący'!M$93</f>
        <v>0</v>
      </c>
      <c r="F133" s="33">
        <f ca="1">'Kapitał pracujący'!N$93</f>
        <v>0</v>
      </c>
      <c r="G133" s="33">
        <f ca="1">'Kapitał pracujący'!O$93</f>
        <v>0</v>
      </c>
      <c r="H133" s="33">
        <f ca="1">'Kapitał pracujący'!P$93</f>
        <v>0</v>
      </c>
      <c r="I133" s="33">
        <f ca="1">'Kapitał pracujący'!Q$93</f>
        <v>0</v>
      </c>
      <c r="J133" s="33">
        <f ca="1">'Kapitał pracujący'!R$93</f>
        <v>0</v>
      </c>
      <c r="K133" s="33">
        <f ca="1">'Kapitał pracujący'!S$93</f>
        <v>0</v>
      </c>
      <c r="L133" s="33">
        <f ca="1">'Kapitał pracujący'!T$93</f>
        <v>0</v>
      </c>
      <c r="M133" s="33">
        <f ca="1">'Kapitał pracujący'!U$93</f>
        <v>0</v>
      </c>
      <c r="N133" s="33">
        <f ca="1">'Kapitał pracujący'!V$93</f>
        <v>0</v>
      </c>
      <c r="O133" s="33">
        <f ca="1">'Kapitał pracujący'!W$93</f>
        <v>0</v>
      </c>
      <c r="P133" s="33">
        <f ca="1">'Kapitał pracujący'!X$93</f>
        <v>0</v>
      </c>
    </row>
    <row r="134" spans="2:16" ht="3.9" customHeight="1">
      <c r="B134" s="90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</row>
    <row r="135" spans="2:16">
      <c r="B135" s="52" t="s">
        <v>26</v>
      </c>
      <c r="C135" s="424">
        <f t="shared" ref="C135:P135" si="56">IF(AND(C$62&gt;=Poczatek,C$62&lt;=Koniec),IFERROR(WACC,0),0)</f>
        <v>0</v>
      </c>
      <c r="D135" s="424">
        <f t="shared" si="56"/>
        <v>0</v>
      </c>
      <c r="E135" s="424">
        <f t="shared" si="56"/>
        <v>0</v>
      </c>
      <c r="F135" s="424">
        <f t="shared" si="56"/>
        <v>0</v>
      </c>
      <c r="G135" s="424">
        <f t="shared" si="56"/>
        <v>0</v>
      </c>
      <c r="H135" s="424">
        <f t="shared" si="56"/>
        <v>0</v>
      </c>
      <c r="I135" s="424">
        <f t="shared" si="56"/>
        <v>0</v>
      </c>
      <c r="J135" s="424">
        <f t="shared" si="56"/>
        <v>0</v>
      </c>
      <c r="K135" s="424">
        <f t="shared" si="56"/>
        <v>0</v>
      </c>
      <c r="L135" s="424">
        <f t="shared" si="56"/>
        <v>0</v>
      </c>
      <c r="M135" s="424">
        <f t="shared" si="56"/>
        <v>0</v>
      </c>
      <c r="N135" s="424">
        <f t="shared" si="56"/>
        <v>0</v>
      </c>
      <c r="O135" s="424">
        <f t="shared" si="56"/>
        <v>0</v>
      </c>
      <c r="P135" s="424">
        <f t="shared" si="56"/>
        <v>0</v>
      </c>
    </row>
    <row r="136" spans="2:16">
      <c r="B136" s="52" t="s">
        <v>27</v>
      </c>
      <c r="C136" s="425" t="str">
        <f>IF(AND(C$62&gt;=Poczatek,C$62&lt;=Koniec),IFERROR(Założenia!K$35,0),0)</f>
        <v>n/d</v>
      </c>
      <c r="D136" s="425" t="str">
        <f>IF(AND(D$62&gt;=Poczatek,D$62&lt;=Koniec),IFERROR(Założenia!L$35,0),0)</f>
        <v>n/d</v>
      </c>
      <c r="E136" s="425" t="str">
        <f>IF(AND(E$62&gt;=Poczatek,E$62&lt;=Koniec),IFERROR(Założenia!M$35,0),0)</f>
        <v>n/d</v>
      </c>
      <c r="F136" s="425" t="str">
        <f>IF(AND(F$62&gt;=Poczatek,F$62&lt;=Koniec),IFERROR(Założenia!N$35,0),0)</f>
        <v>n/d</v>
      </c>
      <c r="G136" s="425" t="str">
        <f>IF(AND(G$62&gt;=Poczatek,G$62&lt;=Koniec),IFERROR(Założenia!O$35,0),0)</f>
        <v>n/d</v>
      </c>
      <c r="H136" s="425" t="str">
        <f>IF(AND(H$62&gt;=Poczatek,H$62&lt;=Koniec),IFERROR(Założenia!P$35,0),0)</f>
        <v>n/d</v>
      </c>
      <c r="I136" s="425" t="str">
        <f>IF(AND(I$62&gt;=Poczatek,I$62&lt;=Koniec),IFERROR(Założenia!Q$35,0),0)</f>
        <v>n/d</v>
      </c>
      <c r="J136" s="425" t="str">
        <f>IF(AND(J$62&gt;=Poczatek,J$62&lt;=Koniec),IFERROR(Założenia!R$35,0),0)</f>
        <v>n/d</v>
      </c>
      <c r="K136" s="425" t="str">
        <f>IF(AND(K$62&gt;=Poczatek,K$62&lt;=Koniec),IFERROR(Założenia!S$35,0),0)</f>
        <v>n/d</v>
      </c>
      <c r="L136" s="425" t="str">
        <f>IF(AND(L$62&gt;=Poczatek,L$62&lt;=Koniec),IFERROR(Założenia!T$35,0),0)</f>
        <v>n/d</v>
      </c>
      <c r="M136" s="425" t="str">
        <f>IF(AND(M$62&gt;=Poczatek,M$62&lt;=Koniec),IFERROR(Założenia!U$35,0),0)</f>
        <v>n/d</v>
      </c>
      <c r="N136" s="425" t="str">
        <f>IF(AND(N$62&gt;=Poczatek,N$62&lt;=Koniec),IFERROR(Założenia!V$35,0),0)</f>
        <v>n/d</v>
      </c>
      <c r="O136" s="425" t="str">
        <f>IF(AND(O$62&gt;=Poczatek,O$62&lt;=Koniec),IFERROR(Założenia!W$35,0),0)</f>
        <v>n/d</v>
      </c>
      <c r="P136" s="425" t="str">
        <f>IF(AND(P$62&gt;=Poczatek,P$62&lt;=Koniec),IFERROR(Założenia!X$35,0),0)</f>
        <v>n/d</v>
      </c>
    </row>
    <row r="137" spans="2:16" ht="3.9" customHeight="1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</row>
    <row r="138" spans="2:16">
      <c r="B138" s="427" t="s">
        <v>764</v>
      </c>
      <c r="C138" s="486" t="str">
        <f>C127</f>
        <v>Uzupełnij dane</v>
      </c>
      <c r="D138" s="486" t="str">
        <f t="shared" ref="D138:P138" si="57">D127</f>
        <v/>
      </c>
      <c r="E138" s="486" t="str">
        <f t="shared" si="57"/>
        <v/>
      </c>
      <c r="F138" s="486" t="str">
        <f t="shared" si="57"/>
        <v/>
      </c>
      <c r="G138" s="486" t="str">
        <f t="shared" si="57"/>
        <v/>
      </c>
      <c r="H138" s="486" t="str">
        <f t="shared" si="57"/>
        <v/>
      </c>
      <c r="I138" s="486" t="str">
        <f t="shared" si="57"/>
        <v/>
      </c>
      <c r="J138" s="486" t="str">
        <f t="shared" si="57"/>
        <v/>
      </c>
      <c r="K138" s="486" t="str">
        <f t="shared" si="57"/>
        <v/>
      </c>
      <c r="L138" s="486" t="str">
        <f t="shared" si="57"/>
        <v/>
      </c>
      <c r="M138" s="486" t="str">
        <f t="shared" si="57"/>
        <v/>
      </c>
      <c r="N138" s="486" t="str">
        <f t="shared" si="57"/>
        <v/>
      </c>
      <c r="O138" s="486" t="str">
        <f t="shared" si="57"/>
        <v/>
      </c>
      <c r="P138" s="486" t="str">
        <f t="shared" si="57"/>
        <v/>
      </c>
    </row>
    <row r="139" spans="2:16" ht="3.9" customHeight="1"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</row>
    <row r="140" spans="2:16">
      <c r="B140" s="88" t="s">
        <v>696</v>
      </c>
      <c r="C140" s="87">
        <f t="shared" ref="C140:P140" ca="1" si="58">IF(AND(C$62&gt;=Poczatek,C$62&lt;=Koniec),(C128-C129+C130-C131+C133),0)</f>
        <v>0</v>
      </c>
      <c r="D140" s="87">
        <f t="shared" ca="1" si="58"/>
        <v>0</v>
      </c>
      <c r="E140" s="87">
        <f t="shared" ca="1" si="58"/>
        <v>0</v>
      </c>
      <c r="F140" s="87">
        <f t="shared" ca="1" si="58"/>
        <v>0</v>
      </c>
      <c r="G140" s="87">
        <f t="shared" ca="1" si="58"/>
        <v>0</v>
      </c>
      <c r="H140" s="87">
        <f t="shared" ca="1" si="58"/>
        <v>0</v>
      </c>
      <c r="I140" s="87">
        <f t="shared" ca="1" si="58"/>
        <v>0</v>
      </c>
      <c r="J140" s="87">
        <f t="shared" ca="1" si="58"/>
        <v>0</v>
      </c>
      <c r="K140" s="87">
        <f t="shared" ca="1" si="58"/>
        <v>0</v>
      </c>
      <c r="L140" s="87">
        <f t="shared" ca="1" si="58"/>
        <v>0</v>
      </c>
      <c r="M140" s="87">
        <f t="shared" ca="1" si="58"/>
        <v>0</v>
      </c>
      <c r="N140" s="87">
        <f t="shared" ca="1" si="58"/>
        <v>0</v>
      </c>
      <c r="O140" s="87">
        <f t="shared" ca="1" si="58"/>
        <v>0</v>
      </c>
      <c r="P140" s="87">
        <f t="shared" ca="1" si="58"/>
        <v>0</v>
      </c>
    </row>
    <row r="141" spans="2:16">
      <c r="B141" s="88" t="s">
        <v>697</v>
      </c>
      <c r="C141" s="87">
        <f ca="1">IF(AND(C$62&gt;=Poczatek,C$62&lt;=Koniec),C140,0)</f>
        <v>0</v>
      </c>
      <c r="D141" s="87">
        <f t="shared" ref="D141:P141" ca="1" si="59">IF(AND(D$62&gt;=Poczatek,D$62&lt;=Koniec),(D140+C141),0)</f>
        <v>0</v>
      </c>
      <c r="E141" s="87">
        <f t="shared" ca="1" si="59"/>
        <v>0</v>
      </c>
      <c r="F141" s="87">
        <f t="shared" ca="1" si="59"/>
        <v>0</v>
      </c>
      <c r="G141" s="87">
        <f t="shared" ca="1" si="59"/>
        <v>0</v>
      </c>
      <c r="H141" s="87">
        <f t="shared" ca="1" si="59"/>
        <v>0</v>
      </c>
      <c r="I141" s="87">
        <f t="shared" ca="1" si="59"/>
        <v>0</v>
      </c>
      <c r="J141" s="87">
        <f t="shared" ca="1" si="59"/>
        <v>0</v>
      </c>
      <c r="K141" s="87">
        <f t="shared" ca="1" si="59"/>
        <v>0</v>
      </c>
      <c r="L141" s="87">
        <f t="shared" ca="1" si="59"/>
        <v>0</v>
      </c>
      <c r="M141" s="87">
        <f t="shared" ca="1" si="59"/>
        <v>0</v>
      </c>
      <c r="N141" s="87">
        <f t="shared" ca="1" si="59"/>
        <v>0</v>
      </c>
      <c r="O141" s="87">
        <f t="shared" ca="1" si="59"/>
        <v>0</v>
      </c>
      <c r="P141" s="87">
        <f t="shared" ca="1" si="59"/>
        <v>0</v>
      </c>
    </row>
    <row r="142" spans="2:16">
      <c r="B142" s="88" t="s">
        <v>699</v>
      </c>
      <c r="C142" s="87">
        <f ca="1">IFERROR(ROUND(C136*C140,0),0)</f>
        <v>0</v>
      </c>
      <c r="D142" s="87">
        <f t="shared" ref="D142:P142" ca="1" si="60">IFERROR(ROUND(D136*D140,0),0)</f>
        <v>0</v>
      </c>
      <c r="E142" s="87">
        <f t="shared" ca="1" si="60"/>
        <v>0</v>
      </c>
      <c r="F142" s="87">
        <f t="shared" ca="1" si="60"/>
        <v>0</v>
      </c>
      <c r="G142" s="87">
        <f t="shared" ca="1" si="60"/>
        <v>0</v>
      </c>
      <c r="H142" s="87">
        <f t="shared" ca="1" si="60"/>
        <v>0</v>
      </c>
      <c r="I142" s="87">
        <f t="shared" ca="1" si="60"/>
        <v>0</v>
      </c>
      <c r="J142" s="87">
        <f t="shared" ca="1" si="60"/>
        <v>0</v>
      </c>
      <c r="K142" s="87">
        <f t="shared" ca="1" si="60"/>
        <v>0</v>
      </c>
      <c r="L142" s="87">
        <f t="shared" ca="1" si="60"/>
        <v>0</v>
      </c>
      <c r="M142" s="87">
        <f t="shared" ca="1" si="60"/>
        <v>0</v>
      </c>
      <c r="N142" s="87">
        <f t="shared" ca="1" si="60"/>
        <v>0</v>
      </c>
      <c r="O142" s="87">
        <f t="shared" ca="1" si="60"/>
        <v>0</v>
      </c>
      <c r="P142" s="87">
        <f t="shared" ca="1" si="60"/>
        <v>0</v>
      </c>
    </row>
    <row r="143" spans="2:16">
      <c r="B143" s="88" t="s">
        <v>700</v>
      </c>
      <c r="C143" s="87">
        <f ca="1">IF(AND(C$62&gt;=Poczatek,C$62&lt;=Koniec),C142,0)</f>
        <v>0</v>
      </c>
      <c r="D143" s="87">
        <f t="shared" ref="D143:P143" ca="1" si="61">IF(AND(D$62&gt;=Poczatek,D$62&lt;=Koniec),(C143+D142),0)</f>
        <v>0</v>
      </c>
      <c r="E143" s="87">
        <f t="shared" ca="1" si="61"/>
        <v>0</v>
      </c>
      <c r="F143" s="87">
        <f t="shared" ca="1" si="61"/>
        <v>0</v>
      </c>
      <c r="G143" s="87">
        <f t="shared" ca="1" si="61"/>
        <v>0</v>
      </c>
      <c r="H143" s="87">
        <f t="shared" ca="1" si="61"/>
        <v>0</v>
      </c>
      <c r="I143" s="87">
        <f t="shared" ca="1" si="61"/>
        <v>0</v>
      </c>
      <c r="J143" s="87">
        <f t="shared" ca="1" si="61"/>
        <v>0</v>
      </c>
      <c r="K143" s="87">
        <f t="shared" ca="1" si="61"/>
        <v>0</v>
      </c>
      <c r="L143" s="87">
        <f t="shared" ca="1" si="61"/>
        <v>0</v>
      </c>
      <c r="M143" s="87">
        <f t="shared" ca="1" si="61"/>
        <v>0</v>
      </c>
      <c r="N143" s="87">
        <f t="shared" ca="1" si="61"/>
        <v>0</v>
      </c>
      <c r="O143" s="87">
        <f t="shared" ca="1" si="61"/>
        <v>0</v>
      </c>
      <c r="P143" s="87">
        <f t="shared" ca="1" si="61"/>
        <v>0</v>
      </c>
    </row>
    <row r="144" spans="2:16">
      <c r="B144" s="88" t="s">
        <v>698</v>
      </c>
      <c r="C144" s="426" t="str">
        <f ca="1">IF(AND(C$62&gt;=Poczatek,C$62&lt;=Koniec),IFERROR(IRR($C$140:C$140),"n/d"),IF(OR(C$62&lt;Poczatek,C$62&gt;Koniec),"",0))</f>
        <v>n/d</v>
      </c>
      <c r="D144" s="426" t="str">
        <f ca="1">IF(AND(D$62&gt;=Poczatek,D$62&lt;=Koniec),IFERROR(IRR($C$140:D$140),"n/d"),IF(OR(D$62&lt;Poczatek,D$62&gt;Koniec),"",0))</f>
        <v>n/d</v>
      </c>
      <c r="E144" s="426" t="str">
        <f ca="1">IF(AND(E$62&gt;=Poczatek,E$62&lt;=Koniec),IFERROR(IRR($C$140:E$140),"n/d"),IF(OR(E$62&lt;Poczatek,E$62&gt;Koniec),"",0))</f>
        <v>n/d</v>
      </c>
      <c r="F144" s="426" t="str">
        <f ca="1">IF(AND(F$62&gt;=Poczatek,F$62&lt;=Koniec),IFERROR(IRR($C$140:F$140),"n/d"),IF(OR(F$62&lt;Poczatek,F$62&gt;Koniec),"",0))</f>
        <v>n/d</v>
      </c>
      <c r="G144" s="426" t="str">
        <f ca="1">IF(AND(G$62&gt;=Poczatek,G$62&lt;=Koniec),IFERROR(IRR($C$140:G$140),"n/d"),IF(OR(G$62&lt;Poczatek,G$62&gt;Koniec),"",0))</f>
        <v>n/d</v>
      </c>
      <c r="H144" s="426" t="str">
        <f ca="1">IF(AND(H$62&gt;=Poczatek,H$62&lt;=Koniec),IFERROR(IRR($C$140:H$140),"n/d"),IF(OR(H$62&lt;Poczatek,H$62&gt;Koniec),"",0))</f>
        <v>n/d</v>
      </c>
      <c r="I144" s="426" t="str">
        <f ca="1">IF(AND(I$62&gt;=Poczatek,I$62&lt;=Koniec),IFERROR(IRR($C$140:I$140),"n/d"),IF(OR(I$62&lt;Poczatek,I$62&gt;Koniec),"",0))</f>
        <v>n/d</v>
      </c>
      <c r="J144" s="426" t="str">
        <f ca="1">IF(AND(J$62&gt;=Poczatek,J$62&lt;=Koniec),IFERROR(IRR($C$140:J$140),"n/d"),IF(OR(J$62&lt;Poczatek,J$62&gt;Koniec),"",0))</f>
        <v>n/d</v>
      </c>
      <c r="K144" s="426" t="str">
        <f ca="1">IF(AND(K$62&gt;=Poczatek,K$62&lt;=Koniec),IFERROR(IRR($C$140:K$140),"n/d"),IF(OR(K$62&lt;Poczatek,K$62&gt;Koniec),"",0))</f>
        <v>n/d</v>
      </c>
      <c r="L144" s="426" t="str">
        <f ca="1">IF(AND(L$62&gt;=Poczatek,L$62&lt;=Koniec),IFERROR(IRR($C$140:L$140),"n/d"),IF(OR(L$62&lt;Poczatek,L$62&gt;Koniec),"",0))</f>
        <v>n/d</v>
      </c>
      <c r="M144" s="426" t="str">
        <f ca="1">IF(AND(M$62&gt;=Poczatek,M$62&lt;=Koniec),IFERROR(IRR($C$140:M$140),"n/d"),IF(OR(M$62&lt;Poczatek,M$62&gt;Koniec),"",0))</f>
        <v>n/d</v>
      </c>
      <c r="N144" s="426" t="str">
        <f ca="1">IF(AND(N$62&gt;=Poczatek,N$62&lt;=Koniec),IFERROR(IRR($C$140:N$140),"n/d"),IF(OR(N$62&lt;Poczatek,N$62&gt;Koniec),"",0))</f>
        <v>n/d</v>
      </c>
      <c r="O144" s="426" t="str">
        <f ca="1">IF(AND(O$62&gt;=Poczatek,O$62&lt;=Koniec),IFERROR(IRR($C$140:O$140),"n/d"),IF(OR(O$62&lt;Poczatek,O$62&gt;Koniec),"",0))</f>
        <v>n/d</v>
      </c>
      <c r="P144" s="426" t="str">
        <f ca="1">IF(AND(P$62&gt;=Poczatek,P$62&lt;=Koniec),IFERROR(IRR($C$140:P$140),"n/d"),IF(OR(P$62&lt;Poczatek,P$62&gt;Koniec),"",0))</f>
        <v>n/d</v>
      </c>
    </row>
    <row r="145" spans="2:16" ht="3.9" customHeight="1"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spans="2:16">
      <c r="B146" s="427" t="s">
        <v>765</v>
      </c>
      <c r="C146" s="486" t="str">
        <f>C138</f>
        <v>Uzupełnij dane</v>
      </c>
      <c r="D146" s="486" t="str">
        <f t="shared" ref="D146:P146" si="62">D138</f>
        <v/>
      </c>
      <c r="E146" s="486" t="str">
        <f t="shared" si="62"/>
        <v/>
      </c>
      <c r="F146" s="486" t="str">
        <f t="shared" si="62"/>
        <v/>
      </c>
      <c r="G146" s="486" t="str">
        <f t="shared" si="62"/>
        <v/>
      </c>
      <c r="H146" s="486" t="str">
        <f t="shared" si="62"/>
        <v/>
      </c>
      <c r="I146" s="486" t="str">
        <f t="shared" si="62"/>
        <v/>
      </c>
      <c r="J146" s="486" t="str">
        <f t="shared" si="62"/>
        <v/>
      </c>
      <c r="K146" s="486" t="str">
        <f t="shared" si="62"/>
        <v/>
      </c>
      <c r="L146" s="486" t="str">
        <f t="shared" si="62"/>
        <v/>
      </c>
      <c r="M146" s="486" t="str">
        <f t="shared" si="62"/>
        <v/>
      </c>
      <c r="N146" s="486" t="str">
        <f t="shared" si="62"/>
        <v/>
      </c>
      <c r="O146" s="486" t="str">
        <f t="shared" si="62"/>
        <v/>
      </c>
      <c r="P146" s="486" t="str">
        <f t="shared" si="62"/>
        <v/>
      </c>
    </row>
    <row r="147" spans="2:16" ht="3.9" customHeight="1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  <row r="148" spans="2:16">
      <c r="B148" s="88" t="s">
        <v>663</v>
      </c>
      <c r="C148" s="87">
        <f t="shared" ref="C148:D148" ca="1" si="63">C128-C129+C130-C131+C132+C133</f>
        <v>0</v>
      </c>
      <c r="D148" s="87">
        <f t="shared" ca="1" si="63"/>
        <v>0</v>
      </c>
      <c r="E148" s="87">
        <f t="shared" ref="E148:P148" ca="1" si="64">E128-E129+E130-E131+E132+E133</f>
        <v>0</v>
      </c>
      <c r="F148" s="87">
        <f t="shared" ca="1" si="64"/>
        <v>0</v>
      </c>
      <c r="G148" s="87">
        <f t="shared" ca="1" si="64"/>
        <v>0</v>
      </c>
      <c r="H148" s="87">
        <f t="shared" ca="1" si="64"/>
        <v>0</v>
      </c>
      <c r="I148" s="87">
        <f t="shared" ca="1" si="64"/>
        <v>0</v>
      </c>
      <c r="J148" s="87">
        <f t="shared" ca="1" si="64"/>
        <v>0</v>
      </c>
      <c r="K148" s="87">
        <f t="shared" ca="1" si="64"/>
        <v>0</v>
      </c>
      <c r="L148" s="87">
        <f t="shared" ca="1" si="64"/>
        <v>0</v>
      </c>
      <c r="M148" s="87">
        <f t="shared" ca="1" si="64"/>
        <v>0</v>
      </c>
      <c r="N148" s="87">
        <f t="shared" ca="1" si="64"/>
        <v>0</v>
      </c>
      <c r="O148" s="87">
        <f t="shared" ca="1" si="64"/>
        <v>0</v>
      </c>
      <c r="P148" s="87">
        <f t="shared" ca="1" si="64"/>
        <v>0</v>
      </c>
    </row>
    <row r="149" spans="2:16">
      <c r="B149" s="88" t="s">
        <v>695</v>
      </c>
      <c r="C149" s="87">
        <f ca="1">IF(AND(C$62&gt;=Poczatek,C$62&lt;=Koniec),C148,0)</f>
        <v>0</v>
      </c>
      <c r="D149" s="87">
        <f t="shared" ref="D149:P149" ca="1" si="65">IF(AND(D$62&gt;=Poczatek,D$62&lt;=Koniec),(C149+D148),0)</f>
        <v>0</v>
      </c>
      <c r="E149" s="87">
        <f t="shared" ca="1" si="65"/>
        <v>0</v>
      </c>
      <c r="F149" s="87">
        <f t="shared" ca="1" si="65"/>
        <v>0</v>
      </c>
      <c r="G149" s="87">
        <f t="shared" ca="1" si="65"/>
        <v>0</v>
      </c>
      <c r="H149" s="87">
        <f t="shared" ca="1" si="65"/>
        <v>0</v>
      </c>
      <c r="I149" s="87">
        <f t="shared" ca="1" si="65"/>
        <v>0</v>
      </c>
      <c r="J149" s="87">
        <f t="shared" ca="1" si="65"/>
        <v>0</v>
      </c>
      <c r="K149" s="87">
        <f t="shared" ca="1" si="65"/>
        <v>0</v>
      </c>
      <c r="L149" s="87">
        <f t="shared" ca="1" si="65"/>
        <v>0</v>
      </c>
      <c r="M149" s="87">
        <f t="shared" ca="1" si="65"/>
        <v>0</v>
      </c>
      <c r="N149" s="87">
        <f t="shared" ca="1" si="65"/>
        <v>0</v>
      </c>
      <c r="O149" s="87">
        <f t="shared" ca="1" si="65"/>
        <v>0</v>
      </c>
      <c r="P149" s="87">
        <f t="shared" ca="1" si="65"/>
        <v>0</v>
      </c>
    </row>
    <row r="150" spans="2:16">
      <c r="B150" s="88" t="s">
        <v>664</v>
      </c>
      <c r="C150" s="87">
        <f t="shared" ref="C150:D150" ca="1" si="66">IFERROR(ROUND(C136*C148,0),0)</f>
        <v>0</v>
      </c>
      <c r="D150" s="87">
        <f t="shared" ca="1" si="66"/>
        <v>0</v>
      </c>
      <c r="E150" s="87">
        <f t="shared" ref="E150:P150" ca="1" si="67">IFERROR(ROUND(E136*E148,0),0)</f>
        <v>0</v>
      </c>
      <c r="F150" s="87">
        <f t="shared" ca="1" si="67"/>
        <v>0</v>
      </c>
      <c r="G150" s="87">
        <f t="shared" ca="1" si="67"/>
        <v>0</v>
      </c>
      <c r="H150" s="87">
        <f t="shared" ca="1" si="67"/>
        <v>0</v>
      </c>
      <c r="I150" s="87">
        <f t="shared" ca="1" si="67"/>
        <v>0</v>
      </c>
      <c r="J150" s="87">
        <f t="shared" ca="1" si="67"/>
        <v>0</v>
      </c>
      <c r="K150" s="87">
        <f t="shared" ca="1" si="67"/>
        <v>0</v>
      </c>
      <c r="L150" s="87">
        <f t="shared" ca="1" si="67"/>
        <v>0</v>
      </c>
      <c r="M150" s="87">
        <f t="shared" ca="1" si="67"/>
        <v>0</v>
      </c>
      <c r="N150" s="87">
        <f t="shared" ca="1" si="67"/>
        <v>0</v>
      </c>
      <c r="O150" s="87">
        <f t="shared" ca="1" si="67"/>
        <v>0</v>
      </c>
      <c r="P150" s="87">
        <f t="shared" ca="1" si="67"/>
        <v>0</v>
      </c>
    </row>
    <row r="151" spans="2:16">
      <c r="B151" s="88" t="s">
        <v>694</v>
      </c>
      <c r="C151" s="87">
        <f ca="1">IF(AND(C$62&gt;=Poczatek,C$62&lt;=Koniec),C150,0)</f>
        <v>0</v>
      </c>
      <c r="D151" s="87">
        <f t="shared" ref="D151:P151" ca="1" si="68">IF(AND(D$62&gt;=Poczatek,D$62&lt;=Koniec),(C151+D150),0)</f>
        <v>0</v>
      </c>
      <c r="E151" s="87">
        <f t="shared" ca="1" si="68"/>
        <v>0</v>
      </c>
      <c r="F151" s="87">
        <f t="shared" ca="1" si="68"/>
        <v>0</v>
      </c>
      <c r="G151" s="87">
        <f t="shared" ca="1" si="68"/>
        <v>0</v>
      </c>
      <c r="H151" s="87">
        <f t="shared" ca="1" si="68"/>
        <v>0</v>
      </c>
      <c r="I151" s="87">
        <f t="shared" ca="1" si="68"/>
        <v>0</v>
      </c>
      <c r="J151" s="87">
        <f t="shared" ca="1" si="68"/>
        <v>0</v>
      </c>
      <c r="K151" s="87">
        <f t="shared" ca="1" si="68"/>
        <v>0</v>
      </c>
      <c r="L151" s="87">
        <f t="shared" ca="1" si="68"/>
        <v>0</v>
      </c>
      <c r="M151" s="87">
        <f t="shared" ca="1" si="68"/>
        <v>0</v>
      </c>
      <c r="N151" s="87">
        <f t="shared" ca="1" si="68"/>
        <v>0</v>
      </c>
      <c r="O151" s="87">
        <f t="shared" ca="1" si="68"/>
        <v>0</v>
      </c>
      <c r="P151" s="87">
        <f t="shared" ca="1" si="68"/>
        <v>0</v>
      </c>
    </row>
    <row r="152" spans="2:16">
      <c r="B152" s="88" t="s">
        <v>665</v>
      </c>
      <c r="C152" s="426" t="str">
        <f ca="1">IF(AND(C$62&gt;=Poczatek,C$62&lt;=Koniec),IFERROR(IRR($C$148:C148),"n/d"),IF(OR(C$62&lt;Poczatek,C$62&gt;Koniec),"",0))</f>
        <v>n/d</v>
      </c>
      <c r="D152" s="426" t="str">
        <f ca="1">IF(AND(D$62&gt;=Poczatek,D$62&lt;=Koniec),IFERROR(IRR($C$148:D148),"n/d"),IF(OR(D$62&lt;Poczatek,D$62&gt;Koniec),"",0))</f>
        <v>n/d</v>
      </c>
      <c r="E152" s="426" t="str">
        <f ca="1">IF(AND(E$62&gt;=Poczatek,E$62&lt;=Koniec),IFERROR(IRR($C$148:E148),"n/d"),IF(OR(E$62&lt;Poczatek,E$62&gt;Koniec),"",0))</f>
        <v>n/d</v>
      </c>
      <c r="F152" s="426" t="str">
        <f ca="1">IF(AND(F$62&gt;=Poczatek,F$62&lt;=Koniec),IFERROR(IRR($C$148:F148),"n/d"),IF(OR(F$62&lt;Poczatek,F$62&gt;Koniec),"",0))</f>
        <v>n/d</v>
      </c>
      <c r="G152" s="426" t="str">
        <f ca="1">IF(AND(G$62&gt;=Poczatek,G$62&lt;=Koniec),IFERROR(IRR($C$148:G148),"n/d"),IF(OR(G$62&lt;Poczatek,G$62&gt;Koniec),"",0))</f>
        <v>n/d</v>
      </c>
      <c r="H152" s="426" t="str">
        <f ca="1">IF(AND(H$62&gt;=Poczatek,H$62&lt;=Koniec),IFERROR(IRR($C$148:H148),"n/d"),IF(OR(H$62&lt;Poczatek,H$62&gt;Koniec),"",0))</f>
        <v>n/d</v>
      </c>
      <c r="I152" s="426" t="str">
        <f ca="1">IF(AND(I$62&gt;=Poczatek,I$62&lt;=Koniec),IFERROR(IRR($C$148:I148),"n/d"),IF(OR(I$62&lt;Poczatek,I$62&gt;Koniec),"",0))</f>
        <v>n/d</v>
      </c>
      <c r="J152" s="426" t="str">
        <f ca="1">IF(AND(J$62&gt;=Poczatek,J$62&lt;=Koniec),IFERROR(IRR($C$148:J148),"n/d"),IF(OR(J$62&lt;Poczatek,J$62&gt;Koniec),"",0))</f>
        <v>n/d</v>
      </c>
      <c r="K152" s="426" t="str">
        <f ca="1">IF(AND(K$62&gt;=Poczatek,K$62&lt;=Koniec),IFERROR(IRR($C$148:K148),"n/d"),IF(OR(K$62&lt;Poczatek,K$62&gt;Koniec),"",0))</f>
        <v>n/d</v>
      </c>
      <c r="L152" s="426" t="str">
        <f ca="1">IF(AND(L$62&gt;=Poczatek,L$62&lt;=Koniec),IFERROR(IRR($C$148:L148),"n/d"),IF(OR(L$62&lt;Poczatek,L$62&gt;Koniec),"",0))</f>
        <v>n/d</v>
      </c>
      <c r="M152" s="426" t="str">
        <f ca="1">IF(AND(M$62&gt;=Poczatek,M$62&lt;=Koniec),IFERROR(IRR($C$148:M148),"n/d"),IF(OR(M$62&lt;Poczatek,M$62&gt;Koniec),"",0))</f>
        <v>n/d</v>
      </c>
      <c r="N152" s="426" t="str">
        <f ca="1">IF(AND(N$62&gt;=Poczatek,N$62&lt;=Koniec),IFERROR(IRR($C$148:N148),"n/d"),IF(OR(N$62&lt;Poczatek,N$62&gt;Koniec),"",0))</f>
        <v>n/d</v>
      </c>
      <c r="O152" s="426" t="str">
        <f ca="1">IF(AND(O$62&gt;=Poczatek,O$62&lt;=Koniec),IFERROR(IRR($C$148:O148),"n/d"),IF(OR(O$62&lt;Poczatek,O$62&gt;Koniec),"",0))</f>
        <v>n/d</v>
      </c>
      <c r="P152" s="426" t="str">
        <f ca="1">IF(AND(P$62&gt;=Poczatek,P$62&lt;=Koniec),IFERROR(IRR($C$148:P148),"n/d"),IF(OR(P$62&lt;Poczatek,P$62&gt;Koniec),"",0))</f>
        <v>n/d</v>
      </c>
    </row>
    <row r="153" spans="2:16"/>
    <row r="154" spans="2:16"/>
    <row r="155" spans="2:16">
      <c r="B155" s="370" t="s">
        <v>761</v>
      </c>
      <c r="C155" s="370" t="str">
        <f>C$73</f>
        <v>Uzupełnij dane</v>
      </c>
      <c r="D155" s="370" t="str">
        <f t="shared" ref="D155:P155" si="69">D$73</f>
        <v/>
      </c>
      <c r="E155" s="370" t="str">
        <f t="shared" si="69"/>
        <v/>
      </c>
      <c r="F155" s="370" t="str">
        <f t="shared" si="69"/>
        <v/>
      </c>
      <c r="G155" s="370" t="str">
        <f t="shared" si="69"/>
        <v/>
      </c>
      <c r="H155" s="370" t="str">
        <f t="shared" si="69"/>
        <v/>
      </c>
      <c r="I155" s="370" t="str">
        <f t="shared" si="69"/>
        <v/>
      </c>
      <c r="J155" s="370" t="str">
        <f t="shared" si="69"/>
        <v/>
      </c>
      <c r="K155" s="370" t="str">
        <f t="shared" si="69"/>
        <v/>
      </c>
      <c r="L155" s="370" t="str">
        <f t="shared" si="69"/>
        <v/>
      </c>
      <c r="M155" s="370" t="str">
        <f t="shared" si="69"/>
        <v/>
      </c>
      <c r="N155" s="370" t="str">
        <f t="shared" si="69"/>
        <v/>
      </c>
      <c r="O155" s="370" t="str">
        <f t="shared" si="69"/>
        <v/>
      </c>
      <c r="P155" s="370" t="str">
        <f t="shared" si="69"/>
        <v/>
      </c>
    </row>
    <row r="156" spans="2:16" ht="3.9" customHeight="1"/>
    <row r="157" spans="2:16" ht="12" customHeight="1">
      <c r="B157" s="99" t="s">
        <v>93</v>
      </c>
      <c r="C157" s="98">
        <f t="shared" ref="C157:P157" si="70">SUM(C158:C159)</f>
        <v>0</v>
      </c>
      <c r="D157" s="98">
        <f t="shared" si="70"/>
        <v>0</v>
      </c>
      <c r="E157" s="98">
        <f t="shared" si="70"/>
        <v>0</v>
      </c>
      <c r="F157" s="98">
        <f t="shared" si="70"/>
        <v>0</v>
      </c>
      <c r="G157" s="98">
        <f t="shared" si="70"/>
        <v>0</v>
      </c>
      <c r="H157" s="98">
        <f t="shared" si="70"/>
        <v>0</v>
      </c>
      <c r="I157" s="98">
        <f t="shared" si="70"/>
        <v>0</v>
      </c>
      <c r="J157" s="98">
        <f t="shared" si="70"/>
        <v>0</v>
      </c>
      <c r="K157" s="98">
        <f t="shared" si="70"/>
        <v>0</v>
      </c>
      <c r="L157" s="98">
        <f t="shared" si="70"/>
        <v>0</v>
      </c>
      <c r="M157" s="98">
        <f t="shared" si="70"/>
        <v>0</v>
      </c>
      <c r="N157" s="98">
        <f t="shared" si="70"/>
        <v>0</v>
      </c>
      <c r="O157" s="98">
        <f t="shared" si="70"/>
        <v>0</v>
      </c>
      <c r="P157" s="98">
        <f t="shared" si="70"/>
        <v>0</v>
      </c>
    </row>
    <row r="158" spans="2:16">
      <c r="B158" s="465" t="s">
        <v>95</v>
      </c>
      <c r="C158" s="466">
        <f>C162+C166+C170+C174+C178+C182+C186</f>
        <v>0</v>
      </c>
      <c r="D158" s="466">
        <f t="shared" ref="D158:P158" si="71">D162+D166+D170+D174+D178+D182+D186</f>
        <v>0</v>
      </c>
      <c r="E158" s="466">
        <f t="shared" si="71"/>
        <v>0</v>
      </c>
      <c r="F158" s="466">
        <f t="shared" si="71"/>
        <v>0</v>
      </c>
      <c r="G158" s="466">
        <f t="shared" si="71"/>
        <v>0</v>
      </c>
      <c r="H158" s="466">
        <f t="shared" si="71"/>
        <v>0</v>
      </c>
      <c r="I158" s="466">
        <f t="shared" si="71"/>
        <v>0</v>
      </c>
      <c r="J158" s="466">
        <f t="shared" si="71"/>
        <v>0</v>
      </c>
      <c r="K158" s="467">
        <f t="shared" si="71"/>
        <v>0</v>
      </c>
      <c r="L158" s="467">
        <f t="shared" si="71"/>
        <v>0</v>
      </c>
      <c r="M158" s="467">
        <f t="shared" si="71"/>
        <v>0</v>
      </c>
      <c r="N158" s="467">
        <f t="shared" si="71"/>
        <v>0</v>
      </c>
      <c r="O158" s="467">
        <f t="shared" si="71"/>
        <v>0</v>
      </c>
      <c r="P158" s="467">
        <f t="shared" si="71"/>
        <v>0</v>
      </c>
    </row>
    <row r="159" spans="2:16">
      <c r="B159" s="468" t="s">
        <v>96</v>
      </c>
      <c r="C159" s="469">
        <f>C163+C167+C171+C175+C179+C183+C187</f>
        <v>0</v>
      </c>
      <c r="D159" s="469">
        <f t="shared" ref="D159:P159" si="72">D163+D167+D171+D175+D179+D183+D187</f>
        <v>0</v>
      </c>
      <c r="E159" s="469">
        <f t="shared" si="72"/>
        <v>0</v>
      </c>
      <c r="F159" s="469">
        <f t="shared" si="72"/>
        <v>0</v>
      </c>
      <c r="G159" s="469">
        <f t="shared" si="72"/>
        <v>0</v>
      </c>
      <c r="H159" s="469">
        <f t="shared" si="72"/>
        <v>0</v>
      </c>
      <c r="I159" s="469">
        <f t="shared" si="72"/>
        <v>0</v>
      </c>
      <c r="J159" s="469">
        <f t="shared" si="72"/>
        <v>0</v>
      </c>
      <c r="K159" s="470">
        <f t="shared" si="72"/>
        <v>0</v>
      </c>
      <c r="L159" s="470">
        <f t="shared" si="72"/>
        <v>0</v>
      </c>
      <c r="M159" s="470">
        <f t="shared" si="72"/>
        <v>0</v>
      </c>
      <c r="N159" s="470">
        <f t="shared" si="72"/>
        <v>0</v>
      </c>
      <c r="O159" s="470">
        <f t="shared" si="72"/>
        <v>0</v>
      </c>
      <c r="P159" s="470">
        <f t="shared" si="72"/>
        <v>0</v>
      </c>
    </row>
    <row r="160" spans="2:16" ht="3.9" customHeight="1"/>
    <row r="161" spans="2:16" ht="12" customHeight="1">
      <c r="B161" s="355" t="s">
        <v>94</v>
      </c>
      <c r="C161" s="356">
        <f t="shared" ref="C161:P161" si="73">SUM(C162:C163)</f>
        <v>0</v>
      </c>
      <c r="D161" s="356">
        <f t="shared" si="73"/>
        <v>0</v>
      </c>
      <c r="E161" s="356">
        <f t="shared" si="73"/>
        <v>0</v>
      </c>
      <c r="F161" s="356">
        <f t="shared" si="73"/>
        <v>0</v>
      </c>
      <c r="G161" s="356">
        <f t="shared" si="73"/>
        <v>0</v>
      </c>
      <c r="H161" s="356">
        <f t="shared" si="73"/>
        <v>0</v>
      </c>
      <c r="I161" s="356">
        <f t="shared" si="73"/>
        <v>0</v>
      </c>
      <c r="J161" s="356">
        <f t="shared" si="73"/>
        <v>0</v>
      </c>
      <c r="K161" s="356">
        <f t="shared" si="73"/>
        <v>0</v>
      </c>
      <c r="L161" s="356">
        <f t="shared" si="73"/>
        <v>0</v>
      </c>
      <c r="M161" s="356">
        <f t="shared" si="73"/>
        <v>0</v>
      </c>
      <c r="N161" s="356">
        <f t="shared" si="73"/>
        <v>0</v>
      </c>
      <c r="O161" s="356">
        <f t="shared" si="73"/>
        <v>0</v>
      </c>
      <c r="P161" s="356">
        <f t="shared" si="73"/>
        <v>0</v>
      </c>
    </row>
    <row r="162" spans="2:16" ht="12" customHeight="1">
      <c r="B162" s="357" t="s">
        <v>95</v>
      </c>
      <c r="C162" s="358" cm="1">
        <f t="array" ref="C162">SUMPRODUCT(ISNUMBER(MATCH(mod_st_zpr,$B$155,0))*('Koszty operacyjne'!$K$114:$X$114=Moduły!C$73)*ISNUMBER(MATCH(st_zpr_kw,tak,0)),st_zpr)</f>
        <v>0</v>
      </c>
      <c r="D162" s="358" cm="1">
        <f t="array" ref="D162">SUMPRODUCT(ISNUMBER(MATCH(mod_st_zpr,$B$155,0))*('Koszty operacyjne'!$K$114:$X$114=Moduły!D$73)*ISNUMBER(MATCH(st_zpr_kw,tak,0)),st_zpr)</f>
        <v>0</v>
      </c>
      <c r="E162" s="358" cm="1">
        <f t="array" ref="E162">SUMPRODUCT(ISNUMBER(MATCH(mod_st_zpr,$B$155,0))*('Koszty operacyjne'!$K$114:$X$114=Moduły!E$73)*ISNUMBER(MATCH(st_zpr_kw,tak,0)),st_zpr)</f>
        <v>0</v>
      </c>
      <c r="F162" s="358" cm="1">
        <f t="array" ref="F162">SUMPRODUCT(ISNUMBER(MATCH(mod_st_zpr,$B$155,0))*('Koszty operacyjne'!$K$114:$X$114=Moduły!F$73)*ISNUMBER(MATCH(st_zpr_kw,tak,0)),st_zpr)</f>
        <v>0</v>
      </c>
      <c r="G162" s="358" cm="1">
        <f t="array" ref="G162">SUMPRODUCT(ISNUMBER(MATCH(mod_st_zpr,$B$155,0))*('Koszty operacyjne'!$K$114:$X$114=Moduły!G$73)*ISNUMBER(MATCH(st_zpr_kw,tak,0)),st_zpr)</f>
        <v>0</v>
      </c>
      <c r="H162" s="358" cm="1">
        <f t="array" ref="H162">SUMPRODUCT(ISNUMBER(MATCH(mod_st_zpr,$B$155,0))*('Koszty operacyjne'!$K$114:$X$114=Moduły!H$73)*ISNUMBER(MATCH(st_zpr_kw,tak,0)),st_zpr)</f>
        <v>0</v>
      </c>
      <c r="I162" s="358" cm="1">
        <f t="array" ref="I162">SUMPRODUCT(ISNUMBER(MATCH(mod_st_zpr,$B$155,0))*('Koszty operacyjne'!$K$114:$X$114=Moduły!I$73)*ISNUMBER(MATCH(st_zpr_kw,tak,0)),st_zpr)</f>
        <v>0</v>
      </c>
      <c r="J162" s="358" cm="1">
        <f t="array" ref="J162">SUMPRODUCT(ISNUMBER(MATCH(mod_st_zpr,$B$155,0))*('Koszty operacyjne'!$K$114:$X$114=Moduły!J$73)*ISNUMBER(MATCH(st_zpr_kw,tak,0)),st_zpr)</f>
        <v>0</v>
      </c>
      <c r="K162" s="358" cm="1">
        <f t="array" ref="K162">SUMPRODUCT(ISNUMBER(MATCH(mod_st_zpr,$B$155,0))*('Koszty operacyjne'!$K$114:$X$114=Moduły!K$73)*ISNUMBER(MATCH(st_zpr_kw,tak,0)),st_zpr)</f>
        <v>0</v>
      </c>
      <c r="L162" s="358" cm="1">
        <f t="array" ref="L162">SUMPRODUCT(ISNUMBER(MATCH(mod_st_zpr,$B$155,0))*('Koszty operacyjne'!$K$114:$X$114=Moduły!L$73)*ISNUMBER(MATCH(st_zpr_kw,tak,0)),st_zpr)</f>
        <v>0</v>
      </c>
      <c r="M162" s="358" cm="1">
        <f t="array" ref="M162">SUMPRODUCT(ISNUMBER(MATCH(mod_st_zpr,$B$155,0))*('Koszty operacyjne'!$K$114:$X$114=Moduły!M$73)*ISNUMBER(MATCH(st_zpr_kw,tak,0)),st_zpr)</f>
        <v>0</v>
      </c>
      <c r="N162" s="358" cm="1">
        <f t="array" ref="N162">SUMPRODUCT(ISNUMBER(MATCH(mod_st_zpr,$B$155,0))*('Koszty operacyjne'!$K$114:$X$114=Moduły!N$73)*ISNUMBER(MATCH(st_zpr_kw,tak,0)),st_zpr)</f>
        <v>0</v>
      </c>
      <c r="O162" s="358" cm="1">
        <f t="array" ref="O162">SUMPRODUCT(ISNUMBER(MATCH(mod_st_zpr,$B$155,0))*('Koszty operacyjne'!$K$114:$X$114=Moduły!O$73)*ISNUMBER(MATCH(st_zpr_kw,tak,0)),st_zpr)</f>
        <v>0</v>
      </c>
      <c r="P162" s="358" cm="1">
        <f t="array" ref="P162">SUMPRODUCT(ISNUMBER(MATCH(mod_st_zpr,$B$155,0))*('Koszty operacyjne'!$K$114:$X$114=Moduły!P$73)*ISNUMBER(MATCH(st_zpr_kw,tak,0)),st_zpr)</f>
        <v>0</v>
      </c>
    </row>
    <row r="163" spans="2:16" ht="12" customHeight="1">
      <c r="B163" s="359" t="s">
        <v>96</v>
      </c>
      <c r="C163" s="360" cm="1">
        <f t="array" ref="C163">SUMPRODUCT(ISNUMBER(MATCH(mod_st_zpr,$B$155,0))*('Koszty operacyjne'!$K$114:$X$114=Moduły!C$73)*ISNUMBER(MATCH(st_zpr_kw,nie,0)),st_zpr)</f>
        <v>0</v>
      </c>
      <c r="D163" s="360" cm="1">
        <f t="array" ref="D163">SUMPRODUCT(ISNUMBER(MATCH(mod_st_zpr,$B$155,0))*('Koszty operacyjne'!$K$114:$X$114=Moduły!D$73)*ISNUMBER(MATCH(st_zpr_kw,nie,0)),st_zpr)</f>
        <v>0</v>
      </c>
      <c r="E163" s="360" cm="1">
        <f t="array" ref="E163">SUMPRODUCT(ISNUMBER(MATCH(mod_st_zpr,$B$155,0))*('Koszty operacyjne'!$K$114:$X$114=Moduły!E$73)*ISNUMBER(MATCH(st_zpr_kw,nie,0)),st_zpr)</f>
        <v>0</v>
      </c>
      <c r="F163" s="360" cm="1">
        <f t="array" ref="F163">SUMPRODUCT(ISNUMBER(MATCH(mod_st_zpr,$B$155,0))*('Koszty operacyjne'!$K$114:$X$114=Moduły!F$73)*ISNUMBER(MATCH(st_zpr_kw,nie,0)),st_zpr)</f>
        <v>0</v>
      </c>
      <c r="G163" s="360" cm="1">
        <f t="array" ref="G163">SUMPRODUCT(ISNUMBER(MATCH(mod_st_zpr,$B$155,0))*('Koszty operacyjne'!$K$114:$X$114=Moduły!G$73)*ISNUMBER(MATCH(st_zpr_kw,nie,0)),st_zpr)</f>
        <v>0</v>
      </c>
      <c r="H163" s="360" cm="1">
        <f t="array" ref="H163">SUMPRODUCT(ISNUMBER(MATCH(mod_st_zpr,$B$155,0))*('Koszty operacyjne'!$K$114:$X$114=Moduły!H$73)*ISNUMBER(MATCH(st_zpr_kw,nie,0)),st_zpr)</f>
        <v>0</v>
      </c>
      <c r="I163" s="360" cm="1">
        <f t="array" ref="I163">SUMPRODUCT(ISNUMBER(MATCH(mod_st_zpr,$B$155,0))*('Koszty operacyjne'!$K$114:$X$114=Moduły!I$73)*ISNUMBER(MATCH(st_zpr_kw,nie,0)),st_zpr)</f>
        <v>0</v>
      </c>
      <c r="J163" s="360" cm="1">
        <f t="array" ref="J163">SUMPRODUCT(ISNUMBER(MATCH(mod_st_zpr,$B$155,0))*('Koszty operacyjne'!$K$114:$X$114=Moduły!J$73)*ISNUMBER(MATCH(st_zpr_kw,nie,0)),st_zpr)</f>
        <v>0</v>
      </c>
      <c r="K163" s="361" cm="1">
        <f t="array" ref="K163">SUMPRODUCT(ISNUMBER(MATCH(mod_st_zpr,$B$155,0))*('Koszty operacyjne'!$K$114:$X$114=Moduły!K$73)*ISNUMBER(MATCH(st_zpr_kw,nie,0)),st_zpr)</f>
        <v>0</v>
      </c>
      <c r="L163" s="361" cm="1">
        <f t="array" ref="L163">SUMPRODUCT(ISNUMBER(MATCH(mod_st_zpr,$B$155,0))*('Koszty operacyjne'!$K$114:$X$114=Moduły!L$73)*ISNUMBER(MATCH(st_zpr_kw,nie,0)),st_zpr)</f>
        <v>0</v>
      </c>
      <c r="M163" s="361" cm="1">
        <f t="array" ref="M163">SUMPRODUCT(ISNUMBER(MATCH(mod_st_zpr,$B$155,0))*('Koszty operacyjne'!$K$114:$X$114=Moduły!M$73)*ISNUMBER(MATCH(st_zpr_kw,nie,0)),st_zpr)</f>
        <v>0</v>
      </c>
      <c r="N163" s="361" cm="1">
        <f t="array" ref="N163">SUMPRODUCT(ISNUMBER(MATCH(mod_st_zpr,$B$155,0))*('Koszty operacyjne'!$K$114:$X$114=Moduły!N$73)*ISNUMBER(MATCH(st_zpr_kw,nie,0)),st_zpr)</f>
        <v>0</v>
      </c>
      <c r="O163" s="361" cm="1">
        <f t="array" ref="O163">SUMPRODUCT(ISNUMBER(MATCH(mod_st_zpr,$B$155,0))*('Koszty operacyjne'!$K$114:$X$114=Moduły!O$73)*ISNUMBER(MATCH(st_zpr_kw,nie,0)),st_zpr)</f>
        <v>0</v>
      </c>
      <c r="P163" s="361" cm="1">
        <f t="array" ref="P163">SUMPRODUCT(ISNUMBER(MATCH(mod_st_zpr,$B$155,0))*('Koszty operacyjne'!$K$114:$X$114=Moduły!P$73)*ISNUMBER(MATCH(st_zpr_kw,nie,0)),st_zpr)</f>
        <v>0</v>
      </c>
    </row>
    <row r="164" spans="2:16" ht="3.9" customHeight="1">
      <c r="B164" s="362"/>
      <c r="C164" s="363"/>
      <c r="D164" s="363"/>
      <c r="E164" s="363"/>
      <c r="F164" s="363"/>
      <c r="G164" s="363"/>
      <c r="H164" s="363"/>
      <c r="I164" s="363"/>
      <c r="J164" s="363"/>
      <c r="K164" s="364"/>
      <c r="L164" s="364"/>
      <c r="M164" s="364"/>
      <c r="N164" s="364"/>
      <c r="O164" s="364"/>
      <c r="P164" s="364"/>
    </row>
    <row r="165" spans="2:16" ht="12" customHeight="1">
      <c r="B165" s="355" t="s">
        <v>97</v>
      </c>
      <c r="C165" s="356">
        <f t="shared" ref="C165:P165" si="74">SUM(C166:C167)</f>
        <v>0</v>
      </c>
      <c r="D165" s="356">
        <f t="shared" si="74"/>
        <v>0</v>
      </c>
      <c r="E165" s="356">
        <f t="shared" si="74"/>
        <v>0</v>
      </c>
      <c r="F165" s="356">
        <f t="shared" si="74"/>
        <v>0</v>
      </c>
      <c r="G165" s="356">
        <f t="shared" si="74"/>
        <v>0</v>
      </c>
      <c r="H165" s="356">
        <f t="shared" si="74"/>
        <v>0</v>
      </c>
      <c r="I165" s="356">
        <f t="shared" si="74"/>
        <v>0</v>
      </c>
      <c r="J165" s="356">
        <f t="shared" si="74"/>
        <v>0</v>
      </c>
      <c r="K165" s="356">
        <f t="shared" si="74"/>
        <v>0</v>
      </c>
      <c r="L165" s="356">
        <f t="shared" si="74"/>
        <v>0</v>
      </c>
      <c r="M165" s="356">
        <f t="shared" si="74"/>
        <v>0</v>
      </c>
      <c r="N165" s="356">
        <f t="shared" si="74"/>
        <v>0</v>
      </c>
      <c r="O165" s="356">
        <f t="shared" si="74"/>
        <v>0</v>
      </c>
      <c r="P165" s="356">
        <f t="shared" si="74"/>
        <v>0</v>
      </c>
    </row>
    <row r="166" spans="2:16" ht="12" customHeight="1">
      <c r="B166" s="357" t="s">
        <v>95</v>
      </c>
      <c r="C166" s="358" cm="1">
        <f t="array" ref="C166">SUMPRODUCT(ISNUMBER(MATCH(mod_st_wnp,$B$155,0))*('Koszty operacyjne'!$K$114:$X$114=Moduły!C$73)*ISNUMBER(MATCH(st_wnp_kw,tak,0)),st_wnp)</f>
        <v>0</v>
      </c>
      <c r="D166" s="358" cm="1">
        <f t="array" ref="D166">SUMPRODUCT(ISNUMBER(MATCH(mod_st_wnp,$B$155,0))*('Koszty operacyjne'!$K$114:$X$114=Moduły!D$73)*ISNUMBER(MATCH(st_wnp_kw,tak,0)),st_wnp)</f>
        <v>0</v>
      </c>
      <c r="E166" s="358" cm="1">
        <f t="array" ref="E166">SUMPRODUCT(ISNUMBER(MATCH(mod_st_wnp,$B$155,0))*('Koszty operacyjne'!$K$114:$X$114=Moduły!E$73)*ISNUMBER(MATCH(st_wnp_kw,tak,0)),st_wnp)</f>
        <v>0</v>
      </c>
      <c r="F166" s="358" cm="1">
        <f t="array" ref="F166">SUMPRODUCT(ISNUMBER(MATCH(mod_st_wnp,$B$155,0))*('Koszty operacyjne'!$K$114:$X$114=Moduły!F$73)*ISNUMBER(MATCH(st_wnp_kw,tak,0)),st_wnp)</f>
        <v>0</v>
      </c>
      <c r="G166" s="358" cm="1">
        <f t="array" ref="G166">SUMPRODUCT(ISNUMBER(MATCH(mod_st_wnp,$B$155,0))*('Koszty operacyjne'!$K$114:$X$114=Moduły!G$73)*ISNUMBER(MATCH(st_wnp_kw,tak,0)),st_wnp)</f>
        <v>0</v>
      </c>
      <c r="H166" s="358" cm="1">
        <f t="array" ref="H166">SUMPRODUCT(ISNUMBER(MATCH(mod_st_wnp,$B$155,0))*('Koszty operacyjne'!$K$114:$X$114=Moduły!H$73)*ISNUMBER(MATCH(st_wnp_kw,tak,0)),st_wnp)</f>
        <v>0</v>
      </c>
      <c r="I166" s="358" cm="1">
        <f t="array" ref="I166">SUMPRODUCT(ISNUMBER(MATCH(mod_st_wnp,$B$155,0))*('Koszty operacyjne'!$K$114:$X$114=Moduły!I$73)*ISNUMBER(MATCH(st_wnp_kw,tak,0)),st_wnp)</f>
        <v>0</v>
      </c>
      <c r="J166" s="358" cm="1">
        <f t="array" ref="J166">SUMPRODUCT(ISNUMBER(MATCH(mod_st_wnp,$B$155,0))*('Koszty operacyjne'!$K$114:$X$114=Moduły!J$73)*ISNUMBER(MATCH(st_wnp_kw,tak,0)),st_wnp)</f>
        <v>0</v>
      </c>
      <c r="K166" s="358" cm="1">
        <f t="array" ref="K166">SUMPRODUCT(ISNUMBER(MATCH(mod_st_wnp,$B$155,0))*('Koszty operacyjne'!$K$114:$X$114=Moduły!K$73)*ISNUMBER(MATCH(st_wnp_kw,tak,0)),st_wnp)</f>
        <v>0</v>
      </c>
      <c r="L166" s="358" cm="1">
        <f t="array" ref="L166">SUMPRODUCT(ISNUMBER(MATCH(mod_st_wnp,$B$155,0))*('Koszty operacyjne'!$K$114:$X$114=Moduły!L$73)*ISNUMBER(MATCH(st_wnp_kw,tak,0)),st_wnp)</f>
        <v>0</v>
      </c>
      <c r="M166" s="358" cm="1">
        <f t="array" ref="M166">SUMPRODUCT(ISNUMBER(MATCH(mod_st_wnp,$B$155,0))*('Koszty operacyjne'!$K$114:$X$114=Moduły!M$73)*ISNUMBER(MATCH(st_wnp_kw,tak,0)),st_wnp)</f>
        <v>0</v>
      </c>
      <c r="N166" s="358" cm="1">
        <f t="array" ref="N166">SUMPRODUCT(ISNUMBER(MATCH(mod_st_wnp,$B$155,0))*('Koszty operacyjne'!$K$114:$X$114=Moduły!N$73)*ISNUMBER(MATCH(st_wnp_kw,tak,0)),st_wnp)</f>
        <v>0</v>
      </c>
      <c r="O166" s="358" cm="1">
        <f t="array" ref="O166">SUMPRODUCT(ISNUMBER(MATCH(mod_st_wnp,$B$155,0))*('Koszty operacyjne'!$K$114:$X$114=Moduły!O$73)*ISNUMBER(MATCH(st_wnp_kw,tak,0)),st_wnp)</f>
        <v>0</v>
      </c>
      <c r="P166" s="358" cm="1">
        <f t="array" ref="P166">SUMPRODUCT(ISNUMBER(MATCH(mod_st_wnp,$B$155,0))*('Koszty operacyjne'!$K$114:$X$114=Moduły!P$73)*ISNUMBER(MATCH(st_wnp_kw,tak,0)),st_wnp)</f>
        <v>0</v>
      </c>
    </row>
    <row r="167" spans="2:16" ht="12" customHeight="1">
      <c r="B167" s="359" t="s">
        <v>96</v>
      </c>
      <c r="C167" s="360" cm="1">
        <f t="array" ref="C167">SUMPRODUCT(ISNUMBER(MATCH(mod_st_wnp,$B$155,0))*('Koszty operacyjne'!$K$114:$X$114=Moduły!C$73)*ISNUMBER(MATCH(st_wnp_kw,nie,0)),st_wnp)</f>
        <v>0</v>
      </c>
      <c r="D167" s="360" cm="1">
        <f t="array" ref="D167">SUMPRODUCT(ISNUMBER(MATCH(mod_st_wnp,$B$155,0))*('Koszty operacyjne'!$K$114:$X$114=Moduły!D$73)*ISNUMBER(MATCH(st_wnp_kw,nie,0)),st_wnp)</f>
        <v>0</v>
      </c>
      <c r="E167" s="360" cm="1">
        <f t="array" ref="E167">SUMPRODUCT(ISNUMBER(MATCH(mod_st_wnp,$B$155,0))*('Koszty operacyjne'!$K$114:$X$114=Moduły!E$73)*ISNUMBER(MATCH(st_wnp_kw,nie,0)),st_wnp)</f>
        <v>0</v>
      </c>
      <c r="F167" s="360" cm="1">
        <f t="array" ref="F167">SUMPRODUCT(ISNUMBER(MATCH(mod_st_wnp,$B$155,0))*('Koszty operacyjne'!$K$114:$X$114=Moduły!F$73)*ISNUMBER(MATCH(st_wnp_kw,nie,0)),st_wnp)</f>
        <v>0</v>
      </c>
      <c r="G167" s="360" cm="1">
        <f t="array" ref="G167">SUMPRODUCT(ISNUMBER(MATCH(mod_st_wnp,$B$155,0))*('Koszty operacyjne'!$K$114:$X$114=Moduły!G$73)*ISNUMBER(MATCH(st_wnp_kw,nie,0)),st_wnp)</f>
        <v>0</v>
      </c>
      <c r="H167" s="360" cm="1">
        <f t="array" ref="H167">SUMPRODUCT(ISNUMBER(MATCH(mod_st_wnp,$B$155,0))*('Koszty operacyjne'!$K$114:$X$114=Moduły!H$73)*ISNUMBER(MATCH(st_wnp_kw,nie,0)),st_wnp)</f>
        <v>0</v>
      </c>
      <c r="I167" s="360" cm="1">
        <f t="array" ref="I167">SUMPRODUCT(ISNUMBER(MATCH(mod_st_wnp,$B$155,0))*('Koszty operacyjne'!$K$114:$X$114=Moduły!I$73)*ISNUMBER(MATCH(st_wnp_kw,nie,0)),st_wnp)</f>
        <v>0</v>
      </c>
      <c r="J167" s="360" cm="1">
        <f t="array" ref="J167">SUMPRODUCT(ISNUMBER(MATCH(mod_st_wnp,$B$155,0))*('Koszty operacyjne'!$K$114:$X$114=Moduły!J$73)*ISNUMBER(MATCH(st_wnp_kw,nie,0)),st_wnp)</f>
        <v>0</v>
      </c>
      <c r="K167" s="361" cm="1">
        <f t="array" ref="K167">SUMPRODUCT(ISNUMBER(MATCH(mod_st_wnp,$B$155,0))*('Koszty operacyjne'!$K$114:$X$114=Moduły!K$73)*ISNUMBER(MATCH(st_wnp_kw,nie,0)),st_wnp)</f>
        <v>0</v>
      </c>
      <c r="L167" s="361" cm="1">
        <f t="array" ref="L167">SUMPRODUCT(ISNUMBER(MATCH(mod_st_wnp,$B$155,0))*('Koszty operacyjne'!$K$114:$X$114=Moduły!L$73)*ISNUMBER(MATCH(st_wnp_kw,nie,0)),st_wnp)</f>
        <v>0</v>
      </c>
      <c r="M167" s="361" cm="1">
        <f t="array" ref="M167">SUMPRODUCT(ISNUMBER(MATCH(mod_st_wnp,$B$155,0))*('Koszty operacyjne'!$K$114:$X$114=Moduły!M$73)*ISNUMBER(MATCH(st_wnp_kw,nie,0)),st_wnp)</f>
        <v>0</v>
      </c>
      <c r="N167" s="361" cm="1">
        <f t="array" ref="N167">SUMPRODUCT(ISNUMBER(MATCH(mod_st_wnp,$B$155,0))*('Koszty operacyjne'!$K$114:$X$114=Moduły!N$73)*ISNUMBER(MATCH(st_wnp_kw,nie,0)),st_wnp)</f>
        <v>0</v>
      </c>
      <c r="O167" s="361" cm="1">
        <f t="array" ref="O167">SUMPRODUCT(ISNUMBER(MATCH(mod_st_wnp,$B$155,0))*('Koszty operacyjne'!$K$114:$X$114=Moduły!O$73)*ISNUMBER(MATCH(st_wnp_kw,nie,0)),st_wnp)</f>
        <v>0</v>
      </c>
      <c r="P167" s="361" cm="1">
        <f t="array" ref="P167">SUMPRODUCT(ISNUMBER(MATCH(mod_st_wnp,$B$155,0))*('Koszty operacyjne'!$K$114:$X$114=Moduły!P$73)*ISNUMBER(MATCH(st_wnp_kw,nie,0)),st_wnp)</f>
        <v>0</v>
      </c>
    </row>
    <row r="168" spans="2:16" ht="3.9" customHeight="1">
      <c r="B168" s="8"/>
      <c r="C168" s="363"/>
      <c r="D168" s="363"/>
      <c r="E168" s="363"/>
      <c r="F168" s="363"/>
      <c r="G168" s="363"/>
      <c r="H168" s="363"/>
      <c r="I168" s="363"/>
      <c r="J168" s="363"/>
      <c r="K168" s="364"/>
      <c r="L168" s="364"/>
      <c r="M168" s="364"/>
      <c r="N168" s="364"/>
      <c r="O168" s="364"/>
      <c r="P168" s="364"/>
    </row>
    <row r="169" spans="2:16" ht="12" customHeight="1">
      <c r="B169" s="355" t="s">
        <v>98</v>
      </c>
      <c r="C169" s="356">
        <f t="shared" ref="C169:P169" si="75">SUM(C170:C171)</f>
        <v>0</v>
      </c>
      <c r="D169" s="356">
        <f t="shared" si="75"/>
        <v>0</v>
      </c>
      <c r="E169" s="356">
        <f t="shared" si="75"/>
        <v>0</v>
      </c>
      <c r="F169" s="356">
        <f t="shared" si="75"/>
        <v>0</v>
      </c>
      <c r="G169" s="356">
        <f t="shared" si="75"/>
        <v>0</v>
      </c>
      <c r="H169" s="356">
        <f t="shared" si="75"/>
        <v>0</v>
      </c>
      <c r="I169" s="356">
        <f t="shared" si="75"/>
        <v>0</v>
      </c>
      <c r="J169" s="356">
        <f t="shared" si="75"/>
        <v>0</v>
      </c>
      <c r="K169" s="356">
        <f t="shared" si="75"/>
        <v>0</v>
      </c>
      <c r="L169" s="356">
        <f t="shared" si="75"/>
        <v>0</v>
      </c>
      <c r="M169" s="356">
        <f t="shared" si="75"/>
        <v>0</v>
      </c>
      <c r="N169" s="356">
        <f t="shared" si="75"/>
        <v>0</v>
      </c>
      <c r="O169" s="356">
        <f t="shared" si="75"/>
        <v>0</v>
      </c>
      <c r="P169" s="356">
        <f t="shared" si="75"/>
        <v>0</v>
      </c>
    </row>
    <row r="170" spans="2:16" ht="12" customHeight="1">
      <c r="B170" s="357" t="s">
        <v>95</v>
      </c>
      <c r="C170" s="358" cm="1">
        <f t="array" ref="C170">SUMPRODUCT(ISNUMBER(MATCH(mod_st_gry,$B$155,0))*('Koszty operacyjne'!$K$114:$X$114=Moduły!C$73)*ISNUMBER(MATCH(st_gry_kw,tak,0)),st_gry)</f>
        <v>0</v>
      </c>
      <c r="D170" s="358" cm="1">
        <f t="array" ref="D170">SUMPRODUCT(ISNUMBER(MATCH(mod_st_gry,$B$155,0))*('Koszty operacyjne'!$K$114:$X$114=Moduły!D$73)*ISNUMBER(MATCH(st_gry_kw,tak,0)),st_gry)</f>
        <v>0</v>
      </c>
      <c r="E170" s="358" cm="1">
        <f t="array" ref="E170">SUMPRODUCT(ISNUMBER(MATCH(mod_st_gry,$B$155,0))*('Koszty operacyjne'!$K$114:$X$114=Moduły!E$73)*ISNUMBER(MATCH(st_gry_kw,tak,0)),st_gry)</f>
        <v>0</v>
      </c>
      <c r="F170" s="358" cm="1">
        <f t="array" ref="F170">SUMPRODUCT(ISNUMBER(MATCH(mod_st_gry,$B$155,0))*('Koszty operacyjne'!$K$114:$X$114=Moduły!F$73)*ISNUMBER(MATCH(st_gry_kw,tak,0)),st_gry)</f>
        <v>0</v>
      </c>
      <c r="G170" s="358" cm="1">
        <f t="array" ref="G170">SUMPRODUCT(ISNUMBER(MATCH(mod_st_gry,$B$155,0))*('Koszty operacyjne'!$K$114:$X$114=Moduły!G$73)*ISNUMBER(MATCH(st_gry_kw,tak,0)),st_gry)</f>
        <v>0</v>
      </c>
      <c r="H170" s="358" cm="1">
        <f t="array" ref="H170">SUMPRODUCT(ISNUMBER(MATCH(mod_st_gry,$B$155,0))*('Koszty operacyjne'!$K$114:$X$114=Moduły!H$73)*ISNUMBER(MATCH(st_gry_kw,tak,0)),st_gry)</f>
        <v>0</v>
      </c>
      <c r="I170" s="358" cm="1">
        <f t="array" ref="I170">SUMPRODUCT(ISNUMBER(MATCH(mod_st_gry,$B$155,0))*('Koszty operacyjne'!$K$114:$X$114=Moduły!I$73)*ISNUMBER(MATCH(st_gry_kw,tak,0)),st_gry)</f>
        <v>0</v>
      </c>
      <c r="J170" s="358" cm="1">
        <f t="array" ref="J170">SUMPRODUCT(ISNUMBER(MATCH(mod_st_gry,$B$155,0))*('Koszty operacyjne'!$K$114:$X$114=Moduły!J$73)*ISNUMBER(MATCH(st_gry_kw,tak,0)),st_gry)</f>
        <v>0</v>
      </c>
      <c r="K170" s="358" cm="1">
        <f t="array" ref="K170">SUMPRODUCT(ISNUMBER(MATCH(mod_st_gry,$B$155,0))*('Koszty operacyjne'!$K$114:$X$114=Moduły!K$73)*ISNUMBER(MATCH(st_gry_kw,tak,0)),st_gry)</f>
        <v>0</v>
      </c>
      <c r="L170" s="358" cm="1">
        <f t="array" ref="L170">SUMPRODUCT(ISNUMBER(MATCH(mod_st_gry,$B$155,0))*('Koszty operacyjne'!$K$114:$X$114=Moduły!L$73)*ISNUMBER(MATCH(st_gry_kw,tak,0)),st_gry)</f>
        <v>0</v>
      </c>
      <c r="M170" s="358" cm="1">
        <f t="array" ref="M170">SUMPRODUCT(ISNUMBER(MATCH(mod_st_gry,$B$155,0))*('Koszty operacyjne'!$K$114:$X$114=Moduły!M$73)*ISNUMBER(MATCH(st_gry_kw,tak,0)),st_gry)</f>
        <v>0</v>
      </c>
      <c r="N170" s="358" cm="1">
        <f t="array" ref="N170">SUMPRODUCT(ISNUMBER(MATCH(mod_st_gry,$B$155,0))*('Koszty operacyjne'!$K$114:$X$114=Moduły!N$73)*ISNUMBER(MATCH(st_gry_kw,tak,0)),st_gry)</f>
        <v>0</v>
      </c>
      <c r="O170" s="358" cm="1">
        <f t="array" ref="O170">SUMPRODUCT(ISNUMBER(MATCH(mod_st_gry,$B$155,0))*('Koszty operacyjne'!$K$114:$X$114=Moduły!O$73)*ISNUMBER(MATCH(st_gry_kw,tak,0)),st_gry)</f>
        <v>0</v>
      </c>
      <c r="P170" s="358" cm="1">
        <f t="array" ref="P170">SUMPRODUCT(ISNUMBER(MATCH(mod_st_gry,$B$155,0))*('Koszty operacyjne'!$K$114:$X$114=Moduły!P$73)*ISNUMBER(MATCH(st_gry_kw,tak,0)),st_gry)</f>
        <v>0</v>
      </c>
    </row>
    <row r="171" spans="2:16" ht="12" customHeight="1">
      <c r="B171" s="359" t="s">
        <v>96</v>
      </c>
      <c r="C171" s="360" cm="1">
        <f t="array" ref="C171">SUMPRODUCT(ISNUMBER(MATCH(mod_st_gry,$B$155,0))*('Koszty operacyjne'!$K$114:$X$114=Moduły!C$73)*ISNUMBER(MATCH(st_gry_kw,nie,0)),st_gry)</f>
        <v>0</v>
      </c>
      <c r="D171" s="360" cm="1">
        <f t="array" ref="D171">SUMPRODUCT(ISNUMBER(MATCH(mod_st_gry,$B$155,0))*('Koszty operacyjne'!$K$114:$X$114=Moduły!D$73)*ISNUMBER(MATCH(st_gry_kw,nie,0)),st_gry)</f>
        <v>0</v>
      </c>
      <c r="E171" s="360" cm="1">
        <f t="array" ref="E171">SUMPRODUCT(ISNUMBER(MATCH(mod_st_gry,$B$155,0))*('Koszty operacyjne'!$K$114:$X$114=Moduły!E$73)*ISNUMBER(MATCH(st_gry_kw,nie,0)),st_gry)</f>
        <v>0</v>
      </c>
      <c r="F171" s="360" cm="1">
        <f t="array" ref="F171">SUMPRODUCT(ISNUMBER(MATCH(mod_st_gry,$B$155,0))*('Koszty operacyjne'!$K$114:$X$114=Moduły!F$73)*ISNUMBER(MATCH(st_gry_kw,nie,0)),st_gry)</f>
        <v>0</v>
      </c>
      <c r="G171" s="360" cm="1">
        <f t="array" ref="G171">SUMPRODUCT(ISNUMBER(MATCH(mod_st_gry,$B$155,0))*('Koszty operacyjne'!$K$114:$X$114=Moduły!G$73)*ISNUMBER(MATCH(st_gry_kw,nie,0)),st_gry)</f>
        <v>0</v>
      </c>
      <c r="H171" s="360" cm="1">
        <f t="array" ref="H171">SUMPRODUCT(ISNUMBER(MATCH(mod_st_gry,$B$155,0))*('Koszty operacyjne'!$K$114:$X$114=Moduły!H$73)*ISNUMBER(MATCH(st_gry_kw,nie,0)),st_gry)</f>
        <v>0</v>
      </c>
      <c r="I171" s="360" cm="1">
        <f t="array" ref="I171">SUMPRODUCT(ISNUMBER(MATCH(mod_st_gry,$B$155,0))*('Koszty operacyjne'!$K$114:$X$114=Moduły!I$73)*ISNUMBER(MATCH(st_gry_kw,nie,0)),st_gry)</f>
        <v>0</v>
      </c>
      <c r="J171" s="360" cm="1">
        <f t="array" ref="J171">SUMPRODUCT(ISNUMBER(MATCH(mod_st_gry,$B$155,0))*('Koszty operacyjne'!$K$114:$X$114=Moduły!J$73)*ISNUMBER(MATCH(st_gry_kw,nie,0)),st_gry)</f>
        <v>0</v>
      </c>
      <c r="K171" s="361" cm="1">
        <f t="array" ref="K171">SUMPRODUCT(ISNUMBER(MATCH(mod_st_gry,$B$155,0))*('Koszty operacyjne'!$K$114:$X$114=Moduły!K$73)*ISNUMBER(MATCH(st_gry_kw,nie,0)),st_gry)</f>
        <v>0</v>
      </c>
      <c r="L171" s="361" cm="1">
        <f t="array" ref="L171">SUMPRODUCT(ISNUMBER(MATCH(mod_st_gry,$B$155,0))*('Koszty operacyjne'!$K$114:$X$114=Moduły!L$73)*ISNUMBER(MATCH(st_gry_kw,nie,0)),st_gry)</f>
        <v>0</v>
      </c>
      <c r="M171" s="361" cm="1">
        <f t="array" ref="M171">SUMPRODUCT(ISNUMBER(MATCH(mod_st_gry,$B$155,0))*('Koszty operacyjne'!$K$114:$X$114=Moduły!M$73)*ISNUMBER(MATCH(st_gry_kw,nie,0)),st_gry)</f>
        <v>0</v>
      </c>
      <c r="N171" s="361" cm="1">
        <f t="array" ref="N171">SUMPRODUCT(ISNUMBER(MATCH(mod_st_gry,$B$155,0))*('Koszty operacyjne'!$K$114:$X$114=Moduły!N$73)*ISNUMBER(MATCH(st_gry_kw,nie,0)),st_gry)</f>
        <v>0</v>
      </c>
      <c r="O171" s="361" cm="1">
        <f t="array" ref="O171">SUMPRODUCT(ISNUMBER(MATCH(mod_st_gry,$B$155,0))*('Koszty operacyjne'!$K$114:$X$114=Moduły!O$73)*ISNUMBER(MATCH(st_gry_kw,nie,0)),st_gry)</f>
        <v>0</v>
      </c>
      <c r="P171" s="361" cm="1">
        <f t="array" ref="P171">SUMPRODUCT(ISNUMBER(MATCH(mod_st_gry,$B$155,0))*('Koszty operacyjne'!$K$114:$X$114=Moduły!P$73)*ISNUMBER(MATCH(st_gry_kw,nie,0)),st_gry)</f>
        <v>0</v>
      </c>
    </row>
    <row r="172" spans="2:16" ht="3.9" customHeight="1">
      <c r="B172" s="8"/>
      <c r="C172" s="363"/>
      <c r="D172" s="363"/>
      <c r="E172" s="363"/>
      <c r="F172" s="363"/>
      <c r="G172" s="363"/>
      <c r="H172" s="363"/>
      <c r="I172" s="363"/>
      <c r="J172" s="363"/>
      <c r="K172" s="364"/>
      <c r="L172" s="364"/>
      <c r="M172" s="364"/>
      <c r="N172" s="364"/>
      <c r="O172" s="364"/>
      <c r="P172" s="364"/>
    </row>
    <row r="173" spans="2:16" ht="12" customHeight="1">
      <c r="B173" s="355" t="s">
        <v>99</v>
      </c>
      <c r="C173" s="356">
        <f t="shared" ref="C173:P173" si="76">SUM(C174:C175)</f>
        <v>0</v>
      </c>
      <c r="D173" s="356">
        <f t="shared" si="76"/>
        <v>0</v>
      </c>
      <c r="E173" s="356">
        <f t="shared" si="76"/>
        <v>0</v>
      </c>
      <c r="F173" s="356">
        <f t="shared" si="76"/>
        <v>0</v>
      </c>
      <c r="G173" s="356">
        <f t="shared" si="76"/>
        <v>0</v>
      </c>
      <c r="H173" s="356">
        <f t="shared" si="76"/>
        <v>0</v>
      </c>
      <c r="I173" s="356">
        <f t="shared" si="76"/>
        <v>0</v>
      </c>
      <c r="J173" s="356">
        <f t="shared" si="76"/>
        <v>0</v>
      </c>
      <c r="K173" s="356">
        <f t="shared" si="76"/>
        <v>0</v>
      </c>
      <c r="L173" s="356">
        <f t="shared" si="76"/>
        <v>0</v>
      </c>
      <c r="M173" s="356">
        <f t="shared" si="76"/>
        <v>0</v>
      </c>
      <c r="N173" s="356">
        <f t="shared" si="76"/>
        <v>0</v>
      </c>
      <c r="O173" s="356">
        <f t="shared" si="76"/>
        <v>0</v>
      </c>
      <c r="P173" s="356">
        <f t="shared" si="76"/>
        <v>0</v>
      </c>
    </row>
    <row r="174" spans="2:16" ht="12" customHeight="1">
      <c r="B174" s="357" t="s">
        <v>95</v>
      </c>
      <c r="C174" s="358" cm="1">
        <f t="array" ref="C174">SUMPRODUCT(ISNUMBER(MATCH(mod_st_bib,$B$155,0))*('Koszty operacyjne'!$K$114:$X$114=Moduły!C$73)*ISNUMBER(MATCH(st_bib_kw,tak,0)),st_bib)</f>
        <v>0</v>
      </c>
      <c r="D174" s="358" cm="1">
        <f t="array" ref="D174">SUMPRODUCT(ISNUMBER(MATCH(mod_st_bib,$B$155,0))*('Koszty operacyjne'!$K$114:$X$114=Moduły!D$73)*ISNUMBER(MATCH(st_bib_kw,tak,0)),st_bib)</f>
        <v>0</v>
      </c>
      <c r="E174" s="358" cm="1">
        <f t="array" ref="E174">SUMPRODUCT(ISNUMBER(MATCH(mod_st_bib,$B$155,0))*('Koszty operacyjne'!$K$114:$X$114=Moduły!E$73)*ISNUMBER(MATCH(st_bib_kw,tak,0)),st_bib)</f>
        <v>0</v>
      </c>
      <c r="F174" s="358" cm="1">
        <f t="array" ref="F174">SUMPRODUCT(ISNUMBER(MATCH(mod_st_bib,$B$155,0))*('Koszty operacyjne'!$K$114:$X$114=Moduły!F$73)*ISNUMBER(MATCH(st_bib_kw,tak,0)),st_bib)</f>
        <v>0</v>
      </c>
      <c r="G174" s="358" cm="1">
        <f t="array" ref="G174">SUMPRODUCT(ISNUMBER(MATCH(mod_st_bib,$B$155,0))*('Koszty operacyjne'!$K$114:$X$114=Moduły!G$73)*ISNUMBER(MATCH(st_bib_kw,tak,0)),st_bib)</f>
        <v>0</v>
      </c>
      <c r="H174" s="358" cm="1">
        <f t="array" ref="H174">SUMPRODUCT(ISNUMBER(MATCH(mod_st_bib,$B$155,0))*('Koszty operacyjne'!$K$114:$X$114=Moduły!H$73)*ISNUMBER(MATCH(st_bib_kw,tak,0)),st_bib)</f>
        <v>0</v>
      </c>
      <c r="I174" s="358" cm="1">
        <f t="array" ref="I174">SUMPRODUCT(ISNUMBER(MATCH(mod_st_bib,$B$155,0))*('Koszty operacyjne'!$K$114:$X$114=Moduły!I$73)*ISNUMBER(MATCH(st_bib_kw,tak,0)),st_bib)</f>
        <v>0</v>
      </c>
      <c r="J174" s="358" cm="1">
        <f t="array" ref="J174">SUMPRODUCT(ISNUMBER(MATCH(mod_st_bib,$B$155,0))*('Koszty operacyjne'!$K$114:$X$114=Moduły!J$73)*ISNUMBER(MATCH(st_bib_kw,tak,0)),st_bib)</f>
        <v>0</v>
      </c>
      <c r="K174" s="358" cm="1">
        <f t="array" ref="K174">SUMPRODUCT(ISNUMBER(MATCH(mod_st_bib,$B$155,0))*('Koszty operacyjne'!$K$114:$X$114=Moduły!K$73)*ISNUMBER(MATCH(st_bib_kw,tak,0)),st_bib)</f>
        <v>0</v>
      </c>
      <c r="L174" s="358" cm="1">
        <f t="array" ref="L174">SUMPRODUCT(ISNUMBER(MATCH(mod_st_bib,$B$155,0))*('Koszty operacyjne'!$K$114:$X$114=Moduły!L$73)*ISNUMBER(MATCH(st_bib_kw,tak,0)),st_bib)</f>
        <v>0</v>
      </c>
      <c r="M174" s="358" cm="1">
        <f t="array" ref="M174">SUMPRODUCT(ISNUMBER(MATCH(mod_st_bib,$B$155,0))*('Koszty operacyjne'!$K$114:$X$114=Moduły!M$73)*ISNUMBER(MATCH(st_bib_kw,tak,0)),st_bib)</f>
        <v>0</v>
      </c>
      <c r="N174" s="358" cm="1">
        <f t="array" ref="N174">SUMPRODUCT(ISNUMBER(MATCH(mod_st_bib,$B$155,0))*('Koszty operacyjne'!$K$114:$X$114=Moduły!N$73)*ISNUMBER(MATCH(st_bib_kw,tak,0)),st_bib)</f>
        <v>0</v>
      </c>
      <c r="O174" s="358" cm="1">
        <f t="array" ref="O174">SUMPRODUCT(ISNUMBER(MATCH(mod_st_bib,$B$155,0))*('Koszty operacyjne'!$K$114:$X$114=Moduły!O$73)*ISNUMBER(MATCH(st_bib_kw,tak,0)),st_bib)</f>
        <v>0</v>
      </c>
      <c r="P174" s="358" cm="1">
        <f t="array" ref="P174">SUMPRODUCT(ISNUMBER(MATCH(mod_st_bib,$B$155,0))*('Koszty operacyjne'!$K$114:$X$114=Moduły!P$73)*ISNUMBER(MATCH(st_bib_kw,tak,0)),st_bib)</f>
        <v>0</v>
      </c>
    </row>
    <row r="175" spans="2:16" ht="12" customHeight="1">
      <c r="B175" s="359" t="s">
        <v>96</v>
      </c>
      <c r="C175" s="360" cm="1">
        <f t="array" ref="C175">SUMPRODUCT(ISNUMBER(MATCH(mod_st_bib,$B$155,0))*('Koszty operacyjne'!$K$114:$X$114=Moduły!C$73)*ISNUMBER(MATCH(st_bib_kw,nie,0)),st_bib)</f>
        <v>0</v>
      </c>
      <c r="D175" s="360" cm="1">
        <f t="array" ref="D175">SUMPRODUCT(ISNUMBER(MATCH(mod_st_bib,$B$155,0))*('Koszty operacyjne'!$K$114:$X$114=Moduły!D$73)*ISNUMBER(MATCH(st_bib_kw,nie,0)),st_bib)</f>
        <v>0</v>
      </c>
      <c r="E175" s="360" cm="1">
        <f t="array" ref="E175">SUMPRODUCT(ISNUMBER(MATCH(mod_st_bib,$B$155,0))*('Koszty operacyjne'!$K$114:$X$114=Moduły!E$73)*ISNUMBER(MATCH(st_bib_kw,nie,0)),st_bib)</f>
        <v>0</v>
      </c>
      <c r="F175" s="360" cm="1">
        <f t="array" ref="F175">SUMPRODUCT(ISNUMBER(MATCH(mod_st_bib,$B$155,0))*('Koszty operacyjne'!$K$114:$X$114=Moduły!F$73)*ISNUMBER(MATCH(st_bib_kw,nie,0)),st_bib)</f>
        <v>0</v>
      </c>
      <c r="G175" s="360" cm="1">
        <f t="array" ref="G175">SUMPRODUCT(ISNUMBER(MATCH(mod_st_bib,$B$155,0))*('Koszty operacyjne'!$K$114:$X$114=Moduły!G$73)*ISNUMBER(MATCH(st_bib_kw,nie,0)),st_bib)</f>
        <v>0</v>
      </c>
      <c r="H175" s="360" cm="1">
        <f t="array" ref="H175">SUMPRODUCT(ISNUMBER(MATCH(mod_st_bib,$B$155,0))*('Koszty operacyjne'!$K$114:$X$114=Moduły!H$73)*ISNUMBER(MATCH(st_bib_kw,nie,0)),st_bib)</f>
        <v>0</v>
      </c>
      <c r="I175" s="360" cm="1">
        <f t="array" ref="I175">SUMPRODUCT(ISNUMBER(MATCH(mod_st_bib,$B$155,0))*('Koszty operacyjne'!$K$114:$X$114=Moduły!I$73)*ISNUMBER(MATCH(st_bib_kw,nie,0)),st_bib)</f>
        <v>0</v>
      </c>
      <c r="J175" s="360" cm="1">
        <f t="array" ref="J175">SUMPRODUCT(ISNUMBER(MATCH(mod_st_bib,$B$155,0))*('Koszty operacyjne'!$K$114:$X$114=Moduły!J$73)*ISNUMBER(MATCH(st_bib_kw,nie,0)),st_bib)</f>
        <v>0</v>
      </c>
      <c r="K175" s="361" cm="1">
        <f t="array" ref="K175">SUMPRODUCT(ISNUMBER(MATCH(mod_st_bib,$B$155,0))*('Koszty operacyjne'!$K$114:$X$114=Moduły!K$73)*ISNUMBER(MATCH(st_bib_kw,nie,0)),st_bib)</f>
        <v>0</v>
      </c>
      <c r="L175" s="361" cm="1">
        <f t="array" ref="L175">SUMPRODUCT(ISNUMBER(MATCH(mod_st_bib,$B$155,0))*('Koszty operacyjne'!$K$114:$X$114=Moduły!L$73)*ISNUMBER(MATCH(st_bib_kw,nie,0)),st_bib)</f>
        <v>0</v>
      </c>
      <c r="M175" s="361" cm="1">
        <f t="array" ref="M175">SUMPRODUCT(ISNUMBER(MATCH(mod_st_bib,$B$155,0))*('Koszty operacyjne'!$K$114:$X$114=Moduły!M$73)*ISNUMBER(MATCH(st_bib_kw,nie,0)),st_bib)</f>
        <v>0</v>
      </c>
      <c r="N175" s="361" cm="1">
        <f t="array" ref="N175">SUMPRODUCT(ISNUMBER(MATCH(mod_st_bib,$B$155,0))*('Koszty operacyjne'!$K$114:$X$114=Moduły!N$73)*ISNUMBER(MATCH(st_bib_kw,nie,0)),st_bib)</f>
        <v>0</v>
      </c>
      <c r="O175" s="361" cm="1">
        <f t="array" ref="O175">SUMPRODUCT(ISNUMBER(MATCH(mod_st_bib,$B$155,0))*('Koszty operacyjne'!$K$114:$X$114=Moduły!O$73)*ISNUMBER(MATCH(st_bib_kw,nie,0)),st_bib)</f>
        <v>0</v>
      </c>
      <c r="P175" s="361" cm="1">
        <f t="array" ref="P175">SUMPRODUCT(ISNUMBER(MATCH(mod_st_bib,$B$155,0))*('Koszty operacyjne'!$K$114:$X$114=Moduły!P$73)*ISNUMBER(MATCH(st_bib_kw,nie,0)),st_bib)</f>
        <v>0</v>
      </c>
    </row>
    <row r="176" spans="2:16" ht="3.9" customHeight="1">
      <c r="B176" s="8"/>
      <c r="C176" s="363"/>
      <c r="D176" s="363"/>
      <c r="E176" s="363"/>
      <c r="F176" s="363"/>
      <c r="G176" s="363"/>
      <c r="H176" s="363"/>
      <c r="I176" s="363"/>
      <c r="J176" s="363"/>
      <c r="K176" s="364"/>
      <c r="L176" s="364"/>
      <c r="M176" s="364"/>
      <c r="N176" s="364"/>
      <c r="O176" s="364"/>
      <c r="P176" s="364"/>
    </row>
    <row r="177" spans="2:16" ht="12" customHeight="1">
      <c r="B177" s="355" t="s">
        <v>100</v>
      </c>
      <c r="C177" s="356">
        <f t="shared" ref="C177:P177" si="77">SUM(C178:C179)</f>
        <v>0</v>
      </c>
      <c r="D177" s="356">
        <f t="shared" si="77"/>
        <v>0</v>
      </c>
      <c r="E177" s="356">
        <f t="shared" si="77"/>
        <v>0</v>
      </c>
      <c r="F177" s="356">
        <f t="shared" si="77"/>
        <v>0</v>
      </c>
      <c r="G177" s="356">
        <f t="shared" si="77"/>
        <v>0</v>
      </c>
      <c r="H177" s="356">
        <f t="shared" si="77"/>
        <v>0</v>
      </c>
      <c r="I177" s="356">
        <f t="shared" si="77"/>
        <v>0</v>
      </c>
      <c r="J177" s="356">
        <f t="shared" si="77"/>
        <v>0</v>
      </c>
      <c r="K177" s="356">
        <f t="shared" si="77"/>
        <v>0</v>
      </c>
      <c r="L177" s="356">
        <f t="shared" si="77"/>
        <v>0</v>
      </c>
      <c r="M177" s="356">
        <f t="shared" si="77"/>
        <v>0</v>
      </c>
      <c r="N177" s="356">
        <f t="shared" si="77"/>
        <v>0</v>
      </c>
      <c r="O177" s="356">
        <f t="shared" si="77"/>
        <v>0</v>
      </c>
      <c r="P177" s="356">
        <f t="shared" si="77"/>
        <v>0</v>
      </c>
    </row>
    <row r="178" spans="2:16" ht="12" customHeight="1">
      <c r="B178" s="357" t="s">
        <v>95</v>
      </c>
      <c r="C178" s="358" cm="1">
        <f t="array" ref="C178">SUMPRODUCT(ISNUMBER(MATCH(mod_st_utm,$B$155,0))*('Koszty operacyjne'!$K$114:$X$114=Moduły!C$73)*ISNUMBER(MATCH(st_utm_kw,tak,0)),st_utm)</f>
        <v>0</v>
      </c>
      <c r="D178" s="358" cm="1">
        <f t="array" ref="D178">SUMPRODUCT(ISNUMBER(MATCH(mod_st_utm,$B$155,0))*('Koszty operacyjne'!$K$114:$X$114=Moduły!D$73)*ISNUMBER(MATCH(st_utm_kw,tak,0)),st_utm)</f>
        <v>0</v>
      </c>
      <c r="E178" s="358" cm="1">
        <f t="array" ref="E178">SUMPRODUCT(ISNUMBER(MATCH(mod_st_utm,$B$155,0))*('Koszty operacyjne'!$K$114:$X$114=Moduły!E$73)*ISNUMBER(MATCH(st_utm_kw,tak,0)),st_utm)</f>
        <v>0</v>
      </c>
      <c r="F178" s="358" cm="1">
        <f t="array" ref="F178">SUMPRODUCT(ISNUMBER(MATCH(mod_st_utm,$B$155,0))*('Koszty operacyjne'!$K$114:$X$114=Moduły!F$73)*ISNUMBER(MATCH(st_utm_kw,tak,0)),st_utm)</f>
        <v>0</v>
      </c>
      <c r="G178" s="358" cm="1">
        <f t="array" ref="G178">SUMPRODUCT(ISNUMBER(MATCH(mod_st_utm,$B$155,0))*('Koszty operacyjne'!$K$114:$X$114=Moduły!G$73)*ISNUMBER(MATCH(st_utm_kw,tak,0)),st_utm)</f>
        <v>0</v>
      </c>
      <c r="H178" s="358" cm="1">
        <f t="array" ref="H178">SUMPRODUCT(ISNUMBER(MATCH(mod_st_utm,$B$155,0))*('Koszty operacyjne'!$K$114:$X$114=Moduły!H$73)*ISNUMBER(MATCH(st_utm_kw,tak,0)),st_utm)</f>
        <v>0</v>
      </c>
      <c r="I178" s="358" cm="1">
        <f t="array" ref="I178">SUMPRODUCT(ISNUMBER(MATCH(mod_st_utm,$B$155,0))*('Koszty operacyjne'!$K$114:$X$114=Moduły!I$73)*ISNUMBER(MATCH(st_utm_kw,tak,0)),st_utm)</f>
        <v>0</v>
      </c>
      <c r="J178" s="358" cm="1">
        <f t="array" ref="J178">SUMPRODUCT(ISNUMBER(MATCH(mod_st_utm,$B$155,0))*('Koszty operacyjne'!$K$114:$X$114=Moduły!J$73)*ISNUMBER(MATCH(st_utm_kw,tak,0)),st_utm)</f>
        <v>0</v>
      </c>
      <c r="K178" s="358" cm="1">
        <f t="array" ref="K178">SUMPRODUCT(ISNUMBER(MATCH(mod_st_utm,$B$155,0))*('Koszty operacyjne'!$K$114:$X$114=Moduły!K$73)*ISNUMBER(MATCH(st_utm_kw,tak,0)),st_utm)</f>
        <v>0</v>
      </c>
      <c r="L178" s="358" cm="1">
        <f t="array" ref="L178">SUMPRODUCT(ISNUMBER(MATCH(mod_st_utm,$B$155,0))*('Koszty operacyjne'!$K$114:$X$114=Moduły!L$73)*ISNUMBER(MATCH(st_utm_kw,tak,0)),st_utm)</f>
        <v>0</v>
      </c>
      <c r="M178" s="358" cm="1">
        <f t="array" ref="M178">SUMPRODUCT(ISNUMBER(MATCH(mod_st_utm,$B$155,0))*('Koszty operacyjne'!$K$114:$X$114=Moduły!M$73)*ISNUMBER(MATCH(st_utm_kw,tak,0)),st_utm)</f>
        <v>0</v>
      </c>
      <c r="N178" s="358" cm="1">
        <f t="array" ref="N178">SUMPRODUCT(ISNUMBER(MATCH(mod_st_utm,$B$155,0))*('Koszty operacyjne'!$K$114:$X$114=Moduły!N$73)*ISNUMBER(MATCH(st_utm_kw,tak,0)),st_utm)</f>
        <v>0</v>
      </c>
      <c r="O178" s="358" cm="1">
        <f t="array" ref="O178">SUMPRODUCT(ISNUMBER(MATCH(mod_st_utm,$B$155,0))*('Koszty operacyjne'!$K$114:$X$114=Moduły!O$73)*ISNUMBER(MATCH(st_utm_kw,tak,0)),st_utm)</f>
        <v>0</v>
      </c>
      <c r="P178" s="358" cm="1">
        <f t="array" ref="P178">SUMPRODUCT(ISNUMBER(MATCH(mod_st_utm,$B$155,0))*('Koszty operacyjne'!$K$114:$X$114=Moduły!P$73)*ISNUMBER(MATCH(st_utm_kw,tak,0)),st_utm)</f>
        <v>0</v>
      </c>
    </row>
    <row r="179" spans="2:16" ht="12" customHeight="1">
      <c r="B179" s="359" t="s">
        <v>96</v>
      </c>
      <c r="C179" s="360" cm="1">
        <f t="array" ref="C179">SUMPRODUCT(ISNUMBER(MATCH(mod_st_utm,$B$155,0))*('Koszty operacyjne'!$K$114:$X$114=Moduły!C$73)*ISNUMBER(MATCH(st_utm_kw,nie,0)),st_utm)</f>
        <v>0</v>
      </c>
      <c r="D179" s="360" cm="1">
        <f t="array" ref="D179">SUMPRODUCT(ISNUMBER(MATCH(mod_st_utm,$B$155,0))*('Koszty operacyjne'!$K$114:$X$114=Moduły!D$73)*ISNUMBER(MATCH(st_utm_kw,nie,0)),st_utm)</f>
        <v>0</v>
      </c>
      <c r="E179" s="360" cm="1">
        <f t="array" ref="E179">SUMPRODUCT(ISNUMBER(MATCH(mod_st_utm,$B$155,0))*('Koszty operacyjne'!$K$114:$X$114=Moduły!E$73)*ISNUMBER(MATCH(st_utm_kw,nie,0)),st_utm)</f>
        <v>0</v>
      </c>
      <c r="F179" s="360" cm="1">
        <f t="array" ref="F179">SUMPRODUCT(ISNUMBER(MATCH(mod_st_utm,$B$155,0))*('Koszty operacyjne'!$K$114:$X$114=Moduły!F$73)*ISNUMBER(MATCH(st_utm_kw,nie,0)),st_utm)</f>
        <v>0</v>
      </c>
      <c r="G179" s="360" cm="1">
        <f t="array" ref="G179">SUMPRODUCT(ISNUMBER(MATCH(mod_st_utm,$B$155,0))*('Koszty operacyjne'!$K$114:$X$114=Moduły!G$73)*ISNUMBER(MATCH(st_utm_kw,nie,0)),st_utm)</f>
        <v>0</v>
      </c>
      <c r="H179" s="360" cm="1">
        <f t="array" ref="H179">SUMPRODUCT(ISNUMBER(MATCH(mod_st_utm,$B$155,0))*('Koszty operacyjne'!$K$114:$X$114=Moduły!H$73)*ISNUMBER(MATCH(st_utm_kw,nie,0)),st_utm)</f>
        <v>0</v>
      </c>
      <c r="I179" s="360" cm="1">
        <f t="array" ref="I179">SUMPRODUCT(ISNUMBER(MATCH(mod_st_utm,$B$155,0))*('Koszty operacyjne'!$K$114:$X$114=Moduły!I$73)*ISNUMBER(MATCH(st_utm_kw,nie,0)),st_utm)</f>
        <v>0</v>
      </c>
      <c r="J179" s="360" cm="1">
        <f t="array" ref="J179">SUMPRODUCT(ISNUMBER(MATCH(mod_st_utm,$B$155,0))*('Koszty operacyjne'!$K$114:$X$114=Moduły!J$73)*ISNUMBER(MATCH(st_utm_kw,nie,0)),st_utm)</f>
        <v>0</v>
      </c>
      <c r="K179" s="361" cm="1">
        <f t="array" ref="K179">SUMPRODUCT(ISNUMBER(MATCH(mod_st_utm,$B$155,0))*('Koszty operacyjne'!$K$114:$X$114=Moduły!K$73)*ISNUMBER(MATCH(st_utm_kw,nie,0)),st_utm)</f>
        <v>0</v>
      </c>
      <c r="L179" s="361" cm="1">
        <f t="array" ref="L179">SUMPRODUCT(ISNUMBER(MATCH(mod_st_utm,$B$155,0))*('Koszty operacyjne'!$K$114:$X$114=Moduły!L$73)*ISNUMBER(MATCH(st_utm_kw,nie,0)),st_utm)</f>
        <v>0</v>
      </c>
      <c r="M179" s="361" cm="1">
        <f t="array" ref="M179">SUMPRODUCT(ISNUMBER(MATCH(mod_st_utm,$B$155,0))*('Koszty operacyjne'!$K$114:$X$114=Moduły!M$73)*ISNUMBER(MATCH(st_utm_kw,nie,0)),st_utm)</f>
        <v>0</v>
      </c>
      <c r="N179" s="361" cm="1">
        <f t="array" ref="N179">SUMPRODUCT(ISNUMBER(MATCH(mod_st_utm,$B$155,0))*('Koszty operacyjne'!$K$114:$X$114=Moduły!N$73)*ISNUMBER(MATCH(st_utm_kw,nie,0)),st_utm)</f>
        <v>0</v>
      </c>
      <c r="O179" s="361" cm="1">
        <f t="array" ref="O179">SUMPRODUCT(ISNUMBER(MATCH(mod_st_utm,$B$155,0))*('Koszty operacyjne'!$K$114:$X$114=Moduły!O$73)*ISNUMBER(MATCH(st_utm_kw,nie,0)),st_utm)</f>
        <v>0</v>
      </c>
      <c r="P179" s="361" cm="1">
        <f t="array" ref="P179">SUMPRODUCT(ISNUMBER(MATCH(mod_st_utm,$B$155,0))*('Koszty operacyjne'!$K$114:$X$114=Moduły!P$73)*ISNUMBER(MATCH(st_utm_kw,nie,0)),st_utm)</f>
        <v>0</v>
      </c>
    </row>
    <row r="180" spans="2:16" ht="3.9" customHeight="1">
      <c r="B180" s="8"/>
      <c r="C180" s="363"/>
      <c r="D180" s="363"/>
      <c r="E180" s="363"/>
      <c r="F180" s="363"/>
      <c r="G180" s="363"/>
      <c r="H180" s="363"/>
      <c r="I180" s="363"/>
      <c r="J180" s="363"/>
      <c r="K180" s="364"/>
      <c r="L180" s="364"/>
      <c r="M180" s="364"/>
      <c r="N180" s="364"/>
      <c r="O180" s="364"/>
      <c r="P180" s="364"/>
    </row>
    <row r="181" spans="2:16" ht="12" customHeight="1">
      <c r="B181" s="355" t="s">
        <v>101</v>
      </c>
      <c r="C181" s="356">
        <f t="shared" ref="C181:P181" si="78">SUM(C182:C183)</f>
        <v>0</v>
      </c>
      <c r="D181" s="356">
        <f t="shared" si="78"/>
        <v>0</v>
      </c>
      <c r="E181" s="356">
        <f t="shared" si="78"/>
        <v>0</v>
      </c>
      <c r="F181" s="356">
        <f t="shared" si="78"/>
        <v>0</v>
      </c>
      <c r="G181" s="356">
        <f t="shared" si="78"/>
        <v>0</v>
      </c>
      <c r="H181" s="356">
        <f t="shared" si="78"/>
        <v>0</v>
      </c>
      <c r="I181" s="356">
        <f t="shared" si="78"/>
        <v>0</v>
      </c>
      <c r="J181" s="356">
        <f t="shared" si="78"/>
        <v>0</v>
      </c>
      <c r="K181" s="356">
        <f t="shared" si="78"/>
        <v>0</v>
      </c>
      <c r="L181" s="356">
        <f t="shared" si="78"/>
        <v>0</v>
      </c>
      <c r="M181" s="356">
        <f t="shared" si="78"/>
        <v>0</v>
      </c>
      <c r="N181" s="356">
        <f t="shared" si="78"/>
        <v>0</v>
      </c>
      <c r="O181" s="356">
        <f t="shared" si="78"/>
        <v>0</v>
      </c>
      <c r="P181" s="356">
        <f t="shared" si="78"/>
        <v>0</v>
      </c>
    </row>
    <row r="182" spans="2:16" ht="12" customHeight="1">
      <c r="B182" s="357" t="s">
        <v>95</v>
      </c>
      <c r="C182" s="358" cm="1">
        <f t="array" ref="C182">SUMPRODUCT(ISNUMBER(MATCH(mod_st_stu,$B$155,0))*('Koszty operacyjne'!$K$114:$X$114=Moduły!C$73)*ISNUMBER(MATCH(st_stu_kw,tak,0)),st_stu)</f>
        <v>0</v>
      </c>
      <c r="D182" s="358" cm="1">
        <f t="array" ref="D182">SUMPRODUCT(ISNUMBER(MATCH(mod_st_stu,$B$155,0))*('Koszty operacyjne'!$K$114:$X$114=Moduły!D$73)*ISNUMBER(MATCH(st_stu_kw,tak,0)),st_stu)</f>
        <v>0</v>
      </c>
      <c r="E182" s="358" cm="1">
        <f t="array" ref="E182">SUMPRODUCT(ISNUMBER(MATCH(mod_st_stu,$B$155,0))*('Koszty operacyjne'!$K$114:$X$114=Moduły!E$73)*ISNUMBER(MATCH(st_stu_kw,tak,0)),st_stu)</f>
        <v>0</v>
      </c>
      <c r="F182" s="358" cm="1">
        <f t="array" ref="F182">SUMPRODUCT(ISNUMBER(MATCH(mod_st_stu,$B$155,0))*('Koszty operacyjne'!$K$114:$X$114=Moduły!F$73)*ISNUMBER(MATCH(st_stu_kw,tak,0)),st_stu)</f>
        <v>0</v>
      </c>
      <c r="G182" s="358" cm="1">
        <f t="array" ref="G182">SUMPRODUCT(ISNUMBER(MATCH(mod_st_stu,$B$155,0))*('Koszty operacyjne'!$K$114:$X$114=Moduły!G$73)*ISNUMBER(MATCH(st_stu_kw,tak,0)),st_stu)</f>
        <v>0</v>
      </c>
      <c r="H182" s="358" cm="1">
        <f t="array" ref="H182">SUMPRODUCT(ISNUMBER(MATCH(mod_st_stu,$B$155,0))*('Koszty operacyjne'!$K$114:$X$114=Moduły!H$73)*ISNUMBER(MATCH(st_stu_kw,tak,0)),st_stu)</f>
        <v>0</v>
      </c>
      <c r="I182" s="358" cm="1">
        <f t="array" ref="I182">SUMPRODUCT(ISNUMBER(MATCH(mod_st_stu,$B$155,0))*('Koszty operacyjne'!$K$114:$X$114=Moduły!I$73)*ISNUMBER(MATCH(st_stu_kw,tak,0)),st_stu)</f>
        <v>0</v>
      </c>
      <c r="J182" s="358" cm="1">
        <f t="array" ref="J182">SUMPRODUCT(ISNUMBER(MATCH(mod_st_stu,$B$155,0))*('Koszty operacyjne'!$K$114:$X$114=Moduły!J$73)*ISNUMBER(MATCH(st_stu_kw,tak,0)),st_stu)</f>
        <v>0</v>
      </c>
      <c r="K182" s="358" cm="1">
        <f t="array" ref="K182">SUMPRODUCT(ISNUMBER(MATCH(mod_st_stu,$B$155,0))*('Koszty operacyjne'!$K$114:$X$114=Moduły!K$73)*ISNUMBER(MATCH(st_stu_kw,tak,0)),st_stu)</f>
        <v>0</v>
      </c>
      <c r="L182" s="358" cm="1">
        <f t="array" ref="L182">SUMPRODUCT(ISNUMBER(MATCH(mod_st_stu,$B$155,0))*('Koszty operacyjne'!$K$114:$X$114=Moduły!L$73)*ISNUMBER(MATCH(st_stu_kw,tak,0)),st_stu)</f>
        <v>0</v>
      </c>
      <c r="M182" s="358" cm="1">
        <f t="array" ref="M182">SUMPRODUCT(ISNUMBER(MATCH(mod_st_stu,$B$155,0))*('Koszty operacyjne'!$K$114:$X$114=Moduły!M$73)*ISNUMBER(MATCH(st_stu_kw,tak,0)),st_stu)</f>
        <v>0</v>
      </c>
      <c r="N182" s="358" cm="1">
        <f t="array" ref="N182">SUMPRODUCT(ISNUMBER(MATCH(mod_st_stu,$B$155,0))*('Koszty operacyjne'!$K$114:$X$114=Moduły!N$73)*ISNUMBER(MATCH(st_stu_kw,tak,0)),st_stu)</f>
        <v>0</v>
      </c>
      <c r="O182" s="358" cm="1">
        <f t="array" ref="O182">SUMPRODUCT(ISNUMBER(MATCH(mod_st_stu,$B$155,0))*('Koszty operacyjne'!$K$114:$X$114=Moduły!O$73)*ISNUMBER(MATCH(st_stu_kw,tak,0)),st_stu)</f>
        <v>0</v>
      </c>
      <c r="P182" s="358" cm="1">
        <f t="array" ref="P182">SUMPRODUCT(ISNUMBER(MATCH(mod_st_stu,$B$155,0))*('Koszty operacyjne'!$K$114:$X$114=Moduły!P$73)*ISNUMBER(MATCH(st_stu_kw,tak,0)),st_stu)</f>
        <v>0</v>
      </c>
    </row>
    <row r="183" spans="2:16" ht="12" customHeight="1">
      <c r="B183" s="359" t="s">
        <v>96</v>
      </c>
      <c r="C183" s="360" cm="1">
        <f t="array" ref="C183">SUMPRODUCT(ISNUMBER(MATCH(mod_st_stu,$B$155,0))*('Koszty operacyjne'!$K$114:$X$114=Moduły!C$73)*ISNUMBER(MATCH(st_stu_kw,nie,0)),st_stu)</f>
        <v>0</v>
      </c>
      <c r="D183" s="360" cm="1">
        <f t="array" ref="D183">SUMPRODUCT(ISNUMBER(MATCH(mod_st_stu,$B$155,0))*('Koszty operacyjne'!$K$114:$X$114=Moduły!D$73)*ISNUMBER(MATCH(st_stu_kw,nie,0)),st_stu)</f>
        <v>0</v>
      </c>
      <c r="E183" s="360" cm="1">
        <f t="array" ref="E183">SUMPRODUCT(ISNUMBER(MATCH(mod_st_stu,$B$155,0))*('Koszty operacyjne'!$K$114:$X$114=Moduły!E$73)*ISNUMBER(MATCH(st_stu_kw,nie,0)),st_stu)</f>
        <v>0</v>
      </c>
      <c r="F183" s="360" cm="1">
        <f t="array" ref="F183">SUMPRODUCT(ISNUMBER(MATCH(mod_st_stu,$B$155,0))*('Koszty operacyjne'!$K$114:$X$114=Moduły!F$73)*ISNUMBER(MATCH(st_stu_kw,nie,0)),st_stu)</f>
        <v>0</v>
      </c>
      <c r="G183" s="360" cm="1">
        <f t="array" ref="G183">SUMPRODUCT(ISNUMBER(MATCH(mod_st_stu,$B$155,0))*('Koszty operacyjne'!$K$114:$X$114=Moduły!G$73)*ISNUMBER(MATCH(st_stu_kw,nie,0)),st_stu)</f>
        <v>0</v>
      </c>
      <c r="H183" s="360" cm="1">
        <f t="array" ref="H183">SUMPRODUCT(ISNUMBER(MATCH(mod_st_stu,$B$155,0))*('Koszty operacyjne'!$K$114:$X$114=Moduły!H$73)*ISNUMBER(MATCH(st_stu_kw,nie,0)),st_stu)</f>
        <v>0</v>
      </c>
      <c r="I183" s="360" cm="1">
        <f t="array" ref="I183">SUMPRODUCT(ISNUMBER(MATCH(mod_st_stu,$B$155,0))*('Koszty operacyjne'!$K$114:$X$114=Moduły!I$73)*ISNUMBER(MATCH(st_stu_kw,nie,0)),st_stu)</f>
        <v>0</v>
      </c>
      <c r="J183" s="360" cm="1">
        <f t="array" ref="J183">SUMPRODUCT(ISNUMBER(MATCH(mod_st_stu,$B$155,0))*('Koszty operacyjne'!$K$114:$X$114=Moduły!J$73)*ISNUMBER(MATCH(st_stu_kw,nie,0)),st_stu)</f>
        <v>0</v>
      </c>
      <c r="K183" s="361" cm="1">
        <f t="array" ref="K183">SUMPRODUCT(ISNUMBER(MATCH(mod_st_stu,$B$155,0))*('Koszty operacyjne'!$K$114:$X$114=Moduły!K$73)*ISNUMBER(MATCH(st_stu_kw,nie,0)),st_stu)</f>
        <v>0</v>
      </c>
      <c r="L183" s="361" cm="1">
        <f t="array" ref="L183">SUMPRODUCT(ISNUMBER(MATCH(mod_st_stu,$B$155,0))*('Koszty operacyjne'!$K$114:$X$114=Moduły!L$73)*ISNUMBER(MATCH(st_stu_kw,nie,0)),st_stu)</f>
        <v>0</v>
      </c>
      <c r="M183" s="361" cm="1">
        <f t="array" ref="M183">SUMPRODUCT(ISNUMBER(MATCH(mod_st_stu,$B$155,0))*('Koszty operacyjne'!$K$114:$X$114=Moduły!M$73)*ISNUMBER(MATCH(st_stu_kw,nie,0)),st_stu)</f>
        <v>0</v>
      </c>
      <c r="N183" s="361" cm="1">
        <f t="array" ref="N183">SUMPRODUCT(ISNUMBER(MATCH(mod_st_stu,$B$155,0))*('Koszty operacyjne'!$K$114:$X$114=Moduły!N$73)*ISNUMBER(MATCH(st_stu_kw,nie,0)),st_stu)</f>
        <v>0</v>
      </c>
      <c r="O183" s="361" cm="1">
        <f t="array" ref="O183">SUMPRODUCT(ISNUMBER(MATCH(mod_st_stu,$B$155,0))*('Koszty operacyjne'!$K$114:$X$114=Moduły!O$73)*ISNUMBER(MATCH(st_stu_kw,nie,0)),st_stu)</f>
        <v>0</v>
      </c>
      <c r="P183" s="361" cm="1">
        <f t="array" ref="P183">SUMPRODUCT(ISNUMBER(MATCH(mod_st_stu,$B$155,0))*('Koszty operacyjne'!$K$114:$X$114=Moduły!P$73)*ISNUMBER(MATCH(st_stu_kw,nie,0)),st_stu)</f>
        <v>0</v>
      </c>
    </row>
    <row r="184" spans="2:16" ht="3.9" customHeight="1">
      <c r="B184" s="8"/>
      <c r="C184" s="363"/>
      <c r="D184" s="363"/>
      <c r="E184" s="363"/>
      <c r="F184" s="363"/>
      <c r="G184" s="363"/>
      <c r="H184" s="363"/>
      <c r="I184" s="363"/>
      <c r="J184" s="363"/>
      <c r="K184" s="364"/>
      <c r="L184" s="364"/>
      <c r="M184" s="364"/>
      <c r="N184" s="364"/>
      <c r="O184" s="364"/>
      <c r="P184" s="364"/>
    </row>
    <row r="185" spans="2:16" ht="12" customHeight="1">
      <c r="B185" s="355" t="s">
        <v>102</v>
      </c>
      <c r="C185" s="356">
        <f t="shared" ref="C185:P185" si="79">SUM(C186:C187)</f>
        <v>0</v>
      </c>
      <c r="D185" s="356">
        <f t="shared" si="79"/>
        <v>0</v>
      </c>
      <c r="E185" s="356">
        <f t="shared" si="79"/>
        <v>0</v>
      </c>
      <c r="F185" s="356">
        <f t="shared" si="79"/>
        <v>0</v>
      </c>
      <c r="G185" s="356">
        <f t="shared" si="79"/>
        <v>0</v>
      </c>
      <c r="H185" s="356">
        <f t="shared" si="79"/>
        <v>0</v>
      </c>
      <c r="I185" s="356">
        <f t="shared" si="79"/>
        <v>0</v>
      </c>
      <c r="J185" s="356">
        <f t="shared" si="79"/>
        <v>0</v>
      </c>
      <c r="K185" s="356">
        <f t="shared" si="79"/>
        <v>0</v>
      </c>
      <c r="L185" s="356">
        <f t="shared" si="79"/>
        <v>0</v>
      </c>
      <c r="M185" s="356">
        <f t="shared" si="79"/>
        <v>0</v>
      </c>
      <c r="N185" s="356">
        <f t="shared" si="79"/>
        <v>0</v>
      </c>
      <c r="O185" s="356">
        <f t="shared" si="79"/>
        <v>0</v>
      </c>
      <c r="P185" s="356">
        <f t="shared" si="79"/>
        <v>0</v>
      </c>
    </row>
    <row r="186" spans="2:16" ht="12" customHeight="1">
      <c r="B186" s="357" t="s">
        <v>95</v>
      </c>
      <c r="C186" s="358" cm="1">
        <f t="array" ref="C186">SUMPRODUCT(ISNUMBER(MATCH(mod_st_ist,$B$155,0))*('Koszty operacyjne'!$K$114:$X$114=Moduły!C$73)*ISNUMBER(MATCH(st_ist_kw,tak,0)),st_ist)</f>
        <v>0</v>
      </c>
      <c r="D186" s="358" cm="1">
        <f t="array" ref="D186">SUMPRODUCT(ISNUMBER(MATCH(mod_st_ist,$B$155,0))*('Koszty operacyjne'!$K$114:$X$114=Moduły!D$73)*ISNUMBER(MATCH(st_ist_kw,tak,0)),st_ist)</f>
        <v>0</v>
      </c>
      <c r="E186" s="358" cm="1">
        <f t="array" ref="E186">SUMPRODUCT(ISNUMBER(MATCH(mod_st_ist,$B$155,0))*('Koszty operacyjne'!$K$114:$X$114=Moduły!E$73)*ISNUMBER(MATCH(st_ist_kw,tak,0)),st_ist)</f>
        <v>0</v>
      </c>
      <c r="F186" s="358" cm="1">
        <f t="array" ref="F186">SUMPRODUCT(ISNUMBER(MATCH(mod_st_ist,$B$155,0))*('Koszty operacyjne'!$K$114:$X$114=Moduły!F$73)*ISNUMBER(MATCH(st_ist_kw,tak,0)),st_ist)</f>
        <v>0</v>
      </c>
      <c r="G186" s="358" cm="1">
        <f t="array" ref="G186">SUMPRODUCT(ISNUMBER(MATCH(mod_st_ist,$B$155,0))*('Koszty operacyjne'!$K$114:$X$114=Moduły!G$73)*ISNUMBER(MATCH(st_ist_kw,tak,0)),st_ist)</f>
        <v>0</v>
      </c>
      <c r="H186" s="358" cm="1">
        <f t="array" ref="H186">SUMPRODUCT(ISNUMBER(MATCH(mod_st_ist,$B$155,0))*('Koszty operacyjne'!$K$114:$X$114=Moduły!H$73)*ISNUMBER(MATCH(st_ist_kw,tak,0)),st_ist)</f>
        <v>0</v>
      </c>
      <c r="I186" s="358" cm="1">
        <f t="array" ref="I186">SUMPRODUCT(ISNUMBER(MATCH(mod_st_ist,$B$155,0))*('Koszty operacyjne'!$K$114:$X$114=Moduły!I$73)*ISNUMBER(MATCH(st_ist_kw,tak,0)),st_ist)</f>
        <v>0</v>
      </c>
      <c r="J186" s="358" cm="1">
        <f t="array" ref="J186">SUMPRODUCT(ISNUMBER(MATCH(mod_st_ist,$B$155,0))*('Koszty operacyjne'!$K$114:$X$114=Moduły!J$73)*ISNUMBER(MATCH(st_ist_kw,tak,0)),st_ist)</f>
        <v>0</v>
      </c>
      <c r="K186" s="358" cm="1">
        <f t="array" ref="K186">SUMPRODUCT(ISNUMBER(MATCH(mod_st_ist,$B$155,0))*('Koszty operacyjne'!$K$114:$X$114=Moduły!K$73)*ISNUMBER(MATCH(st_ist_kw,tak,0)),st_ist)</f>
        <v>0</v>
      </c>
      <c r="L186" s="358" cm="1">
        <f t="array" ref="L186">SUMPRODUCT(ISNUMBER(MATCH(mod_st_ist,$B$155,0))*('Koszty operacyjne'!$K$114:$X$114=Moduły!L$73)*ISNUMBER(MATCH(st_ist_kw,tak,0)),st_ist)</f>
        <v>0</v>
      </c>
      <c r="M186" s="358" cm="1">
        <f t="array" ref="M186">SUMPRODUCT(ISNUMBER(MATCH(mod_st_ist,$B$155,0))*('Koszty operacyjne'!$K$114:$X$114=Moduły!M$73)*ISNUMBER(MATCH(st_ist_kw,tak,0)),st_ist)</f>
        <v>0</v>
      </c>
      <c r="N186" s="358" cm="1">
        <f t="array" ref="N186">SUMPRODUCT(ISNUMBER(MATCH(mod_st_ist,$B$155,0))*('Koszty operacyjne'!$K$114:$X$114=Moduły!N$73)*ISNUMBER(MATCH(st_ist_kw,tak,0)),st_ist)</f>
        <v>0</v>
      </c>
      <c r="O186" s="358" cm="1">
        <f t="array" ref="O186">SUMPRODUCT(ISNUMBER(MATCH(mod_st_ist,$B$155,0))*('Koszty operacyjne'!$K$114:$X$114=Moduły!O$73)*ISNUMBER(MATCH(st_ist_kw,tak,0)),st_ist)</f>
        <v>0</v>
      </c>
      <c r="P186" s="358" cm="1">
        <f t="array" ref="P186">SUMPRODUCT(ISNUMBER(MATCH(mod_st_ist,$B$155,0))*('Koszty operacyjne'!$K$114:$X$114=Moduły!P$73)*ISNUMBER(MATCH(st_ist_kw,tak,0)),st_ist)</f>
        <v>0</v>
      </c>
    </row>
    <row r="187" spans="2:16" ht="12" customHeight="1">
      <c r="B187" s="359" t="s">
        <v>96</v>
      </c>
      <c r="C187" s="360" cm="1">
        <f t="array" ref="C187">SUMPRODUCT(ISNUMBER(MATCH(mod_st_ist,$B$155,0))*('Koszty operacyjne'!$K$114:$X$114=Moduły!C$73)*ISNUMBER(MATCH(st_ist_kw,nie,0)),st_ist)</f>
        <v>0</v>
      </c>
      <c r="D187" s="360" cm="1">
        <f t="array" ref="D187">SUMPRODUCT(ISNUMBER(MATCH(mod_st_ist,$B$155,0))*('Koszty operacyjne'!$K$114:$X$114=Moduły!D$73)*ISNUMBER(MATCH(st_ist_kw,nie,0)),st_ist)</f>
        <v>0</v>
      </c>
      <c r="E187" s="360" cm="1">
        <f t="array" ref="E187">SUMPRODUCT(ISNUMBER(MATCH(mod_st_ist,$B$155,0))*('Koszty operacyjne'!$K$114:$X$114=Moduły!E$73)*ISNUMBER(MATCH(st_ist_kw,nie,0)),st_ist)</f>
        <v>0</v>
      </c>
      <c r="F187" s="360" cm="1">
        <f t="array" ref="F187">SUMPRODUCT(ISNUMBER(MATCH(mod_st_ist,$B$155,0))*('Koszty operacyjne'!$K$114:$X$114=Moduły!F$73)*ISNUMBER(MATCH(st_ist_kw,nie,0)),st_ist)</f>
        <v>0</v>
      </c>
      <c r="G187" s="360" cm="1">
        <f t="array" ref="G187">SUMPRODUCT(ISNUMBER(MATCH(mod_st_ist,$B$155,0))*('Koszty operacyjne'!$K$114:$X$114=Moduły!G$73)*ISNUMBER(MATCH(st_ist_kw,nie,0)),st_ist)</f>
        <v>0</v>
      </c>
      <c r="H187" s="360" cm="1">
        <f t="array" ref="H187">SUMPRODUCT(ISNUMBER(MATCH(mod_st_ist,$B$155,0))*('Koszty operacyjne'!$K$114:$X$114=Moduły!H$73)*ISNUMBER(MATCH(st_ist_kw,nie,0)),st_ist)</f>
        <v>0</v>
      </c>
      <c r="I187" s="360" cm="1">
        <f t="array" ref="I187">SUMPRODUCT(ISNUMBER(MATCH(mod_st_ist,$B$155,0))*('Koszty operacyjne'!$K$114:$X$114=Moduły!I$73)*ISNUMBER(MATCH(st_ist_kw,nie,0)),st_ist)</f>
        <v>0</v>
      </c>
      <c r="J187" s="360" cm="1">
        <f t="array" ref="J187">SUMPRODUCT(ISNUMBER(MATCH(mod_st_ist,$B$155,0))*('Koszty operacyjne'!$K$114:$X$114=Moduły!J$73)*ISNUMBER(MATCH(st_ist_kw,nie,0)),st_ist)</f>
        <v>0</v>
      </c>
      <c r="K187" s="361" cm="1">
        <f t="array" ref="K187">SUMPRODUCT(ISNUMBER(MATCH(mod_st_ist,$B$155,0))*('Koszty operacyjne'!$K$114:$X$114=Moduły!K$73)*ISNUMBER(MATCH(st_ist_kw,nie,0)),st_ist)</f>
        <v>0</v>
      </c>
      <c r="L187" s="361" cm="1">
        <f t="array" ref="L187">SUMPRODUCT(ISNUMBER(MATCH(mod_st_ist,$B$155,0))*('Koszty operacyjne'!$K$114:$X$114=Moduły!L$73)*ISNUMBER(MATCH(st_ist_kw,nie,0)),st_ist)</f>
        <v>0</v>
      </c>
      <c r="M187" s="361" cm="1">
        <f t="array" ref="M187">SUMPRODUCT(ISNUMBER(MATCH(mod_st_ist,$B$155,0))*('Koszty operacyjne'!$K$114:$X$114=Moduły!M$73)*ISNUMBER(MATCH(st_ist_kw,nie,0)),st_ist)</f>
        <v>0</v>
      </c>
      <c r="N187" s="361" cm="1">
        <f t="array" ref="N187">SUMPRODUCT(ISNUMBER(MATCH(mod_st_ist,$B$155,0))*('Koszty operacyjne'!$K$114:$X$114=Moduły!N$73)*ISNUMBER(MATCH(st_ist_kw,nie,0)),st_ist)</f>
        <v>0</v>
      </c>
      <c r="O187" s="361" cm="1">
        <f t="array" ref="O187">SUMPRODUCT(ISNUMBER(MATCH(mod_st_ist,$B$155,0))*('Koszty operacyjne'!$K$114:$X$114=Moduły!O$73)*ISNUMBER(MATCH(st_ist_kw,nie,0)),st_ist)</f>
        <v>0</v>
      </c>
      <c r="P187" s="361" cm="1">
        <f t="array" ref="P187">SUMPRODUCT(ISNUMBER(MATCH(mod_st_ist,$B$155,0))*('Koszty operacyjne'!$K$114:$X$114=Moduły!P$73)*ISNUMBER(MATCH(st_ist_kw,nie,0)),st_ist)</f>
        <v>0</v>
      </c>
    </row>
    <row r="188" spans="2:16"/>
    <row r="189" spans="2:16">
      <c r="B189" s="99" t="s">
        <v>104</v>
      </c>
      <c r="C189" s="98" cm="1">
        <f t="array" ref="C189">IF(C$62&lt;=Koniec,SUMPRODUCT(ISNUMBER(MATCH(mod_pp_ppu,$B$155,0))*('Koszty operacyjne'!$K$114:$X$114=Moduły!C$73),pp_ppu)+SUMPRODUCT(ISNUMBER(MATCH(mod_pp_ptim,$B$155,0))*('Koszty operacyjne'!$K$114:$X$114=Moduły!C$73),pp_ptim),0)</f>
        <v>0</v>
      </c>
      <c r="D189" s="98" cm="1">
        <f t="array" ref="D189">IF(D$62&lt;=Koniec,SUMPRODUCT(ISNUMBER(MATCH(mod_pp_ppu,$B$155,0))*('Koszty operacyjne'!$K$114:$X$114=Moduły!D$73),pp_ppu)+SUMPRODUCT(ISNUMBER(MATCH(mod_pp_ptim,$B$155,0))*('Koszty operacyjne'!$K$114:$X$114=Moduły!D$73),pp_ptim),0)</f>
        <v>0</v>
      </c>
      <c r="E189" s="98" cm="1">
        <f t="array" ref="E189">IF(E$62&lt;=Koniec,SUMPRODUCT(ISNUMBER(MATCH(mod_pp_ppu,$B$155,0))*('Koszty operacyjne'!$K$114:$X$114=Moduły!E$73),pp_ppu)+SUMPRODUCT(ISNUMBER(MATCH(mod_pp_ptim,$B$155,0))*('Koszty operacyjne'!$K$114:$X$114=Moduły!E$73),pp_ptim),0)</f>
        <v>0</v>
      </c>
      <c r="F189" s="98" cm="1">
        <f t="array" ref="F189">IF(F$62&lt;=Koniec,SUMPRODUCT(ISNUMBER(MATCH(mod_pp_ppu,$B$155,0))*('Koszty operacyjne'!$K$114:$X$114=Moduły!F$73),pp_ppu)+SUMPRODUCT(ISNUMBER(MATCH(mod_pp_ptim,$B$155,0))*('Koszty operacyjne'!$K$114:$X$114=Moduły!F$73),pp_ptim),0)</f>
        <v>0</v>
      </c>
      <c r="G189" s="98" cm="1">
        <f t="array" ref="G189">IF(G$62&lt;=Koniec,SUMPRODUCT(ISNUMBER(MATCH(mod_pp_ppu,$B$155,0))*('Koszty operacyjne'!$K$114:$X$114=Moduły!G$73),pp_ppu)+SUMPRODUCT(ISNUMBER(MATCH(mod_pp_ptim,$B$155,0))*('Koszty operacyjne'!$K$114:$X$114=Moduły!G$73),pp_ptim),0)</f>
        <v>0</v>
      </c>
      <c r="H189" s="98" cm="1">
        <f t="array" ref="H189">IF(H$62&lt;=Koniec,SUMPRODUCT(ISNUMBER(MATCH(mod_pp_ppu,$B$155,0))*('Koszty operacyjne'!$K$114:$X$114=Moduły!H$73),pp_ppu)+SUMPRODUCT(ISNUMBER(MATCH(mod_pp_ptim,$B$155,0))*('Koszty operacyjne'!$K$114:$X$114=Moduły!H$73),pp_ptim),0)</f>
        <v>0</v>
      </c>
      <c r="I189" s="98" cm="1">
        <f t="array" ref="I189">IF(I$62&lt;=Koniec,SUMPRODUCT(ISNUMBER(MATCH(mod_pp_ppu,$B$155,0))*('Koszty operacyjne'!$K$114:$X$114=Moduły!I$73),pp_ppu)+SUMPRODUCT(ISNUMBER(MATCH(mod_pp_ptim,$B$155,0))*('Koszty operacyjne'!$K$114:$X$114=Moduły!I$73),pp_ptim),0)</f>
        <v>0</v>
      </c>
      <c r="J189" s="98" cm="1">
        <f t="array" ref="J189">IF(J$62&lt;=Koniec,SUMPRODUCT(ISNUMBER(MATCH(mod_pp_ppu,$B$155,0))*('Koszty operacyjne'!$K$114:$X$114=Moduły!J$73),pp_ppu)+SUMPRODUCT(ISNUMBER(MATCH(mod_pp_ptim,$B$155,0))*('Koszty operacyjne'!$K$114:$X$114=Moduły!J$73),pp_ptim),0)</f>
        <v>0</v>
      </c>
      <c r="K189" s="98" cm="1">
        <f t="array" ref="K189">IF(K$62&lt;=Koniec,SUMPRODUCT(ISNUMBER(MATCH(mod_pp_ppu,$B$155,0))*('Koszty operacyjne'!$K$114:$X$114=Moduły!K$73),pp_ppu)+SUMPRODUCT(ISNUMBER(MATCH(mod_pp_ptim,$B$155,0))*('Koszty operacyjne'!$K$114:$X$114=Moduły!K$73),pp_ptim),0)</f>
        <v>0</v>
      </c>
      <c r="L189" s="98" cm="1">
        <f t="array" ref="L189">IF(L$62&lt;=Koniec,SUMPRODUCT(ISNUMBER(MATCH(mod_pp_ppu,$B$155,0))*('Koszty operacyjne'!$K$114:$X$114=Moduły!L$73),pp_ppu)+SUMPRODUCT(ISNUMBER(MATCH(mod_pp_ptim,$B$155,0))*('Koszty operacyjne'!$K$114:$X$114=Moduły!L$73),pp_ptim),0)</f>
        <v>0</v>
      </c>
      <c r="M189" s="98" cm="1">
        <f t="array" ref="M189">IF(M$62&lt;=Koniec,SUMPRODUCT(ISNUMBER(MATCH(mod_pp_ppu,$B$155,0))*('Koszty operacyjne'!$K$114:$X$114=Moduły!M$73),pp_ppu)+SUMPRODUCT(ISNUMBER(MATCH(mod_pp_ptim,$B$155,0))*('Koszty operacyjne'!$K$114:$X$114=Moduły!M$73),pp_ptim),0)</f>
        <v>0</v>
      </c>
      <c r="N189" s="98" cm="1">
        <f t="array" ref="N189">IF(N$62&lt;=Koniec,SUMPRODUCT(ISNUMBER(MATCH(mod_pp_ppu,$B$155,0))*('Koszty operacyjne'!$K$114:$X$114=Moduły!N$73),pp_ppu)+SUMPRODUCT(ISNUMBER(MATCH(mod_pp_ptim,$B$155,0))*('Koszty operacyjne'!$K$114:$X$114=Moduły!N$73),pp_ptim),0)</f>
        <v>0</v>
      </c>
      <c r="O189" s="98" cm="1">
        <f t="array" ref="O189">IF(O$62&lt;=Koniec,SUMPRODUCT(ISNUMBER(MATCH(mod_pp_ppu,$B$155,0))*('Koszty operacyjne'!$K$114:$X$114=Moduły!O$73),pp_ppu)+SUMPRODUCT(ISNUMBER(MATCH(mod_pp_ptim,$B$155,0))*('Koszty operacyjne'!$K$114:$X$114=Moduły!O$73),pp_ptim),0)</f>
        <v>0</v>
      </c>
      <c r="P189" s="98" cm="1">
        <f t="array" ref="P189">IF(P$62&lt;=Koniec,SUMPRODUCT(ISNUMBER(MATCH(mod_pp_ppu,$B$155,0))*('Koszty operacyjne'!$K$114:$X$114=Moduły!P$73),pp_ppu)+SUMPRODUCT(ISNUMBER(MATCH(mod_pp_ptim,$B$155,0))*('Koszty operacyjne'!$K$114:$X$114=Moduły!P$73),pp_ptim),0)</f>
        <v>0</v>
      </c>
    </row>
    <row r="190" spans="2:16" ht="3.9" customHeight="1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</row>
    <row r="191" spans="2:16">
      <c r="B191" s="99" t="s">
        <v>105</v>
      </c>
      <c r="C191" s="98">
        <f t="shared" ref="C191:P191" ca="1" si="80">IF(C$62&lt;=Koniec,SUM(C192:C199),0)</f>
        <v>0</v>
      </c>
      <c r="D191" s="98">
        <f t="shared" ca="1" si="80"/>
        <v>0</v>
      </c>
      <c r="E191" s="98">
        <f t="shared" ca="1" si="80"/>
        <v>0</v>
      </c>
      <c r="F191" s="98">
        <f t="shared" ca="1" si="80"/>
        <v>0</v>
      </c>
      <c r="G191" s="98">
        <f t="shared" ca="1" si="80"/>
        <v>0</v>
      </c>
      <c r="H191" s="98">
        <f t="shared" ca="1" si="80"/>
        <v>0</v>
      </c>
      <c r="I191" s="98">
        <f t="shared" ca="1" si="80"/>
        <v>0</v>
      </c>
      <c r="J191" s="98">
        <f t="shared" ca="1" si="80"/>
        <v>0</v>
      </c>
      <c r="K191" s="98">
        <f t="shared" ca="1" si="80"/>
        <v>0</v>
      </c>
      <c r="L191" s="98">
        <f t="shared" ca="1" si="80"/>
        <v>0</v>
      </c>
      <c r="M191" s="98">
        <f t="shared" ca="1" si="80"/>
        <v>0</v>
      </c>
      <c r="N191" s="98">
        <f t="shared" ca="1" si="80"/>
        <v>0</v>
      </c>
      <c r="O191" s="98">
        <f t="shared" ca="1" si="80"/>
        <v>0</v>
      </c>
      <c r="P191" s="98">
        <f t="shared" ca="1" si="80"/>
        <v>0</v>
      </c>
    </row>
    <row r="192" spans="2:16">
      <c r="B192" s="104" t="s">
        <v>106</v>
      </c>
      <c r="C192" s="103" cm="1">
        <f t="array" aca="1" ref="C192" ca="1">IF(C$62&lt;=Koniec,SUMPRODUCT(ISNUMBER(MATCH(mod_st_am,$B$155,0))*('Koszty operacyjne'!$K$114:$X$114=Moduły!C$73),st_am),0)</f>
        <v>0</v>
      </c>
      <c r="D192" s="103" cm="1">
        <f t="array" aca="1" ref="D192" ca="1">IF(D$62&lt;=Koniec,SUMPRODUCT(ISNUMBER(MATCH(mod_st_am,$B$155,0))*('Koszty operacyjne'!$K$114:$X$114=Moduły!D$73),st_am),0)</f>
        <v>0</v>
      </c>
      <c r="E192" s="103" cm="1">
        <f t="array" aca="1" ref="E192" ca="1">IF(E$62&lt;=Koniec,SUMPRODUCT(ISNUMBER(MATCH(mod_st_am,$B$155,0))*('Koszty operacyjne'!$K$114:$X$114=Moduły!E$73),st_am),0)</f>
        <v>0</v>
      </c>
      <c r="F192" s="103" cm="1">
        <f t="array" aca="1" ref="F192" ca="1">IF(F$62&lt;=Koniec,SUMPRODUCT(ISNUMBER(MATCH(mod_st_am,$B$155,0))*('Koszty operacyjne'!$K$114:$X$114=Moduły!F$73),st_am),0)</f>
        <v>0</v>
      </c>
      <c r="G192" s="103" cm="1">
        <f t="array" aca="1" ref="G192" ca="1">IF(G$62&lt;=Koniec,SUMPRODUCT(ISNUMBER(MATCH(mod_st_am,$B$155,0))*('Koszty operacyjne'!$K$114:$X$114=Moduły!G$73),st_am),0)</f>
        <v>0</v>
      </c>
      <c r="H192" s="103" cm="1">
        <f t="array" aca="1" ref="H192" ca="1">IF(H$62&lt;=Koniec,SUMPRODUCT(ISNUMBER(MATCH(mod_st_am,$B$155,0))*('Koszty operacyjne'!$K$114:$X$114=Moduły!H$73),st_am),0)</f>
        <v>0</v>
      </c>
      <c r="I192" s="103" cm="1">
        <f t="array" aca="1" ref="I192" ca="1">IF(I$62&lt;=Koniec,SUMPRODUCT(ISNUMBER(MATCH(mod_st_am,$B$155,0))*('Koszty operacyjne'!$K$114:$X$114=Moduły!I$73),st_am),0)</f>
        <v>0</v>
      </c>
      <c r="J192" s="103" cm="1">
        <f t="array" aca="1" ref="J192" ca="1">IF(J$62&lt;=Koniec,SUMPRODUCT(ISNUMBER(MATCH(mod_st_am,$B$155,0))*('Koszty operacyjne'!$K$114:$X$114=Moduły!J$73),st_am),0)</f>
        <v>0</v>
      </c>
      <c r="K192" s="103" cm="1">
        <f t="array" aca="1" ref="K192" ca="1">IF(K$62&lt;=Koniec,SUMPRODUCT(ISNUMBER(MATCH(mod_st_am,$B$155,0))*('Koszty operacyjne'!$K$114:$X$114=Moduły!K$73),st_am),0)</f>
        <v>0</v>
      </c>
      <c r="L192" s="103" cm="1">
        <f t="array" aca="1" ref="L192" ca="1">IF(L$62&lt;=Koniec,SUMPRODUCT(ISNUMBER(MATCH(mod_st_am,$B$155,0))*('Koszty operacyjne'!$K$114:$X$114=Moduły!L$73),st_am),0)</f>
        <v>0</v>
      </c>
      <c r="M192" s="103" cm="1">
        <f t="array" aca="1" ref="M192" ca="1">IF(M$62&lt;=Koniec,SUMPRODUCT(ISNUMBER(MATCH(mod_st_am,$B$155,0))*('Koszty operacyjne'!$K$114:$X$114=Moduły!M$73),st_am),0)</f>
        <v>0</v>
      </c>
      <c r="N192" s="103" cm="1">
        <f t="array" aca="1" ref="N192" ca="1">IF(N$62&lt;=Koniec,SUMPRODUCT(ISNUMBER(MATCH(mod_st_am,$B$155,0))*('Koszty operacyjne'!$K$114:$X$114=Moduły!N$73),st_am),0)</f>
        <v>0</v>
      </c>
      <c r="O192" s="103" cm="1">
        <f t="array" aca="1" ref="O192" ca="1">IF(O$62&lt;=Koniec,SUMPRODUCT(ISNUMBER(MATCH(mod_st_am,$B$155,0))*('Koszty operacyjne'!$K$114:$X$114=Moduły!O$73),st_am),0)</f>
        <v>0</v>
      </c>
      <c r="P192" s="103" cm="1">
        <f t="array" aca="1" ref="P192" ca="1">IF(P$62&lt;=Koniec,SUMPRODUCT(ISNUMBER(MATCH(mod_st_am,$B$155,0))*('Koszty operacyjne'!$K$114:$X$114=Moduły!P$73),st_am),0)</f>
        <v>0</v>
      </c>
    </row>
    <row r="193" spans="2:16">
      <c r="B193" s="37" t="s">
        <v>107</v>
      </c>
      <c r="C193" s="33" cm="1">
        <f t="array" ref="C193">IF(C$62&lt;=Koniec,SUMPRODUCT(ISNUMBER(MATCH(mod_ko_zme,$B$155,0))*('Koszty operacyjne'!$K$114:$X$114=Moduły!C$73),ko_zme),0)</f>
        <v>0</v>
      </c>
      <c r="D193" s="33" cm="1">
        <f t="array" ref="D193">IF(D$62&lt;=Koniec,SUMPRODUCT(ISNUMBER(MATCH(mod_ko_zme,$B$155,0))*('Koszty operacyjne'!$K$114:$X$114=Moduły!D$73),ko_zme),0)</f>
        <v>0</v>
      </c>
      <c r="E193" s="33" cm="1">
        <f t="array" ref="E193">IF(E$62&lt;=Koniec,SUMPRODUCT(ISNUMBER(MATCH(mod_ko_zme,$B$155,0))*('Koszty operacyjne'!$K$114:$X$114=Moduły!E$73),ko_zme),0)</f>
        <v>0</v>
      </c>
      <c r="F193" s="33" cm="1">
        <f t="array" ref="F193">IF(F$62&lt;=Koniec,SUMPRODUCT(ISNUMBER(MATCH(mod_ko_zme,$B$155,0))*('Koszty operacyjne'!$K$114:$X$114=Moduły!F$73),ko_zme),0)</f>
        <v>0</v>
      </c>
      <c r="G193" s="33" cm="1">
        <f t="array" ref="G193">IF(G$62&lt;=Koniec,SUMPRODUCT(ISNUMBER(MATCH(mod_ko_zme,$B$155,0))*('Koszty operacyjne'!$K$114:$X$114=Moduły!G$73),ko_zme),0)</f>
        <v>0</v>
      </c>
      <c r="H193" s="33" cm="1">
        <f t="array" ref="H193">IF(H$62&lt;=Koniec,SUMPRODUCT(ISNUMBER(MATCH(mod_ko_zme,$B$155,0))*('Koszty operacyjne'!$K$114:$X$114=Moduły!H$73),ko_zme),0)</f>
        <v>0</v>
      </c>
      <c r="I193" s="33" cm="1">
        <f t="array" ref="I193">IF(I$62&lt;=Koniec,SUMPRODUCT(ISNUMBER(MATCH(mod_ko_zme,$B$155,0))*('Koszty operacyjne'!$K$114:$X$114=Moduły!I$73),ko_zme),0)</f>
        <v>0</v>
      </c>
      <c r="J193" s="33" cm="1">
        <f t="array" ref="J193">IF(J$62&lt;=Koniec,SUMPRODUCT(ISNUMBER(MATCH(mod_ko_zme,$B$155,0))*('Koszty operacyjne'!$K$114:$X$114=Moduły!J$73),ko_zme),0)</f>
        <v>0</v>
      </c>
      <c r="K193" s="33" cm="1">
        <f t="array" ref="K193">IF(K$62&lt;=Koniec,SUMPRODUCT(ISNUMBER(MATCH(mod_ko_zme,$B$155,0))*('Koszty operacyjne'!$K$114:$X$114=Moduły!K$73),ko_zme),0)</f>
        <v>0</v>
      </c>
      <c r="L193" s="33" cm="1">
        <f t="array" ref="L193">IF(L$62&lt;=Koniec,SUMPRODUCT(ISNUMBER(MATCH(mod_ko_zme,$B$155,0))*('Koszty operacyjne'!$K$114:$X$114=Moduły!L$73),ko_zme),0)</f>
        <v>0</v>
      </c>
      <c r="M193" s="33" cm="1">
        <f t="array" ref="M193">IF(M$62&lt;=Koniec,SUMPRODUCT(ISNUMBER(MATCH(mod_ko_zme,$B$155,0))*('Koszty operacyjne'!$K$114:$X$114=Moduły!M$73),ko_zme),0)</f>
        <v>0</v>
      </c>
      <c r="N193" s="33" cm="1">
        <f t="array" ref="N193">IF(N$62&lt;=Koniec,SUMPRODUCT(ISNUMBER(MATCH(mod_ko_zme,$B$155,0))*('Koszty operacyjne'!$K$114:$X$114=Moduły!N$73),ko_zme),0)</f>
        <v>0</v>
      </c>
      <c r="O193" s="33" cm="1">
        <f t="array" ref="O193">IF(O$62&lt;=Koniec,SUMPRODUCT(ISNUMBER(MATCH(mod_ko_zme,$B$155,0))*('Koszty operacyjne'!$K$114:$X$114=Moduły!O$73),ko_zme),0)</f>
        <v>0</v>
      </c>
      <c r="P193" s="33" cm="1">
        <f t="array" ref="P193">IF(P$62&lt;=Koniec,SUMPRODUCT(ISNUMBER(MATCH(mod_ko_zme,$B$155,0))*('Koszty operacyjne'!$K$114:$X$114=Moduły!P$73),ko_zme),0)</f>
        <v>0</v>
      </c>
    </row>
    <row r="194" spans="2:16">
      <c r="B194" s="37" t="s">
        <v>108</v>
      </c>
      <c r="C194" s="33" cm="1">
        <f t="array" ref="C194">IF(C$62&lt;=Koniec,SUMPRODUCT(ISNUMBER(MATCH(mod_ko_uoe,$B$155,0))*('Koszty operacyjne'!$K$114:$X$114=Moduły!C$73),ko_uoe),0)</f>
        <v>0</v>
      </c>
      <c r="D194" s="33" cm="1">
        <f t="array" ref="D194">IF(D$62&lt;=Koniec,SUMPRODUCT(ISNUMBER(MATCH(mod_ko_uoe,$B$155,0))*('Koszty operacyjne'!$K$114:$X$114=Moduły!D$73),ko_uoe),0)</f>
        <v>0</v>
      </c>
      <c r="E194" s="33" cm="1">
        <f t="array" ref="E194">IF(E$62&lt;=Koniec,SUMPRODUCT(ISNUMBER(MATCH(mod_ko_uoe,$B$155,0))*('Koszty operacyjne'!$K$114:$X$114=Moduły!E$73),ko_uoe),0)</f>
        <v>0</v>
      </c>
      <c r="F194" s="33" cm="1">
        <f t="array" ref="F194">IF(F$62&lt;=Koniec,SUMPRODUCT(ISNUMBER(MATCH(mod_ko_uoe,$B$155,0))*('Koszty operacyjne'!$K$114:$X$114=Moduły!F$73),ko_uoe),0)</f>
        <v>0</v>
      </c>
      <c r="G194" s="33" cm="1">
        <f t="array" ref="G194">IF(G$62&lt;=Koniec,SUMPRODUCT(ISNUMBER(MATCH(mod_ko_uoe,$B$155,0))*('Koszty operacyjne'!$K$114:$X$114=Moduły!G$73),ko_uoe),0)</f>
        <v>0</v>
      </c>
      <c r="H194" s="33" cm="1">
        <f t="array" ref="H194">IF(H$62&lt;=Koniec,SUMPRODUCT(ISNUMBER(MATCH(mod_ko_uoe,$B$155,0))*('Koszty operacyjne'!$K$114:$X$114=Moduły!H$73),ko_uoe),0)</f>
        <v>0</v>
      </c>
      <c r="I194" s="33" cm="1">
        <f t="array" ref="I194">IF(I$62&lt;=Koniec,SUMPRODUCT(ISNUMBER(MATCH(mod_ko_uoe,$B$155,0))*('Koszty operacyjne'!$K$114:$X$114=Moduły!I$73),ko_uoe),0)</f>
        <v>0</v>
      </c>
      <c r="J194" s="33" cm="1">
        <f t="array" ref="J194">IF(J$62&lt;=Koniec,SUMPRODUCT(ISNUMBER(MATCH(mod_ko_uoe,$B$155,0))*('Koszty operacyjne'!$K$114:$X$114=Moduły!J$73),ko_uoe),0)</f>
        <v>0</v>
      </c>
      <c r="K194" s="33" cm="1">
        <f t="array" ref="K194">IF(K$62&lt;=Koniec,SUMPRODUCT(ISNUMBER(MATCH(mod_ko_uoe,$B$155,0))*('Koszty operacyjne'!$K$114:$X$114=Moduły!K$73),ko_uoe),0)</f>
        <v>0</v>
      </c>
      <c r="L194" s="33" cm="1">
        <f t="array" ref="L194">IF(L$62&lt;=Koniec,SUMPRODUCT(ISNUMBER(MATCH(mod_ko_uoe,$B$155,0))*('Koszty operacyjne'!$K$114:$X$114=Moduły!L$73),ko_uoe),0)</f>
        <v>0</v>
      </c>
      <c r="M194" s="33" cm="1">
        <f t="array" ref="M194">IF(M$62&lt;=Koniec,SUMPRODUCT(ISNUMBER(MATCH(mod_ko_uoe,$B$155,0))*('Koszty operacyjne'!$K$114:$X$114=Moduły!M$73),ko_uoe),0)</f>
        <v>0</v>
      </c>
      <c r="N194" s="33" cm="1">
        <f t="array" ref="N194">IF(N$62&lt;=Koniec,SUMPRODUCT(ISNUMBER(MATCH(mod_ko_uoe,$B$155,0))*('Koszty operacyjne'!$K$114:$X$114=Moduły!N$73),ko_uoe),0)</f>
        <v>0</v>
      </c>
      <c r="O194" s="33" cm="1">
        <f t="array" ref="O194">IF(O$62&lt;=Koniec,SUMPRODUCT(ISNUMBER(MATCH(mod_ko_uoe,$B$155,0))*('Koszty operacyjne'!$K$114:$X$114=Moduły!O$73),ko_uoe),0)</f>
        <v>0</v>
      </c>
      <c r="P194" s="33" cm="1">
        <f t="array" ref="P194">IF(P$62&lt;=Koniec,SUMPRODUCT(ISNUMBER(MATCH(mod_ko_uoe,$B$155,0))*('Koszty operacyjne'!$K$114:$X$114=Moduły!P$73),ko_uoe),0)</f>
        <v>0</v>
      </c>
    </row>
    <row r="195" spans="2:16">
      <c r="B195" s="37" t="s">
        <v>778</v>
      </c>
      <c r="C195" s="33" cm="1">
        <f t="array" ref="C195">IF(C$62&lt;=Koniec,SUMPRODUCT(ISNUMBER(MATCH(mod_ko_pio,$B$155,0))*('Koszty operacyjne'!$K$114:$X$114=Moduły!C$73),ko_pio),0)</f>
        <v>0</v>
      </c>
      <c r="D195" s="33" cm="1">
        <f t="array" ref="D195">IF(D$62&lt;=Koniec,SUMPRODUCT(ISNUMBER(MATCH(mod_ko_pio,$B$155,0))*('Koszty operacyjne'!$K$114:$X$114=Moduły!D$73),ko_pio),0)</f>
        <v>0</v>
      </c>
      <c r="E195" s="33" cm="1">
        <f t="array" ref="E195">IF(E$62&lt;=Koniec,SUMPRODUCT(ISNUMBER(MATCH(mod_ko_pio,$B$155,0))*('Koszty operacyjne'!$K$114:$X$114=Moduły!E$73),ko_pio),0)</f>
        <v>0</v>
      </c>
      <c r="F195" s="33" cm="1">
        <f t="array" ref="F195">IF(F$62&lt;=Koniec,SUMPRODUCT(ISNUMBER(MATCH(mod_ko_pio,$B$155,0))*('Koszty operacyjne'!$K$114:$X$114=Moduły!F$73),ko_pio),0)</f>
        <v>0</v>
      </c>
      <c r="G195" s="33" cm="1">
        <f t="array" ref="G195">IF(G$62&lt;=Koniec,SUMPRODUCT(ISNUMBER(MATCH(mod_ko_pio,$B$155,0))*('Koszty operacyjne'!$K$114:$X$114=Moduły!G$73),ko_pio),0)</f>
        <v>0</v>
      </c>
      <c r="H195" s="33" cm="1">
        <f t="array" ref="H195">IF(H$62&lt;=Koniec,SUMPRODUCT(ISNUMBER(MATCH(mod_ko_pio,$B$155,0))*('Koszty operacyjne'!$K$114:$X$114=Moduły!H$73),ko_pio),0)</f>
        <v>0</v>
      </c>
      <c r="I195" s="33" cm="1">
        <f t="array" ref="I195">IF(I$62&lt;=Koniec,SUMPRODUCT(ISNUMBER(MATCH(mod_ko_pio,$B$155,0))*('Koszty operacyjne'!$K$114:$X$114=Moduły!I$73),ko_pio),0)</f>
        <v>0</v>
      </c>
      <c r="J195" s="33" cm="1">
        <f t="array" ref="J195">IF(J$62&lt;=Koniec,SUMPRODUCT(ISNUMBER(MATCH(mod_ko_pio,$B$155,0))*('Koszty operacyjne'!$K$114:$X$114=Moduły!J$73),ko_pio),0)</f>
        <v>0</v>
      </c>
      <c r="K195" s="33" cm="1">
        <f t="array" ref="K195">IF(K$62&lt;=Koniec,SUMPRODUCT(ISNUMBER(MATCH(mod_ko_pio,$B$155,0))*('Koszty operacyjne'!$K$114:$X$114=Moduły!K$73),ko_pio),0)</f>
        <v>0</v>
      </c>
      <c r="L195" s="33" cm="1">
        <f t="array" ref="L195">IF(L$62&lt;=Koniec,SUMPRODUCT(ISNUMBER(MATCH(mod_ko_pio,$B$155,0))*('Koszty operacyjne'!$K$114:$X$114=Moduły!L$73),ko_pio),0)</f>
        <v>0</v>
      </c>
      <c r="M195" s="33" cm="1">
        <f t="array" ref="M195">IF(M$62&lt;=Koniec,SUMPRODUCT(ISNUMBER(MATCH(mod_ko_pio,$B$155,0))*('Koszty operacyjne'!$K$114:$X$114=Moduły!M$73),ko_pio),0)</f>
        <v>0</v>
      </c>
      <c r="N195" s="33" cm="1">
        <f t="array" ref="N195">IF(N$62&lt;=Koniec,SUMPRODUCT(ISNUMBER(MATCH(mod_ko_pio,$B$155,0))*('Koszty operacyjne'!$K$114:$X$114=Moduły!N$73),ko_pio),0)</f>
        <v>0</v>
      </c>
      <c r="O195" s="33" cm="1">
        <f t="array" ref="O195">IF(O$62&lt;=Koniec,SUMPRODUCT(ISNUMBER(MATCH(mod_ko_pio,$B$155,0))*('Koszty operacyjne'!$K$114:$X$114=Moduły!O$73),ko_pio),0)</f>
        <v>0</v>
      </c>
      <c r="P195" s="33" cm="1">
        <f t="array" ref="P195">IF(P$62&lt;=Koniec,SUMPRODUCT(ISNUMBER(MATCH(mod_ko_pio,$B$155,0))*('Koszty operacyjne'!$K$114:$X$114=Moduły!P$73),ko_pio),0)</f>
        <v>0</v>
      </c>
    </row>
    <row r="196" spans="2:16">
      <c r="B196" s="37" t="s">
        <v>109</v>
      </c>
      <c r="C196" s="33" cm="1">
        <f t="array" ref="C196">IF(C$62&lt;=Koniec,SUMPRODUCT(ISNUMBER(MATCH(mod_ko_wyn,$B$155,0))*('Koszty operacyjne'!$K$114:$X$114=Moduły!C$73),ko_wyn),0)</f>
        <v>0</v>
      </c>
      <c r="D196" s="33" cm="1">
        <f t="array" ref="D196">IF(D$62&lt;=Koniec,SUMPRODUCT(ISNUMBER(MATCH(mod_ko_wyn,$B$155,0))*('Koszty operacyjne'!$K$114:$X$114=Moduły!D$73),ko_wyn),0)</f>
        <v>0</v>
      </c>
      <c r="E196" s="33" cm="1">
        <f t="array" ref="E196">IF(E$62&lt;=Koniec,SUMPRODUCT(ISNUMBER(MATCH(mod_ko_wyn,$B$155,0))*('Koszty operacyjne'!$K$114:$X$114=Moduły!E$73),ko_wyn),0)</f>
        <v>0</v>
      </c>
      <c r="F196" s="33" cm="1">
        <f t="array" ref="F196">IF(F$62&lt;=Koniec,SUMPRODUCT(ISNUMBER(MATCH(mod_ko_wyn,$B$155,0))*('Koszty operacyjne'!$K$114:$X$114=Moduły!F$73),ko_wyn),0)</f>
        <v>0</v>
      </c>
      <c r="G196" s="33" cm="1">
        <f t="array" ref="G196">IF(G$62&lt;=Koniec,SUMPRODUCT(ISNUMBER(MATCH(mod_ko_wyn,$B$155,0))*('Koszty operacyjne'!$K$114:$X$114=Moduły!G$73),ko_wyn),0)</f>
        <v>0</v>
      </c>
      <c r="H196" s="33" cm="1">
        <f t="array" ref="H196">IF(H$62&lt;=Koniec,SUMPRODUCT(ISNUMBER(MATCH(mod_ko_wyn,$B$155,0))*('Koszty operacyjne'!$K$114:$X$114=Moduły!H$73),ko_wyn),0)</f>
        <v>0</v>
      </c>
      <c r="I196" s="33" cm="1">
        <f t="array" ref="I196">IF(I$62&lt;=Koniec,SUMPRODUCT(ISNUMBER(MATCH(mod_ko_wyn,$B$155,0))*('Koszty operacyjne'!$K$114:$X$114=Moduły!I$73),ko_wyn),0)</f>
        <v>0</v>
      </c>
      <c r="J196" s="33" cm="1">
        <f t="array" ref="J196">IF(J$62&lt;=Koniec,SUMPRODUCT(ISNUMBER(MATCH(mod_ko_wyn,$B$155,0))*('Koszty operacyjne'!$K$114:$X$114=Moduły!J$73),ko_wyn),0)</f>
        <v>0</v>
      </c>
      <c r="K196" s="33" cm="1">
        <f t="array" ref="K196">IF(K$62&lt;=Koniec,SUMPRODUCT(ISNUMBER(MATCH(mod_ko_wyn,$B$155,0))*('Koszty operacyjne'!$K$114:$X$114=Moduły!K$73),ko_wyn),0)</f>
        <v>0</v>
      </c>
      <c r="L196" s="33" cm="1">
        <f t="array" ref="L196">IF(L$62&lt;=Koniec,SUMPRODUCT(ISNUMBER(MATCH(mod_ko_wyn,$B$155,0))*('Koszty operacyjne'!$K$114:$X$114=Moduły!L$73),ko_wyn),0)</f>
        <v>0</v>
      </c>
      <c r="M196" s="33" cm="1">
        <f t="array" ref="M196">IF(M$62&lt;=Koniec,SUMPRODUCT(ISNUMBER(MATCH(mod_ko_wyn,$B$155,0))*('Koszty operacyjne'!$K$114:$X$114=Moduły!M$73),ko_wyn),0)</f>
        <v>0</v>
      </c>
      <c r="N196" s="33" cm="1">
        <f t="array" ref="N196">IF(N$62&lt;=Koniec,SUMPRODUCT(ISNUMBER(MATCH(mod_ko_wyn,$B$155,0))*('Koszty operacyjne'!$K$114:$X$114=Moduły!N$73),ko_wyn),0)</f>
        <v>0</v>
      </c>
      <c r="O196" s="33" cm="1">
        <f t="array" ref="O196">IF(O$62&lt;=Koniec,SUMPRODUCT(ISNUMBER(MATCH(mod_ko_wyn,$B$155,0))*('Koszty operacyjne'!$K$114:$X$114=Moduły!O$73),ko_wyn),0)</f>
        <v>0</v>
      </c>
      <c r="P196" s="33" cm="1">
        <f t="array" ref="P196">IF(P$62&lt;=Koniec,SUMPRODUCT(ISNUMBER(MATCH(mod_ko_wyn,$B$155,0))*('Koszty operacyjne'!$K$114:$X$114=Moduły!P$73),ko_wyn),0)</f>
        <v>0</v>
      </c>
    </row>
    <row r="197" spans="2:16">
      <c r="B197" s="37" t="s">
        <v>110</v>
      </c>
      <c r="C197" s="33" cm="1">
        <f t="array" ref="C197">IF(C$62&lt;=Koniec,SUMPRODUCT(ISNUMBER(MATCH(mod_ko_zus,$B$155,0))*('Koszty operacyjne'!$K$114:$X$114=Moduły!C$73),ko_zus),0)</f>
        <v>0</v>
      </c>
      <c r="D197" s="33" cm="1">
        <f t="array" ref="D197">IF(D$62&lt;=Koniec,SUMPRODUCT(ISNUMBER(MATCH(mod_ko_zus,$B$155,0))*('Koszty operacyjne'!$K$114:$X$114=Moduły!D$73),ko_zus),0)</f>
        <v>0</v>
      </c>
      <c r="E197" s="33" cm="1">
        <f t="array" ref="E197">IF(E$62&lt;=Koniec,SUMPRODUCT(ISNUMBER(MATCH(mod_ko_zus,$B$155,0))*('Koszty operacyjne'!$K$114:$X$114=Moduły!E$73),ko_zus),0)</f>
        <v>0</v>
      </c>
      <c r="F197" s="33" cm="1">
        <f t="array" ref="F197">IF(F$62&lt;=Koniec,SUMPRODUCT(ISNUMBER(MATCH(mod_ko_zus,$B$155,0))*('Koszty operacyjne'!$K$114:$X$114=Moduły!F$73),ko_zus),0)</f>
        <v>0</v>
      </c>
      <c r="G197" s="33" cm="1">
        <f t="array" ref="G197">IF(G$62&lt;=Koniec,SUMPRODUCT(ISNUMBER(MATCH(mod_ko_zus,$B$155,0))*('Koszty operacyjne'!$K$114:$X$114=Moduły!G$73),ko_zus),0)</f>
        <v>0</v>
      </c>
      <c r="H197" s="33" cm="1">
        <f t="array" ref="H197">IF(H$62&lt;=Koniec,SUMPRODUCT(ISNUMBER(MATCH(mod_ko_zus,$B$155,0))*('Koszty operacyjne'!$K$114:$X$114=Moduły!H$73),ko_zus),0)</f>
        <v>0</v>
      </c>
      <c r="I197" s="33" cm="1">
        <f t="array" ref="I197">IF(I$62&lt;=Koniec,SUMPRODUCT(ISNUMBER(MATCH(mod_ko_zus,$B$155,0))*('Koszty operacyjne'!$K$114:$X$114=Moduły!I$73),ko_zus),0)</f>
        <v>0</v>
      </c>
      <c r="J197" s="33" cm="1">
        <f t="array" ref="J197">IF(J$62&lt;=Koniec,SUMPRODUCT(ISNUMBER(MATCH(mod_ko_zus,$B$155,0))*('Koszty operacyjne'!$K$114:$X$114=Moduły!J$73),ko_zus),0)</f>
        <v>0</v>
      </c>
      <c r="K197" s="33" cm="1">
        <f t="array" ref="K197">IF(K$62&lt;=Koniec,SUMPRODUCT(ISNUMBER(MATCH(mod_ko_zus,$B$155,0))*('Koszty operacyjne'!$K$114:$X$114=Moduły!K$73),ko_zus),0)</f>
        <v>0</v>
      </c>
      <c r="L197" s="33" cm="1">
        <f t="array" ref="L197">IF(L$62&lt;=Koniec,SUMPRODUCT(ISNUMBER(MATCH(mod_ko_zus,$B$155,0))*('Koszty operacyjne'!$K$114:$X$114=Moduły!L$73),ko_zus),0)</f>
        <v>0</v>
      </c>
      <c r="M197" s="33" cm="1">
        <f t="array" ref="M197">IF(M$62&lt;=Koniec,SUMPRODUCT(ISNUMBER(MATCH(mod_ko_zus,$B$155,0))*('Koszty operacyjne'!$K$114:$X$114=Moduły!M$73),ko_zus),0)</f>
        <v>0</v>
      </c>
      <c r="N197" s="33" cm="1">
        <f t="array" ref="N197">IF(N$62&lt;=Koniec,SUMPRODUCT(ISNUMBER(MATCH(mod_ko_zus,$B$155,0))*('Koszty operacyjne'!$K$114:$X$114=Moduły!N$73),ko_zus),0)</f>
        <v>0</v>
      </c>
      <c r="O197" s="33" cm="1">
        <f t="array" ref="O197">IF(O$62&lt;=Koniec,SUMPRODUCT(ISNUMBER(MATCH(mod_ko_zus,$B$155,0))*('Koszty operacyjne'!$K$114:$X$114=Moduły!O$73),ko_zus),0)</f>
        <v>0</v>
      </c>
      <c r="P197" s="33" cm="1">
        <f t="array" ref="P197">IF(P$62&lt;=Koniec,SUMPRODUCT(ISNUMBER(MATCH(mod_ko_zus,$B$155,0))*('Koszty operacyjne'!$K$114:$X$114=Moduły!P$73),ko_zus),0)</f>
        <v>0</v>
      </c>
    </row>
    <row r="198" spans="2:16">
      <c r="B198" s="37" t="s">
        <v>111</v>
      </c>
      <c r="C198" s="33" cm="1">
        <f t="array" ref="C198">IF(C$62&lt;=Koniec,SUMPRODUCT(ISNUMBER(MATCH(mod_ko_pkr,$B$155,0))*('Koszty operacyjne'!$K$114:$X$114=Moduły!C$73),ko_pkr),0)</f>
        <v>0</v>
      </c>
      <c r="D198" s="33" cm="1">
        <f t="array" ref="D198">IF(D$62&lt;=Koniec,SUMPRODUCT(ISNUMBER(MATCH(mod_ko_pkr,$B$155,0))*('Koszty operacyjne'!$K$114:$X$114=Moduły!D$73),ko_pkr),0)</f>
        <v>0</v>
      </c>
      <c r="E198" s="33" cm="1">
        <f t="array" ref="E198">IF(E$62&lt;=Koniec,SUMPRODUCT(ISNUMBER(MATCH(mod_ko_pkr,$B$155,0))*('Koszty operacyjne'!$K$114:$X$114=Moduły!E$73),ko_pkr),0)</f>
        <v>0</v>
      </c>
      <c r="F198" s="33" cm="1">
        <f t="array" ref="F198">IF(F$62&lt;=Koniec,SUMPRODUCT(ISNUMBER(MATCH(mod_ko_pkr,$B$155,0))*('Koszty operacyjne'!$K$114:$X$114=Moduły!F$73),ko_pkr),0)</f>
        <v>0</v>
      </c>
      <c r="G198" s="33" cm="1">
        <f t="array" ref="G198">IF(G$62&lt;=Koniec,SUMPRODUCT(ISNUMBER(MATCH(mod_ko_pkr,$B$155,0))*('Koszty operacyjne'!$K$114:$X$114=Moduły!G$73),ko_pkr),0)</f>
        <v>0</v>
      </c>
      <c r="H198" s="33" cm="1">
        <f t="array" ref="H198">IF(H$62&lt;=Koniec,SUMPRODUCT(ISNUMBER(MATCH(mod_ko_pkr,$B$155,0))*('Koszty operacyjne'!$K$114:$X$114=Moduły!H$73),ko_pkr),0)</f>
        <v>0</v>
      </c>
      <c r="I198" s="33" cm="1">
        <f t="array" ref="I198">IF(I$62&lt;=Koniec,SUMPRODUCT(ISNUMBER(MATCH(mod_ko_pkr,$B$155,0))*('Koszty operacyjne'!$K$114:$X$114=Moduły!I$73),ko_pkr),0)</f>
        <v>0</v>
      </c>
      <c r="J198" s="33" cm="1">
        <f t="array" ref="J198">IF(J$62&lt;=Koniec,SUMPRODUCT(ISNUMBER(MATCH(mod_ko_pkr,$B$155,0))*('Koszty operacyjne'!$K$114:$X$114=Moduły!J$73),ko_pkr),0)</f>
        <v>0</v>
      </c>
      <c r="K198" s="33" cm="1">
        <f t="array" ref="K198">IF(K$62&lt;=Koniec,SUMPRODUCT(ISNUMBER(MATCH(mod_ko_pkr,$B$155,0))*('Koszty operacyjne'!$K$114:$X$114=Moduły!K$73),ko_pkr),0)</f>
        <v>0</v>
      </c>
      <c r="L198" s="33" cm="1">
        <f t="array" ref="L198">IF(L$62&lt;=Koniec,SUMPRODUCT(ISNUMBER(MATCH(mod_ko_pkr,$B$155,0))*('Koszty operacyjne'!$K$114:$X$114=Moduły!L$73),ko_pkr),0)</f>
        <v>0</v>
      </c>
      <c r="M198" s="33" cm="1">
        <f t="array" ref="M198">IF(M$62&lt;=Koniec,SUMPRODUCT(ISNUMBER(MATCH(mod_ko_pkr,$B$155,0))*('Koszty operacyjne'!$K$114:$X$114=Moduły!M$73),ko_pkr),0)</f>
        <v>0</v>
      </c>
      <c r="N198" s="33" cm="1">
        <f t="array" ref="N198">IF(N$62&lt;=Koniec,SUMPRODUCT(ISNUMBER(MATCH(mod_ko_pkr,$B$155,0))*('Koszty operacyjne'!$K$114:$X$114=Moduły!N$73),ko_pkr),0)</f>
        <v>0</v>
      </c>
      <c r="O198" s="33" cm="1">
        <f t="array" ref="O198">IF(O$62&lt;=Koniec,SUMPRODUCT(ISNUMBER(MATCH(mod_ko_pkr,$B$155,0))*('Koszty operacyjne'!$K$114:$X$114=Moduły!O$73),ko_pkr),0)</f>
        <v>0</v>
      </c>
      <c r="P198" s="33" cm="1">
        <f t="array" ref="P198">IF(P$62&lt;=Koniec,SUMPRODUCT(ISNUMBER(MATCH(mod_ko_pkr,$B$155,0))*('Koszty operacyjne'!$K$114:$X$114=Moduły!P$73),ko_pkr),0)</f>
        <v>0</v>
      </c>
    </row>
    <row r="199" spans="2:16">
      <c r="B199" s="37" t="s">
        <v>112</v>
      </c>
      <c r="C199" s="33" cm="1">
        <f t="array" ref="C199">IF(C$62&lt;=Koniec,SUMPRODUCT(ISNUMBER(MATCH(mod_pp_ptim_wstim,$B$155,0))*('Koszty operacyjne'!$K$114:$X$114=Moduły!C$73),pp_ptim_wstim),0)</f>
        <v>0</v>
      </c>
      <c r="D199" s="33" cm="1">
        <f t="array" ref="D199">IF(D$62&lt;=Koniec,SUMPRODUCT(ISNUMBER(MATCH(mod_pp_ptim_wstim,$B$155,0))*('Koszty operacyjne'!$K$114:$X$114=Moduły!D$73),pp_ptim_wstim),0)</f>
        <v>0</v>
      </c>
      <c r="E199" s="33" cm="1">
        <f t="array" ref="E199">IF(E$62&lt;=Koniec,SUMPRODUCT(ISNUMBER(MATCH(mod_pp_ptim_wstim,$B$155,0))*('Koszty operacyjne'!$K$114:$X$114=Moduły!E$73),pp_ptim_wstim),0)</f>
        <v>0</v>
      </c>
      <c r="F199" s="33" cm="1">
        <f t="array" ref="F199">IF(F$62&lt;=Koniec,SUMPRODUCT(ISNUMBER(MATCH(mod_pp_ptim_wstim,$B$155,0))*('Koszty operacyjne'!$K$114:$X$114=Moduły!F$73),pp_ptim_wstim),0)</f>
        <v>0</v>
      </c>
      <c r="G199" s="33" cm="1">
        <f t="array" ref="G199">IF(G$62&lt;=Koniec,SUMPRODUCT(ISNUMBER(MATCH(mod_pp_ptim_wstim,$B$155,0))*('Koszty operacyjne'!$K$114:$X$114=Moduły!G$73),pp_ptim_wstim),0)</f>
        <v>0</v>
      </c>
      <c r="H199" s="33" cm="1">
        <f t="array" ref="H199">IF(H$62&lt;=Koniec,SUMPRODUCT(ISNUMBER(MATCH(mod_pp_ptim_wstim,$B$155,0))*('Koszty operacyjne'!$K$114:$X$114=Moduły!H$73),pp_ptim_wstim),0)</f>
        <v>0</v>
      </c>
      <c r="I199" s="33" cm="1">
        <f t="array" ref="I199">IF(I$62&lt;=Koniec,SUMPRODUCT(ISNUMBER(MATCH(mod_pp_ptim_wstim,$B$155,0))*('Koszty operacyjne'!$K$114:$X$114=Moduły!I$73),pp_ptim_wstim),0)</f>
        <v>0</v>
      </c>
      <c r="J199" s="33" cm="1">
        <f t="array" ref="J199">IF(J$62&lt;=Koniec,SUMPRODUCT(ISNUMBER(MATCH(mod_pp_ptim_wstim,$B$155,0))*('Koszty operacyjne'!$K$114:$X$114=Moduły!J$73),pp_ptim_wstim),0)</f>
        <v>0</v>
      </c>
      <c r="K199" s="33" cm="1">
        <f t="array" ref="K199">IF(K$62&lt;=Koniec,SUMPRODUCT(ISNUMBER(MATCH(mod_pp_ptim_wstim,$B$155,0))*('Koszty operacyjne'!$K$114:$X$114=Moduły!K$73),pp_ptim_wstim),0)</f>
        <v>0</v>
      </c>
      <c r="L199" s="33" cm="1">
        <f t="array" ref="L199">IF(L$62&lt;=Koniec,SUMPRODUCT(ISNUMBER(MATCH(mod_pp_ptim_wstim,$B$155,0))*('Koszty operacyjne'!$K$114:$X$114=Moduły!L$73),pp_ptim_wstim),0)</f>
        <v>0</v>
      </c>
      <c r="M199" s="33" cm="1">
        <f t="array" ref="M199">IF(M$62&lt;=Koniec,SUMPRODUCT(ISNUMBER(MATCH(mod_pp_ptim_wstim,$B$155,0))*('Koszty operacyjne'!$K$114:$X$114=Moduły!M$73),pp_ptim_wstim),0)</f>
        <v>0</v>
      </c>
      <c r="N199" s="33" cm="1">
        <f t="array" ref="N199">IF(N$62&lt;=Koniec,SUMPRODUCT(ISNUMBER(MATCH(mod_pp_ptim_wstim,$B$155,0))*('Koszty operacyjne'!$K$114:$X$114=Moduły!N$73),pp_ptim_wstim),0)</f>
        <v>0</v>
      </c>
      <c r="O199" s="33" cm="1">
        <f t="array" ref="O199">IF(O$62&lt;=Koniec,SUMPRODUCT(ISNUMBER(MATCH(mod_pp_ptim_wstim,$B$155,0))*('Koszty operacyjne'!$K$114:$X$114=Moduły!O$73),pp_ptim_wstim),0)</f>
        <v>0</v>
      </c>
      <c r="P199" s="33" cm="1">
        <f t="array" ref="P199">IF(P$62&lt;=Koniec,SUMPRODUCT(ISNUMBER(MATCH(mod_pp_ptim_wstim,$B$155,0))*('Koszty operacyjne'!$K$114:$X$114=Moduły!P$73),pp_ptim_wstim),0)</f>
        <v>0</v>
      </c>
    </row>
    <row r="200" spans="2:16"/>
    <row r="201" spans="2:16">
      <c r="B201" s="372" t="s">
        <v>766</v>
      </c>
      <c r="C201" s="485" t="str">
        <f>C155</f>
        <v>Uzupełnij dane</v>
      </c>
      <c r="D201" s="485" t="str">
        <f t="shared" ref="D201:P201" si="81">D155</f>
        <v/>
      </c>
      <c r="E201" s="485" t="str">
        <f t="shared" si="81"/>
        <v/>
      </c>
      <c r="F201" s="485" t="str">
        <f t="shared" si="81"/>
        <v/>
      </c>
      <c r="G201" s="485" t="str">
        <f t="shared" si="81"/>
        <v/>
      </c>
      <c r="H201" s="485" t="str">
        <f t="shared" si="81"/>
        <v/>
      </c>
      <c r="I201" s="485" t="str">
        <f t="shared" si="81"/>
        <v/>
      </c>
      <c r="J201" s="485" t="str">
        <f t="shared" si="81"/>
        <v/>
      </c>
      <c r="K201" s="485" t="str">
        <f t="shared" si="81"/>
        <v/>
      </c>
      <c r="L201" s="485" t="str">
        <f t="shared" si="81"/>
        <v/>
      </c>
      <c r="M201" s="485" t="str">
        <f t="shared" si="81"/>
        <v/>
      </c>
      <c r="N201" s="485" t="str">
        <f t="shared" si="81"/>
        <v/>
      </c>
      <c r="O201" s="485" t="str">
        <f t="shared" si="81"/>
        <v/>
      </c>
      <c r="P201" s="485" t="str">
        <f t="shared" si="81"/>
        <v/>
      </c>
    </row>
    <row r="202" spans="2:16" ht="3.9" customHeight="1">
      <c r="C202" s="5"/>
      <c r="D202" s="5"/>
      <c r="E202" s="5"/>
      <c r="F202" s="5"/>
      <c r="G202" s="5"/>
      <c r="H202" s="5"/>
      <c r="I202" s="5"/>
    </row>
    <row r="203" spans="2:16">
      <c r="B203" s="104" t="s">
        <v>689</v>
      </c>
      <c r="C203" s="103" cm="1">
        <f t="array" aca="1" ref="C203" ca="1">IF(C$62&lt;=Koniec,SUMPRODUCT(ISNUMBER(MATCH(mod_dot_st_npv,$B$155,0))*('Koszty operacyjne'!$K$114:$X$114=Moduły!C$73),mod_dot_st_npv_war),0)</f>
        <v>0</v>
      </c>
      <c r="D203" s="103" cm="1">
        <f t="array" aca="1" ref="D203" ca="1">IF(D$62&lt;=Koniec,SUMPRODUCT(ISNUMBER(MATCH(mod_dot_st_npv,$B$155,0))*('Koszty operacyjne'!$K$114:$X$114=Moduły!D$73),mod_dot_st_npv_war),0)</f>
        <v>0</v>
      </c>
      <c r="E203" s="103" cm="1">
        <f t="array" aca="1" ref="E203" ca="1">IF(E$62&lt;=Koniec,SUMPRODUCT(ISNUMBER(MATCH(mod_dot_st_npv,$B$155,0))*('Koszty operacyjne'!$K$114:$X$114=Moduły!E$73),mod_dot_st_npv_war),0)</f>
        <v>0</v>
      </c>
      <c r="F203" s="103" cm="1">
        <f t="array" aca="1" ref="F203" ca="1">IF(F$62&lt;=Koniec,SUMPRODUCT(ISNUMBER(MATCH(mod_dot_st_npv,$B$155,0))*('Koszty operacyjne'!$K$114:$X$114=Moduły!F$73),mod_dot_st_npv_war),0)</f>
        <v>0</v>
      </c>
      <c r="G203" s="103" cm="1">
        <f t="array" aca="1" ref="G203" ca="1">IF(G$62&lt;=Koniec,SUMPRODUCT(ISNUMBER(MATCH(mod_dot_st_npv,$B$155,0))*('Koszty operacyjne'!$K$114:$X$114=Moduły!G$73),mod_dot_st_npv_war),0)</f>
        <v>0</v>
      </c>
      <c r="H203" s="103" cm="1">
        <f t="array" aca="1" ref="H203" ca="1">IF(H$62&lt;=Koniec,SUMPRODUCT(ISNUMBER(MATCH(mod_dot_st_npv,$B$155,0))*('Koszty operacyjne'!$K$114:$X$114=Moduły!H$73),mod_dot_st_npv_war),0)</f>
        <v>0</v>
      </c>
      <c r="I203" s="103" cm="1">
        <f t="array" aca="1" ref="I203" ca="1">IF(I$62&lt;=Koniec,SUMPRODUCT(ISNUMBER(MATCH(mod_dot_st_npv,$B$155,0))*('Koszty operacyjne'!$K$114:$X$114=Moduły!I$73),mod_dot_st_npv_war),0)</f>
        <v>0</v>
      </c>
      <c r="J203" s="103" cm="1">
        <f t="array" aca="1" ref="J203" ca="1">IF(J$62&lt;=Koniec,SUMPRODUCT(ISNUMBER(MATCH(mod_dot_st_npv,$B$155,0))*('Koszty operacyjne'!$K$114:$X$114=Moduły!J$73),mod_dot_st_npv_war),0)</f>
        <v>0</v>
      </c>
      <c r="K203" s="103" cm="1">
        <f t="array" aca="1" ref="K203" ca="1">IF(K$62&lt;=Koniec,SUMPRODUCT(ISNUMBER(MATCH(mod_dot_st_npv,$B$155,0))*('Koszty operacyjne'!$K$114:$X$114=Moduły!K$73),mod_dot_st_npv_war),0)</f>
        <v>0</v>
      </c>
      <c r="L203" s="103" cm="1">
        <f t="array" aca="1" ref="L203" ca="1">IF(L$62&lt;=Koniec,SUMPRODUCT(ISNUMBER(MATCH(mod_dot_st_npv,$B$155,0))*('Koszty operacyjne'!$K$114:$X$114=Moduły!L$73),mod_dot_st_npv_war),0)</f>
        <v>0</v>
      </c>
      <c r="M203" s="103" cm="1">
        <f t="array" aca="1" ref="M203" ca="1">IF(M$62&lt;=Koniec,SUMPRODUCT(ISNUMBER(MATCH(mod_dot_st_npv,$B$155,0))*('Koszty operacyjne'!$K$114:$X$114=Moduły!M$73),mod_dot_st_npv_war),0)</f>
        <v>0</v>
      </c>
      <c r="N203" s="103" cm="1">
        <f t="array" aca="1" ref="N203" ca="1">IF(N$62&lt;=Koniec,SUMPRODUCT(ISNUMBER(MATCH(mod_dot_st_npv,$B$155,0))*('Koszty operacyjne'!$K$114:$X$114=Moduły!N$73),mod_dot_st_npv_war),0)</f>
        <v>0</v>
      </c>
      <c r="O203" s="103" cm="1">
        <f t="array" aca="1" ref="O203" ca="1">IF(O$62&lt;=Koniec,SUMPRODUCT(ISNUMBER(MATCH(mod_dot_st_npv,$B$155,0))*('Koszty operacyjne'!$K$114:$X$114=Moduły!O$73),mod_dot_st_npv_war),0)</f>
        <v>0</v>
      </c>
      <c r="P203" s="103" cm="1">
        <f t="array" aca="1" ref="P203" ca="1">IF(P$62&lt;=Koniec,SUMPRODUCT(ISNUMBER(MATCH(mod_dot_st_npv,$B$155,0))*('Koszty operacyjne'!$K$114:$X$114=Moduły!P$73),mod_dot_st_npv_war),0)</f>
        <v>0</v>
      </c>
    </row>
    <row r="204" spans="2:16">
      <c r="B204" s="37" t="s">
        <v>690</v>
      </c>
      <c r="C204" s="33" cm="1">
        <f t="array" ref="C204">IF(C$62&lt;=Koniec,SUMPRODUCT(ISNUMBER(MATCH(mod_dot_ko,$B$155,0))*('Koszty operacyjne'!$K$114:$X$114=Moduły!C$73),mod_dot_ko_war),0)</f>
        <v>0</v>
      </c>
      <c r="D204" s="33" cm="1">
        <f t="array" ref="D204">IF(D$62&lt;=Koniec,SUMPRODUCT(ISNUMBER(MATCH(mod_dot_ko,$B$155,0))*('Koszty operacyjne'!$K$114:$X$114=Moduły!D$73),mod_dot_ko_war),0)</f>
        <v>0</v>
      </c>
      <c r="E204" s="33" cm="1">
        <f t="array" ref="E204">IF(E$62&lt;=Koniec,SUMPRODUCT(ISNUMBER(MATCH(mod_dot_ko,$B$155,0))*('Koszty operacyjne'!$K$114:$X$114=Moduły!E$73),mod_dot_ko_war),0)</f>
        <v>0</v>
      </c>
      <c r="F204" s="33" cm="1">
        <f t="array" ref="F204">IF(F$62&lt;=Koniec,SUMPRODUCT(ISNUMBER(MATCH(mod_dot_ko,$B$155,0))*('Koszty operacyjne'!$K$114:$X$114=Moduły!F$73),mod_dot_ko_war),0)</f>
        <v>0</v>
      </c>
      <c r="G204" s="33" cm="1">
        <f t="array" ref="G204">IF(G$62&lt;=Koniec,SUMPRODUCT(ISNUMBER(MATCH(mod_dot_ko,$B$155,0))*('Koszty operacyjne'!$K$114:$X$114=Moduły!G$73),mod_dot_ko_war),0)</f>
        <v>0</v>
      </c>
      <c r="H204" s="33" cm="1">
        <f t="array" ref="H204">IF(H$62&lt;=Koniec,SUMPRODUCT(ISNUMBER(MATCH(mod_dot_ko,$B$155,0))*('Koszty operacyjne'!$K$114:$X$114=Moduły!H$73),mod_dot_ko_war),0)</f>
        <v>0</v>
      </c>
      <c r="I204" s="33" cm="1">
        <f t="array" ref="I204">IF(I$62&lt;=Koniec,SUMPRODUCT(ISNUMBER(MATCH(mod_dot_ko,$B$155,0))*('Koszty operacyjne'!$K$114:$X$114=Moduły!I$73),mod_dot_ko_war),0)</f>
        <v>0</v>
      </c>
      <c r="J204" s="33" cm="1">
        <f t="array" ref="J204">IF(J$62&lt;=Koniec,SUMPRODUCT(ISNUMBER(MATCH(mod_dot_ko,$B$155,0))*('Koszty operacyjne'!$K$114:$X$114=Moduły!J$73),mod_dot_ko_war),0)</f>
        <v>0</v>
      </c>
      <c r="K204" s="33" cm="1">
        <f t="array" ref="K204">IF(K$62&lt;=Koniec,SUMPRODUCT(ISNUMBER(MATCH(mod_dot_ko,$B$155,0))*('Koszty operacyjne'!$K$114:$X$114=Moduły!K$73),mod_dot_ko_war),0)</f>
        <v>0</v>
      </c>
      <c r="L204" s="33" cm="1">
        <f t="array" ref="L204">IF(L$62&lt;=Koniec,SUMPRODUCT(ISNUMBER(MATCH(mod_dot_ko,$B$155,0))*('Koszty operacyjne'!$K$114:$X$114=Moduły!L$73),mod_dot_ko_war),0)</f>
        <v>0</v>
      </c>
      <c r="M204" s="33" cm="1">
        <f t="array" ref="M204">IF(M$62&lt;=Koniec,SUMPRODUCT(ISNUMBER(MATCH(mod_dot_ko,$B$155,0))*('Koszty operacyjne'!$K$114:$X$114=Moduły!M$73),mod_dot_ko_war),0)</f>
        <v>0</v>
      </c>
      <c r="N204" s="33" cm="1">
        <f t="array" ref="N204">IF(N$62&lt;=Koniec,SUMPRODUCT(ISNUMBER(MATCH(mod_dot_ko,$B$155,0))*('Koszty operacyjne'!$K$114:$X$114=Moduły!N$73),mod_dot_ko_war),0)</f>
        <v>0</v>
      </c>
      <c r="O204" s="33" cm="1">
        <f t="array" ref="O204">IF(O$62&lt;=Koniec,SUMPRODUCT(ISNUMBER(MATCH(mod_dot_ko,$B$155,0))*('Koszty operacyjne'!$K$114:$X$114=Moduły!O$73),mod_dot_ko_war),0)</f>
        <v>0</v>
      </c>
      <c r="P204" s="33" cm="1">
        <f t="array" ref="P204">IF(P$62&lt;=Koniec,SUMPRODUCT(ISNUMBER(MATCH(mod_dot_ko,$B$155,0))*('Koszty operacyjne'!$K$114:$X$114=Moduły!P$73),mod_dot_ko_war),0)</f>
        <v>0</v>
      </c>
    </row>
    <row r="205" spans="2:16">
      <c r="B205" s="37" t="s">
        <v>692</v>
      </c>
      <c r="C205" s="33" cm="1">
        <f t="array" ref="C205">IF(C$62&lt;=Koniec,SUMPRODUCT(ISNUMBER(MATCH(mod_dot_ko_br,$B$155,0))*('Koszty operacyjne'!$K$114:$X$114=Moduły!C$73),mod_dot_ko_br_war),0)</f>
        <v>0</v>
      </c>
      <c r="D205" s="33" cm="1">
        <f t="array" ref="D205">IF(D$62&lt;=Koniec,SUMPRODUCT(ISNUMBER(MATCH(mod_dot_ko_br,$B$155,0))*('Koszty operacyjne'!$K$114:$X$114=Moduły!D$73),mod_dot_ko_br_war),0)</f>
        <v>0</v>
      </c>
      <c r="E205" s="33" cm="1">
        <f t="array" ref="E205">IF(E$62&lt;=Koniec,SUMPRODUCT(ISNUMBER(MATCH(mod_dot_ko_br,$B$155,0))*('Koszty operacyjne'!$K$114:$X$114=Moduły!E$73),mod_dot_ko_br_war),0)</f>
        <v>0</v>
      </c>
      <c r="F205" s="33" cm="1">
        <f t="array" ref="F205">IF(F$62&lt;=Koniec,SUMPRODUCT(ISNUMBER(MATCH(mod_dot_ko_br,$B$155,0))*('Koszty operacyjne'!$K$114:$X$114=Moduły!F$73),mod_dot_ko_br_war),0)</f>
        <v>0</v>
      </c>
      <c r="G205" s="33" cm="1">
        <f t="array" ref="G205">IF(G$62&lt;=Koniec,SUMPRODUCT(ISNUMBER(MATCH(mod_dot_ko_br,$B$155,0))*('Koszty operacyjne'!$K$114:$X$114=Moduły!G$73),mod_dot_ko_br_war),0)</f>
        <v>0</v>
      </c>
      <c r="H205" s="33" cm="1">
        <f t="array" ref="H205">IF(H$62&lt;=Koniec,SUMPRODUCT(ISNUMBER(MATCH(mod_dot_ko_br,$B$155,0))*('Koszty operacyjne'!$K$114:$X$114=Moduły!H$73),mod_dot_ko_br_war),0)</f>
        <v>0</v>
      </c>
      <c r="I205" s="33" cm="1">
        <f t="array" ref="I205">IF(I$62&lt;=Koniec,SUMPRODUCT(ISNUMBER(MATCH(mod_dot_ko_br,$B$155,0))*('Koszty operacyjne'!$K$114:$X$114=Moduły!I$73),mod_dot_ko_br_war),0)</f>
        <v>0</v>
      </c>
      <c r="J205" s="33" cm="1">
        <f t="array" ref="J205">IF(J$62&lt;=Koniec,SUMPRODUCT(ISNUMBER(MATCH(mod_dot_ko_br,$B$155,0))*('Koszty operacyjne'!$K$114:$X$114=Moduły!J$73),mod_dot_ko_br_war),0)</f>
        <v>0</v>
      </c>
      <c r="K205" s="33" cm="1">
        <f t="array" ref="K205">IF(K$62&lt;=Koniec,SUMPRODUCT(ISNUMBER(MATCH(mod_dot_ko_br,$B$155,0))*('Koszty operacyjne'!$K$114:$X$114=Moduły!K$73),mod_dot_ko_br_war),0)</f>
        <v>0</v>
      </c>
      <c r="L205" s="33" cm="1">
        <f t="array" ref="L205">IF(L$62&lt;=Koniec,SUMPRODUCT(ISNUMBER(MATCH(mod_dot_ko_br,$B$155,0))*('Koszty operacyjne'!$K$114:$X$114=Moduły!L$73),mod_dot_ko_br_war),0)</f>
        <v>0</v>
      </c>
      <c r="M205" s="33" cm="1">
        <f t="array" ref="M205">IF(M$62&lt;=Koniec,SUMPRODUCT(ISNUMBER(MATCH(mod_dot_ko_br,$B$155,0))*('Koszty operacyjne'!$K$114:$X$114=Moduły!M$73),mod_dot_ko_br_war),0)</f>
        <v>0</v>
      </c>
      <c r="N205" s="33" cm="1">
        <f t="array" ref="N205">IF(N$62&lt;=Koniec,SUMPRODUCT(ISNUMBER(MATCH(mod_dot_ko_br,$B$155,0))*('Koszty operacyjne'!$K$114:$X$114=Moduły!N$73),mod_dot_ko_br_war),0)</f>
        <v>0</v>
      </c>
      <c r="O205" s="33" cm="1">
        <f t="array" ref="O205">IF(O$62&lt;=Koniec,SUMPRODUCT(ISNUMBER(MATCH(mod_dot_ko_br,$B$155,0))*('Koszty operacyjne'!$K$114:$X$114=Moduły!O$73),mod_dot_ko_br_war),0)</f>
        <v>0</v>
      </c>
      <c r="P205" s="33" cm="1">
        <f t="array" ref="P205">IF(P$62&lt;=Koniec,SUMPRODUCT(ISNUMBER(MATCH(mod_dot_ko_br,$B$155,0))*('Koszty operacyjne'!$K$114:$X$114=Moduły!P$73),mod_dot_ko_br_war),0)</f>
        <v>0</v>
      </c>
    </row>
    <row r="206" spans="2:16">
      <c r="B206" s="37" t="s">
        <v>691</v>
      </c>
      <c r="C206" s="33" cm="1">
        <f t="array" aca="1" ref="C206" ca="1">IF(C$62&lt;=Koniec,SUMPRODUCT(ISNUMBER(MATCH(mod_dot_am,$B$155,0))*('Koszty operacyjne'!$K$114:$X$114=Moduły!C$73),mod_dot_am_war),0)</f>
        <v>0</v>
      </c>
      <c r="D206" s="33" cm="1">
        <f t="array" aca="1" ref="D206" ca="1">IF(D$62&lt;=Koniec,SUMPRODUCT(ISNUMBER(MATCH(mod_dot_am,$B$155,0))*('Koszty operacyjne'!$K$114:$X$114=Moduły!D$73),mod_dot_am_war),0)</f>
        <v>0</v>
      </c>
      <c r="E206" s="33" cm="1">
        <f t="array" aca="1" ref="E206" ca="1">IF(E$62&lt;=Koniec,SUMPRODUCT(ISNUMBER(MATCH(mod_dot_am,$B$155,0))*('Koszty operacyjne'!$K$114:$X$114=Moduły!E$73),mod_dot_am_war),0)</f>
        <v>0</v>
      </c>
      <c r="F206" s="33" cm="1">
        <f t="array" aca="1" ref="F206" ca="1">IF(F$62&lt;=Koniec,SUMPRODUCT(ISNUMBER(MATCH(mod_dot_am,$B$155,0))*('Koszty operacyjne'!$K$114:$X$114=Moduły!F$73),mod_dot_am_war),0)</f>
        <v>0</v>
      </c>
      <c r="G206" s="33" cm="1">
        <f t="array" aca="1" ref="G206" ca="1">IF(G$62&lt;=Koniec,SUMPRODUCT(ISNUMBER(MATCH(mod_dot_am,$B$155,0))*('Koszty operacyjne'!$K$114:$X$114=Moduły!G$73),mod_dot_am_war),0)</f>
        <v>0</v>
      </c>
      <c r="H206" s="33" cm="1">
        <f t="array" aca="1" ref="H206" ca="1">IF(H$62&lt;=Koniec,SUMPRODUCT(ISNUMBER(MATCH(mod_dot_am,$B$155,0))*('Koszty operacyjne'!$K$114:$X$114=Moduły!H$73),mod_dot_am_war),0)</f>
        <v>0</v>
      </c>
      <c r="I206" s="33" cm="1">
        <f t="array" aca="1" ref="I206" ca="1">IF(I$62&lt;=Koniec,SUMPRODUCT(ISNUMBER(MATCH(mod_dot_am,$B$155,0))*('Koszty operacyjne'!$K$114:$X$114=Moduły!I$73),mod_dot_am_war),0)</f>
        <v>0</v>
      </c>
      <c r="J206" s="33" cm="1">
        <f t="array" aca="1" ref="J206" ca="1">IF(J$62&lt;=Koniec,SUMPRODUCT(ISNUMBER(MATCH(mod_dot_am,$B$155,0))*('Koszty operacyjne'!$K$114:$X$114=Moduły!J$73),mod_dot_am_war),0)</f>
        <v>0</v>
      </c>
      <c r="K206" s="33" cm="1">
        <f t="array" aca="1" ref="K206" ca="1">IF(K$62&lt;=Koniec,SUMPRODUCT(ISNUMBER(MATCH(mod_dot_am,$B$155,0))*('Koszty operacyjne'!$K$114:$X$114=Moduły!K$73),mod_dot_am_war),0)</f>
        <v>0</v>
      </c>
      <c r="L206" s="33" cm="1">
        <f t="array" aca="1" ref="L206" ca="1">IF(L$62&lt;=Koniec,SUMPRODUCT(ISNUMBER(MATCH(mod_dot_am,$B$155,0))*('Koszty operacyjne'!$K$114:$X$114=Moduły!L$73),mod_dot_am_war),0)</f>
        <v>0</v>
      </c>
      <c r="M206" s="33" cm="1">
        <f t="array" aca="1" ref="M206" ca="1">IF(M$62&lt;=Koniec,SUMPRODUCT(ISNUMBER(MATCH(mod_dot_am,$B$155,0))*('Koszty operacyjne'!$K$114:$X$114=Moduły!M$73),mod_dot_am_war),0)</f>
        <v>0</v>
      </c>
      <c r="N206" s="33" cm="1">
        <f t="array" aca="1" ref="N206" ca="1">IF(N$62&lt;=Koniec,SUMPRODUCT(ISNUMBER(MATCH(mod_dot_am,$B$155,0))*('Koszty operacyjne'!$K$114:$X$114=Moduły!N$73),mod_dot_am_war),0)</f>
        <v>0</v>
      </c>
      <c r="O206" s="33" cm="1">
        <f t="array" aca="1" ref="O206" ca="1">IF(O$62&lt;=Koniec,SUMPRODUCT(ISNUMBER(MATCH(mod_dot_am,$B$155,0))*('Koszty operacyjne'!$K$114:$X$114=Moduły!O$73),mod_dot_am_war),0)</f>
        <v>0</v>
      </c>
      <c r="P206" s="33" cm="1">
        <f t="array" aca="1" ref="P206" ca="1">IF(P$62&lt;=Koniec,SUMPRODUCT(ISNUMBER(MATCH(mod_dot_am,$B$155,0))*('Koszty operacyjne'!$K$114:$X$114=Moduły!P$73),mod_dot_am_war),0)</f>
        <v>0</v>
      </c>
    </row>
    <row r="207" spans="2:16">
      <c r="B207" s="99" t="s">
        <v>335</v>
      </c>
      <c r="C207" s="98">
        <f ca="1">SUM(C203:C206)</f>
        <v>0</v>
      </c>
      <c r="D207" s="98">
        <f t="shared" ref="D207:P207" ca="1" si="82">SUM(D203:D206)</f>
        <v>0</v>
      </c>
      <c r="E207" s="98">
        <f t="shared" ca="1" si="82"/>
        <v>0</v>
      </c>
      <c r="F207" s="98">
        <f t="shared" ca="1" si="82"/>
        <v>0</v>
      </c>
      <c r="G207" s="98">
        <f t="shared" ca="1" si="82"/>
        <v>0</v>
      </c>
      <c r="H207" s="98">
        <f t="shared" ca="1" si="82"/>
        <v>0</v>
      </c>
      <c r="I207" s="98">
        <f t="shared" ca="1" si="82"/>
        <v>0</v>
      </c>
      <c r="J207" s="98">
        <f t="shared" ca="1" si="82"/>
        <v>0</v>
      </c>
      <c r="K207" s="98">
        <f t="shared" ca="1" si="82"/>
        <v>0</v>
      </c>
      <c r="L207" s="98">
        <f t="shared" ca="1" si="82"/>
        <v>0</v>
      </c>
      <c r="M207" s="98">
        <f t="shared" ca="1" si="82"/>
        <v>0</v>
      </c>
      <c r="N207" s="98">
        <f t="shared" ca="1" si="82"/>
        <v>0</v>
      </c>
      <c r="O207" s="98">
        <f t="shared" ca="1" si="82"/>
        <v>0</v>
      </c>
      <c r="P207" s="98">
        <f t="shared" ca="1" si="82"/>
        <v>0</v>
      </c>
    </row>
    <row r="208" spans="2:16"/>
    <row r="209" spans="2:16">
      <c r="B209" s="374" t="s">
        <v>767</v>
      </c>
      <c r="C209" s="486" t="str">
        <f>C155</f>
        <v>Uzupełnij dane</v>
      </c>
      <c r="D209" s="486" t="str">
        <f t="shared" ref="D209:P209" si="83">D155</f>
        <v/>
      </c>
      <c r="E209" s="486" t="str">
        <f t="shared" si="83"/>
        <v/>
      </c>
      <c r="F209" s="486" t="str">
        <f t="shared" si="83"/>
        <v/>
      </c>
      <c r="G209" s="486" t="str">
        <f t="shared" si="83"/>
        <v/>
      </c>
      <c r="H209" s="486" t="str">
        <f t="shared" si="83"/>
        <v/>
      </c>
      <c r="I209" s="486" t="str">
        <f t="shared" si="83"/>
        <v/>
      </c>
      <c r="J209" s="486" t="str">
        <f t="shared" si="83"/>
        <v/>
      </c>
      <c r="K209" s="486" t="str">
        <f t="shared" si="83"/>
        <v/>
      </c>
      <c r="L209" s="486" t="str">
        <f t="shared" si="83"/>
        <v/>
      </c>
      <c r="M209" s="486" t="str">
        <f t="shared" si="83"/>
        <v/>
      </c>
      <c r="N209" s="486" t="str">
        <f t="shared" si="83"/>
        <v/>
      </c>
      <c r="O209" s="486" t="str">
        <f t="shared" si="83"/>
        <v/>
      </c>
      <c r="P209" s="486" t="str">
        <f t="shared" si="83"/>
        <v/>
      </c>
    </row>
    <row r="210" spans="2:16">
      <c r="B210" s="102" t="s">
        <v>104</v>
      </c>
      <c r="C210" s="103">
        <f t="shared" ref="C210:P210" si="84">C189</f>
        <v>0</v>
      </c>
      <c r="D210" s="103">
        <f t="shared" si="84"/>
        <v>0</v>
      </c>
      <c r="E210" s="103">
        <f t="shared" si="84"/>
        <v>0</v>
      </c>
      <c r="F210" s="103">
        <f t="shared" si="84"/>
        <v>0</v>
      </c>
      <c r="G210" s="103">
        <f t="shared" si="84"/>
        <v>0</v>
      </c>
      <c r="H210" s="103">
        <f t="shared" si="84"/>
        <v>0</v>
      </c>
      <c r="I210" s="103">
        <f t="shared" si="84"/>
        <v>0</v>
      </c>
      <c r="J210" s="103">
        <f t="shared" si="84"/>
        <v>0</v>
      </c>
      <c r="K210" s="103">
        <f t="shared" si="84"/>
        <v>0</v>
      </c>
      <c r="L210" s="103">
        <f t="shared" si="84"/>
        <v>0</v>
      </c>
      <c r="M210" s="103">
        <f t="shared" si="84"/>
        <v>0</v>
      </c>
      <c r="N210" s="103">
        <f t="shared" si="84"/>
        <v>0</v>
      </c>
      <c r="O210" s="103">
        <f t="shared" si="84"/>
        <v>0</v>
      </c>
      <c r="P210" s="103">
        <f t="shared" si="84"/>
        <v>0</v>
      </c>
    </row>
    <row r="211" spans="2:16">
      <c r="B211" s="52" t="s">
        <v>693</v>
      </c>
      <c r="C211" s="33">
        <f t="shared" ref="C211:P211" si="85">ROUND(SUM(C193:C199),0)</f>
        <v>0</v>
      </c>
      <c r="D211" s="33">
        <f t="shared" si="85"/>
        <v>0</v>
      </c>
      <c r="E211" s="33">
        <f t="shared" si="85"/>
        <v>0</v>
      </c>
      <c r="F211" s="33">
        <f t="shared" si="85"/>
        <v>0</v>
      </c>
      <c r="G211" s="33">
        <f t="shared" si="85"/>
        <v>0</v>
      </c>
      <c r="H211" s="33">
        <f t="shared" si="85"/>
        <v>0</v>
      </c>
      <c r="I211" s="33">
        <f t="shared" si="85"/>
        <v>0</v>
      </c>
      <c r="J211" s="33">
        <f t="shared" si="85"/>
        <v>0</v>
      </c>
      <c r="K211" s="33">
        <f t="shared" si="85"/>
        <v>0</v>
      </c>
      <c r="L211" s="33">
        <f t="shared" si="85"/>
        <v>0</v>
      </c>
      <c r="M211" s="33">
        <f t="shared" si="85"/>
        <v>0</v>
      </c>
      <c r="N211" s="33">
        <f t="shared" si="85"/>
        <v>0</v>
      </c>
      <c r="O211" s="33">
        <f t="shared" si="85"/>
        <v>0</v>
      </c>
      <c r="P211" s="33">
        <f t="shared" si="85"/>
        <v>0</v>
      </c>
    </row>
    <row r="212" spans="2:16">
      <c r="B212" s="52" t="s">
        <v>331</v>
      </c>
      <c r="C212" s="33">
        <f t="shared" ref="C212:P212" ca="1" si="86">C192</f>
        <v>0</v>
      </c>
      <c r="D212" s="33">
        <f t="shared" ca="1" si="86"/>
        <v>0</v>
      </c>
      <c r="E212" s="33">
        <f t="shared" ca="1" si="86"/>
        <v>0</v>
      </c>
      <c r="F212" s="33">
        <f t="shared" ca="1" si="86"/>
        <v>0</v>
      </c>
      <c r="G212" s="33">
        <f t="shared" ca="1" si="86"/>
        <v>0</v>
      </c>
      <c r="H212" s="33">
        <f t="shared" ca="1" si="86"/>
        <v>0</v>
      </c>
      <c r="I212" s="33">
        <f t="shared" ca="1" si="86"/>
        <v>0</v>
      </c>
      <c r="J212" s="33">
        <f t="shared" ca="1" si="86"/>
        <v>0</v>
      </c>
      <c r="K212" s="33">
        <f t="shared" ca="1" si="86"/>
        <v>0</v>
      </c>
      <c r="L212" s="33">
        <f t="shared" ca="1" si="86"/>
        <v>0</v>
      </c>
      <c r="M212" s="33">
        <f t="shared" ca="1" si="86"/>
        <v>0</v>
      </c>
      <c r="N212" s="33">
        <f t="shared" ca="1" si="86"/>
        <v>0</v>
      </c>
      <c r="O212" s="33">
        <f t="shared" ca="1" si="86"/>
        <v>0</v>
      </c>
      <c r="P212" s="33">
        <f t="shared" ca="1" si="86"/>
        <v>0</v>
      </c>
    </row>
    <row r="213" spans="2:16">
      <c r="B213" s="366" t="s">
        <v>660</v>
      </c>
      <c r="C213" s="367">
        <f t="shared" ref="C213:P213" si="87">C157</f>
        <v>0</v>
      </c>
      <c r="D213" s="367">
        <f t="shared" si="87"/>
        <v>0</v>
      </c>
      <c r="E213" s="367">
        <f t="shared" si="87"/>
        <v>0</v>
      </c>
      <c r="F213" s="367">
        <f t="shared" si="87"/>
        <v>0</v>
      </c>
      <c r="G213" s="367">
        <f t="shared" si="87"/>
        <v>0</v>
      </c>
      <c r="H213" s="367">
        <f t="shared" si="87"/>
        <v>0</v>
      </c>
      <c r="I213" s="367">
        <f t="shared" si="87"/>
        <v>0</v>
      </c>
      <c r="J213" s="367">
        <f t="shared" si="87"/>
        <v>0</v>
      </c>
      <c r="K213" s="367">
        <f t="shared" si="87"/>
        <v>0</v>
      </c>
      <c r="L213" s="367">
        <f t="shared" si="87"/>
        <v>0</v>
      </c>
      <c r="M213" s="367">
        <f t="shared" si="87"/>
        <v>0</v>
      </c>
      <c r="N213" s="367">
        <f t="shared" si="87"/>
        <v>0</v>
      </c>
      <c r="O213" s="367">
        <f t="shared" si="87"/>
        <v>0</v>
      </c>
      <c r="P213" s="367">
        <f t="shared" si="87"/>
        <v>0</v>
      </c>
    </row>
    <row r="214" spans="2:16">
      <c r="B214" s="368" t="s">
        <v>661</v>
      </c>
      <c r="C214" s="369">
        <f t="shared" ref="C214:P214" ca="1" si="88">C207</f>
        <v>0</v>
      </c>
      <c r="D214" s="369">
        <f t="shared" ca="1" si="88"/>
        <v>0</v>
      </c>
      <c r="E214" s="369">
        <f t="shared" ca="1" si="88"/>
        <v>0</v>
      </c>
      <c r="F214" s="369">
        <f t="shared" ca="1" si="88"/>
        <v>0</v>
      </c>
      <c r="G214" s="369">
        <f t="shared" ca="1" si="88"/>
        <v>0</v>
      </c>
      <c r="H214" s="369">
        <f t="shared" ca="1" si="88"/>
        <v>0</v>
      </c>
      <c r="I214" s="369">
        <f t="shared" ca="1" si="88"/>
        <v>0</v>
      </c>
      <c r="J214" s="369">
        <f t="shared" ca="1" si="88"/>
        <v>0</v>
      </c>
      <c r="K214" s="369">
        <f t="shared" ca="1" si="88"/>
        <v>0</v>
      </c>
      <c r="L214" s="369">
        <f t="shared" ca="1" si="88"/>
        <v>0</v>
      </c>
      <c r="M214" s="369">
        <f t="shared" ca="1" si="88"/>
        <v>0</v>
      </c>
      <c r="N214" s="369">
        <f t="shared" ca="1" si="88"/>
        <v>0</v>
      </c>
      <c r="O214" s="369">
        <f t="shared" ca="1" si="88"/>
        <v>0</v>
      </c>
      <c r="P214" s="369">
        <f t="shared" ca="1" si="88"/>
        <v>0</v>
      </c>
    </row>
    <row r="215" spans="2:16">
      <c r="B215" s="52" t="s">
        <v>662</v>
      </c>
      <c r="C215" s="33">
        <f ca="1">'Kapitał pracujący'!K$93</f>
        <v>0</v>
      </c>
      <c r="D215" s="33">
        <f ca="1">'Kapitał pracujący'!L$93</f>
        <v>0</v>
      </c>
      <c r="E215" s="33">
        <f ca="1">'Kapitał pracujący'!M$93</f>
        <v>0</v>
      </c>
      <c r="F215" s="33">
        <f ca="1">'Kapitał pracujący'!N$93</f>
        <v>0</v>
      </c>
      <c r="G215" s="33">
        <f ca="1">'Kapitał pracujący'!O$93</f>
        <v>0</v>
      </c>
      <c r="H215" s="33">
        <f ca="1">'Kapitał pracujący'!P$93</f>
        <v>0</v>
      </c>
      <c r="I215" s="33">
        <f ca="1">'Kapitał pracujący'!Q$93</f>
        <v>0</v>
      </c>
      <c r="J215" s="33">
        <f ca="1">'Kapitał pracujący'!R$93</f>
        <v>0</v>
      </c>
      <c r="K215" s="33">
        <f ca="1">'Kapitał pracujący'!S$93</f>
        <v>0</v>
      </c>
      <c r="L215" s="33">
        <f ca="1">'Kapitał pracujący'!T$93</f>
        <v>0</v>
      </c>
      <c r="M215" s="33">
        <f ca="1">'Kapitał pracujący'!U$93</f>
        <v>0</v>
      </c>
      <c r="N215" s="33">
        <f ca="1">'Kapitał pracujący'!V$93</f>
        <v>0</v>
      </c>
      <c r="O215" s="33">
        <f ca="1">'Kapitał pracujący'!W$93</f>
        <v>0</v>
      </c>
      <c r="P215" s="33">
        <f ca="1">'Kapitał pracujący'!X$93</f>
        <v>0</v>
      </c>
    </row>
    <row r="216" spans="2:16" ht="3.9" customHeight="1">
      <c r="B216" s="90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</row>
    <row r="217" spans="2:16">
      <c r="B217" s="52" t="s">
        <v>26</v>
      </c>
      <c r="C217" s="424">
        <f t="shared" ref="C217:P217" si="89">IF(AND(C$62&gt;=Poczatek,C$62&lt;=Koniec),IFERROR(WACC,0),0)</f>
        <v>0</v>
      </c>
      <c r="D217" s="424">
        <f t="shared" si="89"/>
        <v>0</v>
      </c>
      <c r="E217" s="424">
        <f t="shared" si="89"/>
        <v>0</v>
      </c>
      <c r="F217" s="424">
        <f t="shared" si="89"/>
        <v>0</v>
      </c>
      <c r="G217" s="424">
        <f t="shared" si="89"/>
        <v>0</v>
      </c>
      <c r="H217" s="424">
        <f t="shared" si="89"/>
        <v>0</v>
      </c>
      <c r="I217" s="424">
        <f t="shared" si="89"/>
        <v>0</v>
      </c>
      <c r="J217" s="424">
        <f t="shared" si="89"/>
        <v>0</v>
      </c>
      <c r="K217" s="424">
        <f t="shared" si="89"/>
        <v>0</v>
      </c>
      <c r="L217" s="424">
        <f t="shared" si="89"/>
        <v>0</v>
      </c>
      <c r="M217" s="424">
        <f t="shared" si="89"/>
        <v>0</v>
      </c>
      <c r="N217" s="424">
        <f t="shared" si="89"/>
        <v>0</v>
      </c>
      <c r="O217" s="424">
        <f t="shared" si="89"/>
        <v>0</v>
      </c>
      <c r="P217" s="424">
        <f t="shared" si="89"/>
        <v>0</v>
      </c>
    </row>
    <row r="218" spans="2:16">
      <c r="B218" s="52" t="s">
        <v>27</v>
      </c>
      <c r="C218" s="425" t="str">
        <f>IF(AND(C$62&gt;=Poczatek,C$62&lt;=Koniec),IFERROR(Założenia!K$35,0),0)</f>
        <v>n/d</v>
      </c>
      <c r="D218" s="425" t="str">
        <f>IF(AND(D$62&gt;=Poczatek,D$62&lt;=Koniec),IFERROR(Założenia!L$35,0),0)</f>
        <v>n/d</v>
      </c>
      <c r="E218" s="425" t="str">
        <f>IF(AND(E$62&gt;=Poczatek,E$62&lt;=Koniec),IFERROR(Założenia!M$35,0),0)</f>
        <v>n/d</v>
      </c>
      <c r="F218" s="425" t="str">
        <f>IF(AND(F$62&gt;=Poczatek,F$62&lt;=Koniec),IFERROR(Założenia!N$35,0),0)</f>
        <v>n/d</v>
      </c>
      <c r="G218" s="425" t="str">
        <f>IF(AND(G$62&gt;=Poczatek,G$62&lt;=Koniec),IFERROR(Założenia!O$35,0),0)</f>
        <v>n/d</v>
      </c>
      <c r="H218" s="425" t="str">
        <f>IF(AND(H$62&gt;=Poczatek,H$62&lt;=Koniec),IFERROR(Założenia!P$35,0),0)</f>
        <v>n/d</v>
      </c>
      <c r="I218" s="425" t="str">
        <f>IF(AND(I$62&gt;=Poczatek,I$62&lt;=Koniec),IFERROR(Założenia!Q$35,0),0)</f>
        <v>n/d</v>
      </c>
      <c r="J218" s="425" t="str">
        <f>IF(AND(J$62&gt;=Poczatek,J$62&lt;=Koniec),IFERROR(Założenia!R$35,0),0)</f>
        <v>n/d</v>
      </c>
      <c r="K218" s="425" t="str">
        <f>IF(AND(K$62&gt;=Poczatek,K$62&lt;=Koniec),IFERROR(Założenia!S$35,0),0)</f>
        <v>n/d</v>
      </c>
      <c r="L218" s="425" t="str">
        <f>IF(AND(L$62&gt;=Poczatek,L$62&lt;=Koniec),IFERROR(Założenia!T$35,0),0)</f>
        <v>n/d</v>
      </c>
      <c r="M218" s="425" t="str">
        <f>IF(AND(M$62&gt;=Poczatek,M$62&lt;=Koniec),IFERROR(Założenia!U$35,0),0)</f>
        <v>n/d</v>
      </c>
      <c r="N218" s="425" t="str">
        <f>IF(AND(N$62&gt;=Poczatek,N$62&lt;=Koniec),IFERROR(Założenia!V$35,0),0)</f>
        <v>n/d</v>
      </c>
      <c r="O218" s="425" t="str">
        <f>IF(AND(O$62&gt;=Poczatek,O$62&lt;=Koniec),IFERROR(Założenia!W$35,0),0)</f>
        <v>n/d</v>
      </c>
      <c r="P218" s="425" t="str">
        <f>IF(AND(P$62&gt;=Poczatek,P$62&lt;=Koniec),IFERROR(Założenia!X$35,0),0)</f>
        <v>n/d</v>
      </c>
    </row>
    <row r="219" spans="2:16" ht="3.9" customHeight="1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</row>
    <row r="220" spans="2:16">
      <c r="B220" s="427" t="s">
        <v>768</v>
      </c>
      <c r="C220" s="486" t="str">
        <f>C209</f>
        <v>Uzupełnij dane</v>
      </c>
      <c r="D220" s="486" t="str">
        <f t="shared" ref="D220:P220" si="90">D209</f>
        <v/>
      </c>
      <c r="E220" s="486" t="str">
        <f t="shared" si="90"/>
        <v/>
      </c>
      <c r="F220" s="486" t="str">
        <f t="shared" si="90"/>
        <v/>
      </c>
      <c r="G220" s="486" t="str">
        <f t="shared" si="90"/>
        <v/>
      </c>
      <c r="H220" s="486" t="str">
        <f t="shared" si="90"/>
        <v/>
      </c>
      <c r="I220" s="486" t="str">
        <f t="shared" si="90"/>
        <v/>
      </c>
      <c r="J220" s="486" t="str">
        <f t="shared" si="90"/>
        <v/>
      </c>
      <c r="K220" s="486" t="str">
        <f t="shared" si="90"/>
        <v/>
      </c>
      <c r="L220" s="486" t="str">
        <f t="shared" si="90"/>
        <v/>
      </c>
      <c r="M220" s="486" t="str">
        <f t="shared" si="90"/>
        <v/>
      </c>
      <c r="N220" s="486" t="str">
        <f t="shared" si="90"/>
        <v/>
      </c>
      <c r="O220" s="486" t="str">
        <f t="shared" si="90"/>
        <v/>
      </c>
      <c r="P220" s="486" t="str">
        <f t="shared" si="90"/>
        <v/>
      </c>
    </row>
    <row r="221" spans="2:16" ht="3.9" customHeight="1"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</row>
    <row r="222" spans="2:16">
      <c r="B222" s="88" t="s">
        <v>696</v>
      </c>
      <c r="C222" s="87">
        <f t="shared" ref="C222:P222" ca="1" si="91">IF(AND(C$62&gt;=Poczatek,C$62&lt;=Koniec),(C210-C211+C212-C213+C215),0)</f>
        <v>0</v>
      </c>
      <c r="D222" s="87">
        <f t="shared" ca="1" si="91"/>
        <v>0</v>
      </c>
      <c r="E222" s="87">
        <f t="shared" ca="1" si="91"/>
        <v>0</v>
      </c>
      <c r="F222" s="87">
        <f t="shared" ca="1" si="91"/>
        <v>0</v>
      </c>
      <c r="G222" s="87">
        <f t="shared" ca="1" si="91"/>
        <v>0</v>
      </c>
      <c r="H222" s="87">
        <f t="shared" ca="1" si="91"/>
        <v>0</v>
      </c>
      <c r="I222" s="87">
        <f t="shared" ca="1" si="91"/>
        <v>0</v>
      </c>
      <c r="J222" s="87">
        <f t="shared" ca="1" si="91"/>
        <v>0</v>
      </c>
      <c r="K222" s="87">
        <f t="shared" ca="1" si="91"/>
        <v>0</v>
      </c>
      <c r="L222" s="87">
        <f t="shared" ca="1" si="91"/>
        <v>0</v>
      </c>
      <c r="M222" s="87">
        <f t="shared" ca="1" si="91"/>
        <v>0</v>
      </c>
      <c r="N222" s="87">
        <f t="shared" ca="1" si="91"/>
        <v>0</v>
      </c>
      <c r="O222" s="87">
        <f t="shared" ca="1" si="91"/>
        <v>0</v>
      </c>
      <c r="P222" s="87">
        <f t="shared" ca="1" si="91"/>
        <v>0</v>
      </c>
    </row>
    <row r="223" spans="2:16">
      <c r="B223" s="88" t="s">
        <v>697</v>
      </c>
      <c r="C223" s="87">
        <f ca="1">IF(AND(C$62&gt;=Poczatek,C$62&lt;=Koniec),C222,0)</f>
        <v>0</v>
      </c>
      <c r="D223" s="87">
        <f t="shared" ref="D223:P223" ca="1" si="92">IF(AND(D$62&gt;=Poczatek,D$62&lt;=Koniec),(D222+C223),0)</f>
        <v>0</v>
      </c>
      <c r="E223" s="87">
        <f t="shared" ca="1" si="92"/>
        <v>0</v>
      </c>
      <c r="F223" s="87">
        <f t="shared" ca="1" si="92"/>
        <v>0</v>
      </c>
      <c r="G223" s="87">
        <f t="shared" ca="1" si="92"/>
        <v>0</v>
      </c>
      <c r="H223" s="87">
        <f t="shared" ca="1" si="92"/>
        <v>0</v>
      </c>
      <c r="I223" s="87">
        <f t="shared" ca="1" si="92"/>
        <v>0</v>
      </c>
      <c r="J223" s="87">
        <f t="shared" ca="1" si="92"/>
        <v>0</v>
      </c>
      <c r="K223" s="87">
        <f t="shared" ca="1" si="92"/>
        <v>0</v>
      </c>
      <c r="L223" s="87">
        <f t="shared" ca="1" si="92"/>
        <v>0</v>
      </c>
      <c r="M223" s="87">
        <f t="shared" ca="1" si="92"/>
        <v>0</v>
      </c>
      <c r="N223" s="87">
        <f t="shared" ca="1" si="92"/>
        <v>0</v>
      </c>
      <c r="O223" s="87">
        <f t="shared" ca="1" si="92"/>
        <v>0</v>
      </c>
      <c r="P223" s="87">
        <f t="shared" ca="1" si="92"/>
        <v>0</v>
      </c>
    </row>
    <row r="224" spans="2:16">
      <c r="B224" s="88" t="s">
        <v>699</v>
      </c>
      <c r="C224" s="87">
        <f ca="1">IFERROR(ROUND(C218*C222,0),0)</f>
        <v>0</v>
      </c>
      <c r="D224" s="87">
        <f t="shared" ref="D224" ca="1" si="93">IFERROR(ROUND(D218*D222,0),0)</f>
        <v>0</v>
      </c>
      <c r="E224" s="87">
        <f t="shared" ref="E224:P224" ca="1" si="94">IFERROR(ROUND(E218*E222,0),0)</f>
        <v>0</v>
      </c>
      <c r="F224" s="87">
        <f t="shared" ca="1" si="94"/>
        <v>0</v>
      </c>
      <c r="G224" s="87">
        <f t="shared" ca="1" si="94"/>
        <v>0</v>
      </c>
      <c r="H224" s="87">
        <f t="shared" ca="1" si="94"/>
        <v>0</v>
      </c>
      <c r="I224" s="87">
        <f t="shared" ca="1" si="94"/>
        <v>0</v>
      </c>
      <c r="J224" s="87">
        <f t="shared" ca="1" si="94"/>
        <v>0</v>
      </c>
      <c r="K224" s="87">
        <f t="shared" ca="1" si="94"/>
        <v>0</v>
      </c>
      <c r="L224" s="87">
        <f t="shared" ca="1" si="94"/>
        <v>0</v>
      </c>
      <c r="M224" s="87">
        <f t="shared" ca="1" si="94"/>
        <v>0</v>
      </c>
      <c r="N224" s="87">
        <f t="shared" ca="1" si="94"/>
        <v>0</v>
      </c>
      <c r="O224" s="87">
        <f t="shared" ca="1" si="94"/>
        <v>0</v>
      </c>
      <c r="P224" s="87">
        <f t="shared" ca="1" si="94"/>
        <v>0</v>
      </c>
    </row>
    <row r="225" spans="2:16">
      <c r="B225" s="88" t="s">
        <v>700</v>
      </c>
      <c r="C225" s="87">
        <f ca="1">IF(AND(C$62&gt;=Poczatek,C$62&lt;=Koniec),C224,0)</f>
        <v>0</v>
      </c>
      <c r="D225" s="87">
        <f t="shared" ref="D225:P225" ca="1" si="95">IF(AND(D$62&gt;=Poczatek,D$62&lt;=Koniec),(C225+D224),0)</f>
        <v>0</v>
      </c>
      <c r="E225" s="87">
        <f t="shared" ca="1" si="95"/>
        <v>0</v>
      </c>
      <c r="F225" s="87">
        <f t="shared" ca="1" si="95"/>
        <v>0</v>
      </c>
      <c r="G225" s="87">
        <f t="shared" ca="1" si="95"/>
        <v>0</v>
      </c>
      <c r="H225" s="87">
        <f t="shared" ca="1" si="95"/>
        <v>0</v>
      </c>
      <c r="I225" s="87">
        <f t="shared" ca="1" si="95"/>
        <v>0</v>
      </c>
      <c r="J225" s="87">
        <f t="shared" ca="1" si="95"/>
        <v>0</v>
      </c>
      <c r="K225" s="87">
        <f t="shared" ca="1" si="95"/>
        <v>0</v>
      </c>
      <c r="L225" s="87">
        <f t="shared" ca="1" si="95"/>
        <v>0</v>
      </c>
      <c r="M225" s="87">
        <f t="shared" ca="1" si="95"/>
        <v>0</v>
      </c>
      <c r="N225" s="87">
        <f t="shared" ca="1" si="95"/>
        <v>0</v>
      </c>
      <c r="O225" s="87">
        <f t="shared" ca="1" si="95"/>
        <v>0</v>
      </c>
      <c r="P225" s="87">
        <f t="shared" ca="1" si="95"/>
        <v>0</v>
      </c>
    </row>
    <row r="226" spans="2:16">
      <c r="B226" s="88" t="s">
        <v>698</v>
      </c>
      <c r="C226" s="426" t="str">
        <f ca="1">IF(AND(C$62&gt;=Poczatek,C$62&lt;=Koniec),IFERROR(IRR($C$222:C$222),"n/d"),IF(OR(C$62&lt;Poczatek,C$62&gt;Koniec),"",0))</f>
        <v>n/d</v>
      </c>
      <c r="D226" s="426" t="str">
        <f ca="1">IF(AND(D$62&gt;=Poczatek,D$62&lt;=Koniec),IFERROR(IRR($C$222:D$222),"n/d"),IF(OR(D$62&lt;Poczatek,D$62&gt;Koniec),"",0))</f>
        <v>n/d</v>
      </c>
      <c r="E226" s="426" t="str">
        <f ca="1">IF(AND(E$62&gt;=Poczatek,E$62&lt;=Koniec),IFERROR(IRR($C$222:E$222),"n/d"),IF(OR(E$62&lt;Poczatek,E$62&gt;Koniec),"",0))</f>
        <v>n/d</v>
      </c>
      <c r="F226" s="426" t="str">
        <f ca="1">IF(AND(F$62&gt;=Poczatek,F$62&lt;=Koniec),IFERROR(IRR($C$222:F$222),"n/d"),IF(OR(F$62&lt;Poczatek,F$62&gt;Koniec),"",0))</f>
        <v>n/d</v>
      </c>
      <c r="G226" s="426" t="str">
        <f ca="1">IF(AND(G$62&gt;=Poczatek,G$62&lt;=Koniec),IFERROR(IRR($C$222:G$222),"n/d"),IF(OR(G$62&lt;Poczatek,G$62&gt;Koniec),"",0))</f>
        <v>n/d</v>
      </c>
      <c r="H226" s="426" t="str">
        <f ca="1">IF(AND(H$62&gt;=Poczatek,H$62&lt;=Koniec),IFERROR(IRR($C$222:H$222),"n/d"),IF(OR(H$62&lt;Poczatek,H$62&gt;Koniec),"",0))</f>
        <v>n/d</v>
      </c>
      <c r="I226" s="426" t="str">
        <f ca="1">IF(AND(I$62&gt;=Poczatek,I$62&lt;=Koniec),IFERROR(IRR($C$222:I$222),"n/d"),IF(OR(I$62&lt;Poczatek,I$62&gt;Koniec),"",0))</f>
        <v>n/d</v>
      </c>
      <c r="J226" s="426" t="str">
        <f ca="1">IF(AND(J$62&gt;=Poczatek,J$62&lt;=Koniec),IFERROR(IRR($C$222:J$222),"n/d"),IF(OR(J$62&lt;Poczatek,J$62&gt;Koniec),"",0))</f>
        <v>n/d</v>
      </c>
      <c r="K226" s="426" t="str">
        <f ca="1">IF(AND(K$62&gt;=Poczatek,K$62&lt;=Koniec),IFERROR(IRR($C$222:K$222),"n/d"),IF(OR(K$62&lt;Poczatek,K$62&gt;Koniec),"",0))</f>
        <v>n/d</v>
      </c>
      <c r="L226" s="426" t="str">
        <f ca="1">IF(AND(L$62&gt;=Poczatek,L$62&lt;=Koniec),IFERROR(IRR($C$222:L$222),"n/d"),IF(OR(L$62&lt;Poczatek,L$62&gt;Koniec),"",0))</f>
        <v>n/d</v>
      </c>
      <c r="M226" s="426" t="str">
        <f ca="1">IF(AND(M$62&gt;=Poczatek,M$62&lt;=Koniec),IFERROR(IRR($C$222:M$222),"n/d"),IF(OR(M$62&lt;Poczatek,M$62&gt;Koniec),"",0))</f>
        <v>n/d</v>
      </c>
      <c r="N226" s="426" t="str">
        <f ca="1">IF(AND(N$62&gt;=Poczatek,N$62&lt;=Koniec),IFERROR(IRR($C$222:N$222),"n/d"),IF(OR(N$62&lt;Poczatek,N$62&gt;Koniec),"",0))</f>
        <v>n/d</v>
      </c>
      <c r="O226" s="426" t="str">
        <f ca="1">IF(AND(O$62&gt;=Poczatek,O$62&lt;=Koniec),IFERROR(IRR($C$222:O$222),"n/d"),IF(OR(O$62&lt;Poczatek,O$62&gt;Koniec),"",0))</f>
        <v>n/d</v>
      </c>
      <c r="P226" s="426" t="str">
        <f ca="1">IF(AND(P$62&gt;=Poczatek,P$62&lt;=Koniec),IFERROR(IRR($C$222:P$222),"n/d"),IF(OR(P$62&lt;Poczatek,P$62&gt;Koniec),"",0))</f>
        <v>n/d</v>
      </c>
    </row>
    <row r="227" spans="2:16" ht="3.9" customHeight="1"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</row>
    <row r="228" spans="2:16">
      <c r="B228" s="427" t="s">
        <v>769</v>
      </c>
      <c r="C228" s="486" t="str">
        <f>C220</f>
        <v>Uzupełnij dane</v>
      </c>
      <c r="D228" s="486" t="str">
        <f t="shared" ref="D228:P228" si="96">D220</f>
        <v/>
      </c>
      <c r="E228" s="486" t="str">
        <f t="shared" si="96"/>
        <v/>
      </c>
      <c r="F228" s="486" t="str">
        <f t="shared" si="96"/>
        <v/>
      </c>
      <c r="G228" s="486" t="str">
        <f t="shared" si="96"/>
        <v/>
      </c>
      <c r="H228" s="486" t="str">
        <f t="shared" si="96"/>
        <v/>
      </c>
      <c r="I228" s="486" t="str">
        <f t="shared" si="96"/>
        <v/>
      </c>
      <c r="J228" s="486" t="str">
        <f t="shared" si="96"/>
        <v/>
      </c>
      <c r="K228" s="486" t="str">
        <f t="shared" si="96"/>
        <v/>
      </c>
      <c r="L228" s="486" t="str">
        <f t="shared" si="96"/>
        <v/>
      </c>
      <c r="M228" s="486" t="str">
        <f t="shared" si="96"/>
        <v/>
      </c>
      <c r="N228" s="486" t="str">
        <f t="shared" si="96"/>
        <v/>
      </c>
      <c r="O228" s="486" t="str">
        <f t="shared" si="96"/>
        <v/>
      </c>
      <c r="P228" s="486" t="str">
        <f t="shared" si="96"/>
        <v/>
      </c>
    </row>
    <row r="229" spans="2:16" ht="3.9" customHeight="1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2:16">
      <c r="B230" s="88" t="s">
        <v>663</v>
      </c>
      <c r="C230" s="87">
        <f t="shared" ref="C230:D230" ca="1" si="97">C210-C211+C212-C213+C214+C215</f>
        <v>0</v>
      </c>
      <c r="D230" s="87">
        <f t="shared" ca="1" si="97"/>
        <v>0</v>
      </c>
      <c r="E230" s="87">
        <f t="shared" ref="E230:P230" ca="1" si="98">E210-E211+E212-E213+E214+E215</f>
        <v>0</v>
      </c>
      <c r="F230" s="87">
        <f t="shared" ca="1" si="98"/>
        <v>0</v>
      </c>
      <c r="G230" s="87">
        <f t="shared" ca="1" si="98"/>
        <v>0</v>
      </c>
      <c r="H230" s="87">
        <f t="shared" ca="1" si="98"/>
        <v>0</v>
      </c>
      <c r="I230" s="87">
        <f t="shared" ca="1" si="98"/>
        <v>0</v>
      </c>
      <c r="J230" s="87">
        <f t="shared" ca="1" si="98"/>
        <v>0</v>
      </c>
      <c r="K230" s="87">
        <f t="shared" ca="1" si="98"/>
        <v>0</v>
      </c>
      <c r="L230" s="87">
        <f t="shared" ca="1" si="98"/>
        <v>0</v>
      </c>
      <c r="M230" s="87">
        <f t="shared" ca="1" si="98"/>
        <v>0</v>
      </c>
      <c r="N230" s="87">
        <f t="shared" ca="1" si="98"/>
        <v>0</v>
      </c>
      <c r="O230" s="87">
        <f t="shared" ca="1" si="98"/>
        <v>0</v>
      </c>
      <c r="P230" s="87">
        <f t="shared" ca="1" si="98"/>
        <v>0</v>
      </c>
    </row>
    <row r="231" spans="2:16">
      <c r="B231" s="88" t="s">
        <v>695</v>
      </c>
      <c r="C231" s="87">
        <f ca="1">IF(AND(C$62&gt;=Poczatek,C$62&lt;=Koniec),C230,0)</f>
        <v>0</v>
      </c>
      <c r="D231" s="87">
        <f t="shared" ref="D231:P231" ca="1" si="99">IF(AND(D$62&gt;=Poczatek,D$62&lt;=Koniec),(C231+D230),0)</f>
        <v>0</v>
      </c>
      <c r="E231" s="87">
        <f t="shared" ca="1" si="99"/>
        <v>0</v>
      </c>
      <c r="F231" s="87">
        <f t="shared" ca="1" si="99"/>
        <v>0</v>
      </c>
      <c r="G231" s="87">
        <f t="shared" ca="1" si="99"/>
        <v>0</v>
      </c>
      <c r="H231" s="87">
        <f t="shared" ca="1" si="99"/>
        <v>0</v>
      </c>
      <c r="I231" s="87">
        <f t="shared" ca="1" si="99"/>
        <v>0</v>
      </c>
      <c r="J231" s="87">
        <f t="shared" ca="1" si="99"/>
        <v>0</v>
      </c>
      <c r="K231" s="87">
        <f t="shared" ca="1" si="99"/>
        <v>0</v>
      </c>
      <c r="L231" s="87">
        <f t="shared" ca="1" si="99"/>
        <v>0</v>
      </c>
      <c r="M231" s="87">
        <f t="shared" ca="1" si="99"/>
        <v>0</v>
      </c>
      <c r="N231" s="87">
        <f t="shared" ca="1" si="99"/>
        <v>0</v>
      </c>
      <c r="O231" s="87">
        <f t="shared" ca="1" si="99"/>
        <v>0</v>
      </c>
      <c r="P231" s="87">
        <f t="shared" ca="1" si="99"/>
        <v>0</v>
      </c>
    </row>
    <row r="232" spans="2:16">
      <c r="B232" s="88" t="s">
        <v>664</v>
      </c>
      <c r="C232" s="87">
        <f t="shared" ref="C232:D232" ca="1" si="100">IFERROR(ROUND(C218*C230,0),0)</f>
        <v>0</v>
      </c>
      <c r="D232" s="87">
        <f t="shared" ca="1" si="100"/>
        <v>0</v>
      </c>
      <c r="E232" s="87">
        <f t="shared" ref="E232:P232" ca="1" si="101">IFERROR(ROUND(E218*E230,0),0)</f>
        <v>0</v>
      </c>
      <c r="F232" s="87">
        <f t="shared" ca="1" si="101"/>
        <v>0</v>
      </c>
      <c r="G232" s="87">
        <f t="shared" ca="1" si="101"/>
        <v>0</v>
      </c>
      <c r="H232" s="87">
        <f t="shared" ca="1" si="101"/>
        <v>0</v>
      </c>
      <c r="I232" s="87">
        <f t="shared" ca="1" si="101"/>
        <v>0</v>
      </c>
      <c r="J232" s="87">
        <f t="shared" ca="1" si="101"/>
        <v>0</v>
      </c>
      <c r="K232" s="87">
        <f t="shared" ca="1" si="101"/>
        <v>0</v>
      </c>
      <c r="L232" s="87">
        <f t="shared" ca="1" si="101"/>
        <v>0</v>
      </c>
      <c r="M232" s="87">
        <f t="shared" ca="1" si="101"/>
        <v>0</v>
      </c>
      <c r="N232" s="87">
        <f t="shared" ca="1" si="101"/>
        <v>0</v>
      </c>
      <c r="O232" s="87">
        <f t="shared" ca="1" si="101"/>
        <v>0</v>
      </c>
      <c r="P232" s="87">
        <f t="shared" ca="1" si="101"/>
        <v>0</v>
      </c>
    </row>
    <row r="233" spans="2:16">
      <c r="B233" s="88" t="s">
        <v>694</v>
      </c>
      <c r="C233" s="87">
        <f ca="1">IF(AND(C$62&gt;=Poczatek,C$62&lt;=Koniec),C232,0)</f>
        <v>0</v>
      </c>
      <c r="D233" s="87">
        <f t="shared" ref="D233:P233" ca="1" si="102">IF(AND(D$62&gt;=Poczatek,D$62&lt;=Koniec),(C233+D232),0)</f>
        <v>0</v>
      </c>
      <c r="E233" s="87">
        <f t="shared" ca="1" si="102"/>
        <v>0</v>
      </c>
      <c r="F233" s="87">
        <f t="shared" ca="1" si="102"/>
        <v>0</v>
      </c>
      <c r="G233" s="87">
        <f t="shared" ca="1" si="102"/>
        <v>0</v>
      </c>
      <c r="H233" s="87">
        <f t="shared" ca="1" si="102"/>
        <v>0</v>
      </c>
      <c r="I233" s="87">
        <f t="shared" ca="1" si="102"/>
        <v>0</v>
      </c>
      <c r="J233" s="87">
        <f t="shared" ca="1" si="102"/>
        <v>0</v>
      </c>
      <c r="K233" s="87">
        <f t="shared" ca="1" si="102"/>
        <v>0</v>
      </c>
      <c r="L233" s="87">
        <f t="shared" ca="1" si="102"/>
        <v>0</v>
      </c>
      <c r="M233" s="87">
        <f t="shared" ca="1" si="102"/>
        <v>0</v>
      </c>
      <c r="N233" s="87">
        <f t="shared" ca="1" si="102"/>
        <v>0</v>
      </c>
      <c r="O233" s="87">
        <f t="shared" ca="1" si="102"/>
        <v>0</v>
      </c>
      <c r="P233" s="87">
        <f t="shared" ca="1" si="102"/>
        <v>0</v>
      </c>
    </row>
    <row r="234" spans="2:16">
      <c r="B234" s="88" t="s">
        <v>665</v>
      </c>
      <c r="C234" s="426" t="str">
        <f ca="1">IF(AND(C$62&gt;=Poczatek,C$62&lt;=Koniec),IFERROR(IRR($C$230:C230),"n/d"),IF(OR(C$62&lt;Poczatek,C$62&gt;Koniec),"",0))</f>
        <v>n/d</v>
      </c>
      <c r="D234" s="426" t="str">
        <f ca="1">IF(AND(D$62&gt;=Poczatek,D$62&lt;=Koniec),IFERROR(IRR($C$230:D230),"n/d"),IF(OR(D$62&lt;Poczatek,D$62&gt;Koniec),"",0))</f>
        <v>n/d</v>
      </c>
      <c r="E234" s="426" t="str">
        <f ca="1">IF(AND(E$62&gt;=Poczatek,E$62&lt;=Koniec),IFERROR(IRR($C$230:E230),"n/d"),IF(OR(E$62&lt;Poczatek,E$62&gt;Koniec),"",0))</f>
        <v>n/d</v>
      </c>
      <c r="F234" s="426" t="str">
        <f ca="1">IF(AND(F$62&gt;=Poczatek,F$62&lt;=Koniec),IFERROR(IRR($C$230:F230),"n/d"),IF(OR(F$62&lt;Poczatek,F$62&gt;Koniec),"",0))</f>
        <v>n/d</v>
      </c>
      <c r="G234" s="426" t="str">
        <f ca="1">IF(AND(G$62&gt;=Poczatek,G$62&lt;=Koniec),IFERROR(IRR($C$230:G230),"n/d"),IF(OR(G$62&lt;Poczatek,G$62&gt;Koniec),"",0))</f>
        <v>n/d</v>
      </c>
      <c r="H234" s="426" t="str">
        <f ca="1">IF(AND(H$62&gt;=Poczatek,H$62&lt;=Koniec),IFERROR(IRR($C$230:H230),"n/d"),IF(OR(H$62&lt;Poczatek,H$62&gt;Koniec),"",0))</f>
        <v>n/d</v>
      </c>
      <c r="I234" s="426" t="str">
        <f ca="1">IF(AND(I$62&gt;=Poczatek,I$62&lt;=Koniec),IFERROR(IRR($C$230:I230),"n/d"),IF(OR(I$62&lt;Poczatek,I$62&gt;Koniec),"",0))</f>
        <v>n/d</v>
      </c>
      <c r="J234" s="426" t="str">
        <f ca="1">IF(AND(J$62&gt;=Poczatek,J$62&lt;=Koniec),IFERROR(IRR($C$230:J230),"n/d"),IF(OR(J$62&lt;Poczatek,J$62&gt;Koniec),"",0))</f>
        <v>n/d</v>
      </c>
      <c r="K234" s="426" t="str">
        <f ca="1">IF(AND(K$62&gt;=Poczatek,K$62&lt;=Koniec),IFERROR(IRR($C$230:K230),"n/d"),IF(OR(K$62&lt;Poczatek,K$62&gt;Koniec),"",0))</f>
        <v>n/d</v>
      </c>
      <c r="L234" s="426" t="str">
        <f ca="1">IF(AND(L$62&gt;=Poczatek,L$62&lt;=Koniec),IFERROR(IRR($C$230:L230),"n/d"),IF(OR(L$62&lt;Poczatek,L$62&gt;Koniec),"",0))</f>
        <v>n/d</v>
      </c>
      <c r="M234" s="426" t="str">
        <f ca="1">IF(AND(M$62&gt;=Poczatek,M$62&lt;=Koniec),IFERROR(IRR($C$230:M230),"n/d"),IF(OR(M$62&lt;Poczatek,M$62&gt;Koniec),"",0))</f>
        <v>n/d</v>
      </c>
      <c r="N234" s="426" t="str">
        <f ca="1">IF(AND(N$62&gt;=Poczatek,N$62&lt;=Koniec),IFERROR(IRR($C$230:N230),"n/d"),IF(OR(N$62&lt;Poczatek,N$62&gt;Koniec),"",0))</f>
        <v>n/d</v>
      </c>
      <c r="O234" s="426" t="str">
        <f ca="1">IF(AND(O$62&gt;=Poczatek,O$62&lt;=Koniec),IFERROR(IRR($C$230:O230),"n/d"),IF(OR(O$62&lt;Poczatek,O$62&gt;Koniec),"",0))</f>
        <v>n/d</v>
      </c>
      <c r="P234" s="426" t="str">
        <f ca="1">IF(AND(P$62&gt;=Poczatek,P$62&lt;=Koniec),IFERROR(IRR($C$230:P230),"n/d"),IF(OR(P$62&lt;Poczatek,P$62&gt;Koniec),"",0))</f>
        <v>n/d</v>
      </c>
    </row>
    <row r="235" spans="2:16"/>
    <row r="236" spans="2:16"/>
    <row r="237" spans="2:16">
      <c r="B237" s="370" t="s">
        <v>770</v>
      </c>
      <c r="C237" s="370"/>
      <c r="D237" s="370"/>
      <c r="E237" s="370"/>
      <c r="F237" s="370"/>
      <c r="G237" s="370"/>
      <c r="H237" s="370"/>
      <c r="I237" s="370"/>
      <c r="J237" s="370"/>
      <c r="K237" s="370"/>
      <c r="L237" s="370"/>
      <c r="M237" s="370"/>
      <c r="N237" s="370"/>
      <c r="O237" s="370"/>
      <c r="P237" s="370"/>
    </row>
    <row r="238" spans="2:16"/>
    <row r="239" spans="2:16">
      <c r="B239" s="372" t="s">
        <v>771</v>
      </c>
      <c r="C239" s="485" t="str">
        <f>C201</f>
        <v>Uzupełnij dane</v>
      </c>
      <c r="D239" s="485" t="str">
        <f t="shared" ref="D239:P239" si="103">D201</f>
        <v/>
      </c>
      <c r="E239" s="485" t="str">
        <f t="shared" si="103"/>
        <v/>
      </c>
      <c r="F239" s="485" t="str">
        <f t="shared" si="103"/>
        <v/>
      </c>
      <c r="G239" s="485" t="str">
        <f t="shared" si="103"/>
        <v/>
      </c>
      <c r="H239" s="485" t="str">
        <f t="shared" si="103"/>
        <v/>
      </c>
      <c r="I239" s="485" t="str">
        <f t="shared" si="103"/>
        <v/>
      </c>
      <c r="J239" s="485" t="str">
        <f t="shared" si="103"/>
        <v/>
      </c>
      <c r="K239" s="485" t="str">
        <f t="shared" si="103"/>
        <v/>
      </c>
      <c r="L239" s="485" t="str">
        <f t="shared" si="103"/>
        <v/>
      </c>
      <c r="M239" s="485" t="str">
        <f t="shared" si="103"/>
        <v/>
      </c>
      <c r="N239" s="485" t="str">
        <f t="shared" si="103"/>
        <v/>
      </c>
      <c r="O239" s="485" t="str">
        <f t="shared" si="103"/>
        <v/>
      </c>
      <c r="P239" s="485" t="str">
        <f t="shared" si="103"/>
        <v/>
      </c>
    </row>
    <row r="240" spans="2:16" ht="3.9" customHeight="1">
      <c r="C240" s="5"/>
      <c r="D240" s="5"/>
      <c r="E240" s="5"/>
      <c r="F240" s="5"/>
      <c r="G240" s="5"/>
      <c r="H240" s="5"/>
      <c r="I240" s="5"/>
    </row>
    <row r="241" spans="2:16">
      <c r="B241" s="104" t="s">
        <v>689</v>
      </c>
      <c r="C241" s="103">
        <f ca="1">C203+C121</f>
        <v>0</v>
      </c>
      <c r="D241" s="103">
        <f t="shared" ref="D241:P241" ca="1" si="104">D203+D121</f>
        <v>0</v>
      </c>
      <c r="E241" s="103">
        <f t="shared" ca="1" si="104"/>
        <v>0</v>
      </c>
      <c r="F241" s="103">
        <f t="shared" ca="1" si="104"/>
        <v>0</v>
      </c>
      <c r="G241" s="103">
        <f t="shared" ca="1" si="104"/>
        <v>0</v>
      </c>
      <c r="H241" s="103">
        <f t="shared" ca="1" si="104"/>
        <v>0</v>
      </c>
      <c r="I241" s="103">
        <f t="shared" ca="1" si="104"/>
        <v>0</v>
      </c>
      <c r="J241" s="103">
        <f t="shared" ca="1" si="104"/>
        <v>0</v>
      </c>
      <c r="K241" s="103">
        <f t="shared" ca="1" si="104"/>
        <v>0</v>
      </c>
      <c r="L241" s="103">
        <f t="shared" ca="1" si="104"/>
        <v>0</v>
      </c>
      <c r="M241" s="103">
        <f t="shared" ca="1" si="104"/>
        <v>0</v>
      </c>
      <c r="N241" s="103">
        <f t="shared" ca="1" si="104"/>
        <v>0</v>
      </c>
      <c r="O241" s="103">
        <f t="shared" ca="1" si="104"/>
        <v>0</v>
      </c>
      <c r="P241" s="103">
        <f t="shared" ca="1" si="104"/>
        <v>0</v>
      </c>
    </row>
    <row r="242" spans="2:16">
      <c r="B242" s="37" t="s">
        <v>690</v>
      </c>
      <c r="C242" s="33">
        <f t="shared" ref="C242:P244" si="105">C204+C122</f>
        <v>0</v>
      </c>
      <c r="D242" s="33">
        <f t="shared" si="105"/>
        <v>0</v>
      </c>
      <c r="E242" s="33">
        <f t="shared" si="105"/>
        <v>0</v>
      </c>
      <c r="F242" s="33">
        <f t="shared" si="105"/>
        <v>0</v>
      </c>
      <c r="G242" s="33">
        <f t="shared" si="105"/>
        <v>0</v>
      </c>
      <c r="H242" s="33">
        <f t="shared" si="105"/>
        <v>0</v>
      </c>
      <c r="I242" s="33">
        <f t="shared" si="105"/>
        <v>0</v>
      </c>
      <c r="J242" s="33">
        <f t="shared" si="105"/>
        <v>0</v>
      </c>
      <c r="K242" s="33">
        <f t="shared" si="105"/>
        <v>0</v>
      </c>
      <c r="L242" s="33">
        <f t="shared" si="105"/>
        <v>0</v>
      </c>
      <c r="M242" s="33">
        <f t="shared" si="105"/>
        <v>0</v>
      </c>
      <c r="N242" s="33">
        <f t="shared" si="105"/>
        <v>0</v>
      </c>
      <c r="O242" s="33">
        <f t="shared" si="105"/>
        <v>0</v>
      </c>
      <c r="P242" s="33">
        <f t="shared" si="105"/>
        <v>0</v>
      </c>
    </row>
    <row r="243" spans="2:16">
      <c r="B243" s="37" t="s">
        <v>692</v>
      </c>
      <c r="C243" s="33">
        <f t="shared" si="105"/>
        <v>0</v>
      </c>
      <c r="D243" s="33">
        <f t="shared" si="105"/>
        <v>0</v>
      </c>
      <c r="E243" s="33">
        <f t="shared" si="105"/>
        <v>0</v>
      </c>
      <c r="F243" s="33">
        <f t="shared" si="105"/>
        <v>0</v>
      </c>
      <c r="G243" s="33">
        <f t="shared" si="105"/>
        <v>0</v>
      </c>
      <c r="H243" s="33">
        <f t="shared" si="105"/>
        <v>0</v>
      </c>
      <c r="I243" s="33">
        <f t="shared" si="105"/>
        <v>0</v>
      </c>
      <c r="J243" s="33">
        <f t="shared" si="105"/>
        <v>0</v>
      </c>
      <c r="K243" s="33">
        <f t="shared" si="105"/>
        <v>0</v>
      </c>
      <c r="L243" s="33">
        <f t="shared" si="105"/>
        <v>0</v>
      </c>
      <c r="M243" s="33">
        <f t="shared" si="105"/>
        <v>0</v>
      </c>
      <c r="N243" s="33">
        <f t="shared" si="105"/>
        <v>0</v>
      </c>
      <c r="O243" s="33">
        <f t="shared" si="105"/>
        <v>0</v>
      </c>
      <c r="P243" s="33">
        <f t="shared" si="105"/>
        <v>0</v>
      </c>
    </row>
    <row r="244" spans="2:16">
      <c r="B244" s="37" t="s">
        <v>691</v>
      </c>
      <c r="C244" s="33">
        <f t="shared" ca="1" si="105"/>
        <v>0</v>
      </c>
      <c r="D244" s="33">
        <f t="shared" ca="1" si="105"/>
        <v>0</v>
      </c>
      <c r="E244" s="33">
        <f t="shared" ca="1" si="105"/>
        <v>0</v>
      </c>
      <c r="F244" s="33">
        <f t="shared" ca="1" si="105"/>
        <v>0</v>
      </c>
      <c r="G244" s="33">
        <f t="shared" ca="1" si="105"/>
        <v>0</v>
      </c>
      <c r="H244" s="33">
        <f t="shared" ca="1" si="105"/>
        <v>0</v>
      </c>
      <c r="I244" s="33">
        <f t="shared" ca="1" si="105"/>
        <v>0</v>
      </c>
      <c r="J244" s="33">
        <f t="shared" ca="1" si="105"/>
        <v>0</v>
      </c>
      <c r="K244" s="33">
        <f t="shared" ca="1" si="105"/>
        <v>0</v>
      </c>
      <c r="L244" s="33">
        <f t="shared" ca="1" si="105"/>
        <v>0</v>
      </c>
      <c r="M244" s="33">
        <f t="shared" ca="1" si="105"/>
        <v>0</v>
      </c>
      <c r="N244" s="33">
        <f t="shared" ca="1" si="105"/>
        <v>0</v>
      </c>
      <c r="O244" s="33">
        <f t="shared" ca="1" si="105"/>
        <v>0</v>
      </c>
      <c r="P244" s="33">
        <f t="shared" ca="1" si="105"/>
        <v>0</v>
      </c>
    </row>
    <row r="245" spans="2:16">
      <c r="B245" s="99" t="s">
        <v>335</v>
      </c>
      <c r="C245" s="98">
        <f ca="1">SUM(C241:C244)</f>
        <v>0</v>
      </c>
      <c r="D245" s="98">
        <f t="shared" ref="D245:P245" ca="1" si="106">SUM(D241:D244)</f>
        <v>0</v>
      </c>
      <c r="E245" s="98">
        <f t="shared" ca="1" si="106"/>
        <v>0</v>
      </c>
      <c r="F245" s="98">
        <f t="shared" ca="1" si="106"/>
        <v>0</v>
      </c>
      <c r="G245" s="98">
        <f t="shared" ca="1" si="106"/>
        <v>0</v>
      </c>
      <c r="H245" s="98">
        <f t="shared" ca="1" si="106"/>
        <v>0</v>
      </c>
      <c r="I245" s="98">
        <f t="shared" ca="1" si="106"/>
        <v>0</v>
      </c>
      <c r="J245" s="98">
        <f t="shared" ca="1" si="106"/>
        <v>0</v>
      </c>
      <c r="K245" s="98">
        <f t="shared" ca="1" si="106"/>
        <v>0</v>
      </c>
      <c r="L245" s="98">
        <f t="shared" ca="1" si="106"/>
        <v>0</v>
      </c>
      <c r="M245" s="98">
        <f t="shared" ca="1" si="106"/>
        <v>0</v>
      </c>
      <c r="N245" s="98">
        <f t="shared" ca="1" si="106"/>
        <v>0</v>
      </c>
      <c r="O245" s="98">
        <f t="shared" ca="1" si="106"/>
        <v>0</v>
      </c>
      <c r="P245" s="98">
        <f t="shared" ca="1" si="106"/>
        <v>0</v>
      </c>
    </row>
    <row r="246" spans="2:16"/>
    <row r="247" spans="2:16">
      <c r="B247" s="374" t="s">
        <v>772</v>
      </c>
      <c r="C247" s="486" t="str">
        <f>C209</f>
        <v>Uzupełnij dane</v>
      </c>
      <c r="D247" s="486" t="str">
        <f t="shared" ref="D247:P247" si="107">D209</f>
        <v/>
      </c>
      <c r="E247" s="486" t="str">
        <f t="shared" si="107"/>
        <v/>
      </c>
      <c r="F247" s="486" t="str">
        <f t="shared" si="107"/>
        <v/>
      </c>
      <c r="G247" s="486" t="str">
        <f t="shared" si="107"/>
        <v/>
      </c>
      <c r="H247" s="486" t="str">
        <f t="shared" si="107"/>
        <v/>
      </c>
      <c r="I247" s="486" t="str">
        <f t="shared" si="107"/>
        <v/>
      </c>
      <c r="J247" s="486" t="str">
        <f t="shared" si="107"/>
        <v/>
      </c>
      <c r="K247" s="486" t="str">
        <f t="shared" si="107"/>
        <v/>
      </c>
      <c r="L247" s="486" t="str">
        <f t="shared" si="107"/>
        <v/>
      </c>
      <c r="M247" s="486" t="str">
        <f t="shared" si="107"/>
        <v/>
      </c>
      <c r="N247" s="486" t="str">
        <f t="shared" si="107"/>
        <v/>
      </c>
      <c r="O247" s="486" t="str">
        <f t="shared" si="107"/>
        <v/>
      </c>
      <c r="P247" s="486" t="str">
        <f t="shared" si="107"/>
        <v/>
      </c>
    </row>
    <row r="248" spans="2:16">
      <c r="B248" s="102" t="s">
        <v>104</v>
      </c>
      <c r="C248" s="103">
        <f>C210+C128</f>
        <v>0</v>
      </c>
      <c r="D248" s="103">
        <f t="shared" ref="D248:P248" si="108">D210+D128</f>
        <v>0</v>
      </c>
      <c r="E248" s="103">
        <f t="shared" si="108"/>
        <v>0</v>
      </c>
      <c r="F248" s="103">
        <f t="shared" si="108"/>
        <v>0</v>
      </c>
      <c r="G248" s="103">
        <f t="shared" si="108"/>
        <v>0</v>
      </c>
      <c r="H248" s="103">
        <f t="shared" si="108"/>
        <v>0</v>
      </c>
      <c r="I248" s="103">
        <f t="shared" si="108"/>
        <v>0</v>
      </c>
      <c r="J248" s="103">
        <f t="shared" si="108"/>
        <v>0</v>
      </c>
      <c r="K248" s="103">
        <f t="shared" si="108"/>
        <v>0</v>
      </c>
      <c r="L248" s="103">
        <f t="shared" si="108"/>
        <v>0</v>
      </c>
      <c r="M248" s="103">
        <f t="shared" si="108"/>
        <v>0</v>
      </c>
      <c r="N248" s="103">
        <f t="shared" si="108"/>
        <v>0</v>
      </c>
      <c r="O248" s="103">
        <f t="shared" si="108"/>
        <v>0</v>
      </c>
      <c r="P248" s="103">
        <f t="shared" si="108"/>
        <v>0</v>
      </c>
    </row>
    <row r="249" spans="2:16">
      <c r="B249" s="52" t="s">
        <v>693</v>
      </c>
      <c r="C249" s="33">
        <f t="shared" ref="C249:P251" si="109">C211+C129</f>
        <v>0</v>
      </c>
      <c r="D249" s="33">
        <f t="shared" si="109"/>
        <v>0</v>
      </c>
      <c r="E249" s="33">
        <f t="shared" si="109"/>
        <v>0</v>
      </c>
      <c r="F249" s="33">
        <f t="shared" si="109"/>
        <v>0</v>
      </c>
      <c r="G249" s="33">
        <f t="shared" si="109"/>
        <v>0</v>
      </c>
      <c r="H249" s="33">
        <f t="shared" si="109"/>
        <v>0</v>
      </c>
      <c r="I249" s="33">
        <f t="shared" si="109"/>
        <v>0</v>
      </c>
      <c r="J249" s="33">
        <f t="shared" si="109"/>
        <v>0</v>
      </c>
      <c r="K249" s="33">
        <f t="shared" si="109"/>
        <v>0</v>
      </c>
      <c r="L249" s="33">
        <f t="shared" si="109"/>
        <v>0</v>
      </c>
      <c r="M249" s="33">
        <f t="shared" si="109"/>
        <v>0</v>
      </c>
      <c r="N249" s="33">
        <f t="shared" si="109"/>
        <v>0</v>
      </c>
      <c r="O249" s="33">
        <f t="shared" si="109"/>
        <v>0</v>
      </c>
      <c r="P249" s="33">
        <f t="shared" si="109"/>
        <v>0</v>
      </c>
    </row>
    <row r="250" spans="2:16">
      <c r="B250" s="52" t="s">
        <v>331</v>
      </c>
      <c r="C250" s="33">
        <f t="shared" ca="1" si="109"/>
        <v>0</v>
      </c>
      <c r="D250" s="33">
        <f t="shared" ca="1" si="109"/>
        <v>0</v>
      </c>
      <c r="E250" s="33">
        <f t="shared" ca="1" si="109"/>
        <v>0</v>
      </c>
      <c r="F250" s="33">
        <f t="shared" ca="1" si="109"/>
        <v>0</v>
      </c>
      <c r="G250" s="33">
        <f t="shared" ca="1" si="109"/>
        <v>0</v>
      </c>
      <c r="H250" s="33">
        <f t="shared" ca="1" si="109"/>
        <v>0</v>
      </c>
      <c r="I250" s="33">
        <f t="shared" ca="1" si="109"/>
        <v>0</v>
      </c>
      <c r="J250" s="33">
        <f t="shared" ca="1" si="109"/>
        <v>0</v>
      </c>
      <c r="K250" s="33">
        <f t="shared" ca="1" si="109"/>
        <v>0</v>
      </c>
      <c r="L250" s="33">
        <f t="shared" ca="1" si="109"/>
        <v>0</v>
      </c>
      <c r="M250" s="33">
        <f t="shared" ca="1" si="109"/>
        <v>0</v>
      </c>
      <c r="N250" s="33">
        <f t="shared" ca="1" si="109"/>
        <v>0</v>
      </c>
      <c r="O250" s="33">
        <f t="shared" ca="1" si="109"/>
        <v>0</v>
      </c>
      <c r="P250" s="33">
        <f t="shared" ca="1" si="109"/>
        <v>0</v>
      </c>
    </row>
    <row r="251" spans="2:16">
      <c r="B251" s="366" t="s">
        <v>660</v>
      </c>
      <c r="C251" s="367">
        <f t="shared" si="109"/>
        <v>0</v>
      </c>
      <c r="D251" s="367">
        <f t="shared" si="109"/>
        <v>0</v>
      </c>
      <c r="E251" s="367">
        <f t="shared" si="109"/>
        <v>0</v>
      </c>
      <c r="F251" s="367">
        <f t="shared" si="109"/>
        <v>0</v>
      </c>
      <c r="G251" s="367">
        <f t="shared" si="109"/>
        <v>0</v>
      </c>
      <c r="H251" s="367">
        <f t="shared" si="109"/>
        <v>0</v>
      </c>
      <c r="I251" s="367">
        <f t="shared" si="109"/>
        <v>0</v>
      </c>
      <c r="J251" s="367">
        <f t="shared" si="109"/>
        <v>0</v>
      </c>
      <c r="K251" s="367">
        <f t="shared" si="109"/>
        <v>0</v>
      </c>
      <c r="L251" s="367">
        <f t="shared" si="109"/>
        <v>0</v>
      </c>
      <c r="M251" s="367">
        <f t="shared" si="109"/>
        <v>0</v>
      </c>
      <c r="N251" s="367">
        <f t="shared" si="109"/>
        <v>0</v>
      </c>
      <c r="O251" s="367">
        <f t="shared" si="109"/>
        <v>0</v>
      </c>
      <c r="P251" s="367">
        <f t="shared" si="109"/>
        <v>0</v>
      </c>
    </row>
    <row r="252" spans="2:16">
      <c r="B252" s="368" t="s">
        <v>661</v>
      </c>
      <c r="C252" s="369">
        <f t="shared" ref="C252:P252" ca="1" si="110">C245</f>
        <v>0</v>
      </c>
      <c r="D252" s="369">
        <f t="shared" ca="1" si="110"/>
        <v>0</v>
      </c>
      <c r="E252" s="369">
        <f t="shared" ca="1" si="110"/>
        <v>0</v>
      </c>
      <c r="F252" s="369">
        <f t="shared" ca="1" si="110"/>
        <v>0</v>
      </c>
      <c r="G252" s="369">
        <f t="shared" ca="1" si="110"/>
        <v>0</v>
      </c>
      <c r="H252" s="369">
        <f t="shared" ca="1" si="110"/>
        <v>0</v>
      </c>
      <c r="I252" s="369">
        <f t="shared" ca="1" si="110"/>
        <v>0</v>
      </c>
      <c r="J252" s="369">
        <f t="shared" ca="1" si="110"/>
        <v>0</v>
      </c>
      <c r="K252" s="369">
        <f t="shared" ca="1" si="110"/>
        <v>0</v>
      </c>
      <c r="L252" s="369">
        <f t="shared" ca="1" si="110"/>
        <v>0</v>
      </c>
      <c r="M252" s="369">
        <f t="shared" ca="1" si="110"/>
        <v>0</v>
      </c>
      <c r="N252" s="369">
        <f t="shared" ca="1" si="110"/>
        <v>0</v>
      </c>
      <c r="O252" s="369">
        <f t="shared" ca="1" si="110"/>
        <v>0</v>
      </c>
      <c r="P252" s="369">
        <f t="shared" ca="1" si="110"/>
        <v>0</v>
      </c>
    </row>
    <row r="253" spans="2:16">
      <c r="B253" s="52" t="s">
        <v>662</v>
      </c>
      <c r="C253" s="33">
        <f ca="1">'Kapitał pracujący'!K$93</f>
        <v>0</v>
      </c>
      <c r="D253" s="33">
        <f ca="1">'Kapitał pracujący'!L$93</f>
        <v>0</v>
      </c>
      <c r="E253" s="33">
        <f ca="1">'Kapitał pracujący'!M$93</f>
        <v>0</v>
      </c>
      <c r="F253" s="33">
        <f ca="1">'Kapitał pracujący'!N$93</f>
        <v>0</v>
      </c>
      <c r="G253" s="33">
        <f ca="1">'Kapitał pracujący'!O$93</f>
        <v>0</v>
      </c>
      <c r="H253" s="33">
        <f ca="1">'Kapitał pracujący'!P$93</f>
        <v>0</v>
      </c>
      <c r="I253" s="33">
        <f ca="1">'Kapitał pracujący'!Q$93</f>
        <v>0</v>
      </c>
      <c r="J253" s="33">
        <f ca="1">'Kapitał pracujący'!R$93</f>
        <v>0</v>
      </c>
      <c r="K253" s="33">
        <f ca="1">'Kapitał pracujący'!S$93</f>
        <v>0</v>
      </c>
      <c r="L253" s="33">
        <f ca="1">'Kapitał pracujący'!T$93</f>
        <v>0</v>
      </c>
      <c r="M253" s="33">
        <f ca="1">'Kapitał pracujący'!U$93</f>
        <v>0</v>
      </c>
      <c r="N253" s="33">
        <f ca="1">'Kapitał pracujący'!V$93</f>
        <v>0</v>
      </c>
      <c r="O253" s="33">
        <f ca="1">'Kapitał pracujący'!W$93</f>
        <v>0</v>
      </c>
      <c r="P253" s="33">
        <f ca="1">'Kapitał pracujący'!X$93</f>
        <v>0</v>
      </c>
    </row>
    <row r="254" spans="2:16" ht="3.9" customHeight="1">
      <c r="B254" s="90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</row>
    <row r="255" spans="2:16">
      <c r="B255" s="52" t="s">
        <v>26</v>
      </c>
      <c r="C255" s="424">
        <f t="shared" ref="C255:P255" si="111">IF(AND(C$62&gt;=Poczatek,C$62&lt;=Koniec),IFERROR(WACC,0),0)</f>
        <v>0</v>
      </c>
      <c r="D255" s="424">
        <f t="shared" si="111"/>
        <v>0</v>
      </c>
      <c r="E255" s="424">
        <f t="shared" si="111"/>
        <v>0</v>
      </c>
      <c r="F255" s="424">
        <f t="shared" si="111"/>
        <v>0</v>
      </c>
      <c r="G255" s="424">
        <f t="shared" si="111"/>
        <v>0</v>
      </c>
      <c r="H255" s="424">
        <f t="shared" si="111"/>
        <v>0</v>
      </c>
      <c r="I255" s="424">
        <f t="shared" si="111"/>
        <v>0</v>
      </c>
      <c r="J255" s="424">
        <f t="shared" si="111"/>
        <v>0</v>
      </c>
      <c r="K255" s="424">
        <f t="shared" si="111"/>
        <v>0</v>
      </c>
      <c r="L255" s="424">
        <f t="shared" si="111"/>
        <v>0</v>
      </c>
      <c r="M255" s="424">
        <f t="shared" si="111"/>
        <v>0</v>
      </c>
      <c r="N255" s="424">
        <f t="shared" si="111"/>
        <v>0</v>
      </c>
      <c r="O255" s="424">
        <f t="shared" si="111"/>
        <v>0</v>
      </c>
      <c r="P255" s="424">
        <f t="shared" si="111"/>
        <v>0</v>
      </c>
    </row>
    <row r="256" spans="2:16">
      <c r="B256" s="52" t="s">
        <v>27</v>
      </c>
      <c r="C256" s="425" t="str">
        <f>IF(AND(C$62&gt;=Poczatek,C$62&lt;=Koniec),IFERROR(Założenia!K$35,0),0)</f>
        <v>n/d</v>
      </c>
      <c r="D256" s="425" t="str">
        <f>IF(AND(D$62&gt;=Poczatek,D$62&lt;=Koniec),IFERROR(Założenia!L$35,0),0)</f>
        <v>n/d</v>
      </c>
      <c r="E256" s="425" t="str">
        <f>IF(AND(E$62&gt;=Poczatek,E$62&lt;=Koniec),IFERROR(Założenia!M$35,0),0)</f>
        <v>n/d</v>
      </c>
      <c r="F256" s="425" t="str">
        <f>IF(AND(F$62&gt;=Poczatek,F$62&lt;=Koniec),IFERROR(Założenia!N$35,0),0)</f>
        <v>n/d</v>
      </c>
      <c r="G256" s="425" t="str">
        <f>IF(AND(G$62&gt;=Poczatek,G$62&lt;=Koniec),IFERROR(Założenia!O$35,0),0)</f>
        <v>n/d</v>
      </c>
      <c r="H256" s="425" t="str">
        <f>IF(AND(H$62&gt;=Poczatek,H$62&lt;=Koniec),IFERROR(Założenia!P$35,0),0)</f>
        <v>n/d</v>
      </c>
      <c r="I256" s="425" t="str">
        <f>IF(AND(I$62&gt;=Poczatek,I$62&lt;=Koniec),IFERROR(Założenia!Q$35,0),0)</f>
        <v>n/d</v>
      </c>
      <c r="J256" s="425" t="str">
        <f>IF(AND(J$62&gt;=Poczatek,J$62&lt;=Koniec),IFERROR(Założenia!R$35,0),0)</f>
        <v>n/d</v>
      </c>
      <c r="K256" s="425" t="str">
        <f>IF(AND(K$62&gt;=Poczatek,K$62&lt;=Koniec),IFERROR(Założenia!S$35,0),0)</f>
        <v>n/d</v>
      </c>
      <c r="L256" s="425" t="str">
        <f>IF(AND(L$62&gt;=Poczatek,L$62&lt;=Koniec),IFERROR(Założenia!T$35,0),0)</f>
        <v>n/d</v>
      </c>
      <c r="M256" s="425" t="str">
        <f>IF(AND(M$62&gt;=Poczatek,M$62&lt;=Koniec),IFERROR(Założenia!U$35,0),0)</f>
        <v>n/d</v>
      </c>
      <c r="N256" s="425" t="str">
        <f>IF(AND(N$62&gt;=Poczatek,N$62&lt;=Koniec),IFERROR(Założenia!V$35,0),0)</f>
        <v>n/d</v>
      </c>
      <c r="O256" s="425" t="str">
        <f>IF(AND(O$62&gt;=Poczatek,O$62&lt;=Koniec),IFERROR(Założenia!W$35,0),0)</f>
        <v>n/d</v>
      </c>
      <c r="P256" s="425" t="str">
        <f>IF(AND(P$62&gt;=Poczatek,P$62&lt;=Koniec),IFERROR(Założenia!X$35,0),0)</f>
        <v>n/d</v>
      </c>
    </row>
    <row r="257" spans="2:16" ht="3.9" customHeight="1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</row>
    <row r="258" spans="2:16">
      <c r="B258" s="427" t="s">
        <v>773</v>
      </c>
      <c r="C258" s="486" t="str">
        <f>C239</f>
        <v>Uzupełnij dane</v>
      </c>
      <c r="D258" s="486" t="str">
        <f t="shared" ref="D258:P258" si="112">D239</f>
        <v/>
      </c>
      <c r="E258" s="486" t="str">
        <f t="shared" si="112"/>
        <v/>
      </c>
      <c r="F258" s="486" t="str">
        <f t="shared" si="112"/>
        <v/>
      </c>
      <c r="G258" s="486" t="str">
        <f t="shared" si="112"/>
        <v/>
      </c>
      <c r="H258" s="486" t="str">
        <f t="shared" si="112"/>
        <v/>
      </c>
      <c r="I258" s="486" t="str">
        <f t="shared" si="112"/>
        <v/>
      </c>
      <c r="J258" s="486" t="str">
        <f t="shared" si="112"/>
        <v/>
      </c>
      <c r="K258" s="486" t="str">
        <f t="shared" si="112"/>
        <v/>
      </c>
      <c r="L258" s="486" t="str">
        <f t="shared" si="112"/>
        <v/>
      </c>
      <c r="M258" s="486" t="str">
        <f t="shared" si="112"/>
        <v/>
      </c>
      <c r="N258" s="486" t="str">
        <f t="shared" si="112"/>
        <v/>
      </c>
      <c r="O258" s="486" t="str">
        <f t="shared" si="112"/>
        <v/>
      </c>
      <c r="P258" s="486" t="str">
        <f t="shared" si="112"/>
        <v/>
      </c>
    </row>
    <row r="259" spans="2:16" ht="3.9" customHeight="1"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</row>
    <row r="260" spans="2:16">
      <c r="B260" s="88" t="s">
        <v>696</v>
      </c>
      <c r="C260" s="87">
        <f t="shared" ref="C260:P260" ca="1" si="113">IF(AND(C$62&gt;=Poczatek,C$62&lt;=Koniec),(C248-C249+C250-C251+C253),0)</f>
        <v>0</v>
      </c>
      <c r="D260" s="87">
        <f t="shared" ca="1" si="113"/>
        <v>0</v>
      </c>
      <c r="E260" s="87">
        <f t="shared" ca="1" si="113"/>
        <v>0</v>
      </c>
      <c r="F260" s="87">
        <f t="shared" ca="1" si="113"/>
        <v>0</v>
      </c>
      <c r="G260" s="87">
        <f t="shared" ca="1" si="113"/>
        <v>0</v>
      </c>
      <c r="H260" s="87">
        <f t="shared" ca="1" si="113"/>
        <v>0</v>
      </c>
      <c r="I260" s="87">
        <f t="shared" ca="1" si="113"/>
        <v>0</v>
      </c>
      <c r="J260" s="87">
        <f t="shared" ca="1" si="113"/>
        <v>0</v>
      </c>
      <c r="K260" s="87">
        <f t="shared" ca="1" si="113"/>
        <v>0</v>
      </c>
      <c r="L260" s="87">
        <f t="shared" ca="1" si="113"/>
        <v>0</v>
      </c>
      <c r="M260" s="87">
        <f t="shared" ca="1" si="113"/>
        <v>0</v>
      </c>
      <c r="N260" s="87">
        <f t="shared" ca="1" si="113"/>
        <v>0</v>
      </c>
      <c r="O260" s="87">
        <f t="shared" ca="1" si="113"/>
        <v>0</v>
      </c>
      <c r="P260" s="87">
        <f t="shared" ca="1" si="113"/>
        <v>0</v>
      </c>
    </row>
    <row r="261" spans="2:16">
      <c r="B261" s="88" t="s">
        <v>697</v>
      </c>
      <c r="C261" s="87">
        <f ca="1">IF(AND(C$62&gt;=Poczatek,C$62&lt;=Koniec),C260,0)</f>
        <v>0</v>
      </c>
      <c r="D261" s="87">
        <f t="shared" ref="D261" ca="1" si="114">IF(AND(D$62&gt;=Poczatek,D$62&lt;=Koniec),(D260+C261),0)</f>
        <v>0</v>
      </c>
      <c r="E261" s="87">
        <f t="shared" ref="E261" ca="1" si="115">IF(AND(E$62&gt;=Poczatek,E$62&lt;=Koniec),(E260+D261),0)</f>
        <v>0</v>
      </c>
      <c r="F261" s="87">
        <f t="shared" ref="F261" ca="1" si="116">IF(AND(F$62&gt;=Poczatek,F$62&lt;=Koniec),(F260+E261),0)</f>
        <v>0</v>
      </c>
      <c r="G261" s="87">
        <f t="shared" ref="G261" ca="1" si="117">IF(AND(G$62&gt;=Poczatek,G$62&lt;=Koniec),(G260+F261),0)</f>
        <v>0</v>
      </c>
      <c r="H261" s="87">
        <f t="shared" ref="H261" ca="1" si="118">IF(AND(H$62&gt;=Poczatek,H$62&lt;=Koniec),(H260+G261),0)</f>
        <v>0</v>
      </c>
      <c r="I261" s="87">
        <f t="shared" ref="I261" ca="1" si="119">IF(AND(I$62&gt;=Poczatek,I$62&lt;=Koniec),(I260+H261),0)</f>
        <v>0</v>
      </c>
      <c r="J261" s="87">
        <f t="shared" ref="J261" ca="1" si="120">IF(AND(J$62&gt;=Poczatek,J$62&lt;=Koniec),(J260+I261),0)</f>
        <v>0</v>
      </c>
      <c r="K261" s="87">
        <f t="shared" ref="K261" ca="1" si="121">IF(AND(K$62&gt;=Poczatek,K$62&lt;=Koniec),(K260+J261),0)</f>
        <v>0</v>
      </c>
      <c r="L261" s="87">
        <f t="shared" ref="L261" ca="1" si="122">IF(AND(L$62&gt;=Poczatek,L$62&lt;=Koniec),(L260+K261),0)</f>
        <v>0</v>
      </c>
      <c r="M261" s="87">
        <f t="shared" ref="M261" ca="1" si="123">IF(AND(M$62&gt;=Poczatek,M$62&lt;=Koniec),(M260+L261),0)</f>
        <v>0</v>
      </c>
      <c r="N261" s="87">
        <f t="shared" ref="N261" ca="1" si="124">IF(AND(N$62&gt;=Poczatek,N$62&lt;=Koniec),(N260+M261),0)</f>
        <v>0</v>
      </c>
      <c r="O261" s="87">
        <f t="shared" ref="O261" ca="1" si="125">IF(AND(O$62&gt;=Poczatek,O$62&lt;=Koniec),(O260+N261),0)</f>
        <v>0</v>
      </c>
      <c r="P261" s="87">
        <f t="shared" ref="P261" ca="1" si="126">IF(AND(P$62&gt;=Poczatek,P$62&lt;=Koniec),(P260+O261),0)</f>
        <v>0</v>
      </c>
    </row>
    <row r="262" spans="2:16">
      <c r="B262" s="88" t="s">
        <v>699</v>
      </c>
      <c r="C262" s="87">
        <f ca="1">IFERROR(ROUND(C256*C260,0),0)</f>
        <v>0</v>
      </c>
      <c r="D262" s="87">
        <f t="shared" ref="D262:P262" ca="1" si="127">IFERROR(ROUND(D256*D260,0),0)</f>
        <v>0</v>
      </c>
      <c r="E262" s="87">
        <f t="shared" ca="1" si="127"/>
        <v>0</v>
      </c>
      <c r="F262" s="87">
        <f t="shared" ca="1" si="127"/>
        <v>0</v>
      </c>
      <c r="G262" s="87">
        <f t="shared" ca="1" si="127"/>
        <v>0</v>
      </c>
      <c r="H262" s="87">
        <f t="shared" ca="1" si="127"/>
        <v>0</v>
      </c>
      <c r="I262" s="87">
        <f t="shared" ca="1" si="127"/>
        <v>0</v>
      </c>
      <c r="J262" s="87">
        <f t="shared" ca="1" si="127"/>
        <v>0</v>
      </c>
      <c r="K262" s="87">
        <f t="shared" ca="1" si="127"/>
        <v>0</v>
      </c>
      <c r="L262" s="87">
        <f t="shared" ca="1" si="127"/>
        <v>0</v>
      </c>
      <c r="M262" s="87">
        <f t="shared" ca="1" si="127"/>
        <v>0</v>
      </c>
      <c r="N262" s="87">
        <f t="shared" ca="1" si="127"/>
        <v>0</v>
      </c>
      <c r="O262" s="87">
        <f t="shared" ca="1" si="127"/>
        <v>0</v>
      </c>
      <c r="P262" s="87">
        <f t="shared" ca="1" si="127"/>
        <v>0</v>
      </c>
    </row>
    <row r="263" spans="2:16">
      <c r="B263" s="88" t="s">
        <v>700</v>
      </c>
      <c r="C263" s="87">
        <f ca="1">IF(AND(C$62&gt;=Poczatek,C$62&lt;=Koniec),C262,0)</f>
        <v>0</v>
      </c>
      <c r="D263" s="87">
        <f t="shared" ref="D263" ca="1" si="128">IF(AND(D$62&gt;=Poczatek,D$62&lt;=Koniec),(C263+D262),0)</f>
        <v>0</v>
      </c>
      <c r="E263" s="87">
        <f t="shared" ref="E263" ca="1" si="129">IF(AND(E$62&gt;=Poczatek,E$62&lt;=Koniec),(D263+E262),0)</f>
        <v>0</v>
      </c>
      <c r="F263" s="87">
        <f t="shared" ref="F263" ca="1" si="130">IF(AND(F$62&gt;=Poczatek,F$62&lt;=Koniec),(E263+F262),0)</f>
        <v>0</v>
      </c>
      <c r="G263" s="87">
        <f t="shared" ref="G263" ca="1" si="131">IF(AND(G$62&gt;=Poczatek,G$62&lt;=Koniec),(F263+G262),0)</f>
        <v>0</v>
      </c>
      <c r="H263" s="87">
        <f t="shared" ref="H263" ca="1" si="132">IF(AND(H$62&gt;=Poczatek,H$62&lt;=Koniec),(G263+H262),0)</f>
        <v>0</v>
      </c>
      <c r="I263" s="87">
        <f t="shared" ref="I263" ca="1" si="133">IF(AND(I$62&gt;=Poczatek,I$62&lt;=Koniec),(H263+I262),0)</f>
        <v>0</v>
      </c>
      <c r="J263" s="87">
        <f t="shared" ref="J263" ca="1" si="134">IF(AND(J$62&gt;=Poczatek,J$62&lt;=Koniec),(I263+J262),0)</f>
        <v>0</v>
      </c>
      <c r="K263" s="87">
        <f t="shared" ref="K263" ca="1" si="135">IF(AND(K$62&gt;=Poczatek,K$62&lt;=Koniec),(J263+K262),0)</f>
        <v>0</v>
      </c>
      <c r="L263" s="87">
        <f t="shared" ref="L263" ca="1" si="136">IF(AND(L$62&gt;=Poczatek,L$62&lt;=Koniec),(K263+L262),0)</f>
        <v>0</v>
      </c>
      <c r="M263" s="87">
        <f t="shared" ref="M263" ca="1" si="137">IF(AND(M$62&gt;=Poczatek,M$62&lt;=Koniec),(L263+M262),0)</f>
        <v>0</v>
      </c>
      <c r="N263" s="87">
        <f t="shared" ref="N263" ca="1" si="138">IF(AND(N$62&gt;=Poczatek,N$62&lt;=Koniec),(M263+N262),0)</f>
        <v>0</v>
      </c>
      <c r="O263" s="87">
        <f t="shared" ref="O263" ca="1" si="139">IF(AND(O$62&gt;=Poczatek,O$62&lt;=Koniec),(N263+O262),0)</f>
        <v>0</v>
      </c>
      <c r="P263" s="87">
        <f t="shared" ref="P263" ca="1" si="140">IF(AND(P$62&gt;=Poczatek,P$62&lt;=Koniec),(O263+P262),0)</f>
        <v>0</v>
      </c>
    </row>
    <row r="264" spans="2:16">
      <c r="B264" s="88" t="s">
        <v>698</v>
      </c>
      <c r="C264" s="426" t="str">
        <f ca="1">IF(AND(C$62&gt;=Poczatek,C$62&lt;=Koniec),IFERROR(IRR($C$260:C$260),"n/d"),IF(OR(C$62&lt;Poczatek,C$62&gt;Koniec),"",0))</f>
        <v>n/d</v>
      </c>
      <c r="D264" s="426" t="str">
        <f ca="1">IF(AND(D$62&gt;=Poczatek,D$62&lt;=Koniec),IFERROR(IRR($C$260:D$260),"n/d"),IF(OR(D$62&lt;Poczatek,D$62&gt;Koniec),"",0))</f>
        <v>n/d</v>
      </c>
      <c r="E264" s="426" t="str">
        <f ca="1">IF(AND(E$62&gt;=Poczatek,E$62&lt;=Koniec),IFERROR(IRR($C$260:E$260),"n/d"),IF(OR(E$62&lt;Poczatek,E$62&gt;Koniec),"",0))</f>
        <v>n/d</v>
      </c>
      <c r="F264" s="426" t="str">
        <f ca="1">IF(AND(F$62&gt;=Poczatek,F$62&lt;=Koniec),IFERROR(IRR($C$260:F$260),"n/d"),IF(OR(F$62&lt;Poczatek,F$62&gt;Koniec),"",0))</f>
        <v>n/d</v>
      </c>
      <c r="G264" s="426" t="str">
        <f ca="1">IF(AND(G$62&gt;=Poczatek,G$62&lt;=Koniec),IFERROR(IRR($C$260:G$260),"n/d"),IF(OR(G$62&lt;Poczatek,G$62&gt;Koniec),"",0))</f>
        <v>n/d</v>
      </c>
      <c r="H264" s="426" t="str">
        <f ca="1">IF(AND(H$62&gt;=Poczatek,H$62&lt;=Koniec),IFERROR(IRR($C$260:H$260),"n/d"),IF(OR(H$62&lt;Poczatek,H$62&gt;Koniec),"",0))</f>
        <v>n/d</v>
      </c>
      <c r="I264" s="426" t="str">
        <f ca="1">IF(AND(I$62&gt;=Poczatek,I$62&lt;=Koniec),IFERROR(IRR($C$260:I$260),"n/d"),IF(OR(I$62&lt;Poczatek,I$62&gt;Koniec),"",0))</f>
        <v>n/d</v>
      </c>
      <c r="J264" s="426" t="str">
        <f ca="1">IF(AND(J$62&gt;=Poczatek,J$62&lt;=Koniec),IFERROR(IRR($C$260:J$260),"n/d"),IF(OR(J$62&lt;Poczatek,J$62&gt;Koniec),"",0))</f>
        <v>n/d</v>
      </c>
      <c r="K264" s="426" t="str">
        <f ca="1">IF(AND(K$62&gt;=Poczatek,K$62&lt;=Koniec),IFERROR(IRR($C$260:K$260),"n/d"),IF(OR(K$62&lt;Poczatek,K$62&gt;Koniec),"",0))</f>
        <v>n/d</v>
      </c>
      <c r="L264" s="426" t="str">
        <f ca="1">IF(AND(L$62&gt;=Poczatek,L$62&lt;=Koniec),IFERROR(IRR($C$260:L$260),"n/d"),IF(OR(L$62&lt;Poczatek,L$62&gt;Koniec),"",0))</f>
        <v>n/d</v>
      </c>
      <c r="M264" s="426" t="str">
        <f ca="1">IF(AND(M$62&gt;=Poczatek,M$62&lt;=Koniec),IFERROR(IRR($C$260:M$260),"n/d"),IF(OR(M$62&lt;Poczatek,M$62&gt;Koniec),"",0))</f>
        <v>n/d</v>
      </c>
      <c r="N264" s="426" t="str">
        <f ca="1">IF(AND(N$62&gt;=Poczatek,N$62&lt;=Koniec),IFERROR(IRR($C$260:N$260),"n/d"),IF(OR(N$62&lt;Poczatek,N$62&gt;Koniec),"",0))</f>
        <v>n/d</v>
      </c>
      <c r="O264" s="426" t="str">
        <f ca="1">IF(AND(O$62&gt;=Poczatek,O$62&lt;=Koniec),IFERROR(IRR($C$260:O$260),"n/d"),IF(OR(O$62&lt;Poczatek,O$62&gt;Koniec),"",0))</f>
        <v>n/d</v>
      </c>
      <c r="P264" s="426" t="str">
        <f ca="1">IF(AND(P$62&gt;=Poczatek,P$62&lt;=Koniec),IFERROR(IRR($C$260:P$260),"n/d"),IF(OR(P$62&lt;Poczatek,P$62&gt;Koniec),"",0))</f>
        <v>n/d</v>
      </c>
    </row>
    <row r="265" spans="2:16" ht="3.9" customHeight="1"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2:16">
      <c r="B266" s="427" t="s">
        <v>774</v>
      </c>
      <c r="C266" s="486" t="str">
        <f>C258</f>
        <v>Uzupełnij dane</v>
      </c>
      <c r="D266" s="486" t="str">
        <f t="shared" ref="D266:P266" si="141">D258</f>
        <v/>
      </c>
      <c r="E266" s="486" t="str">
        <f t="shared" si="141"/>
        <v/>
      </c>
      <c r="F266" s="486" t="str">
        <f t="shared" si="141"/>
        <v/>
      </c>
      <c r="G266" s="486" t="str">
        <f t="shared" si="141"/>
        <v/>
      </c>
      <c r="H266" s="486" t="str">
        <f t="shared" si="141"/>
        <v/>
      </c>
      <c r="I266" s="486" t="str">
        <f t="shared" si="141"/>
        <v/>
      </c>
      <c r="J266" s="486" t="str">
        <f t="shared" si="141"/>
        <v/>
      </c>
      <c r="K266" s="486" t="str">
        <f t="shared" si="141"/>
        <v/>
      </c>
      <c r="L266" s="486" t="str">
        <f t="shared" si="141"/>
        <v/>
      </c>
      <c r="M266" s="486" t="str">
        <f t="shared" si="141"/>
        <v/>
      </c>
      <c r="N266" s="486" t="str">
        <f t="shared" si="141"/>
        <v/>
      </c>
      <c r="O266" s="486" t="str">
        <f t="shared" si="141"/>
        <v/>
      </c>
      <c r="P266" s="486" t="str">
        <f t="shared" si="141"/>
        <v/>
      </c>
    </row>
    <row r="267" spans="2:16" ht="3.9" customHeight="1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2:16">
      <c r="B268" s="88" t="s">
        <v>663</v>
      </c>
      <c r="C268" s="87">
        <f t="shared" ref="C268:P268" ca="1" si="142">C248-C249+C250-C251+C252+C253</f>
        <v>0</v>
      </c>
      <c r="D268" s="87">
        <f t="shared" ca="1" si="142"/>
        <v>0</v>
      </c>
      <c r="E268" s="87">
        <f t="shared" ca="1" si="142"/>
        <v>0</v>
      </c>
      <c r="F268" s="87">
        <f t="shared" ca="1" si="142"/>
        <v>0</v>
      </c>
      <c r="G268" s="87">
        <f t="shared" ca="1" si="142"/>
        <v>0</v>
      </c>
      <c r="H268" s="87">
        <f t="shared" ca="1" si="142"/>
        <v>0</v>
      </c>
      <c r="I268" s="87">
        <f t="shared" ca="1" si="142"/>
        <v>0</v>
      </c>
      <c r="J268" s="87">
        <f t="shared" ca="1" si="142"/>
        <v>0</v>
      </c>
      <c r="K268" s="87">
        <f t="shared" ca="1" si="142"/>
        <v>0</v>
      </c>
      <c r="L268" s="87">
        <f t="shared" ca="1" si="142"/>
        <v>0</v>
      </c>
      <c r="M268" s="87">
        <f t="shared" ca="1" si="142"/>
        <v>0</v>
      </c>
      <c r="N268" s="87">
        <f t="shared" ca="1" si="142"/>
        <v>0</v>
      </c>
      <c r="O268" s="87">
        <f t="shared" ca="1" si="142"/>
        <v>0</v>
      </c>
      <c r="P268" s="87">
        <f t="shared" ca="1" si="142"/>
        <v>0</v>
      </c>
    </row>
    <row r="269" spans="2:16">
      <c r="B269" s="88" t="s">
        <v>695</v>
      </c>
      <c r="C269" s="87">
        <f ca="1">IF(AND(C$62&gt;=Poczatek,C$62&lt;=Koniec),C268,0)</f>
        <v>0</v>
      </c>
      <c r="D269" s="87">
        <f t="shared" ref="D269" ca="1" si="143">IF(AND(D$62&gt;=Poczatek,D$62&lt;=Koniec),(C269+D268),0)</f>
        <v>0</v>
      </c>
      <c r="E269" s="87">
        <f t="shared" ref="E269" ca="1" si="144">IF(AND(E$62&gt;=Poczatek,E$62&lt;=Koniec),(D269+E268),0)</f>
        <v>0</v>
      </c>
      <c r="F269" s="87">
        <f t="shared" ref="F269" ca="1" si="145">IF(AND(F$62&gt;=Poczatek,F$62&lt;=Koniec),(E269+F268),0)</f>
        <v>0</v>
      </c>
      <c r="G269" s="87">
        <f t="shared" ref="G269" ca="1" si="146">IF(AND(G$62&gt;=Poczatek,G$62&lt;=Koniec),(F269+G268),0)</f>
        <v>0</v>
      </c>
      <c r="H269" s="87">
        <f t="shared" ref="H269" ca="1" si="147">IF(AND(H$62&gt;=Poczatek,H$62&lt;=Koniec),(G269+H268),0)</f>
        <v>0</v>
      </c>
      <c r="I269" s="87">
        <f t="shared" ref="I269" ca="1" si="148">IF(AND(I$62&gt;=Poczatek,I$62&lt;=Koniec),(H269+I268),0)</f>
        <v>0</v>
      </c>
      <c r="J269" s="87">
        <f t="shared" ref="J269" ca="1" si="149">IF(AND(J$62&gt;=Poczatek,J$62&lt;=Koniec),(I269+J268),0)</f>
        <v>0</v>
      </c>
      <c r="K269" s="87">
        <f t="shared" ref="K269" ca="1" si="150">IF(AND(K$62&gt;=Poczatek,K$62&lt;=Koniec),(J269+K268),0)</f>
        <v>0</v>
      </c>
      <c r="L269" s="87">
        <f t="shared" ref="L269" ca="1" si="151">IF(AND(L$62&gt;=Poczatek,L$62&lt;=Koniec),(K269+L268),0)</f>
        <v>0</v>
      </c>
      <c r="M269" s="87">
        <f t="shared" ref="M269" ca="1" si="152">IF(AND(M$62&gt;=Poczatek,M$62&lt;=Koniec),(L269+M268),0)</f>
        <v>0</v>
      </c>
      <c r="N269" s="87">
        <f t="shared" ref="N269" ca="1" si="153">IF(AND(N$62&gt;=Poczatek,N$62&lt;=Koniec),(M269+N268),0)</f>
        <v>0</v>
      </c>
      <c r="O269" s="87">
        <f t="shared" ref="O269" ca="1" si="154">IF(AND(O$62&gt;=Poczatek,O$62&lt;=Koniec),(N269+O268),0)</f>
        <v>0</v>
      </c>
      <c r="P269" s="87">
        <f t="shared" ref="P269" ca="1" si="155">IF(AND(P$62&gt;=Poczatek,P$62&lt;=Koniec),(O269+P268),0)</f>
        <v>0</v>
      </c>
    </row>
    <row r="270" spans="2:16">
      <c r="B270" s="88" t="s">
        <v>664</v>
      </c>
      <c r="C270" s="87">
        <f t="shared" ref="C270:P270" ca="1" si="156">IFERROR(ROUND(C256*C268,0),0)</f>
        <v>0</v>
      </c>
      <c r="D270" s="87">
        <f t="shared" ca="1" si="156"/>
        <v>0</v>
      </c>
      <c r="E270" s="87">
        <f t="shared" ca="1" si="156"/>
        <v>0</v>
      </c>
      <c r="F270" s="87">
        <f t="shared" ca="1" si="156"/>
        <v>0</v>
      </c>
      <c r="G270" s="87">
        <f t="shared" ca="1" si="156"/>
        <v>0</v>
      </c>
      <c r="H270" s="87">
        <f t="shared" ca="1" si="156"/>
        <v>0</v>
      </c>
      <c r="I270" s="87">
        <f t="shared" ca="1" si="156"/>
        <v>0</v>
      </c>
      <c r="J270" s="87">
        <f t="shared" ca="1" si="156"/>
        <v>0</v>
      </c>
      <c r="K270" s="87">
        <f t="shared" ca="1" si="156"/>
        <v>0</v>
      </c>
      <c r="L270" s="87">
        <f t="shared" ca="1" si="156"/>
        <v>0</v>
      </c>
      <c r="M270" s="87">
        <f t="shared" ca="1" si="156"/>
        <v>0</v>
      </c>
      <c r="N270" s="87">
        <f t="shared" ca="1" si="156"/>
        <v>0</v>
      </c>
      <c r="O270" s="87">
        <f t="shared" ca="1" si="156"/>
        <v>0</v>
      </c>
      <c r="P270" s="87">
        <f t="shared" ca="1" si="156"/>
        <v>0</v>
      </c>
    </row>
    <row r="271" spans="2:16">
      <c r="B271" s="88" t="s">
        <v>694</v>
      </c>
      <c r="C271" s="87">
        <f ca="1">IF(AND(C$62&gt;=Poczatek,C$62&lt;=Koniec),C270,0)</f>
        <v>0</v>
      </c>
      <c r="D271" s="87">
        <f t="shared" ref="D271" ca="1" si="157">IF(AND(D$62&gt;=Poczatek,D$62&lt;=Koniec),(C271+D270),0)</f>
        <v>0</v>
      </c>
      <c r="E271" s="87">
        <f t="shared" ref="E271" ca="1" si="158">IF(AND(E$62&gt;=Poczatek,E$62&lt;=Koniec),(D271+E270),0)</f>
        <v>0</v>
      </c>
      <c r="F271" s="87">
        <f t="shared" ref="F271" ca="1" si="159">IF(AND(F$62&gt;=Poczatek,F$62&lt;=Koniec),(E271+F270),0)</f>
        <v>0</v>
      </c>
      <c r="G271" s="87">
        <f t="shared" ref="G271" ca="1" si="160">IF(AND(G$62&gt;=Poczatek,G$62&lt;=Koniec),(F271+G270),0)</f>
        <v>0</v>
      </c>
      <c r="H271" s="87">
        <f t="shared" ref="H271" ca="1" si="161">IF(AND(H$62&gt;=Poczatek,H$62&lt;=Koniec),(G271+H270),0)</f>
        <v>0</v>
      </c>
      <c r="I271" s="87">
        <f t="shared" ref="I271" ca="1" si="162">IF(AND(I$62&gt;=Poczatek,I$62&lt;=Koniec),(H271+I270),0)</f>
        <v>0</v>
      </c>
      <c r="J271" s="87">
        <f t="shared" ref="J271" ca="1" si="163">IF(AND(J$62&gt;=Poczatek,J$62&lt;=Koniec),(I271+J270),0)</f>
        <v>0</v>
      </c>
      <c r="K271" s="87">
        <f t="shared" ref="K271" ca="1" si="164">IF(AND(K$62&gt;=Poczatek,K$62&lt;=Koniec),(J271+K270),0)</f>
        <v>0</v>
      </c>
      <c r="L271" s="87">
        <f t="shared" ref="L271" ca="1" si="165">IF(AND(L$62&gt;=Poczatek,L$62&lt;=Koniec),(K271+L270),0)</f>
        <v>0</v>
      </c>
      <c r="M271" s="87">
        <f t="shared" ref="M271" ca="1" si="166">IF(AND(M$62&gt;=Poczatek,M$62&lt;=Koniec),(L271+M270),0)</f>
        <v>0</v>
      </c>
      <c r="N271" s="87">
        <f t="shared" ref="N271" ca="1" si="167">IF(AND(N$62&gt;=Poczatek,N$62&lt;=Koniec),(M271+N270),0)</f>
        <v>0</v>
      </c>
      <c r="O271" s="87">
        <f t="shared" ref="O271" ca="1" si="168">IF(AND(O$62&gt;=Poczatek,O$62&lt;=Koniec),(N271+O270),0)</f>
        <v>0</v>
      </c>
      <c r="P271" s="87">
        <f t="shared" ref="P271" ca="1" si="169">IF(AND(P$62&gt;=Poczatek,P$62&lt;=Koniec),(O271+P270),0)</f>
        <v>0</v>
      </c>
    </row>
    <row r="272" spans="2:16">
      <c r="B272" s="88" t="s">
        <v>665</v>
      </c>
      <c r="C272" s="426" t="str">
        <f ca="1">IF(AND(C$62&gt;=Poczatek,C$62&lt;=Koniec),IFERROR(IRR($C$268:C268),"n/d"),IF(OR(C$62&lt;Poczatek,C$62&gt;Koniec),"",0))</f>
        <v>n/d</v>
      </c>
      <c r="D272" s="426" t="str">
        <f ca="1">IF(AND(D$62&gt;=Poczatek,D$62&lt;=Koniec),IFERROR(IRR($C$268:D268),"n/d"),IF(OR(D$62&lt;Poczatek,D$62&gt;Koniec),"",0))</f>
        <v>n/d</v>
      </c>
      <c r="E272" s="426" t="str">
        <f ca="1">IF(AND(E$62&gt;=Poczatek,E$62&lt;=Koniec),IFERROR(IRR($C$268:E268),"n/d"),IF(OR(E$62&lt;Poczatek,E$62&gt;Koniec),"",0))</f>
        <v>n/d</v>
      </c>
      <c r="F272" s="426" t="str">
        <f ca="1">IF(AND(F$62&gt;=Poczatek,F$62&lt;=Koniec),IFERROR(IRR($C$268:F268),"n/d"),IF(OR(F$62&lt;Poczatek,F$62&gt;Koniec),"",0))</f>
        <v>n/d</v>
      </c>
      <c r="G272" s="426" t="str">
        <f ca="1">IF(AND(G$62&gt;=Poczatek,G$62&lt;=Koniec),IFERROR(IRR($C$268:G268),"n/d"),IF(OR(G$62&lt;Poczatek,G$62&gt;Koniec),"",0))</f>
        <v>n/d</v>
      </c>
      <c r="H272" s="426" t="str">
        <f ca="1">IF(AND(H$62&gt;=Poczatek,H$62&lt;=Koniec),IFERROR(IRR($C$268:H268),"n/d"),IF(OR(H$62&lt;Poczatek,H$62&gt;Koniec),"",0))</f>
        <v>n/d</v>
      </c>
      <c r="I272" s="426" t="str">
        <f ca="1">IF(AND(I$62&gt;=Poczatek,I$62&lt;=Koniec),IFERROR(IRR($C$268:I268),"n/d"),IF(OR(I$62&lt;Poczatek,I$62&gt;Koniec),"",0))</f>
        <v>n/d</v>
      </c>
      <c r="J272" s="426" t="str">
        <f ca="1">IF(AND(J$62&gt;=Poczatek,J$62&lt;=Koniec),IFERROR(IRR($C$268:J268),"n/d"),IF(OR(J$62&lt;Poczatek,J$62&gt;Koniec),"",0))</f>
        <v>n/d</v>
      </c>
      <c r="K272" s="426" t="str">
        <f ca="1">IF(AND(K$62&gt;=Poczatek,K$62&lt;=Koniec),IFERROR(IRR($C$268:K268),"n/d"),IF(OR(K$62&lt;Poczatek,K$62&gt;Koniec),"",0))</f>
        <v>n/d</v>
      </c>
      <c r="L272" s="426" t="str">
        <f ca="1">IF(AND(L$62&gt;=Poczatek,L$62&lt;=Koniec),IFERROR(IRR($C$268:L268),"n/d"),IF(OR(L$62&lt;Poczatek,L$62&gt;Koniec),"",0))</f>
        <v>n/d</v>
      </c>
      <c r="M272" s="426" t="str">
        <f ca="1">IF(AND(M$62&gt;=Poczatek,M$62&lt;=Koniec),IFERROR(IRR($C$268:M268),"n/d"),IF(OR(M$62&lt;Poczatek,M$62&gt;Koniec),"",0))</f>
        <v>n/d</v>
      </c>
      <c r="N272" s="426" t="str">
        <f ca="1">IF(AND(N$62&gt;=Poczatek,N$62&lt;=Koniec),IFERROR(IRR($C$268:N268),"n/d"),IF(OR(N$62&lt;Poczatek,N$62&gt;Koniec),"",0))</f>
        <v>n/d</v>
      </c>
      <c r="O272" s="426" t="str">
        <f ca="1">IF(AND(O$62&gt;=Poczatek,O$62&lt;=Koniec),IFERROR(IRR($C$268:O268),"n/d"),IF(OR(O$62&lt;Poczatek,O$62&gt;Koniec),"",0))</f>
        <v>n/d</v>
      </c>
      <c r="P272" s="426" t="str">
        <f ca="1">IF(AND(P$62&gt;=Poczatek,P$62&lt;=Koniec),IFERROR(IRR($C$268:P268),"n/d"),IF(OR(P$62&lt;Poczatek,P$62&gt;Koniec),"",0))</f>
        <v>n/d</v>
      </c>
    </row>
    <row r="273" spans="2:16"/>
    <row r="274" spans="2:16" ht="6" customHeight="1">
      <c r="B274" s="370"/>
      <c r="C274" s="370"/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70"/>
      <c r="O274" s="370"/>
      <c r="P274" s="370"/>
    </row>
    <row r="275" spans="2:16"/>
    <row r="276" spans="2:16"/>
    <row r="277" spans="2:16">
      <c r="B277" s="371" t="s">
        <v>113</v>
      </c>
      <c r="C277" s="371" t="str">
        <f>C$73</f>
        <v>Uzupełnij dane</v>
      </c>
      <c r="D277" s="371" t="str">
        <f t="shared" ref="D277:P277" si="170">D$73</f>
        <v/>
      </c>
      <c r="E277" s="371" t="str">
        <f t="shared" si="170"/>
        <v/>
      </c>
      <c r="F277" s="371" t="str">
        <f t="shared" si="170"/>
        <v/>
      </c>
      <c r="G277" s="371" t="str">
        <f t="shared" si="170"/>
        <v/>
      </c>
      <c r="H277" s="371" t="str">
        <f t="shared" si="170"/>
        <v/>
      </c>
      <c r="I277" s="371" t="str">
        <f t="shared" si="170"/>
        <v/>
      </c>
      <c r="J277" s="371" t="str">
        <f t="shared" si="170"/>
        <v/>
      </c>
      <c r="K277" s="371" t="str">
        <f t="shared" si="170"/>
        <v/>
      </c>
      <c r="L277" s="371" t="str">
        <f t="shared" si="170"/>
        <v/>
      </c>
      <c r="M277" s="371" t="str">
        <f t="shared" si="170"/>
        <v/>
      </c>
      <c r="N277" s="371" t="str">
        <f t="shared" si="170"/>
        <v/>
      </c>
      <c r="O277" s="371" t="str">
        <f t="shared" si="170"/>
        <v/>
      </c>
      <c r="P277" s="371" t="str">
        <f t="shared" si="170"/>
        <v/>
      </c>
    </row>
    <row r="278" spans="2:16" ht="3.9" customHeight="1"/>
    <row r="279" spans="2:16" ht="12" customHeight="1">
      <c r="B279" s="99" t="s">
        <v>93</v>
      </c>
      <c r="C279" s="98">
        <f t="shared" ref="C279:P279" si="171">SUM(C280:C281)</f>
        <v>0</v>
      </c>
      <c r="D279" s="98">
        <f t="shared" si="171"/>
        <v>0</v>
      </c>
      <c r="E279" s="98">
        <f t="shared" si="171"/>
        <v>0</v>
      </c>
      <c r="F279" s="98">
        <f t="shared" si="171"/>
        <v>0</v>
      </c>
      <c r="G279" s="98">
        <f t="shared" si="171"/>
        <v>0</v>
      </c>
      <c r="H279" s="98">
        <f t="shared" si="171"/>
        <v>0</v>
      </c>
      <c r="I279" s="98">
        <f t="shared" si="171"/>
        <v>0</v>
      </c>
      <c r="J279" s="98">
        <f t="shared" si="171"/>
        <v>0</v>
      </c>
      <c r="K279" s="98">
        <f t="shared" si="171"/>
        <v>0</v>
      </c>
      <c r="L279" s="98">
        <f t="shared" si="171"/>
        <v>0</v>
      </c>
      <c r="M279" s="98">
        <f t="shared" si="171"/>
        <v>0</v>
      </c>
      <c r="N279" s="98">
        <f t="shared" si="171"/>
        <v>0</v>
      </c>
      <c r="O279" s="98">
        <f t="shared" si="171"/>
        <v>0</v>
      </c>
      <c r="P279" s="98">
        <f t="shared" si="171"/>
        <v>0</v>
      </c>
    </row>
    <row r="280" spans="2:16">
      <c r="B280" s="465" t="s">
        <v>95</v>
      </c>
      <c r="C280" s="466">
        <f>C284+C288+C292+C296+C300+C304+C308</f>
        <v>0</v>
      </c>
      <c r="D280" s="466">
        <f t="shared" ref="D280:P280" si="172">D284+D288+D292+D296+D300+D304+D308</f>
        <v>0</v>
      </c>
      <c r="E280" s="466">
        <f t="shared" si="172"/>
        <v>0</v>
      </c>
      <c r="F280" s="466">
        <f t="shared" si="172"/>
        <v>0</v>
      </c>
      <c r="G280" s="466">
        <f t="shared" si="172"/>
        <v>0</v>
      </c>
      <c r="H280" s="466">
        <f t="shared" si="172"/>
        <v>0</v>
      </c>
      <c r="I280" s="466">
        <f t="shared" si="172"/>
        <v>0</v>
      </c>
      <c r="J280" s="466">
        <f t="shared" si="172"/>
        <v>0</v>
      </c>
      <c r="K280" s="467">
        <f t="shared" si="172"/>
        <v>0</v>
      </c>
      <c r="L280" s="467">
        <f t="shared" si="172"/>
        <v>0</v>
      </c>
      <c r="M280" s="467">
        <f t="shared" si="172"/>
        <v>0</v>
      </c>
      <c r="N280" s="467">
        <f t="shared" si="172"/>
        <v>0</v>
      </c>
      <c r="O280" s="467">
        <f t="shared" si="172"/>
        <v>0</v>
      </c>
      <c r="P280" s="467">
        <f t="shared" si="172"/>
        <v>0</v>
      </c>
    </row>
    <row r="281" spans="2:16">
      <c r="B281" s="468" t="s">
        <v>96</v>
      </c>
      <c r="C281" s="469">
        <f>C285+C289+C293+C297+C301+C305+C309</f>
        <v>0</v>
      </c>
      <c r="D281" s="469">
        <f t="shared" ref="D281:P281" si="173">D285+D289+D293+D297+D301+D305+D309</f>
        <v>0</v>
      </c>
      <c r="E281" s="469">
        <f t="shared" si="173"/>
        <v>0</v>
      </c>
      <c r="F281" s="469">
        <f t="shared" si="173"/>
        <v>0</v>
      </c>
      <c r="G281" s="469">
        <f t="shared" si="173"/>
        <v>0</v>
      </c>
      <c r="H281" s="469">
        <f t="shared" si="173"/>
        <v>0</v>
      </c>
      <c r="I281" s="469">
        <f t="shared" si="173"/>
        <v>0</v>
      </c>
      <c r="J281" s="469">
        <f t="shared" si="173"/>
        <v>0</v>
      </c>
      <c r="K281" s="470">
        <f t="shared" si="173"/>
        <v>0</v>
      </c>
      <c r="L281" s="470">
        <f t="shared" si="173"/>
        <v>0</v>
      </c>
      <c r="M281" s="470">
        <f t="shared" si="173"/>
        <v>0</v>
      </c>
      <c r="N281" s="470">
        <f t="shared" si="173"/>
        <v>0</v>
      </c>
      <c r="O281" s="470">
        <f t="shared" si="173"/>
        <v>0</v>
      </c>
      <c r="P281" s="470">
        <f t="shared" si="173"/>
        <v>0</v>
      </c>
    </row>
    <row r="282" spans="2:16" ht="3.9" customHeight="1"/>
    <row r="283" spans="2:16" ht="12" customHeight="1">
      <c r="B283" s="355" t="s">
        <v>94</v>
      </c>
      <c r="C283" s="356">
        <f t="shared" ref="C283:P283" si="174">SUM(C284:C285)</f>
        <v>0</v>
      </c>
      <c r="D283" s="356">
        <f t="shared" si="174"/>
        <v>0</v>
      </c>
      <c r="E283" s="356">
        <f t="shared" si="174"/>
        <v>0</v>
      </c>
      <c r="F283" s="356">
        <f t="shared" si="174"/>
        <v>0</v>
      </c>
      <c r="G283" s="356">
        <f t="shared" si="174"/>
        <v>0</v>
      </c>
      <c r="H283" s="356">
        <f t="shared" si="174"/>
        <v>0</v>
      </c>
      <c r="I283" s="356">
        <f t="shared" si="174"/>
        <v>0</v>
      </c>
      <c r="J283" s="356">
        <f t="shared" si="174"/>
        <v>0</v>
      </c>
      <c r="K283" s="356">
        <f t="shared" si="174"/>
        <v>0</v>
      </c>
      <c r="L283" s="356">
        <f t="shared" si="174"/>
        <v>0</v>
      </c>
      <c r="M283" s="356">
        <f t="shared" si="174"/>
        <v>0</v>
      </c>
      <c r="N283" s="356">
        <f t="shared" si="174"/>
        <v>0</v>
      </c>
      <c r="O283" s="356">
        <f t="shared" si="174"/>
        <v>0</v>
      </c>
      <c r="P283" s="356">
        <f t="shared" si="174"/>
        <v>0</v>
      </c>
    </row>
    <row r="284" spans="2:16" ht="12" customHeight="1">
      <c r="B284" s="357" t="s">
        <v>95</v>
      </c>
      <c r="C284" s="358" cm="1">
        <f t="array" ref="C284">SUMPRODUCT(ISNUMBER(MATCH(mod_st_zpr,$B$277,0))*('Koszty operacyjne'!$K$114:$X$114=Moduły!C$73)*ISNUMBER(MATCH(st_zpr_kw,tak,0)),st_zpr)</f>
        <v>0</v>
      </c>
      <c r="D284" s="358" cm="1">
        <f t="array" ref="D284">SUMPRODUCT(ISNUMBER(MATCH(mod_st_zpr,$B$277,0))*('Koszty operacyjne'!$K$114:$X$114=Moduły!D$73)*ISNUMBER(MATCH(st_zpr_kw,tak,0)),st_zpr)</f>
        <v>0</v>
      </c>
      <c r="E284" s="358" cm="1">
        <f t="array" ref="E284">SUMPRODUCT(ISNUMBER(MATCH(mod_st_zpr,$B$277,0))*('Koszty operacyjne'!$K$114:$X$114=Moduły!E$73)*ISNUMBER(MATCH(st_zpr_kw,tak,0)),st_zpr)</f>
        <v>0</v>
      </c>
      <c r="F284" s="358" cm="1">
        <f t="array" ref="F284">SUMPRODUCT(ISNUMBER(MATCH(mod_st_zpr,$B$277,0))*('Koszty operacyjne'!$K$114:$X$114=Moduły!F$73)*ISNUMBER(MATCH(st_zpr_kw,tak,0)),st_zpr)</f>
        <v>0</v>
      </c>
      <c r="G284" s="358" cm="1">
        <f t="array" ref="G284">SUMPRODUCT(ISNUMBER(MATCH(mod_st_zpr,$B$277,0))*('Koszty operacyjne'!$K$114:$X$114=Moduły!G$73)*ISNUMBER(MATCH(st_zpr_kw,tak,0)),st_zpr)</f>
        <v>0</v>
      </c>
      <c r="H284" s="358" cm="1">
        <f t="array" ref="H284">SUMPRODUCT(ISNUMBER(MATCH(mod_st_zpr,$B$277,0))*('Koszty operacyjne'!$K$114:$X$114=Moduły!H$73)*ISNUMBER(MATCH(st_zpr_kw,tak,0)),st_zpr)</f>
        <v>0</v>
      </c>
      <c r="I284" s="358" cm="1">
        <f t="array" ref="I284">SUMPRODUCT(ISNUMBER(MATCH(mod_st_zpr,$B$277,0))*('Koszty operacyjne'!$K$114:$X$114=Moduły!I$73)*ISNUMBER(MATCH(st_zpr_kw,tak,0)),st_zpr)</f>
        <v>0</v>
      </c>
      <c r="J284" s="358" cm="1">
        <f t="array" ref="J284">SUMPRODUCT(ISNUMBER(MATCH(mod_st_zpr,$B$277,0))*('Koszty operacyjne'!$K$114:$X$114=Moduły!J$73)*ISNUMBER(MATCH(st_zpr_kw,tak,0)),st_zpr)</f>
        <v>0</v>
      </c>
      <c r="K284" s="358" cm="1">
        <f t="array" ref="K284">SUMPRODUCT(ISNUMBER(MATCH(mod_st_zpr,$B$277,0))*('Koszty operacyjne'!$K$114:$X$114=Moduły!K$73)*ISNUMBER(MATCH(st_zpr_kw,tak,0)),st_zpr)</f>
        <v>0</v>
      </c>
      <c r="L284" s="358" cm="1">
        <f t="array" ref="L284">SUMPRODUCT(ISNUMBER(MATCH(mod_st_zpr,$B$277,0))*('Koszty operacyjne'!$K$114:$X$114=Moduły!L$73)*ISNUMBER(MATCH(st_zpr_kw,tak,0)),st_zpr)</f>
        <v>0</v>
      </c>
      <c r="M284" s="358" cm="1">
        <f t="array" ref="M284">SUMPRODUCT(ISNUMBER(MATCH(mod_st_zpr,$B$277,0))*('Koszty operacyjne'!$K$114:$X$114=Moduły!M$73)*ISNUMBER(MATCH(st_zpr_kw,tak,0)),st_zpr)</f>
        <v>0</v>
      </c>
      <c r="N284" s="358" cm="1">
        <f t="array" ref="N284">SUMPRODUCT(ISNUMBER(MATCH(mod_st_zpr,$B$277,0))*('Koszty operacyjne'!$K$114:$X$114=Moduły!N$73)*ISNUMBER(MATCH(st_zpr_kw,tak,0)),st_zpr)</f>
        <v>0</v>
      </c>
      <c r="O284" s="358" cm="1">
        <f t="array" ref="O284">SUMPRODUCT(ISNUMBER(MATCH(mod_st_zpr,$B$277,0))*('Koszty operacyjne'!$K$114:$X$114=Moduły!O$73)*ISNUMBER(MATCH(st_zpr_kw,tak,0)),st_zpr)</f>
        <v>0</v>
      </c>
      <c r="P284" s="358" cm="1">
        <f t="array" ref="P284">SUMPRODUCT(ISNUMBER(MATCH(mod_st_zpr,$B$277,0))*('Koszty operacyjne'!$K$114:$X$114=Moduły!P$73)*ISNUMBER(MATCH(st_zpr_kw,tak,0)),st_zpr)</f>
        <v>0</v>
      </c>
    </row>
    <row r="285" spans="2:16" ht="12" customHeight="1">
      <c r="B285" s="359" t="s">
        <v>96</v>
      </c>
      <c r="C285" s="360" cm="1">
        <f t="array" ref="C285">SUMPRODUCT(ISNUMBER(MATCH(mod_st_zpr,$B$277,0))*('Koszty operacyjne'!$K$114:$X$114=Moduły!C$73)*ISNUMBER(MATCH(st_zpr_kw,nie,0)),st_zpr)</f>
        <v>0</v>
      </c>
      <c r="D285" s="360" cm="1">
        <f t="array" ref="D285">SUMPRODUCT(ISNUMBER(MATCH(mod_st_zpr,$B$277,0))*('Koszty operacyjne'!$K$114:$X$114=Moduły!D$73)*ISNUMBER(MATCH(st_zpr_kw,nie,0)),st_zpr)</f>
        <v>0</v>
      </c>
      <c r="E285" s="360" cm="1">
        <f t="array" ref="E285">SUMPRODUCT(ISNUMBER(MATCH(mod_st_zpr,$B$277,0))*('Koszty operacyjne'!$K$114:$X$114=Moduły!E$73)*ISNUMBER(MATCH(st_zpr_kw,nie,0)),st_zpr)</f>
        <v>0</v>
      </c>
      <c r="F285" s="360" cm="1">
        <f t="array" ref="F285">SUMPRODUCT(ISNUMBER(MATCH(mod_st_zpr,$B$277,0))*('Koszty operacyjne'!$K$114:$X$114=Moduły!F$73)*ISNUMBER(MATCH(st_zpr_kw,nie,0)),st_zpr)</f>
        <v>0</v>
      </c>
      <c r="G285" s="360" cm="1">
        <f t="array" ref="G285">SUMPRODUCT(ISNUMBER(MATCH(mod_st_zpr,$B$277,0))*('Koszty operacyjne'!$K$114:$X$114=Moduły!G$73)*ISNUMBER(MATCH(st_zpr_kw,nie,0)),st_zpr)</f>
        <v>0</v>
      </c>
      <c r="H285" s="360" cm="1">
        <f t="array" ref="H285">SUMPRODUCT(ISNUMBER(MATCH(mod_st_zpr,$B$277,0))*('Koszty operacyjne'!$K$114:$X$114=Moduły!H$73)*ISNUMBER(MATCH(st_zpr_kw,nie,0)),st_zpr)</f>
        <v>0</v>
      </c>
      <c r="I285" s="360" cm="1">
        <f t="array" ref="I285">SUMPRODUCT(ISNUMBER(MATCH(mod_st_zpr,$B$277,0))*('Koszty operacyjne'!$K$114:$X$114=Moduły!I$73)*ISNUMBER(MATCH(st_zpr_kw,nie,0)),st_zpr)</f>
        <v>0</v>
      </c>
      <c r="J285" s="360" cm="1">
        <f t="array" ref="J285">SUMPRODUCT(ISNUMBER(MATCH(mod_st_zpr,$B$277,0))*('Koszty operacyjne'!$K$114:$X$114=Moduły!J$73)*ISNUMBER(MATCH(st_zpr_kw,nie,0)),st_zpr)</f>
        <v>0</v>
      </c>
      <c r="K285" s="361" cm="1">
        <f t="array" ref="K285">SUMPRODUCT(ISNUMBER(MATCH(mod_st_zpr,$B$277,0))*('Koszty operacyjne'!$K$114:$X$114=Moduły!K$73)*ISNUMBER(MATCH(st_zpr_kw,nie,0)),st_zpr)</f>
        <v>0</v>
      </c>
      <c r="L285" s="361" cm="1">
        <f t="array" ref="L285">SUMPRODUCT(ISNUMBER(MATCH(mod_st_zpr,$B$277,0))*('Koszty operacyjne'!$K$114:$X$114=Moduły!L$73)*ISNUMBER(MATCH(st_zpr_kw,nie,0)),st_zpr)</f>
        <v>0</v>
      </c>
      <c r="M285" s="361" cm="1">
        <f t="array" ref="M285">SUMPRODUCT(ISNUMBER(MATCH(mod_st_zpr,$B$277,0))*('Koszty operacyjne'!$K$114:$X$114=Moduły!M$73)*ISNUMBER(MATCH(st_zpr_kw,nie,0)),st_zpr)</f>
        <v>0</v>
      </c>
      <c r="N285" s="361" cm="1">
        <f t="array" ref="N285">SUMPRODUCT(ISNUMBER(MATCH(mod_st_zpr,$B$277,0))*('Koszty operacyjne'!$K$114:$X$114=Moduły!N$73)*ISNUMBER(MATCH(st_zpr_kw,nie,0)),st_zpr)</f>
        <v>0</v>
      </c>
      <c r="O285" s="361" cm="1">
        <f t="array" ref="O285">SUMPRODUCT(ISNUMBER(MATCH(mod_st_zpr,$B$277,0))*('Koszty operacyjne'!$K$114:$X$114=Moduły!O$73)*ISNUMBER(MATCH(st_zpr_kw,nie,0)),st_zpr)</f>
        <v>0</v>
      </c>
      <c r="P285" s="361" cm="1">
        <f t="array" ref="P285">SUMPRODUCT(ISNUMBER(MATCH(mod_st_zpr,$B$277,0))*('Koszty operacyjne'!$K$114:$X$114=Moduły!P$73)*ISNUMBER(MATCH(st_zpr_kw,nie,0)),st_zpr)</f>
        <v>0</v>
      </c>
    </row>
    <row r="286" spans="2:16" ht="3.9" customHeight="1">
      <c r="B286" s="362"/>
      <c r="C286" s="363"/>
      <c r="D286" s="363"/>
      <c r="E286" s="363"/>
      <c r="F286" s="363"/>
      <c r="G286" s="363"/>
      <c r="H286" s="363"/>
      <c r="I286" s="363"/>
      <c r="J286" s="363"/>
      <c r="K286" s="364"/>
      <c r="L286" s="364"/>
      <c r="M286" s="364"/>
      <c r="N286" s="364"/>
      <c r="O286" s="364"/>
      <c r="P286" s="364"/>
    </row>
    <row r="287" spans="2:16" ht="12" customHeight="1">
      <c r="B287" s="355" t="s">
        <v>97</v>
      </c>
      <c r="C287" s="356">
        <f t="shared" ref="C287:P287" si="175">SUM(C288:C289)</f>
        <v>0</v>
      </c>
      <c r="D287" s="356">
        <f t="shared" si="175"/>
        <v>0</v>
      </c>
      <c r="E287" s="356">
        <f t="shared" si="175"/>
        <v>0</v>
      </c>
      <c r="F287" s="356">
        <f t="shared" si="175"/>
        <v>0</v>
      </c>
      <c r="G287" s="356">
        <f t="shared" si="175"/>
        <v>0</v>
      </c>
      <c r="H287" s="356">
        <f t="shared" si="175"/>
        <v>0</v>
      </c>
      <c r="I287" s="356">
        <f t="shared" si="175"/>
        <v>0</v>
      </c>
      <c r="J287" s="356">
        <f t="shared" si="175"/>
        <v>0</v>
      </c>
      <c r="K287" s="356">
        <f t="shared" si="175"/>
        <v>0</v>
      </c>
      <c r="L287" s="356">
        <f t="shared" si="175"/>
        <v>0</v>
      </c>
      <c r="M287" s="356">
        <f t="shared" si="175"/>
        <v>0</v>
      </c>
      <c r="N287" s="356">
        <f t="shared" si="175"/>
        <v>0</v>
      </c>
      <c r="O287" s="356">
        <f t="shared" si="175"/>
        <v>0</v>
      </c>
      <c r="P287" s="356">
        <f t="shared" si="175"/>
        <v>0</v>
      </c>
    </row>
    <row r="288" spans="2:16" ht="12" customHeight="1">
      <c r="B288" s="357" t="s">
        <v>95</v>
      </c>
      <c r="C288" s="358" cm="1">
        <f t="array" ref="C288">SUMPRODUCT(ISNUMBER(MATCH(mod_st_wnp,$B$277,0))*('Koszty operacyjne'!$K$114:$X$114=Moduły!C$73)*ISNUMBER(MATCH(st_wnp_kw,tak,0)),st_wnp)</f>
        <v>0</v>
      </c>
      <c r="D288" s="358" cm="1">
        <f t="array" ref="D288">SUMPRODUCT(ISNUMBER(MATCH(mod_st_wnp,$B$277,0))*('Koszty operacyjne'!$K$114:$X$114=Moduły!D$73)*ISNUMBER(MATCH(st_wnp_kw,tak,0)),st_wnp)</f>
        <v>0</v>
      </c>
      <c r="E288" s="358" cm="1">
        <f t="array" ref="E288">SUMPRODUCT(ISNUMBER(MATCH(mod_st_wnp,$B$277,0))*('Koszty operacyjne'!$K$114:$X$114=Moduły!E$73)*ISNUMBER(MATCH(st_wnp_kw,tak,0)),st_wnp)</f>
        <v>0</v>
      </c>
      <c r="F288" s="358" cm="1">
        <f t="array" ref="F288">SUMPRODUCT(ISNUMBER(MATCH(mod_st_wnp,$B$277,0))*('Koszty operacyjne'!$K$114:$X$114=Moduły!F$73)*ISNUMBER(MATCH(st_wnp_kw,tak,0)),st_wnp)</f>
        <v>0</v>
      </c>
      <c r="G288" s="358" cm="1">
        <f t="array" ref="G288">SUMPRODUCT(ISNUMBER(MATCH(mod_st_wnp,$B$277,0))*('Koszty operacyjne'!$K$114:$X$114=Moduły!G$73)*ISNUMBER(MATCH(st_wnp_kw,tak,0)),st_wnp)</f>
        <v>0</v>
      </c>
      <c r="H288" s="358" cm="1">
        <f t="array" ref="H288">SUMPRODUCT(ISNUMBER(MATCH(mod_st_wnp,$B$277,0))*('Koszty operacyjne'!$K$114:$X$114=Moduły!H$73)*ISNUMBER(MATCH(st_wnp_kw,tak,0)),st_wnp)</f>
        <v>0</v>
      </c>
      <c r="I288" s="358" cm="1">
        <f t="array" ref="I288">SUMPRODUCT(ISNUMBER(MATCH(mod_st_wnp,$B$277,0))*('Koszty operacyjne'!$K$114:$X$114=Moduły!I$73)*ISNUMBER(MATCH(st_wnp_kw,tak,0)),st_wnp)</f>
        <v>0</v>
      </c>
      <c r="J288" s="358" cm="1">
        <f t="array" ref="J288">SUMPRODUCT(ISNUMBER(MATCH(mod_st_wnp,$B$277,0))*('Koszty operacyjne'!$K$114:$X$114=Moduły!J$73)*ISNUMBER(MATCH(st_wnp_kw,tak,0)),st_wnp)</f>
        <v>0</v>
      </c>
      <c r="K288" s="358" cm="1">
        <f t="array" ref="K288">SUMPRODUCT(ISNUMBER(MATCH(mod_st_wnp,$B$277,0))*('Koszty operacyjne'!$K$114:$X$114=Moduły!K$73)*ISNUMBER(MATCH(st_wnp_kw,tak,0)),st_wnp)</f>
        <v>0</v>
      </c>
      <c r="L288" s="358" cm="1">
        <f t="array" ref="L288">SUMPRODUCT(ISNUMBER(MATCH(mod_st_wnp,$B$277,0))*('Koszty operacyjne'!$K$114:$X$114=Moduły!L$73)*ISNUMBER(MATCH(st_wnp_kw,tak,0)),st_wnp)</f>
        <v>0</v>
      </c>
      <c r="M288" s="358" cm="1">
        <f t="array" ref="M288">SUMPRODUCT(ISNUMBER(MATCH(mod_st_wnp,$B$277,0))*('Koszty operacyjne'!$K$114:$X$114=Moduły!M$73)*ISNUMBER(MATCH(st_wnp_kw,tak,0)),st_wnp)</f>
        <v>0</v>
      </c>
      <c r="N288" s="358" cm="1">
        <f t="array" ref="N288">SUMPRODUCT(ISNUMBER(MATCH(mod_st_wnp,$B$277,0))*('Koszty operacyjne'!$K$114:$X$114=Moduły!N$73)*ISNUMBER(MATCH(st_wnp_kw,tak,0)),st_wnp)</f>
        <v>0</v>
      </c>
      <c r="O288" s="358" cm="1">
        <f t="array" ref="O288">SUMPRODUCT(ISNUMBER(MATCH(mod_st_wnp,$B$277,0))*('Koszty operacyjne'!$K$114:$X$114=Moduły!O$73)*ISNUMBER(MATCH(st_wnp_kw,tak,0)),st_wnp)</f>
        <v>0</v>
      </c>
      <c r="P288" s="358" cm="1">
        <f t="array" ref="P288">SUMPRODUCT(ISNUMBER(MATCH(mod_st_wnp,$B$277,0))*('Koszty operacyjne'!$K$114:$X$114=Moduły!P$73)*ISNUMBER(MATCH(st_wnp_kw,tak,0)),st_wnp)</f>
        <v>0</v>
      </c>
    </row>
    <row r="289" spans="2:16" ht="12" customHeight="1">
      <c r="B289" s="359" t="s">
        <v>96</v>
      </c>
      <c r="C289" s="360" cm="1">
        <f t="array" ref="C289">SUMPRODUCT(ISNUMBER(MATCH(mod_st_wnp,$B$277,0))*('Koszty operacyjne'!$K$114:$X$114=Moduły!C$73)*ISNUMBER(MATCH(st_wnp_kw,nie,0)),st_wnp)</f>
        <v>0</v>
      </c>
      <c r="D289" s="360" cm="1">
        <f t="array" ref="D289">SUMPRODUCT(ISNUMBER(MATCH(mod_st_wnp,$B$277,0))*('Koszty operacyjne'!$K$114:$X$114=Moduły!D$73)*ISNUMBER(MATCH(st_wnp_kw,nie,0)),st_wnp)</f>
        <v>0</v>
      </c>
      <c r="E289" s="360" cm="1">
        <f t="array" ref="E289">SUMPRODUCT(ISNUMBER(MATCH(mod_st_wnp,$B$277,0))*('Koszty operacyjne'!$K$114:$X$114=Moduły!E$73)*ISNUMBER(MATCH(st_wnp_kw,nie,0)),st_wnp)</f>
        <v>0</v>
      </c>
      <c r="F289" s="360" cm="1">
        <f t="array" ref="F289">SUMPRODUCT(ISNUMBER(MATCH(mod_st_wnp,$B$277,0))*('Koszty operacyjne'!$K$114:$X$114=Moduły!F$73)*ISNUMBER(MATCH(st_wnp_kw,nie,0)),st_wnp)</f>
        <v>0</v>
      </c>
      <c r="G289" s="360" cm="1">
        <f t="array" ref="G289">SUMPRODUCT(ISNUMBER(MATCH(mod_st_wnp,$B$277,0))*('Koszty operacyjne'!$K$114:$X$114=Moduły!G$73)*ISNUMBER(MATCH(st_wnp_kw,nie,0)),st_wnp)</f>
        <v>0</v>
      </c>
      <c r="H289" s="360" cm="1">
        <f t="array" ref="H289">SUMPRODUCT(ISNUMBER(MATCH(mod_st_wnp,$B$277,0))*('Koszty operacyjne'!$K$114:$X$114=Moduły!H$73)*ISNUMBER(MATCH(st_wnp_kw,nie,0)),st_wnp)</f>
        <v>0</v>
      </c>
      <c r="I289" s="360" cm="1">
        <f t="array" ref="I289">SUMPRODUCT(ISNUMBER(MATCH(mod_st_wnp,$B$277,0))*('Koszty operacyjne'!$K$114:$X$114=Moduły!I$73)*ISNUMBER(MATCH(st_wnp_kw,nie,0)),st_wnp)</f>
        <v>0</v>
      </c>
      <c r="J289" s="360" cm="1">
        <f t="array" ref="J289">SUMPRODUCT(ISNUMBER(MATCH(mod_st_wnp,$B$277,0))*('Koszty operacyjne'!$K$114:$X$114=Moduły!J$73)*ISNUMBER(MATCH(st_wnp_kw,nie,0)),st_wnp)</f>
        <v>0</v>
      </c>
      <c r="K289" s="361" cm="1">
        <f t="array" ref="K289">SUMPRODUCT(ISNUMBER(MATCH(mod_st_wnp,$B$277,0))*('Koszty operacyjne'!$K$114:$X$114=Moduły!K$73)*ISNUMBER(MATCH(st_wnp_kw,nie,0)),st_wnp)</f>
        <v>0</v>
      </c>
      <c r="L289" s="361" cm="1">
        <f t="array" ref="L289">SUMPRODUCT(ISNUMBER(MATCH(mod_st_wnp,$B$277,0))*('Koszty operacyjne'!$K$114:$X$114=Moduły!L$73)*ISNUMBER(MATCH(st_wnp_kw,nie,0)),st_wnp)</f>
        <v>0</v>
      </c>
      <c r="M289" s="361" cm="1">
        <f t="array" ref="M289">SUMPRODUCT(ISNUMBER(MATCH(mod_st_wnp,$B$277,0))*('Koszty operacyjne'!$K$114:$X$114=Moduły!M$73)*ISNUMBER(MATCH(st_wnp_kw,nie,0)),st_wnp)</f>
        <v>0</v>
      </c>
      <c r="N289" s="361" cm="1">
        <f t="array" ref="N289">SUMPRODUCT(ISNUMBER(MATCH(mod_st_wnp,$B$277,0))*('Koszty operacyjne'!$K$114:$X$114=Moduły!N$73)*ISNUMBER(MATCH(st_wnp_kw,nie,0)),st_wnp)</f>
        <v>0</v>
      </c>
      <c r="O289" s="361" cm="1">
        <f t="array" ref="O289">SUMPRODUCT(ISNUMBER(MATCH(mod_st_wnp,$B$277,0))*('Koszty operacyjne'!$K$114:$X$114=Moduły!O$73)*ISNUMBER(MATCH(st_wnp_kw,nie,0)),st_wnp)</f>
        <v>0</v>
      </c>
      <c r="P289" s="361" cm="1">
        <f t="array" ref="P289">SUMPRODUCT(ISNUMBER(MATCH(mod_st_wnp,$B$277,0))*('Koszty operacyjne'!$K$114:$X$114=Moduły!P$73)*ISNUMBER(MATCH(st_wnp_kw,nie,0)),st_wnp)</f>
        <v>0</v>
      </c>
    </row>
    <row r="290" spans="2:16" ht="3.9" customHeight="1">
      <c r="B290" s="8"/>
      <c r="C290" s="363"/>
      <c r="D290" s="363"/>
      <c r="E290" s="363"/>
      <c r="F290" s="363"/>
      <c r="G290" s="363"/>
      <c r="H290" s="363"/>
      <c r="I290" s="363"/>
      <c r="J290" s="363"/>
      <c r="K290" s="364"/>
      <c r="L290" s="364"/>
      <c r="M290" s="364"/>
      <c r="N290" s="364"/>
      <c r="O290" s="364"/>
      <c r="P290" s="364"/>
    </row>
    <row r="291" spans="2:16" ht="12" customHeight="1">
      <c r="B291" s="355" t="s">
        <v>98</v>
      </c>
      <c r="C291" s="356">
        <f t="shared" ref="C291:P291" si="176">SUM(C292:C293)</f>
        <v>0</v>
      </c>
      <c r="D291" s="356">
        <f t="shared" si="176"/>
        <v>0</v>
      </c>
      <c r="E291" s="356">
        <f t="shared" si="176"/>
        <v>0</v>
      </c>
      <c r="F291" s="356">
        <f t="shared" si="176"/>
        <v>0</v>
      </c>
      <c r="G291" s="356">
        <f t="shared" si="176"/>
        <v>0</v>
      </c>
      <c r="H291" s="356">
        <f t="shared" si="176"/>
        <v>0</v>
      </c>
      <c r="I291" s="356">
        <f t="shared" si="176"/>
        <v>0</v>
      </c>
      <c r="J291" s="356">
        <f t="shared" si="176"/>
        <v>0</v>
      </c>
      <c r="K291" s="356">
        <f t="shared" si="176"/>
        <v>0</v>
      </c>
      <c r="L291" s="356">
        <f t="shared" si="176"/>
        <v>0</v>
      </c>
      <c r="M291" s="356">
        <f t="shared" si="176"/>
        <v>0</v>
      </c>
      <c r="N291" s="356">
        <f t="shared" si="176"/>
        <v>0</v>
      </c>
      <c r="O291" s="356">
        <f t="shared" si="176"/>
        <v>0</v>
      </c>
      <c r="P291" s="356">
        <f t="shared" si="176"/>
        <v>0</v>
      </c>
    </row>
    <row r="292" spans="2:16" ht="12" customHeight="1">
      <c r="B292" s="357" t="s">
        <v>95</v>
      </c>
      <c r="C292" s="358" cm="1">
        <f t="array" ref="C292">SUMPRODUCT(ISNUMBER(MATCH(mod_st_gry,$B$277,0))*('Koszty operacyjne'!$K$114:$X$114=Moduły!C$73)*ISNUMBER(MATCH(st_gry_kw,tak,0)),st_gry)</f>
        <v>0</v>
      </c>
      <c r="D292" s="358" cm="1">
        <f t="array" ref="D292">SUMPRODUCT(ISNUMBER(MATCH(mod_st_gry,$B$277,0))*('Koszty operacyjne'!$K$114:$X$114=Moduły!D$73)*ISNUMBER(MATCH(st_gry_kw,tak,0)),st_gry)</f>
        <v>0</v>
      </c>
      <c r="E292" s="358" cm="1">
        <f t="array" ref="E292">SUMPRODUCT(ISNUMBER(MATCH(mod_st_gry,$B$277,0))*('Koszty operacyjne'!$K$114:$X$114=Moduły!E$73)*ISNUMBER(MATCH(st_gry_kw,tak,0)),st_gry)</f>
        <v>0</v>
      </c>
      <c r="F292" s="358" cm="1">
        <f t="array" ref="F292">SUMPRODUCT(ISNUMBER(MATCH(mod_st_gry,$B$277,0))*('Koszty operacyjne'!$K$114:$X$114=Moduły!F$73)*ISNUMBER(MATCH(st_gry_kw,tak,0)),st_gry)</f>
        <v>0</v>
      </c>
      <c r="G292" s="358" cm="1">
        <f t="array" ref="G292">SUMPRODUCT(ISNUMBER(MATCH(mod_st_gry,$B$277,0))*('Koszty operacyjne'!$K$114:$X$114=Moduły!G$73)*ISNUMBER(MATCH(st_gry_kw,tak,0)),st_gry)</f>
        <v>0</v>
      </c>
      <c r="H292" s="358" cm="1">
        <f t="array" ref="H292">SUMPRODUCT(ISNUMBER(MATCH(mod_st_gry,$B$277,0))*('Koszty operacyjne'!$K$114:$X$114=Moduły!H$73)*ISNUMBER(MATCH(st_gry_kw,tak,0)),st_gry)</f>
        <v>0</v>
      </c>
      <c r="I292" s="358" cm="1">
        <f t="array" ref="I292">SUMPRODUCT(ISNUMBER(MATCH(mod_st_gry,$B$277,0))*('Koszty operacyjne'!$K$114:$X$114=Moduły!I$73)*ISNUMBER(MATCH(st_gry_kw,tak,0)),st_gry)</f>
        <v>0</v>
      </c>
      <c r="J292" s="358" cm="1">
        <f t="array" ref="J292">SUMPRODUCT(ISNUMBER(MATCH(mod_st_gry,$B$277,0))*('Koszty operacyjne'!$K$114:$X$114=Moduły!J$73)*ISNUMBER(MATCH(st_gry_kw,tak,0)),st_gry)</f>
        <v>0</v>
      </c>
      <c r="K292" s="358" cm="1">
        <f t="array" ref="K292">SUMPRODUCT(ISNUMBER(MATCH(mod_st_gry,$B$277,0))*('Koszty operacyjne'!$K$114:$X$114=Moduły!K$73)*ISNUMBER(MATCH(st_gry_kw,tak,0)),st_gry)</f>
        <v>0</v>
      </c>
      <c r="L292" s="358" cm="1">
        <f t="array" ref="L292">SUMPRODUCT(ISNUMBER(MATCH(mod_st_gry,$B$277,0))*('Koszty operacyjne'!$K$114:$X$114=Moduły!L$73)*ISNUMBER(MATCH(st_gry_kw,tak,0)),st_gry)</f>
        <v>0</v>
      </c>
      <c r="M292" s="358" cm="1">
        <f t="array" ref="M292">SUMPRODUCT(ISNUMBER(MATCH(mod_st_gry,$B$277,0))*('Koszty operacyjne'!$K$114:$X$114=Moduły!M$73)*ISNUMBER(MATCH(st_gry_kw,tak,0)),st_gry)</f>
        <v>0</v>
      </c>
      <c r="N292" s="358" cm="1">
        <f t="array" ref="N292">SUMPRODUCT(ISNUMBER(MATCH(mod_st_gry,$B$277,0))*('Koszty operacyjne'!$K$114:$X$114=Moduły!N$73)*ISNUMBER(MATCH(st_gry_kw,tak,0)),st_gry)</f>
        <v>0</v>
      </c>
      <c r="O292" s="358" cm="1">
        <f t="array" ref="O292">SUMPRODUCT(ISNUMBER(MATCH(mod_st_gry,$B$277,0))*('Koszty operacyjne'!$K$114:$X$114=Moduły!O$73)*ISNUMBER(MATCH(st_gry_kw,tak,0)),st_gry)</f>
        <v>0</v>
      </c>
      <c r="P292" s="358" cm="1">
        <f t="array" ref="P292">SUMPRODUCT(ISNUMBER(MATCH(mod_st_gry,$B$277,0))*('Koszty operacyjne'!$K$114:$X$114=Moduły!P$73)*ISNUMBER(MATCH(st_gry_kw,tak,0)),st_gry)</f>
        <v>0</v>
      </c>
    </row>
    <row r="293" spans="2:16" ht="12" customHeight="1">
      <c r="B293" s="359" t="s">
        <v>96</v>
      </c>
      <c r="C293" s="360" cm="1">
        <f t="array" ref="C293">SUMPRODUCT(ISNUMBER(MATCH(mod_st_gry,$B$277,0))*('Koszty operacyjne'!$K$114:$X$114=Moduły!C$73)*ISNUMBER(MATCH(st_gry_kw,nie,0)),st_gry)</f>
        <v>0</v>
      </c>
      <c r="D293" s="360" cm="1">
        <f t="array" ref="D293">SUMPRODUCT(ISNUMBER(MATCH(mod_st_gry,$B$277,0))*('Koszty operacyjne'!$K$114:$X$114=Moduły!D$73)*ISNUMBER(MATCH(st_gry_kw,nie,0)),st_gry)</f>
        <v>0</v>
      </c>
      <c r="E293" s="360" cm="1">
        <f t="array" ref="E293">SUMPRODUCT(ISNUMBER(MATCH(mod_st_gry,$B$277,0))*('Koszty operacyjne'!$K$114:$X$114=Moduły!E$73)*ISNUMBER(MATCH(st_gry_kw,nie,0)),st_gry)</f>
        <v>0</v>
      </c>
      <c r="F293" s="360" cm="1">
        <f t="array" ref="F293">SUMPRODUCT(ISNUMBER(MATCH(mod_st_gry,$B$277,0))*('Koszty operacyjne'!$K$114:$X$114=Moduły!F$73)*ISNUMBER(MATCH(st_gry_kw,nie,0)),st_gry)</f>
        <v>0</v>
      </c>
      <c r="G293" s="360" cm="1">
        <f t="array" ref="G293">SUMPRODUCT(ISNUMBER(MATCH(mod_st_gry,$B$277,0))*('Koszty operacyjne'!$K$114:$X$114=Moduły!G$73)*ISNUMBER(MATCH(st_gry_kw,nie,0)),st_gry)</f>
        <v>0</v>
      </c>
      <c r="H293" s="360" cm="1">
        <f t="array" ref="H293">SUMPRODUCT(ISNUMBER(MATCH(mod_st_gry,$B$277,0))*('Koszty operacyjne'!$K$114:$X$114=Moduły!H$73)*ISNUMBER(MATCH(st_gry_kw,nie,0)),st_gry)</f>
        <v>0</v>
      </c>
      <c r="I293" s="360" cm="1">
        <f t="array" ref="I293">SUMPRODUCT(ISNUMBER(MATCH(mod_st_gry,$B$277,0))*('Koszty operacyjne'!$K$114:$X$114=Moduły!I$73)*ISNUMBER(MATCH(st_gry_kw,nie,0)),st_gry)</f>
        <v>0</v>
      </c>
      <c r="J293" s="360" cm="1">
        <f t="array" ref="J293">SUMPRODUCT(ISNUMBER(MATCH(mod_st_gry,$B$277,0))*('Koszty operacyjne'!$K$114:$X$114=Moduły!J$73)*ISNUMBER(MATCH(st_gry_kw,nie,0)),st_gry)</f>
        <v>0</v>
      </c>
      <c r="K293" s="361" cm="1">
        <f t="array" ref="K293">SUMPRODUCT(ISNUMBER(MATCH(mod_st_gry,$B$277,0))*('Koszty operacyjne'!$K$114:$X$114=Moduły!K$73)*ISNUMBER(MATCH(st_gry_kw,nie,0)),st_gry)</f>
        <v>0</v>
      </c>
      <c r="L293" s="361" cm="1">
        <f t="array" ref="L293">SUMPRODUCT(ISNUMBER(MATCH(mod_st_gry,$B$277,0))*('Koszty operacyjne'!$K$114:$X$114=Moduły!L$73)*ISNUMBER(MATCH(st_gry_kw,nie,0)),st_gry)</f>
        <v>0</v>
      </c>
      <c r="M293" s="361" cm="1">
        <f t="array" ref="M293">SUMPRODUCT(ISNUMBER(MATCH(mod_st_gry,$B$277,0))*('Koszty operacyjne'!$K$114:$X$114=Moduły!M$73)*ISNUMBER(MATCH(st_gry_kw,nie,0)),st_gry)</f>
        <v>0</v>
      </c>
      <c r="N293" s="361" cm="1">
        <f t="array" ref="N293">SUMPRODUCT(ISNUMBER(MATCH(mod_st_gry,$B$277,0))*('Koszty operacyjne'!$K$114:$X$114=Moduły!N$73)*ISNUMBER(MATCH(st_gry_kw,nie,0)),st_gry)</f>
        <v>0</v>
      </c>
      <c r="O293" s="361" cm="1">
        <f t="array" ref="O293">SUMPRODUCT(ISNUMBER(MATCH(mod_st_gry,$B$277,0))*('Koszty operacyjne'!$K$114:$X$114=Moduły!O$73)*ISNUMBER(MATCH(st_gry_kw,nie,0)),st_gry)</f>
        <v>0</v>
      </c>
      <c r="P293" s="361" cm="1">
        <f t="array" ref="P293">SUMPRODUCT(ISNUMBER(MATCH(mod_st_gry,$B$277,0))*('Koszty operacyjne'!$K$114:$X$114=Moduły!P$73)*ISNUMBER(MATCH(st_gry_kw,nie,0)),st_gry)</f>
        <v>0</v>
      </c>
    </row>
    <row r="294" spans="2:16" ht="3.9" customHeight="1">
      <c r="B294" s="8"/>
      <c r="C294" s="363"/>
      <c r="D294" s="363"/>
      <c r="E294" s="363"/>
      <c r="F294" s="363"/>
      <c r="G294" s="363"/>
      <c r="H294" s="363"/>
      <c r="I294" s="363"/>
      <c r="J294" s="363"/>
      <c r="K294" s="364"/>
      <c r="L294" s="364"/>
      <c r="M294" s="364"/>
      <c r="N294" s="364"/>
      <c r="O294" s="364"/>
      <c r="P294" s="364"/>
    </row>
    <row r="295" spans="2:16" ht="12" customHeight="1">
      <c r="B295" s="355" t="s">
        <v>99</v>
      </c>
      <c r="C295" s="356">
        <f t="shared" ref="C295:P295" si="177">SUM(C296:C297)</f>
        <v>0</v>
      </c>
      <c r="D295" s="356">
        <f t="shared" si="177"/>
        <v>0</v>
      </c>
      <c r="E295" s="356">
        <f t="shared" si="177"/>
        <v>0</v>
      </c>
      <c r="F295" s="356">
        <f t="shared" si="177"/>
        <v>0</v>
      </c>
      <c r="G295" s="356">
        <f t="shared" si="177"/>
        <v>0</v>
      </c>
      <c r="H295" s="356">
        <f t="shared" si="177"/>
        <v>0</v>
      </c>
      <c r="I295" s="356">
        <f t="shared" si="177"/>
        <v>0</v>
      </c>
      <c r="J295" s="356">
        <f t="shared" si="177"/>
        <v>0</v>
      </c>
      <c r="K295" s="356">
        <f t="shared" si="177"/>
        <v>0</v>
      </c>
      <c r="L295" s="356">
        <f t="shared" si="177"/>
        <v>0</v>
      </c>
      <c r="M295" s="356">
        <f t="shared" si="177"/>
        <v>0</v>
      </c>
      <c r="N295" s="356">
        <f t="shared" si="177"/>
        <v>0</v>
      </c>
      <c r="O295" s="356">
        <f t="shared" si="177"/>
        <v>0</v>
      </c>
      <c r="P295" s="356">
        <f t="shared" si="177"/>
        <v>0</v>
      </c>
    </row>
    <row r="296" spans="2:16" ht="12" customHeight="1">
      <c r="B296" s="357" t="s">
        <v>95</v>
      </c>
      <c r="C296" s="358" cm="1">
        <f t="array" ref="C296">SUMPRODUCT(ISNUMBER(MATCH(mod_st_bib,$B$277,0))*('Koszty operacyjne'!$K$114:$X$114=Moduły!C$73)*ISNUMBER(MATCH(st_bib_kw,tak,0)),st_bib)</f>
        <v>0</v>
      </c>
      <c r="D296" s="358" cm="1">
        <f t="array" ref="D296">SUMPRODUCT(ISNUMBER(MATCH(mod_st_bib,$B$277,0))*('Koszty operacyjne'!$K$114:$X$114=Moduły!D$73)*ISNUMBER(MATCH(st_bib_kw,tak,0)),st_bib)</f>
        <v>0</v>
      </c>
      <c r="E296" s="358" cm="1">
        <f t="array" ref="E296">SUMPRODUCT(ISNUMBER(MATCH(mod_st_bib,$B$277,0))*('Koszty operacyjne'!$K$114:$X$114=Moduły!E$73)*ISNUMBER(MATCH(st_bib_kw,tak,0)),st_bib)</f>
        <v>0</v>
      </c>
      <c r="F296" s="358" cm="1">
        <f t="array" ref="F296">SUMPRODUCT(ISNUMBER(MATCH(mod_st_bib,$B$277,0))*('Koszty operacyjne'!$K$114:$X$114=Moduły!F$73)*ISNUMBER(MATCH(st_bib_kw,tak,0)),st_bib)</f>
        <v>0</v>
      </c>
      <c r="G296" s="358" cm="1">
        <f t="array" ref="G296">SUMPRODUCT(ISNUMBER(MATCH(mod_st_bib,$B$277,0))*('Koszty operacyjne'!$K$114:$X$114=Moduły!G$73)*ISNUMBER(MATCH(st_bib_kw,tak,0)),st_bib)</f>
        <v>0</v>
      </c>
      <c r="H296" s="358" cm="1">
        <f t="array" ref="H296">SUMPRODUCT(ISNUMBER(MATCH(mod_st_bib,$B$277,0))*('Koszty operacyjne'!$K$114:$X$114=Moduły!H$73)*ISNUMBER(MATCH(st_bib_kw,tak,0)),st_bib)</f>
        <v>0</v>
      </c>
      <c r="I296" s="358" cm="1">
        <f t="array" ref="I296">SUMPRODUCT(ISNUMBER(MATCH(mod_st_bib,$B$277,0))*('Koszty operacyjne'!$K$114:$X$114=Moduły!I$73)*ISNUMBER(MATCH(st_bib_kw,tak,0)),st_bib)</f>
        <v>0</v>
      </c>
      <c r="J296" s="358" cm="1">
        <f t="array" ref="J296">SUMPRODUCT(ISNUMBER(MATCH(mod_st_bib,$B$277,0))*('Koszty operacyjne'!$K$114:$X$114=Moduły!J$73)*ISNUMBER(MATCH(st_bib_kw,tak,0)),st_bib)</f>
        <v>0</v>
      </c>
      <c r="K296" s="358" cm="1">
        <f t="array" ref="K296">SUMPRODUCT(ISNUMBER(MATCH(mod_st_bib,$B$277,0))*('Koszty operacyjne'!$K$114:$X$114=Moduły!K$73)*ISNUMBER(MATCH(st_bib_kw,tak,0)),st_bib)</f>
        <v>0</v>
      </c>
      <c r="L296" s="358" cm="1">
        <f t="array" ref="L296">SUMPRODUCT(ISNUMBER(MATCH(mod_st_bib,$B$277,0))*('Koszty operacyjne'!$K$114:$X$114=Moduły!L$73)*ISNUMBER(MATCH(st_bib_kw,tak,0)),st_bib)</f>
        <v>0</v>
      </c>
      <c r="M296" s="358" cm="1">
        <f t="array" ref="M296">SUMPRODUCT(ISNUMBER(MATCH(mod_st_bib,$B$277,0))*('Koszty operacyjne'!$K$114:$X$114=Moduły!M$73)*ISNUMBER(MATCH(st_bib_kw,tak,0)),st_bib)</f>
        <v>0</v>
      </c>
      <c r="N296" s="358" cm="1">
        <f t="array" ref="N296">SUMPRODUCT(ISNUMBER(MATCH(mod_st_bib,$B$277,0))*('Koszty operacyjne'!$K$114:$X$114=Moduły!N$73)*ISNUMBER(MATCH(st_bib_kw,tak,0)),st_bib)</f>
        <v>0</v>
      </c>
      <c r="O296" s="358" cm="1">
        <f t="array" ref="O296">SUMPRODUCT(ISNUMBER(MATCH(mod_st_bib,$B$277,0))*('Koszty operacyjne'!$K$114:$X$114=Moduły!O$73)*ISNUMBER(MATCH(st_bib_kw,tak,0)),st_bib)</f>
        <v>0</v>
      </c>
      <c r="P296" s="358" cm="1">
        <f t="array" ref="P296">SUMPRODUCT(ISNUMBER(MATCH(mod_st_bib,$B$277,0))*('Koszty operacyjne'!$K$114:$X$114=Moduły!P$73)*ISNUMBER(MATCH(st_bib_kw,tak,0)),st_bib)</f>
        <v>0</v>
      </c>
    </row>
    <row r="297" spans="2:16" ht="12" customHeight="1">
      <c r="B297" s="359" t="s">
        <v>96</v>
      </c>
      <c r="C297" s="360" cm="1">
        <f t="array" ref="C297">SUMPRODUCT(ISNUMBER(MATCH(mod_st_bib,$B$277,0))*('Koszty operacyjne'!$K$114:$X$114=Moduły!C$73)*ISNUMBER(MATCH(st_bib_kw,nie,0)),st_bib)</f>
        <v>0</v>
      </c>
      <c r="D297" s="360" cm="1">
        <f t="array" ref="D297">SUMPRODUCT(ISNUMBER(MATCH(mod_st_bib,$B$277,0))*('Koszty operacyjne'!$K$114:$X$114=Moduły!D$73)*ISNUMBER(MATCH(st_bib_kw,nie,0)),st_bib)</f>
        <v>0</v>
      </c>
      <c r="E297" s="360" cm="1">
        <f t="array" ref="E297">SUMPRODUCT(ISNUMBER(MATCH(mod_st_bib,$B$277,0))*('Koszty operacyjne'!$K$114:$X$114=Moduły!E$73)*ISNUMBER(MATCH(st_bib_kw,nie,0)),st_bib)</f>
        <v>0</v>
      </c>
      <c r="F297" s="360" cm="1">
        <f t="array" ref="F297">SUMPRODUCT(ISNUMBER(MATCH(mod_st_bib,$B$277,0))*('Koszty operacyjne'!$K$114:$X$114=Moduły!F$73)*ISNUMBER(MATCH(st_bib_kw,nie,0)),st_bib)</f>
        <v>0</v>
      </c>
      <c r="G297" s="360" cm="1">
        <f t="array" ref="G297">SUMPRODUCT(ISNUMBER(MATCH(mod_st_bib,$B$277,0))*('Koszty operacyjne'!$K$114:$X$114=Moduły!G$73)*ISNUMBER(MATCH(st_bib_kw,nie,0)),st_bib)</f>
        <v>0</v>
      </c>
      <c r="H297" s="360" cm="1">
        <f t="array" ref="H297">SUMPRODUCT(ISNUMBER(MATCH(mod_st_bib,$B$277,0))*('Koszty operacyjne'!$K$114:$X$114=Moduły!H$73)*ISNUMBER(MATCH(st_bib_kw,nie,0)),st_bib)</f>
        <v>0</v>
      </c>
      <c r="I297" s="360" cm="1">
        <f t="array" ref="I297">SUMPRODUCT(ISNUMBER(MATCH(mod_st_bib,$B$277,0))*('Koszty operacyjne'!$K$114:$X$114=Moduły!I$73)*ISNUMBER(MATCH(st_bib_kw,nie,0)),st_bib)</f>
        <v>0</v>
      </c>
      <c r="J297" s="360" cm="1">
        <f t="array" ref="J297">SUMPRODUCT(ISNUMBER(MATCH(mod_st_bib,$B$277,0))*('Koszty operacyjne'!$K$114:$X$114=Moduły!J$73)*ISNUMBER(MATCH(st_bib_kw,nie,0)),st_bib)</f>
        <v>0</v>
      </c>
      <c r="K297" s="361" cm="1">
        <f t="array" ref="K297">SUMPRODUCT(ISNUMBER(MATCH(mod_st_bib,$B$277,0))*('Koszty operacyjne'!$K$114:$X$114=Moduły!K$73)*ISNUMBER(MATCH(st_bib_kw,nie,0)),st_bib)</f>
        <v>0</v>
      </c>
      <c r="L297" s="361" cm="1">
        <f t="array" ref="L297">SUMPRODUCT(ISNUMBER(MATCH(mod_st_bib,$B$277,0))*('Koszty operacyjne'!$K$114:$X$114=Moduły!L$73)*ISNUMBER(MATCH(st_bib_kw,nie,0)),st_bib)</f>
        <v>0</v>
      </c>
      <c r="M297" s="361" cm="1">
        <f t="array" ref="M297">SUMPRODUCT(ISNUMBER(MATCH(mod_st_bib,$B$277,0))*('Koszty operacyjne'!$K$114:$X$114=Moduły!M$73)*ISNUMBER(MATCH(st_bib_kw,nie,0)),st_bib)</f>
        <v>0</v>
      </c>
      <c r="N297" s="361" cm="1">
        <f t="array" ref="N297">SUMPRODUCT(ISNUMBER(MATCH(mod_st_bib,$B$277,0))*('Koszty operacyjne'!$K$114:$X$114=Moduły!N$73)*ISNUMBER(MATCH(st_bib_kw,nie,0)),st_bib)</f>
        <v>0</v>
      </c>
      <c r="O297" s="361" cm="1">
        <f t="array" ref="O297">SUMPRODUCT(ISNUMBER(MATCH(mod_st_bib,$B$277,0))*('Koszty operacyjne'!$K$114:$X$114=Moduły!O$73)*ISNUMBER(MATCH(st_bib_kw,nie,0)),st_bib)</f>
        <v>0</v>
      </c>
      <c r="P297" s="361" cm="1">
        <f t="array" ref="P297">SUMPRODUCT(ISNUMBER(MATCH(mod_st_bib,$B$277,0))*('Koszty operacyjne'!$K$114:$X$114=Moduły!P$73)*ISNUMBER(MATCH(st_bib_kw,nie,0)),st_bib)</f>
        <v>0</v>
      </c>
    </row>
    <row r="298" spans="2:16" ht="3.9" customHeight="1">
      <c r="B298" s="8"/>
      <c r="C298" s="363"/>
      <c r="D298" s="363"/>
      <c r="E298" s="363"/>
      <c r="F298" s="363"/>
      <c r="G298" s="363"/>
      <c r="H298" s="363"/>
      <c r="I298" s="363"/>
      <c r="J298" s="363"/>
      <c r="K298" s="364"/>
      <c r="L298" s="364"/>
      <c r="M298" s="364"/>
      <c r="N298" s="364"/>
      <c r="O298" s="364"/>
      <c r="P298" s="364"/>
    </row>
    <row r="299" spans="2:16" ht="12" customHeight="1">
      <c r="B299" s="355" t="s">
        <v>100</v>
      </c>
      <c r="C299" s="356">
        <f t="shared" ref="C299:P299" si="178">SUM(C300:C301)</f>
        <v>0</v>
      </c>
      <c r="D299" s="356">
        <f t="shared" si="178"/>
        <v>0</v>
      </c>
      <c r="E299" s="356">
        <f t="shared" si="178"/>
        <v>0</v>
      </c>
      <c r="F299" s="356">
        <f t="shared" si="178"/>
        <v>0</v>
      </c>
      <c r="G299" s="356">
        <f t="shared" si="178"/>
        <v>0</v>
      </c>
      <c r="H299" s="356">
        <f t="shared" si="178"/>
        <v>0</v>
      </c>
      <c r="I299" s="356">
        <f t="shared" si="178"/>
        <v>0</v>
      </c>
      <c r="J299" s="356">
        <f t="shared" si="178"/>
        <v>0</v>
      </c>
      <c r="K299" s="356">
        <f t="shared" si="178"/>
        <v>0</v>
      </c>
      <c r="L299" s="356">
        <f t="shared" si="178"/>
        <v>0</v>
      </c>
      <c r="M299" s="356">
        <f t="shared" si="178"/>
        <v>0</v>
      </c>
      <c r="N299" s="356">
        <f t="shared" si="178"/>
        <v>0</v>
      </c>
      <c r="O299" s="356">
        <f t="shared" si="178"/>
        <v>0</v>
      </c>
      <c r="P299" s="356">
        <f t="shared" si="178"/>
        <v>0</v>
      </c>
    </row>
    <row r="300" spans="2:16" ht="12" customHeight="1">
      <c r="B300" s="357" t="s">
        <v>95</v>
      </c>
      <c r="C300" s="358" cm="1">
        <f t="array" ref="C300">SUMPRODUCT(ISNUMBER(MATCH(mod_st_utm,$B$277,0))*('Koszty operacyjne'!$K$114:$X$114=Moduły!C$73)*ISNUMBER(MATCH(st_utm_kw,tak,0)),st_utm)</f>
        <v>0</v>
      </c>
      <c r="D300" s="358" cm="1">
        <f t="array" ref="D300">SUMPRODUCT(ISNUMBER(MATCH(mod_st_utm,$B$277,0))*('Koszty operacyjne'!$K$114:$X$114=Moduły!D$73)*ISNUMBER(MATCH(st_utm_kw,tak,0)),st_utm)</f>
        <v>0</v>
      </c>
      <c r="E300" s="358" cm="1">
        <f t="array" ref="E300">SUMPRODUCT(ISNUMBER(MATCH(mod_st_utm,$B$277,0))*('Koszty operacyjne'!$K$114:$X$114=Moduły!E$73)*ISNUMBER(MATCH(st_utm_kw,tak,0)),st_utm)</f>
        <v>0</v>
      </c>
      <c r="F300" s="358" cm="1">
        <f t="array" ref="F300">SUMPRODUCT(ISNUMBER(MATCH(mod_st_utm,$B$277,0))*('Koszty operacyjne'!$K$114:$X$114=Moduły!F$73)*ISNUMBER(MATCH(st_utm_kw,tak,0)),st_utm)</f>
        <v>0</v>
      </c>
      <c r="G300" s="358" cm="1">
        <f t="array" ref="G300">SUMPRODUCT(ISNUMBER(MATCH(mod_st_utm,$B$277,0))*('Koszty operacyjne'!$K$114:$X$114=Moduły!G$73)*ISNUMBER(MATCH(st_utm_kw,tak,0)),st_utm)</f>
        <v>0</v>
      </c>
      <c r="H300" s="358" cm="1">
        <f t="array" ref="H300">SUMPRODUCT(ISNUMBER(MATCH(mod_st_utm,$B$277,0))*('Koszty operacyjne'!$K$114:$X$114=Moduły!H$73)*ISNUMBER(MATCH(st_utm_kw,tak,0)),st_utm)</f>
        <v>0</v>
      </c>
      <c r="I300" s="358" cm="1">
        <f t="array" ref="I300">SUMPRODUCT(ISNUMBER(MATCH(mod_st_utm,$B$277,0))*('Koszty operacyjne'!$K$114:$X$114=Moduły!I$73)*ISNUMBER(MATCH(st_utm_kw,tak,0)),st_utm)</f>
        <v>0</v>
      </c>
      <c r="J300" s="358" cm="1">
        <f t="array" ref="J300">SUMPRODUCT(ISNUMBER(MATCH(mod_st_utm,$B$277,0))*('Koszty operacyjne'!$K$114:$X$114=Moduły!J$73)*ISNUMBER(MATCH(st_utm_kw,tak,0)),st_utm)</f>
        <v>0</v>
      </c>
      <c r="K300" s="358" cm="1">
        <f t="array" ref="K300">SUMPRODUCT(ISNUMBER(MATCH(mod_st_utm,$B$277,0))*('Koszty operacyjne'!$K$114:$X$114=Moduły!K$73)*ISNUMBER(MATCH(st_utm_kw,tak,0)),st_utm)</f>
        <v>0</v>
      </c>
      <c r="L300" s="358" cm="1">
        <f t="array" ref="L300">SUMPRODUCT(ISNUMBER(MATCH(mod_st_utm,$B$277,0))*('Koszty operacyjne'!$K$114:$X$114=Moduły!L$73)*ISNUMBER(MATCH(st_utm_kw,tak,0)),st_utm)</f>
        <v>0</v>
      </c>
      <c r="M300" s="358" cm="1">
        <f t="array" ref="M300">SUMPRODUCT(ISNUMBER(MATCH(mod_st_utm,$B$277,0))*('Koszty operacyjne'!$K$114:$X$114=Moduły!M$73)*ISNUMBER(MATCH(st_utm_kw,tak,0)),st_utm)</f>
        <v>0</v>
      </c>
      <c r="N300" s="358" cm="1">
        <f t="array" ref="N300">SUMPRODUCT(ISNUMBER(MATCH(mod_st_utm,$B$277,0))*('Koszty operacyjne'!$K$114:$X$114=Moduły!N$73)*ISNUMBER(MATCH(st_utm_kw,tak,0)),st_utm)</f>
        <v>0</v>
      </c>
      <c r="O300" s="358" cm="1">
        <f t="array" ref="O300">SUMPRODUCT(ISNUMBER(MATCH(mod_st_utm,$B$277,0))*('Koszty operacyjne'!$K$114:$X$114=Moduły!O$73)*ISNUMBER(MATCH(st_utm_kw,tak,0)),st_utm)</f>
        <v>0</v>
      </c>
      <c r="P300" s="358" cm="1">
        <f t="array" ref="P300">SUMPRODUCT(ISNUMBER(MATCH(mod_st_utm,$B$277,0))*('Koszty operacyjne'!$K$114:$X$114=Moduły!P$73)*ISNUMBER(MATCH(st_utm_kw,tak,0)),st_utm)</f>
        <v>0</v>
      </c>
    </row>
    <row r="301" spans="2:16" ht="12" customHeight="1">
      <c r="B301" s="359" t="s">
        <v>96</v>
      </c>
      <c r="C301" s="360" cm="1">
        <f t="array" ref="C301">SUMPRODUCT(ISNUMBER(MATCH(mod_st_utm,$B$277,0))*('Koszty operacyjne'!$K$114:$X$114=Moduły!C$73)*ISNUMBER(MATCH(st_utm_kw,nie,0)),st_utm)</f>
        <v>0</v>
      </c>
      <c r="D301" s="360" cm="1">
        <f t="array" ref="D301">SUMPRODUCT(ISNUMBER(MATCH(mod_st_utm,$B$277,0))*('Koszty operacyjne'!$K$114:$X$114=Moduły!D$73)*ISNUMBER(MATCH(st_utm_kw,nie,0)),st_utm)</f>
        <v>0</v>
      </c>
      <c r="E301" s="360" cm="1">
        <f t="array" ref="E301">SUMPRODUCT(ISNUMBER(MATCH(mod_st_utm,$B$277,0))*('Koszty operacyjne'!$K$114:$X$114=Moduły!E$73)*ISNUMBER(MATCH(st_utm_kw,nie,0)),st_utm)</f>
        <v>0</v>
      </c>
      <c r="F301" s="360" cm="1">
        <f t="array" ref="F301">SUMPRODUCT(ISNUMBER(MATCH(mod_st_utm,$B$277,0))*('Koszty operacyjne'!$K$114:$X$114=Moduły!F$73)*ISNUMBER(MATCH(st_utm_kw,nie,0)),st_utm)</f>
        <v>0</v>
      </c>
      <c r="G301" s="360" cm="1">
        <f t="array" ref="G301">SUMPRODUCT(ISNUMBER(MATCH(mod_st_utm,$B$277,0))*('Koszty operacyjne'!$K$114:$X$114=Moduły!G$73)*ISNUMBER(MATCH(st_utm_kw,nie,0)),st_utm)</f>
        <v>0</v>
      </c>
      <c r="H301" s="360" cm="1">
        <f t="array" ref="H301">SUMPRODUCT(ISNUMBER(MATCH(mod_st_utm,$B$277,0))*('Koszty operacyjne'!$K$114:$X$114=Moduły!H$73)*ISNUMBER(MATCH(st_utm_kw,nie,0)),st_utm)</f>
        <v>0</v>
      </c>
      <c r="I301" s="360" cm="1">
        <f t="array" ref="I301">SUMPRODUCT(ISNUMBER(MATCH(mod_st_utm,$B$277,0))*('Koszty operacyjne'!$K$114:$X$114=Moduły!I$73)*ISNUMBER(MATCH(st_utm_kw,nie,0)),st_utm)</f>
        <v>0</v>
      </c>
      <c r="J301" s="360" cm="1">
        <f t="array" ref="J301">SUMPRODUCT(ISNUMBER(MATCH(mod_st_utm,$B$277,0))*('Koszty operacyjne'!$K$114:$X$114=Moduły!J$73)*ISNUMBER(MATCH(st_utm_kw,nie,0)),st_utm)</f>
        <v>0</v>
      </c>
      <c r="K301" s="361" cm="1">
        <f t="array" ref="K301">SUMPRODUCT(ISNUMBER(MATCH(mod_st_utm,$B$277,0))*('Koszty operacyjne'!$K$114:$X$114=Moduły!K$73)*ISNUMBER(MATCH(st_utm_kw,nie,0)),st_utm)</f>
        <v>0</v>
      </c>
      <c r="L301" s="361" cm="1">
        <f t="array" ref="L301">SUMPRODUCT(ISNUMBER(MATCH(mod_st_utm,$B$277,0))*('Koszty operacyjne'!$K$114:$X$114=Moduły!L$73)*ISNUMBER(MATCH(st_utm_kw,nie,0)),st_utm)</f>
        <v>0</v>
      </c>
      <c r="M301" s="361" cm="1">
        <f t="array" ref="M301">SUMPRODUCT(ISNUMBER(MATCH(mod_st_utm,$B$277,0))*('Koszty operacyjne'!$K$114:$X$114=Moduły!M$73)*ISNUMBER(MATCH(st_utm_kw,nie,0)),st_utm)</f>
        <v>0</v>
      </c>
      <c r="N301" s="361" cm="1">
        <f t="array" ref="N301">SUMPRODUCT(ISNUMBER(MATCH(mod_st_utm,$B$277,0))*('Koszty operacyjne'!$K$114:$X$114=Moduły!N$73)*ISNUMBER(MATCH(st_utm_kw,nie,0)),st_utm)</f>
        <v>0</v>
      </c>
      <c r="O301" s="361" cm="1">
        <f t="array" ref="O301">SUMPRODUCT(ISNUMBER(MATCH(mod_st_utm,$B$277,0))*('Koszty operacyjne'!$K$114:$X$114=Moduły!O$73)*ISNUMBER(MATCH(st_utm_kw,nie,0)),st_utm)</f>
        <v>0</v>
      </c>
      <c r="P301" s="361" cm="1">
        <f t="array" ref="P301">SUMPRODUCT(ISNUMBER(MATCH(mod_st_utm,$B$277,0))*('Koszty operacyjne'!$K$114:$X$114=Moduły!P$73)*ISNUMBER(MATCH(st_utm_kw,nie,0)),st_utm)</f>
        <v>0</v>
      </c>
    </row>
    <row r="302" spans="2:16" ht="3.9" customHeight="1">
      <c r="B302" s="8"/>
      <c r="C302" s="363"/>
      <c r="D302" s="363"/>
      <c r="E302" s="363"/>
      <c r="F302" s="363"/>
      <c r="G302" s="363"/>
      <c r="H302" s="363"/>
      <c r="I302" s="363"/>
      <c r="J302" s="363"/>
      <c r="K302" s="364"/>
      <c r="L302" s="364"/>
      <c r="M302" s="364"/>
      <c r="N302" s="364"/>
      <c r="O302" s="364"/>
      <c r="P302" s="364"/>
    </row>
    <row r="303" spans="2:16" ht="12" customHeight="1">
      <c r="B303" s="355" t="s">
        <v>101</v>
      </c>
      <c r="C303" s="356">
        <f t="shared" ref="C303:P303" si="179">SUM(C304:C305)</f>
        <v>0</v>
      </c>
      <c r="D303" s="356">
        <f t="shared" si="179"/>
        <v>0</v>
      </c>
      <c r="E303" s="356">
        <f t="shared" si="179"/>
        <v>0</v>
      </c>
      <c r="F303" s="356">
        <f t="shared" si="179"/>
        <v>0</v>
      </c>
      <c r="G303" s="356">
        <f t="shared" si="179"/>
        <v>0</v>
      </c>
      <c r="H303" s="356">
        <f t="shared" si="179"/>
        <v>0</v>
      </c>
      <c r="I303" s="356">
        <f t="shared" si="179"/>
        <v>0</v>
      </c>
      <c r="J303" s="356">
        <f t="shared" si="179"/>
        <v>0</v>
      </c>
      <c r="K303" s="356">
        <f t="shared" si="179"/>
        <v>0</v>
      </c>
      <c r="L303" s="356">
        <f t="shared" si="179"/>
        <v>0</v>
      </c>
      <c r="M303" s="356">
        <f t="shared" si="179"/>
        <v>0</v>
      </c>
      <c r="N303" s="356">
        <f t="shared" si="179"/>
        <v>0</v>
      </c>
      <c r="O303" s="356">
        <f t="shared" si="179"/>
        <v>0</v>
      </c>
      <c r="P303" s="356">
        <f t="shared" si="179"/>
        <v>0</v>
      </c>
    </row>
    <row r="304" spans="2:16" ht="12" customHeight="1">
      <c r="B304" s="357" t="s">
        <v>95</v>
      </c>
      <c r="C304" s="358" cm="1">
        <f t="array" ref="C304">SUMPRODUCT(ISNUMBER(MATCH(mod_st_stu,$B$277,0))*('Koszty operacyjne'!$K$114:$X$114=Moduły!C$73)*ISNUMBER(MATCH(st_stu_kw,tak,0)),st_stu)</f>
        <v>0</v>
      </c>
      <c r="D304" s="358" cm="1">
        <f t="array" ref="D304">SUMPRODUCT(ISNUMBER(MATCH(mod_st_stu,$B$277,0))*('Koszty operacyjne'!$K$114:$X$114=Moduły!D$73)*ISNUMBER(MATCH(st_stu_kw,tak,0)),st_stu)</f>
        <v>0</v>
      </c>
      <c r="E304" s="358" cm="1">
        <f t="array" ref="E304">SUMPRODUCT(ISNUMBER(MATCH(mod_st_stu,$B$277,0))*('Koszty operacyjne'!$K$114:$X$114=Moduły!E$73)*ISNUMBER(MATCH(st_stu_kw,tak,0)),st_stu)</f>
        <v>0</v>
      </c>
      <c r="F304" s="358" cm="1">
        <f t="array" ref="F304">SUMPRODUCT(ISNUMBER(MATCH(mod_st_stu,$B$277,0))*('Koszty operacyjne'!$K$114:$X$114=Moduły!F$73)*ISNUMBER(MATCH(st_stu_kw,tak,0)),st_stu)</f>
        <v>0</v>
      </c>
      <c r="G304" s="358" cm="1">
        <f t="array" ref="G304">SUMPRODUCT(ISNUMBER(MATCH(mod_st_stu,$B$277,0))*('Koszty operacyjne'!$K$114:$X$114=Moduły!G$73)*ISNUMBER(MATCH(st_stu_kw,tak,0)),st_stu)</f>
        <v>0</v>
      </c>
      <c r="H304" s="358" cm="1">
        <f t="array" ref="H304">SUMPRODUCT(ISNUMBER(MATCH(mod_st_stu,$B$277,0))*('Koszty operacyjne'!$K$114:$X$114=Moduły!H$73)*ISNUMBER(MATCH(st_stu_kw,tak,0)),st_stu)</f>
        <v>0</v>
      </c>
      <c r="I304" s="358" cm="1">
        <f t="array" ref="I304">SUMPRODUCT(ISNUMBER(MATCH(mod_st_stu,$B$277,0))*('Koszty operacyjne'!$K$114:$X$114=Moduły!I$73)*ISNUMBER(MATCH(st_stu_kw,tak,0)),st_stu)</f>
        <v>0</v>
      </c>
      <c r="J304" s="358" cm="1">
        <f t="array" ref="J304">SUMPRODUCT(ISNUMBER(MATCH(mod_st_stu,$B$277,0))*('Koszty operacyjne'!$K$114:$X$114=Moduły!J$73)*ISNUMBER(MATCH(st_stu_kw,tak,0)),st_stu)</f>
        <v>0</v>
      </c>
      <c r="K304" s="358" cm="1">
        <f t="array" ref="K304">SUMPRODUCT(ISNUMBER(MATCH(mod_st_stu,$B$277,0))*('Koszty operacyjne'!$K$114:$X$114=Moduły!K$73)*ISNUMBER(MATCH(st_stu_kw,tak,0)),st_stu)</f>
        <v>0</v>
      </c>
      <c r="L304" s="358" cm="1">
        <f t="array" ref="L304">SUMPRODUCT(ISNUMBER(MATCH(mod_st_stu,$B$277,0))*('Koszty operacyjne'!$K$114:$X$114=Moduły!L$73)*ISNUMBER(MATCH(st_stu_kw,tak,0)),st_stu)</f>
        <v>0</v>
      </c>
      <c r="M304" s="358" cm="1">
        <f t="array" ref="M304">SUMPRODUCT(ISNUMBER(MATCH(mod_st_stu,$B$277,0))*('Koszty operacyjne'!$K$114:$X$114=Moduły!M$73)*ISNUMBER(MATCH(st_stu_kw,tak,0)),st_stu)</f>
        <v>0</v>
      </c>
      <c r="N304" s="358" cm="1">
        <f t="array" ref="N304">SUMPRODUCT(ISNUMBER(MATCH(mod_st_stu,$B$277,0))*('Koszty operacyjne'!$K$114:$X$114=Moduły!N$73)*ISNUMBER(MATCH(st_stu_kw,tak,0)),st_stu)</f>
        <v>0</v>
      </c>
      <c r="O304" s="358" cm="1">
        <f t="array" ref="O304">SUMPRODUCT(ISNUMBER(MATCH(mod_st_stu,$B$277,0))*('Koszty operacyjne'!$K$114:$X$114=Moduły!O$73)*ISNUMBER(MATCH(st_stu_kw,tak,0)),st_stu)</f>
        <v>0</v>
      </c>
      <c r="P304" s="358" cm="1">
        <f t="array" ref="P304">SUMPRODUCT(ISNUMBER(MATCH(mod_st_stu,$B$277,0))*('Koszty operacyjne'!$K$114:$X$114=Moduły!P$73)*ISNUMBER(MATCH(st_stu_kw,tak,0)),st_stu)</f>
        <v>0</v>
      </c>
    </row>
    <row r="305" spans="2:16" ht="12" customHeight="1">
      <c r="B305" s="359" t="s">
        <v>96</v>
      </c>
      <c r="C305" s="360" cm="1">
        <f t="array" ref="C305">SUMPRODUCT(ISNUMBER(MATCH(mod_st_stu,$B$277,0))*('Koszty operacyjne'!$K$114:$X$114=Moduły!C$73)*ISNUMBER(MATCH(st_stu_kw,nie,0)),st_stu)</f>
        <v>0</v>
      </c>
      <c r="D305" s="360" cm="1">
        <f t="array" ref="D305">SUMPRODUCT(ISNUMBER(MATCH(mod_st_stu,$B$277,0))*('Koszty operacyjne'!$K$114:$X$114=Moduły!D$73)*ISNUMBER(MATCH(st_stu_kw,nie,0)),st_stu)</f>
        <v>0</v>
      </c>
      <c r="E305" s="360" cm="1">
        <f t="array" ref="E305">SUMPRODUCT(ISNUMBER(MATCH(mod_st_stu,$B$277,0))*('Koszty operacyjne'!$K$114:$X$114=Moduły!E$73)*ISNUMBER(MATCH(st_stu_kw,nie,0)),st_stu)</f>
        <v>0</v>
      </c>
      <c r="F305" s="360" cm="1">
        <f t="array" ref="F305">SUMPRODUCT(ISNUMBER(MATCH(mod_st_stu,$B$277,0))*('Koszty operacyjne'!$K$114:$X$114=Moduły!F$73)*ISNUMBER(MATCH(st_stu_kw,nie,0)),st_stu)</f>
        <v>0</v>
      </c>
      <c r="G305" s="360" cm="1">
        <f t="array" ref="G305">SUMPRODUCT(ISNUMBER(MATCH(mod_st_stu,$B$277,0))*('Koszty operacyjne'!$K$114:$X$114=Moduły!G$73)*ISNUMBER(MATCH(st_stu_kw,nie,0)),st_stu)</f>
        <v>0</v>
      </c>
      <c r="H305" s="360" cm="1">
        <f t="array" ref="H305">SUMPRODUCT(ISNUMBER(MATCH(mod_st_stu,$B$277,0))*('Koszty operacyjne'!$K$114:$X$114=Moduły!H$73)*ISNUMBER(MATCH(st_stu_kw,nie,0)),st_stu)</f>
        <v>0</v>
      </c>
      <c r="I305" s="360" cm="1">
        <f t="array" ref="I305">SUMPRODUCT(ISNUMBER(MATCH(mod_st_stu,$B$277,0))*('Koszty operacyjne'!$K$114:$X$114=Moduły!I$73)*ISNUMBER(MATCH(st_stu_kw,nie,0)),st_stu)</f>
        <v>0</v>
      </c>
      <c r="J305" s="360" cm="1">
        <f t="array" ref="J305">SUMPRODUCT(ISNUMBER(MATCH(mod_st_stu,$B$277,0))*('Koszty operacyjne'!$K$114:$X$114=Moduły!J$73)*ISNUMBER(MATCH(st_stu_kw,nie,0)),st_stu)</f>
        <v>0</v>
      </c>
      <c r="K305" s="361" cm="1">
        <f t="array" ref="K305">SUMPRODUCT(ISNUMBER(MATCH(mod_st_stu,$B$277,0))*('Koszty operacyjne'!$K$114:$X$114=Moduły!K$73)*ISNUMBER(MATCH(st_stu_kw,nie,0)),st_stu)</f>
        <v>0</v>
      </c>
      <c r="L305" s="361" cm="1">
        <f t="array" ref="L305">SUMPRODUCT(ISNUMBER(MATCH(mod_st_stu,$B$277,0))*('Koszty operacyjne'!$K$114:$X$114=Moduły!L$73)*ISNUMBER(MATCH(st_stu_kw,nie,0)),st_stu)</f>
        <v>0</v>
      </c>
      <c r="M305" s="361" cm="1">
        <f t="array" ref="M305">SUMPRODUCT(ISNUMBER(MATCH(mod_st_stu,$B$277,0))*('Koszty operacyjne'!$K$114:$X$114=Moduły!M$73)*ISNUMBER(MATCH(st_stu_kw,nie,0)),st_stu)</f>
        <v>0</v>
      </c>
      <c r="N305" s="361" cm="1">
        <f t="array" ref="N305">SUMPRODUCT(ISNUMBER(MATCH(mod_st_stu,$B$277,0))*('Koszty operacyjne'!$K$114:$X$114=Moduły!N$73)*ISNUMBER(MATCH(st_stu_kw,nie,0)),st_stu)</f>
        <v>0</v>
      </c>
      <c r="O305" s="361" cm="1">
        <f t="array" ref="O305">SUMPRODUCT(ISNUMBER(MATCH(mod_st_stu,$B$277,0))*('Koszty operacyjne'!$K$114:$X$114=Moduły!O$73)*ISNUMBER(MATCH(st_stu_kw,nie,0)),st_stu)</f>
        <v>0</v>
      </c>
      <c r="P305" s="361" cm="1">
        <f t="array" ref="P305">SUMPRODUCT(ISNUMBER(MATCH(mod_st_stu,$B$277,0))*('Koszty operacyjne'!$K$114:$X$114=Moduły!P$73)*ISNUMBER(MATCH(st_stu_kw,nie,0)),st_stu)</f>
        <v>0</v>
      </c>
    </row>
    <row r="306" spans="2:16" ht="3.9" customHeight="1">
      <c r="B306" s="8"/>
      <c r="C306" s="363"/>
      <c r="D306" s="363"/>
      <c r="E306" s="363"/>
      <c r="F306" s="363"/>
      <c r="G306" s="363"/>
      <c r="H306" s="363"/>
      <c r="I306" s="363"/>
      <c r="J306" s="363"/>
      <c r="K306" s="364"/>
      <c r="L306" s="364"/>
      <c r="M306" s="364"/>
      <c r="N306" s="364"/>
      <c r="O306" s="364"/>
      <c r="P306" s="364"/>
    </row>
    <row r="307" spans="2:16" ht="12" customHeight="1">
      <c r="B307" s="355" t="s">
        <v>102</v>
      </c>
      <c r="C307" s="356">
        <f t="shared" ref="C307:P307" si="180">SUM(C308:C309)</f>
        <v>0</v>
      </c>
      <c r="D307" s="356">
        <f t="shared" si="180"/>
        <v>0</v>
      </c>
      <c r="E307" s="356">
        <f t="shared" si="180"/>
        <v>0</v>
      </c>
      <c r="F307" s="356">
        <f t="shared" si="180"/>
        <v>0</v>
      </c>
      <c r="G307" s="356">
        <f t="shared" si="180"/>
        <v>0</v>
      </c>
      <c r="H307" s="356">
        <f t="shared" si="180"/>
        <v>0</v>
      </c>
      <c r="I307" s="356">
        <f t="shared" si="180"/>
        <v>0</v>
      </c>
      <c r="J307" s="356">
        <f t="shared" si="180"/>
        <v>0</v>
      </c>
      <c r="K307" s="356">
        <f t="shared" si="180"/>
        <v>0</v>
      </c>
      <c r="L307" s="356">
        <f t="shared" si="180"/>
        <v>0</v>
      </c>
      <c r="M307" s="356">
        <f t="shared" si="180"/>
        <v>0</v>
      </c>
      <c r="N307" s="356">
        <f t="shared" si="180"/>
        <v>0</v>
      </c>
      <c r="O307" s="356">
        <f t="shared" si="180"/>
        <v>0</v>
      </c>
      <c r="P307" s="356">
        <f t="shared" si="180"/>
        <v>0</v>
      </c>
    </row>
    <row r="308" spans="2:16" ht="12" customHeight="1">
      <c r="B308" s="357" t="s">
        <v>95</v>
      </c>
      <c r="C308" s="358" cm="1">
        <f t="array" ref="C308">SUMPRODUCT(ISNUMBER(MATCH(mod_st_ist,$B$277,0))*('Koszty operacyjne'!$K$114:$X$114=Moduły!C$73)*ISNUMBER(MATCH(st_ist_kw,tak,0)),st_ist)</f>
        <v>0</v>
      </c>
      <c r="D308" s="358" cm="1">
        <f t="array" ref="D308">SUMPRODUCT(ISNUMBER(MATCH(mod_st_ist,$B$277,0))*('Koszty operacyjne'!$K$114:$X$114=Moduły!D$73)*ISNUMBER(MATCH(st_ist_kw,tak,0)),st_ist)</f>
        <v>0</v>
      </c>
      <c r="E308" s="358" cm="1">
        <f t="array" ref="E308">SUMPRODUCT(ISNUMBER(MATCH(mod_st_ist,$B$277,0))*('Koszty operacyjne'!$K$114:$X$114=Moduły!E$73)*ISNUMBER(MATCH(st_ist_kw,tak,0)),st_ist)</f>
        <v>0</v>
      </c>
      <c r="F308" s="358" cm="1">
        <f t="array" ref="F308">SUMPRODUCT(ISNUMBER(MATCH(mod_st_ist,$B$277,0))*('Koszty operacyjne'!$K$114:$X$114=Moduły!F$73)*ISNUMBER(MATCH(st_ist_kw,tak,0)),st_ist)</f>
        <v>0</v>
      </c>
      <c r="G308" s="358" cm="1">
        <f t="array" ref="G308">SUMPRODUCT(ISNUMBER(MATCH(mod_st_ist,$B$277,0))*('Koszty operacyjne'!$K$114:$X$114=Moduły!G$73)*ISNUMBER(MATCH(st_ist_kw,tak,0)),st_ist)</f>
        <v>0</v>
      </c>
      <c r="H308" s="358" cm="1">
        <f t="array" ref="H308">SUMPRODUCT(ISNUMBER(MATCH(mod_st_ist,$B$277,0))*('Koszty operacyjne'!$K$114:$X$114=Moduły!H$73)*ISNUMBER(MATCH(st_ist_kw,tak,0)),st_ist)</f>
        <v>0</v>
      </c>
      <c r="I308" s="358" cm="1">
        <f t="array" ref="I308">SUMPRODUCT(ISNUMBER(MATCH(mod_st_ist,$B$277,0))*('Koszty operacyjne'!$K$114:$X$114=Moduły!I$73)*ISNUMBER(MATCH(st_ist_kw,tak,0)),st_ist)</f>
        <v>0</v>
      </c>
      <c r="J308" s="358" cm="1">
        <f t="array" ref="J308">SUMPRODUCT(ISNUMBER(MATCH(mod_st_ist,$B$277,0))*('Koszty operacyjne'!$K$114:$X$114=Moduły!J$73)*ISNUMBER(MATCH(st_ist_kw,tak,0)),st_ist)</f>
        <v>0</v>
      </c>
      <c r="K308" s="358" cm="1">
        <f t="array" ref="K308">SUMPRODUCT(ISNUMBER(MATCH(mod_st_ist,$B$277,0))*('Koszty operacyjne'!$K$114:$X$114=Moduły!K$73)*ISNUMBER(MATCH(st_ist_kw,tak,0)),st_ist)</f>
        <v>0</v>
      </c>
      <c r="L308" s="358" cm="1">
        <f t="array" ref="L308">SUMPRODUCT(ISNUMBER(MATCH(mod_st_ist,$B$277,0))*('Koszty operacyjne'!$K$114:$X$114=Moduły!L$73)*ISNUMBER(MATCH(st_ist_kw,tak,0)),st_ist)</f>
        <v>0</v>
      </c>
      <c r="M308" s="358" cm="1">
        <f t="array" ref="M308">SUMPRODUCT(ISNUMBER(MATCH(mod_st_ist,$B$277,0))*('Koszty operacyjne'!$K$114:$X$114=Moduły!M$73)*ISNUMBER(MATCH(st_ist_kw,tak,0)),st_ist)</f>
        <v>0</v>
      </c>
      <c r="N308" s="358" cm="1">
        <f t="array" ref="N308">SUMPRODUCT(ISNUMBER(MATCH(mod_st_ist,$B$277,0))*('Koszty operacyjne'!$K$114:$X$114=Moduły!N$73)*ISNUMBER(MATCH(st_ist_kw,tak,0)),st_ist)</f>
        <v>0</v>
      </c>
      <c r="O308" s="358" cm="1">
        <f t="array" ref="O308">SUMPRODUCT(ISNUMBER(MATCH(mod_st_ist,$B$277,0))*('Koszty operacyjne'!$K$114:$X$114=Moduły!O$73)*ISNUMBER(MATCH(st_ist_kw,tak,0)),st_ist)</f>
        <v>0</v>
      </c>
      <c r="P308" s="358" cm="1">
        <f t="array" ref="P308">SUMPRODUCT(ISNUMBER(MATCH(mod_st_ist,$B$277,0))*('Koszty operacyjne'!$K$114:$X$114=Moduły!P$73)*ISNUMBER(MATCH(st_ist_kw,tak,0)),st_ist)</f>
        <v>0</v>
      </c>
    </row>
    <row r="309" spans="2:16" ht="12" customHeight="1">
      <c r="B309" s="359" t="s">
        <v>96</v>
      </c>
      <c r="C309" s="360" cm="1">
        <f t="array" ref="C309">SUMPRODUCT(ISNUMBER(MATCH(mod_st_ist,$B$277,0))*('Koszty operacyjne'!$K$114:$X$114=Moduły!C$73)*ISNUMBER(MATCH(st_ist_kw,nie,0)),st_ist)</f>
        <v>0</v>
      </c>
      <c r="D309" s="360" cm="1">
        <f t="array" ref="D309">SUMPRODUCT(ISNUMBER(MATCH(mod_st_ist,$B$277,0))*('Koszty operacyjne'!$K$114:$X$114=Moduły!D$73)*ISNUMBER(MATCH(st_ist_kw,nie,0)),st_ist)</f>
        <v>0</v>
      </c>
      <c r="E309" s="360" cm="1">
        <f t="array" ref="E309">SUMPRODUCT(ISNUMBER(MATCH(mod_st_ist,$B$277,0))*('Koszty operacyjne'!$K$114:$X$114=Moduły!E$73)*ISNUMBER(MATCH(st_ist_kw,nie,0)),st_ist)</f>
        <v>0</v>
      </c>
      <c r="F309" s="360" cm="1">
        <f t="array" ref="F309">SUMPRODUCT(ISNUMBER(MATCH(mod_st_ist,$B$277,0))*('Koszty operacyjne'!$K$114:$X$114=Moduły!F$73)*ISNUMBER(MATCH(st_ist_kw,nie,0)),st_ist)</f>
        <v>0</v>
      </c>
      <c r="G309" s="360" cm="1">
        <f t="array" ref="G309">SUMPRODUCT(ISNUMBER(MATCH(mod_st_ist,$B$277,0))*('Koszty operacyjne'!$K$114:$X$114=Moduły!G$73)*ISNUMBER(MATCH(st_ist_kw,nie,0)),st_ist)</f>
        <v>0</v>
      </c>
      <c r="H309" s="360" cm="1">
        <f t="array" ref="H309">SUMPRODUCT(ISNUMBER(MATCH(mod_st_ist,$B$277,0))*('Koszty operacyjne'!$K$114:$X$114=Moduły!H$73)*ISNUMBER(MATCH(st_ist_kw,nie,0)),st_ist)</f>
        <v>0</v>
      </c>
      <c r="I309" s="360" cm="1">
        <f t="array" ref="I309">SUMPRODUCT(ISNUMBER(MATCH(mod_st_ist,$B$277,0))*('Koszty operacyjne'!$K$114:$X$114=Moduły!I$73)*ISNUMBER(MATCH(st_ist_kw,nie,0)),st_ist)</f>
        <v>0</v>
      </c>
      <c r="J309" s="360" cm="1">
        <f t="array" ref="J309">SUMPRODUCT(ISNUMBER(MATCH(mod_st_ist,$B$277,0))*('Koszty operacyjne'!$K$114:$X$114=Moduły!J$73)*ISNUMBER(MATCH(st_ist_kw,nie,0)),st_ist)</f>
        <v>0</v>
      </c>
      <c r="K309" s="361" cm="1">
        <f t="array" ref="K309">SUMPRODUCT(ISNUMBER(MATCH(mod_st_ist,$B$277,0))*('Koszty operacyjne'!$K$114:$X$114=Moduły!K$73)*ISNUMBER(MATCH(st_ist_kw,nie,0)),st_ist)</f>
        <v>0</v>
      </c>
      <c r="L309" s="361" cm="1">
        <f t="array" ref="L309">SUMPRODUCT(ISNUMBER(MATCH(mod_st_ist,$B$277,0))*('Koszty operacyjne'!$K$114:$X$114=Moduły!L$73)*ISNUMBER(MATCH(st_ist_kw,nie,0)),st_ist)</f>
        <v>0</v>
      </c>
      <c r="M309" s="361" cm="1">
        <f t="array" ref="M309">SUMPRODUCT(ISNUMBER(MATCH(mod_st_ist,$B$277,0))*('Koszty operacyjne'!$K$114:$X$114=Moduły!M$73)*ISNUMBER(MATCH(st_ist_kw,nie,0)),st_ist)</f>
        <v>0</v>
      </c>
      <c r="N309" s="361" cm="1">
        <f t="array" ref="N309">SUMPRODUCT(ISNUMBER(MATCH(mod_st_ist,$B$277,0))*('Koszty operacyjne'!$K$114:$X$114=Moduły!N$73)*ISNUMBER(MATCH(st_ist_kw,nie,0)),st_ist)</f>
        <v>0</v>
      </c>
      <c r="O309" s="361" cm="1">
        <f t="array" ref="O309">SUMPRODUCT(ISNUMBER(MATCH(mod_st_ist,$B$277,0))*('Koszty operacyjne'!$K$114:$X$114=Moduły!O$73)*ISNUMBER(MATCH(st_ist_kw,nie,0)),st_ist)</f>
        <v>0</v>
      </c>
      <c r="P309" s="361" cm="1">
        <f t="array" ref="P309">SUMPRODUCT(ISNUMBER(MATCH(mod_st_ist,$B$277,0))*('Koszty operacyjne'!$K$114:$X$114=Moduły!P$73)*ISNUMBER(MATCH(st_ist_kw,nie,0)),st_ist)</f>
        <v>0</v>
      </c>
    </row>
    <row r="310" spans="2:16" ht="12" customHeight="1"/>
    <row r="311" spans="2:16">
      <c r="B311" s="99" t="s">
        <v>104</v>
      </c>
      <c r="C311" s="98" cm="1">
        <f t="array" ref="C311">SUMPRODUCT(ISNUMBER(MATCH(mod_pp_ppu,$B$277,0))*('Koszty operacyjne'!$K$114:$X$114=Moduły!C$73),pp_ppu)+SUMPRODUCT(ISNUMBER(MATCH(mod_pp_ptim,$B$277,0))*('Koszty operacyjne'!$K$114:$X$114=Moduły!C$73),pp_ptim)</f>
        <v>0</v>
      </c>
      <c r="D311" s="98" cm="1">
        <f t="array" ref="D311">SUMPRODUCT(ISNUMBER(MATCH(mod_pp_ppu,$B$277,0))*('Koszty operacyjne'!$K$114:$X$114=Moduły!D$73),pp_ppu)+SUMPRODUCT(ISNUMBER(MATCH(mod_pp_ptim,$B$277,0))*('Koszty operacyjne'!$K$114:$X$114=Moduły!D$73),pp_ptim)</f>
        <v>0</v>
      </c>
      <c r="E311" s="98" cm="1">
        <f t="array" ref="E311">SUMPRODUCT(ISNUMBER(MATCH(mod_pp_ppu,$B$277,0))*('Koszty operacyjne'!$K$114:$X$114=Moduły!E$73),pp_ppu)+SUMPRODUCT(ISNUMBER(MATCH(mod_pp_ptim,$B$277,0))*('Koszty operacyjne'!$K$114:$X$114=Moduły!E$73),pp_ptim)</f>
        <v>0</v>
      </c>
      <c r="F311" s="98" cm="1">
        <f t="array" ref="F311">SUMPRODUCT(ISNUMBER(MATCH(mod_pp_ppu,$B$277,0))*('Koszty operacyjne'!$K$114:$X$114=Moduły!F$73),pp_ppu)+SUMPRODUCT(ISNUMBER(MATCH(mod_pp_ptim,$B$277,0))*('Koszty operacyjne'!$K$114:$X$114=Moduły!F$73),pp_ptim)</f>
        <v>0</v>
      </c>
      <c r="G311" s="98" cm="1">
        <f t="array" ref="G311">SUMPRODUCT(ISNUMBER(MATCH(mod_pp_ppu,$B$277,0))*('Koszty operacyjne'!$K$114:$X$114=Moduły!G$73),pp_ppu)+SUMPRODUCT(ISNUMBER(MATCH(mod_pp_ptim,$B$277,0))*('Koszty operacyjne'!$K$114:$X$114=Moduły!G$73),pp_ptim)</f>
        <v>0</v>
      </c>
      <c r="H311" s="98" cm="1">
        <f t="array" ref="H311">SUMPRODUCT(ISNUMBER(MATCH(mod_pp_ppu,$B$277,0))*('Koszty operacyjne'!$K$114:$X$114=Moduły!H$73),pp_ppu)+SUMPRODUCT(ISNUMBER(MATCH(mod_pp_ptim,$B$277,0))*('Koszty operacyjne'!$K$114:$X$114=Moduły!H$73),pp_ptim)</f>
        <v>0</v>
      </c>
      <c r="I311" s="98" cm="1">
        <f t="array" ref="I311">SUMPRODUCT(ISNUMBER(MATCH(mod_pp_ppu,$B$277,0))*('Koszty operacyjne'!$K$114:$X$114=Moduły!I$73),pp_ppu)+SUMPRODUCT(ISNUMBER(MATCH(mod_pp_ptim,$B$277,0))*('Koszty operacyjne'!$K$114:$X$114=Moduły!I$73),pp_ptim)</f>
        <v>0</v>
      </c>
      <c r="J311" s="98" cm="1">
        <f t="array" ref="J311">SUMPRODUCT(ISNUMBER(MATCH(mod_pp_ppu,$B$277,0))*('Koszty operacyjne'!$K$114:$X$114=Moduły!J$73),pp_ppu)+SUMPRODUCT(ISNUMBER(MATCH(mod_pp_ptim,$B$277,0))*('Koszty operacyjne'!$K$114:$X$114=Moduły!J$73),pp_ptim)</f>
        <v>0</v>
      </c>
      <c r="K311" s="98" cm="1">
        <f t="array" ref="K311">SUMPRODUCT(ISNUMBER(MATCH(mod_pp_ppu,$B$277,0))*('Koszty operacyjne'!$K$114:$X$114=Moduły!K$73),pp_ppu)+SUMPRODUCT(ISNUMBER(MATCH(mod_pp_ptim,$B$277,0))*('Koszty operacyjne'!$K$114:$X$114=Moduły!K$73),pp_ptim)</f>
        <v>0</v>
      </c>
      <c r="L311" s="98" cm="1">
        <f t="array" ref="L311">SUMPRODUCT(ISNUMBER(MATCH(mod_pp_ppu,$B$277,0))*('Koszty operacyjne'!$K$114:$X$114=Moduły!L$73),pp_ppu)+SUMPRODUCT(ISNUMBER(MATCH(mod_pp_ptim,$B$277,0))*('Koszty operacyjne'!$K$114:$X$114=Moduły!L$73),pp_ptim)</f>
        <v>0</v>
      </c>
      <c r="M311" s="98" cm="1">
        <f t="array" ref="M311">SUMPRODUCT(ISNUMBER(MATCH(mod_pp_ppu,$B$277,0))*('Koszty operacyjne'!$K$114:$X$114=Moduły!M$73),pp_ppu)+SUMPRODUCT(ISNUMBER(MATCH(mod_pp_ptim,$B$277,0))*('Koszty operacyjne'!$K$114:$X$114=Moduły!M$73),pp_ptim)</f>
        <v>0</v>
      </c>
      <c r="N311" s="98" cm="1">
        <f t="array" ref="N311">SUMPRODUCT(ISNUMBER(MATCH(mod_pp_ppu,$B$277,0))*('Koszty operacyjne'!$K$114:$X$114=Moduły!N$73),pp_ppu)+SUMPRODUCT(ISNUMBER(MATCH(mod_pp_ptim,$B$277,0))*('Koszty operacyjne'!$K$114:$X$114=Moduły!N$73),pp_ptim)</f>
        <v>0</v>
      </c>
      <c r="O311" s="98" cm="1">
        <f t="array" ref="O311">SUMPRODUCT(ISNUMBER(MATCH(mod_pp_ppu,$B$277,0))*('Koszty operacyjne'!$K$114:$X$114=Moduły!O$73),pp_ppu)+SUMPRODUCT(ISNUMBER(MATCH(mod_pp_ptim,$B$277,0))*('Koszty operacyjne'!$K$114:$X$114=Moduły!O$73),pp_ptim)</f>
        <v>0</v>
      </c>
      <c r="P311" s="98" cm="1">
        <f t="array" ref="P311">SUMPRODUCT(ISNUMBER(MATCH(mod_pp_ppu,$B$277,0))*('Koszty operacyjne'!$K$114:$X$114=Moduły!P$73),pp_ppu)+SUMPRODUCT(ISNUMBER(MATCH(mod_pp_ptim,$B$277,0))*('Koszty operacyjne'!$K$114:$X$114=Moduły!P$73),pp_ptim)</f>
        <v>0</v>
      </c>
    </row>
    <row r="312" spans="2:16" ht="3.9" customHeight="1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</row>
    <row r="313" spans="2:16">
      <c r="B313" s="99" t="s">
        <v>105</v>
      </c>
      <c r="C313" s="98">
        <f t="shared" ref="C313:L313" ca="1" si="181">SUM(C314:C321)</f>
        <v>0</v>
      </c>
      <c r="D313" s="98">
        <f t="shared" ca="1" si="181"/>
        <v>0</v>
      </c>
      <c r="E313" s="98">
        <f t="shared" ca="1" si="181"/>
        <v>0</v>
      </c>
      <c r="F313" s="98">
        <f t="shared" ca="1" si="181"/>
        <v>0</v>
      </c>
      <c r="G313" s="98">
        <f t="shared" ca="1" si="181"/>
        <v>0</v>
      </c>
      <c r="H313" s="98">
        <f t="shared" ca="1" si="181"/>
        <v>0</v>
      </c>
      <c r="I313" s="98">
        <f t="shared" ca="1" si="181"/>
        <v>0</v>
      </c>
      <c r="J313" s="98">
        <f t="shared" ca="1" si="181"/>
        <v>0</v>
      </c>
      <c r="K313" s="98">
        <f t="shared" ca="1" si="181"/>
        <v>0</v>
      </c>
      <c r="L313" s="98">
        <f t="shared" ca="1" si="181"/>
        <v>0</v>
      </c>
      <c r="M313" s="98">
        <f ca="1">SUM(M314:M321)</f>
        <v>0</v>
      </c>
      <c r="N313" s="98">
        <f ca="1">SUM(N314:N321)</f>
        <v>0</v>
      </c>
      <c r="O313" s="98">
        <f ca="1">SUM(O314:O321)</f>
        <v>0</v>
      </c>
      <c r="P313" s="98">
        <f ca="1">SUM(P314:P321)</f>
        <v>0</v>
      </c>
    </row>
    <row r="314" spans="2:16">
      <c r="B314" s="104" t="s">
        <v>106</v>
      </c>
      <c r="C314" s="103" cm="1">
        <f t="array" aca="1" ref="C314" ca="1">SUMPRODUCT(ISNUMBER(MATCH(mod_st_am,$B$277,0))*('Koszty operacyjne'!$K$114:$X$114=Moduły!C$73),st_am)</f>
        <v>0</v>
      </c>
      <c r="D314" s="103" cm="1">
        <f t="array" aca="1" ref="D314" ca="1">SUMPRODUCT(ISNUMBER(MATCH(mod_st_am,$B$277,0))*('Koszty operacyjne'!$K$114:$X$114=Moduły!D$73),st_am)</f>
        <v>0</v>
      </c>
      <c r="E314" s="103" cm="1">
        <f t="array" aca="1" ref="E314" ca="1">SUMPRODUCT(ISNUMBER(MATCH(mod_st_am,$B$277,0))*('Koszty operacyjne'!$K$114:$X$114=Moduły!E$73),st_am)</f>
        <v>0</v>
      </c>
      <c r="F314" s="103" cm="1">
        <f t="array" aca="1" ref="F314" ca="1">SUMPRODUCT(ISNUMBER(MATCH(mod_st_am,$B$277,0))*('Koszty operacyjne'!$K$114:$X$114=Moduły!F$73),st_am)</f>
        <v>0</v>
      </c>
      <c r="G314" s="103" cm="1">
        <f t="array" aca="1" ref="G314" ca="1">SUMPRODUCT(ISNUMBER(MATCH(mod_st_am,$B$277,0))*('Koszty operacyjne'!$K$114:$X$114=Moduły!G$73),st_am)</f>
        <v>0</v>
      </c>
      <c r="H314" s="103" cm="1">
        <f t="array" aca="1" ref="H314" ca="1">SUMPRODUCT(ISNUMBER(MATCH(mod_st_am,$B$277,0))*('Koszty operacyjne'!$K$114:$X$114=Moduły!H$73),st_am)</f>
        <v>0</v>
      </c>
      <c r="I314" s="103" cm="1">
        <f t="array" aca="1" ref="I314" ca="1">SUMPRODUCT(ISNUMBER(MATCH(mod_st_am,$B$277,0))*('Koszty operacyjne'!$K$114:$X$114=Moduły!I$73),st_am)</f>
        <v>0</v>
      </c>
      <c r="J314" s="103" cm="1">
        <f t="array" aca="1" ref="J314" ca="1">SUMPRODUCT(ISNUMBER(MATCH(mod_st_am,$B$277,0))*('Koszty operacyjne'!$K$114:$X$114=Moduły!J$73),st_am)</f>
        <v>0</v>
      </c>
      <c r="K314" s="103" cm="1">
        <f t="array" aca="1" ref="K314" ca="1">SUMPRODUCT(ISNUMBER(MATCH(mod_st_am,$B$277,0))*('Koszty operacyjne'!$K$114:$X$114=Moduły!K$73),st_am)</f>
        <v>0</v>
      </c>
      <c r="L314" s="103" cm="1">
        <f t="array" aca="1" ref="L314" ca="1">SUMPRODUCT(ISNUMBER(MATCH(mod_st_am,$B$277,0))*('Koszty operacyjne'!$K$114:$X$114=Moduły!L$73),st_am)</f>
        <v>0</v>
      </c>
      <c r="M314" s="103" cm="1">
        <f t="array" aca="1" ref="M314" ca="1">SUMPRODUCT(ISNUMBER(MATCH(mod_st_am,$B$277,0))*('Koszty operacyjne'!$K$114:$X$114=Moduły!M$73),st_am)</f>
        <v>0</v>
      </c>
      <c r="N314" s="103" cm="1">
        <f t="array" aca="1" ref="N314" ca="1">SUMPRODUCT(ISNUMBER(MATCH(mod_st_am,$B$277,0))*('Koszty operacyjne'!$K$114:$X$114=Moduły!N$73),st_am)</f>
        <v>0</v>
      </c>
      <c r="O314" s="103" cm="1">
        <f t="array" aca="1" ref="O314" ca="1">SUMPRODUCT(ISNUMBER(MATCH(mod_st_am,$B$277,0))*('Koszty operacyjne'!$K$114:$X$114=Moduły!O$73),st_am)</f>
        <v>0</v>
      </c>
      <c r="P314" s="103" cm="1">
        <f t="array" aca="1" ref="P314" ca="1">SUMPRODUCT(ISNUMBER(MATCH(mod_st_am,$B$277,0))*('Koszty operacyjne'!$K$114:$X$114=Moduły!P$73),st_am)</f>
        <v>0</v>
      </c>
    </row>
    <row r="315" spans="2:16">
      <c r="B315" s="37" t="s">
        <v>107</v>
      </c>
      <c r="C315" s="33" cm="1">
        <f t="array" ref="C315">SUMPRODUCT(ISNUMBER(MATCH(mod_ko_zme,$B$277,0))*('Koszty operacyjne'!$K$114:$X$114=Moduły!C$73),ko_zme)</f>
        <v>0</v>
      </c>
      <c r="D315" s="33" cm="1">
        <f t="array" ref="D315">SUMPRODUCT(ISNUMBER(MATCH(mod_ko_zme,$B$277,0))*('Koszty operacyjne'!$K$114:$X$114=Moduły!D$73),ko_zme)</f>
        <v>0</v>
      </c>
      <c r="E315" s="33" cm="1">
        <f t="array" ref="E315">SUMPRODUCT(ISNUMBER(MATCH(mod_ko_zme,$B$277,0))*('Koszty operacyjne'!$K$114:$X$114=Moduły!E$73),ko_zme)</f>
        <v>0</v>
      </c>
      <c r="F315" s="33" cm="1">
        <f t="array" ref="F315">SUMPRODUCT(ISNUMBER(MATCH(mod_ko_zme,$B$277,0))*('Koszty operacyjne'!$K$114:$X$114=Moduły!F$73),ko_zme)</f>
        <v>0</v>
      </c>
      <c r="G315" s="33" cm="1">
        <f t="array" ref="G315">SUMPRODUCT(ISNUMBER(MATCH(mod_ko_zme,$B$277,0))*('Koszty operacyjne'!$K$114:$X$114=Moduły!G$73),ko_zme)</f>
        <v>0</v>
      </c>
      <c r="H315" s="33" cm="1">
        <f t="array" ref="H315">SUMPRODUCT(ISNUMBER(MATCH(mod_ko_zme,$B$277,0))*('Koszty operacyjne'!$K$114:$X$114=Moduły!H$73),ko_zme)</f>
        <v>0</v>
      </c>
      <c r="I315" s="33" cm="1">
        <f t="array" ref="I315">SUMPRODUCT(ISNUMBER(MATCH(mod_ko_zme,$B$277,0))*('Koszty operacyjne'!$K$114:$X$114=Moduły!I$73),ko_zme)</f>
        <v>0</v>
      </c>
      <c r="J315" s="33" cm="1">
        <f t="array" ref="J315">SUMPRODUCT(ISNUMBER(MATCH(mod_ko_zme,$B$277,0))*('Koszty operacyjne'!$K$114:$X$114=Moduły!J$73),ko_zme)</f>
        <v>0</v>
      </c>
      <c r="K315" s="33" cm="1">
        <f t="array" ref="K315">SUMPRODUCT(ISNUMBER(MATCH(mod_ko_zme,$B$277,0))*('Koszty operacyjne'!$K$114:$X$114=Moduły!K$73),ko_zme)</f>
        <v>0</v>
      </c>
      <c r="L315" s="33" cm="1">
        <f t="array" ref="L315">SUMPRODUCT(ISNUMBER(MATCH(mod_ko_zme,$B$277,0))*('Koszty operacyjne'!$K$114:$X$114=Moduły!L$73),ko_zme)</f>
        <v>0</v>
      </c>
      <c r="M315" s="33" cm="1">
        <f t="array" ref="M315">SUMPRODUCT(ISNUMBER(MATCH(mod_ko_zme,$B$277,0))*('Koszty operacyjne'!$K$114:$X$114=Moduły!M$73),ko_zme)</f>
        <v>0</v>
      </c>
      <c r="N315" s="33" cm="1">
        <f t="array" ref="N315">SUMPRODUCT(ISNUMBER(MATCH(mod_ko_zme,$B$277,0))*('Koszty operacyjne'!$K$114:$X$114=Moduły!N$73),ko_zme)</f>
        <v>0</v>
      </c>
      <c r="O315" s="33" cm="1">
        <f t="array" ref="O315">SUMPRODUCT(ISNUMBER(MATCH(mod_ko_zme,$B$277,0))*('Koszty operacyjne'!$K$114:$X$114=Moduły!O$73),ko_zme)</f>
        <v>0</v>
      </c>
      <c r="P315" s="33" cm="1">
        <f t="array" ref="P315">SUMPRODUCT(ISNUMBER(MATCH(mod_ko_zme,$B$277,0))*('Koszty operacyjne'!$K$114:$X$114=Moduły!P$73),ko_zme)</f>
        <v>0</v>
      </c>
    </row>
    <row r="316" spans="2:16">
      <c r="B316" s="37" t="s">
        <v>108</v>
      </c>
      <c r="C316" s="33" cm="1">
        <f t="array" ref="C316">SUMPRODUCT(ISNUMBER(MATCH(mod_ko_uoe,$B$277,0))*('Koszty operacyjne'!$K$114:$X$114=Moduły!C$73),ko_uoe)</f>
        <v>0</v>
      </c>
      <c r="D316" s="33" cm="1">
        <f t="array" ref="D316">SUMPRODUCT(ISNUMBER(MATCH(mod_ko_uoe,$B$277,0))*('Koszty operacyjne'!$K$114:$X$114=Moduły!D$73),ko_uoe)</f>
        <v>0</v>
      </c>
      <c r="E316" s="33" cm="1">
        <f t="array" ref="E316">SUMPRODUCT(ISNUMBER(MATCH(mod_ko_uoe,$B$277,0))*('Koszty operacyjne'!$K$114:$X$114=Moduły!E$73),ko_uoe)</f>
        <v>0</v>
      </c>
      <c r="F316" s="33" cm="1">
        <f t="array" ref="F316">SUMPRODUCT(ISNUMBER(MATCH(mod_ko_uoe,$B$277,0))*('Koszty operacyjne'!$K$114:$X$114=Moduły!F$73),ko_uoe)</f>
        <v>0</v>
      </c>
      <c r="G316" s="33" cm="1">
        <f t="array" ref="G316">SUMPRODUCT(ISNUMBER(MATCH(mod_ko_uoe,$B$277,0))*('Koszty operacyjne'!$K$114:$X$114=Moduły!G$73),ko_uoe)</f>
        <v>0</v>
      </c>
      <c r="H316" s="33" cm="1">
        <f t="array" ref="H316">SUMPRODUCT(ISNUMBER(MATCH(mod_ko_uoe,$B$277,0))*('Koszty operacyjne'!$K$114:$X$114=Moduły!H$73),ko_uoe)</f>
        <v>0</v>
      </c>
      <c r="I316" s="33" cm="1">
        <f t="array" ref="I316">SUMPRODUCT(ISNUMBER(MATCH(mod_ko_uoe,$B$277,0))*('Koszty operacyjne'!$K$114:$X$114=Moduły!I$73),ko_uoe)</f>
        <v>0</v>
      </c>
      <c r="J316" s="33" cm="1">
        <f t="array" ref="J316">SUMPRODUCT(ISNUMBER(MATCH(mod_ko_uoe,$B$277,0))*('Koszty operacyjne'!$K$114:$X$114=Moduły!J$73),ko_uoe)</f>
        <v>0</v>
      </c>
      <c r="K316" s="33" cm="1">
        <f t="array" ref="K316">SUMPRODUCT(ISNUMBER(MATCH(mod_ko_uoe,$B$277,0))*('Koszty operacyjne'!$K$114:$X$114=Moduły!K$73),ko_uoe)</f>
        <v>0</v>
      </c>
      <c r="L316" s="33" cm="1">
        <f t="array" ref="L316">SUMPRODUCT(ISNUMBER(MATCH(mod_ko_uoe,$B$277,0))*('Koszty operacyjne'!$K$114:$X$114=Moduły!L$73),ko_uoe)</f>
        <v>0</v>
      </c>
      <c r="M316" s="33" cm="1">
        <f t="array" ref="M316">SUMPRODUCT(ISNUMBER(MATCH(mod_ko_uoe,$B$277,0))*('Koszty operacyjne'!$K$114:$X$114=Moduły!M$73),ko_uoe)</f>
        <v>0</v>
      </c>
      <c r="N316" s="33" cm="1">
        <f t="array" ref="N316">SUMPRODUCT(ISNUMBER(MATCH(mod_ko_uoe,$B$277,0))*('Koszty operacyjne'!$K$114:$X$114=Moduły!N$73),ko_uoe)</f>
        <v>0</v>
      </c>
      <c r="O316" s="33" cm="1">
        <f t="array" ref="O316">SUMPRODUCT(ISNUMBER(MATCH(mod_ko_uoe,$B$277,0))*('Koszty operacyjne'!$K$114:$X$114=Moduły!O$73),ko_uoe)</f>
        <v>0</v>
      </c>
      <c r="P316" s="33" cm="1">
        <f t="array" ref="P316">SUMPRODUCT(ISNUMBER(MATCH(mod_ko_uoe,$B$277,0))*('Koszty operacyjne'!$K$114:$X$114=Moduły!P$73),ko_uoe)</f>
        <v>0</v>
      </c>
    </row>
    <row r="317" spans="2:16">
      <c r="B317" s="37" t="s">
        <v>778</v>
      </c>
      <c r="C317" s="33" cm="1">
        <f t="array" ref="C317">SUMPRODUCT(ISNUMBER(MATCH(mod_ko_pio,$B$277,0))*('Koszty operacyjne'!$K$114:$X$114=Moduły!C$73),ko_pio)</f>
        <v>0</v>
      </c>
      <c r="D317" s="33" cm="1">
        <f t="array" ref="D317">SUMPRODUCT(ISNUMBER(MATCH(mod_ko_pio,$B$277,0))*('Koszty operacyjne'!$K$114:$X$114=Moduły!D$73),ko_pio)</f>
        <v>0</v>
      </c>
      <c r="E317" s="33" cm="1">
        <f t="array" ref="E317">SUMPRODUCT(ISNUMBER(MATCH(mod_ko_pio,$B$277,0))*('Koszty operacyjne'!$K$114:$X$114=Moduły!E$73),ko_pio)</f>
        <v>0</v>
      </c>
      <c r="F317" s="33" cm="1">
        <f t="array" ref="F317">SUMPRODUCT(ISNUMBER(MATCH(mod_ko_pio,$B$277,0))*('Koszty operacyjne'!$K$114:$X$114=Moduły!F$73),ko_pio)</f>
        <v>0</v>
      </c>
      <c r="G317" s="33" cm="1">
        <f t="array" ref="G317">SUMPRODUCT(ISNUMBER(MATCH(mod_ko_pio,$B$277,0))*('Koszty operacyjne'!$K$114:$X$114=Moduły!G$73),ko_pio)</f>
        <v>0</v>
      </c>
      <c r="H317" s="33" cm="1">
        <f t="array" ref="H317">SUMPRODUCT(ISNUMBER(MATCH(mod_ko_pio,$B$277,0))*('Koszty operacyjne'!$K$114:$X$114=Moduły!H$73),ko_pio)</f>
        <v>0</v>
      </c>
      <c r="I317" s="33" cm="1">
        <f t="array" ref="I317">SUMPRODUCT(ISNUMBER(MATCH(mod_ko_pio,$B$277,0))*('Koszty operacyjne'!$K$114:$X$114=Moduły!I$73),ko_pio)</f>
        <v>0</v>
      </c>
      <c r="J317" s="33" cm="1">
        <f t="array" ref="J317">SUMPRODUCT(ISNUMBER(MATCH(mod_ko_pio,$B$277,0))*('Koszty operacyjne'!$K$114:$X$114=Moduły!J$73),ko_pio)</f>
        <v>0</v>
      </c>
      <c r="K317" s="33" cm="1">
        <f t="array" ref="K317">SUMPRODUCT(ISNUMBER(MATCH(mod_ko_pio,$B$277,0))*('Koszty operacyjne'!$K$114:$X$114=Moduły!K$73),ko_pio)</f>
        <v>0</v>
      </c>
      <c r="L317" s="33" cm="1">
        <f t="array" ref="L317">SUMPRODUCT(ISNUMBER(MATCH(mod_ko_pio,$B$277,0))*('Koszty operacyjne'!$K$114:$X$114=Moduły!L$73),ko_pio)</f>
        <v>0</v>
      </c>
      <c r="M317" s="33" cm="1">
        <f t="array" ref="M317">SUMPRODUCT(ISNUMBER(MATCH(mod_ko_pio,$B$277,0))*('Koszty operacyjne'!$K$114:$X$114=Moduły!M$73),ko_pio)</f>
        <v>0</v>
      </c>
      <c r="N317" s="33" cm="1">
        <f t="array" ref="N317">SUMPRODUCT(ISNUMBER(MATCH(mod_ko_pio,$B$277,0))*('Koszty operacyjne'!$K$114:$X$114=Moduły!N$73),ko_pio)</f>
        <v>0</v>
      </c>
      <c r="O317" s="33" cm="1">
        <f t="array" ref="O317">SUMPRODUCT(ISNUMBER(MATCH(mod_ko_pio,$B$277,0))*('Koszty operacyjne'!$K$114:$X$114=Moduły!O$73),ko_pio)</f>
        <v>0</v>
      </c>
      <c r="P317" s="33" cm="1">
        <f t="array" ref="P317">SUMPRODUCT(ISNUMBER(MATCH(mod_ko_pio,$B$277,0))*('Koszty operacyjne'!$K$114:$X$114=Moduły!P$73),ko_pio)</f>
        <v>0</v>
      </c>
    </row>
    <row r="318" spans="2:16">
      <c r="B318" s="37" t="s">
        <v>109</v>
      </c>
      <c r="C318" s="33" cm="1">
        <f t="array" ref="C318">SUMPRODUCT(ISNUMBER(MATCH(mod_ko_wyn,$B$277,0))*('Koszty operacyjne'!$K$114:$X$114=Moduły!C$73),ko_wyn)</f>
        <v>0</v>
      </c>
      <c r="D318" s="33" cm="1">
        <f t="array" ref="D318">SUMPRODUCT(ISNUMBER(MATCH(mod_ko_wyn,$B$277,0))*('Koszty operacyjne'!$K$114:$X$114=Moduły!D$73),ko_wyn)</f>
        <v>0</v>
      </c>
      <c r="E318" s="33" cm="1">
        <f t="array" ref="E318">SUMPRODUCT(ISNUMBER(MATCH(mod_ko_wyn,$B$277,0))*('Koszty operacyjne'!$K$114:$X$114=Moduły!E$73),ko_wyn)</f>
        <v>0</v>
      </c>
      <c r="F318" s="33" cm="1">
        <f t="array" ref="F318">SUMPRODUCT(ISNUMBER(MATCH(mod_ko_wyn,$B$277,0))*('Koszty operacyjne'!$K$114:$X$114=Moduły!F$73),ko_wyn)</f>
        <v>0</v>
      </c>
      <c r="G318" s="33" cm="1">
        <f t="array" ref="G318">SUMPRODUCT(ISNUMBER(MATCH(mod_ko_wyn,$B$277,0))*('Koszty operacyjne'!$K$114:$X$114=Moduły!G$73),ko_wyn)</f>
        <v>0</v>
      </c>
      <c r="H318" s="33" cm="1">
        <f t="array" ref="H318">SUMPRODUCT(ISNUMBER(MATCH(mod_ko_wyn,$B$277,0))*('Koszty operacyjne'!$K$114:$X$114=Moduły!H$73),ko_wyn)</f>
        <v>0</v>
      </c>
      <c r="I318" s="33" cm="1">
        <f t="array" ref="I318">SUMPRODUCT(ISNUMBER(MATCH(mod_ko_wyn,$B$277,0))*('Koszty operacyjne'!$K$114:$X$114=Moduły!I$73),ko_wyn)</f>
        <v>0</v>
      </c>
      <c r="J318" s="33" cm="1">
        <f t="array" ref="J318">SUMPRODUCT(ISNUMBER(MATCH(mod_ko_wyn,$B$277,0))*('Koszty operacyjne'!$K$114:$X$114=Moduły!J$73),ko_wyn)</f>
        <v>0</v>
      </c>
      <c r="K318" s="33" cm="1">
        <f t="array" ref="K318">SUMPRODUCT(ISNUMBER(MATCH(mod_ko_wyn,$B$277,0))*('Koszty operacyjne'!$K$114:$X$114=Moduły!K$73),ko_wyn)</f>
        <v>0</v>
      </c>
      <c r="L318" s="33" cm="1">
        <f t="array" ref="L318">SUMPRODUCT(ISNUMBER(MATCH(mod_ko_wyn,$B$277,0))*('Koszty operacyjne'!$K$114:$X$114=Moduły!L$73),ko_wyn)</f>
        <v>0</v>
      </c>
      <c r="M318" s="33" cm="1">
        <f t="array" ref="M318">SUMPRODUCT(ISNUMBER(MATCH(mod_ko_wyn,$B$277,0))*('Koszty operacyjne'!$K$114:$X$114=Moduły!M$73),ko_wyn)</f>
        <v>0</v>
      </c>
      <c r="N318" s="33" cm="1">
        <f t="array" ref="N318">SUMPRODUCT(ISNUMBER(MATCH(mod_ko_wyn,$B$277,0))*('Koszty operacyjne'!$K$114:$X$114=Moduły!N$73),ko_wyn)</f>
        <v>0</v>
      </c>
      <c r="O318" s="33" cm="1">
        <f t="array" ref="O318">SUMPRODUCT(ISNUMBER(MATCH(mod_ko_wyn,$B$277,0))*('Koszty operacyjne'!$K$114:$X$114=Moduły!O$73),ko_wyn)</f>
        <v>0</v>
      </c>
      <c r="P318" s="33" cm="1">
        <f t="array" ref="P318">SUMPRODUCT(ISNUMBER(MATCH(mod_ko_wyn,$B$277,0))*('Koszty operacyjne'!$K$114:$X$114=Moduły!P$73),ko_wyn)</f>
        <v>0</v>
      </c>
    </row>
    <row r="319" spans="2:16">
      <c r="B319" s="37" t="s">
        <v>110</v>
      </c>
      <c r="C319" s="33" cm="1">
        <f t="array" ref="C319">SUMPRODUCT(ISNUMBER(MATCH(mod_ko_zus,$B$277,0))*('Koszty operacyjne'!$K$114:$X$114=Moduły!C$73),ko_zus)</f>
        <v>0</v>
      </c>
      <c r="D319" s="33" cm="1">
        <f t="array" ref="D319">SUMPRODUCT(ISNUMBER(MATCH(mod_ko_zus,$B$277,0))*('Koszty operacyjne'!$K$114:$X$114=Moduły!D$73),ko_zus)</f>
        <v>0</v>
      </c>
      <c r="E319" s="33" cm="1">
        <f t="array" ref="E319">SUMPRODUCT(ISNUMBER(MATCH(mod_ko_zus,$B$277,0))*('Koszty operacyjne'!$K$114:$X$114=Moduły!E$73),ko_zus)</f>
        <v>0</v>
      </c>
      <c r="F319" s="33" cm="1">
        <f t="array" ref="F319">SUMPRODUCT(ISNUMBER(MATCH(mod_ko_zus,$B$277,0))*('Koszty operacyjne'!$K$114:$X$114=Moduły!F$73),ko_zus)</f>
        <v>0</v>
      </c>
      <c r="G319" s="33" cm="1">
        <f t="array" ref="G319">SUMPRODUCT(ISNUMBER(MATCH(mod_ko_zus,$B$277,0))*('Koszty operacyjne'!$K$114:$X$114=Moduły!G$73),ko_zus)</f>
        <v>0</v>
      </c>
      <c r="H319" s="33" cm="1">
        <f t="array" ref="H319">SUMPRODUCT(ISNUMBER(MATCH(mod_ko_zus,$B$277,0))*('Koszty operacyjne'!$K$114:$X$114=Moduły!H$73),ko_zus)</f>
        <v>0</v>
      </c>
      <c r="I319" s="33" cm="1">
        <f t="array" ref="I319">SUMPRODUCT(ISNUMBER(MATCH(mod_ko_zus,$B$277,0))*('Koszty operacyjne'!$K$114:$X$114=Moduły!I$73),ko_zus)</f>
        <v>0</v>
      </c>
      <c r="J319" s="33" cm="1">
        <f t="array" ref="J319">SUMPRODUCT(ISNUMBER(MATCH(mod_ko_zus,$B$277,0))*('Koszty operacyjne'!$K$114:$X$114=Moduły!J$73),ko_zus)</f>
        <v>0</v>
      </c>
      <c r="K319" s="33" cm="1">
        <f t="array" ref="K319">SUMPRODUCT(ISNUMBER(MATCH(mod_ko_zus,$B$277,0))*('Koszty operacyjne'!$K$114:$X$114=Moduły!K$73),ko_zus)</f>
        <v>0</v>
      </c>
      <c r="L319" s="33" cm="1">
        <f t="array" ref="L319">SUMPRODUCT(ISNUMBER(MATCH(mod_ko_zus,$B$277,0))*('Koszty operacyjne'!$K$114:$X$114=Moduły!L$73),ko_zus)</f>
        <v>0</v>
      </c>
      <c r="M319" s="33" cm="1">
        <f t="array" ref="M319">SUMPRODUCT(ISNUMBER(MATCH(mod_ko_zus,$B$277,0))*('Koszty operacyjne'!$K$114:$X$114=Moduły!M$73),ko_zus)</f>
        <v>0</v>
      </c>
      <c r="N319" s="33" cm="1">
        <f t="array" ref="N319">SUMPRODUCT(ISNUMBER(MATCH(mod_ko_zus,$B$277,0))*('Koszty operacyjne'!$K$114:$X$114=Moduły!N$73),ko_zus)</f>
        <v>0</v>
      </c>
      <c r="O319" s="33" cm="1">
        <f t="array" ref="O319">SUMPRODUCT(ISNUMBER(MATCH(mod_ko_zus,$B$277,0))*('Koszty operacyjne'!$K$114:$X$114=Moduły!O$73),ko_zus)</f>
        <v>0</v>
      </c>
      <c r="P319" s="33" cm="1">
        <f t="array" ref="P319">SUMPRODUCT(ISNUMBER(MATCH(mod_ko_zus,$B$277,0))*('Koszty operacyjne'!$K$114:$X$114=Moduły!P$73),ko_zus)</f>
        <v>0</v>
      </c>
    </row>
    <row r="320" spans="2:16">
      <c r="B320" s="37" t="s">
        <v>111</v>
      </c>
      <c r="C320" s="33" cm="1">
        <f t="array" ref="C320">SUMPRODUCT(ISNUMBER(MATCH(mod_ko_pkr,$B$277,0))*('Koszty operacyjne'!$K$114:$X$114=Moduły!C$73),ko_pkr)</f>
        <v>0</v>
      </c>
      <c r="D320" s="33" cm="1">
        <f t="array" ref="D320">SUMPRODUCT(ISNUMBER(MATCH(mod_ko_pkr,$B$277,0))*('Koszty operacyjne'!$K$114:$X$114=Moduły!D$73),ko_pkr)</f>
        <v>0</v>
      </c>
      <c r="E320" s="33" cm="1">
        <f t="array" ref="E320">SUMPRODUCT(ISNUMBER(MATCH(mod_ko_pkr,$B$277,0))*('Koszty operacyjne'!$K$114:$X$114=Moduły!E$73),ko_pkr)</f>
        <v>0</v>
      </c>
      <c r="F320" s="33" cm="1">
        <f t="array" ref="F320">SUMPRODUCT(ISNUMBER(MATCH(mod_ko_pkr,$B$277,0))*('Koszty operacyjne'!$K$114:$X$114=Moduły!F$73),ko_pkr)</f>
        <v>0</v>
      </c>
      <c r="G320" s="33" cm="1">
        <f t="array" ref="G320">SUMPRODUCT(ISNUMBER(MATCH(mod_ko_pkr,$B$277,0))*('Koszty operacyjne'!$K$114:$X$114=Moduły!G$73),ko_pkr)</f>
        <v>0</v>
      </c>
      <c r="H320" s="33" cm="1">
        <f t="array" ref="H320">SUMPRODUCT(ISNUMBER(MATCH(mod_ko_pkr,$B$277,0))*('Koszty operacyjne'!$K$114:$X$114=Moduły!H$73),ko_pkr)</f>
        <v>0</v>
      </c>
      <c r="I320" s="33" cm="1">
        <f t="array" ref="I320">SUMPRODUCT(ISNUMBER(MATCH(mod_ko_pkr,$B$277,0))*('Koszty operacyjne'!$K$114:$X$114=Moduły!I$73),ko_pkr)</f>
        <v>0</v>
      </c>
      <c r="J320" s="33" cm="1">
        <f t="array" ref="J320">SUMPRODUCT(ISNUMBER(MATCH(mod_ko_pkr,$B$277,0))*('Koszty operacyjne'!$K$114:$X$114=Moduły!J$73),ko_pkr)</f>
        <v>0</v>
      </c>
      <c r="K320" s="33" cm="1">
        <f t="array" ref="K320">SUMPRODUCT(ISNUMBER(MATCH(mod_ko_pkr,$B$277,0))*('Koszty operacyjne'!$K$114:$X$114=Moduły!K$73),ko_pkr)</f>
        <v>0</v>
      </c>
      <c r="L320" s="33" cm="1">
        <f t="array" ref="L320">SUMPRODUCT(ISNUMBER(MATCH(mod_ko_pkr,$B$277,0))*('Koszty operacyjne'!$K$114:$X$114=Moduły!L$73),ko_pkr)</f>
        <v>0</v>
      </c>
      <c r="M320" s="33" cm="1">
        <f t="array" ref="M320">SUMPRODUCT(ISNUMBER(MATCH(mod_ko_pkr,$B$277,0))*('Koszty operacyjne'!$K$114:$X$114=Moduły!M$73),ko_pkr)</f>
        <v>0</v>
      </c>
      <c r="N320" s="33" cm="1">
        <f t="array" ref="N320">SUMPRODUCT(ISNUMBER(MATCH(mod_ko_pkr,$B$277,0))*('Koszty operacyjne'!$K$114:$X$114=Moduły!N$73),ko_pkr)</f>
        <v>0</v>
      </c>
      <c r="O320" s="33" cm="1">
        <f t="array" ref="O320">SUMPRODUCT(ISNUMBER(MATCH(mod_ko_pkr,$B$277,0))*('Koszty operacyjne'!$K$114:$X$114=Moduły!O$73),ko_pkr)</f>
        <v>0</v>
      </c>
      <c r="P320" s="33" cm="1">
        <f t="array" ref="P320">SUMPRODUCT(ISNUMBER(MATCH(mod_ko_pkr,$B$277,0))*('Koszty operacyjne'!$K$114:$X$114=Moduły!P$73),ko_pkr)</f>
        <v>0</v>
      </c>
    </row>
    <row r="321" spans="2:16">
      <c r="B321" s="37" t="s">
        <v>112</v>
      </c>
      <c r="C321" s="33" cm="1">
        <f t="array" ref="C321">SUMPRODUCT(ISNUMBER(MATCH(mod_pp_ptim_wstim,$B$277,0))*('Koszty operacyjne'!$K$114:$X$114=Moduły!C$73),pp_ptim_wstim)</f>
        <v>0</v>
      </c>
      <c r="D321" s="33" cm="1">
        <f t="array" ref="D321">SUMPRODUCT(ISNUMBER(MATCH(mod_pp_ptim_wstim,$B$277,0))*('Koszty operacyjne'!$K$114:$X$114=Moduły!D$73),pp_ptim_wstim)</f>
        <v>0</v>
      </c>
      <c r="E321" s="33" cm="1">
        <f t="array" ref="E321">SUMPRODUCT(ISNUMBER(MATCH(mod_pp_ptim_wstim,$B$277,0))*('Koszty operacyjne'!$K$114:$X$114=Moduły!E$73),pp_ptim_wstim)</f>
        <v>0</v>
      </c>
      <c r="F321" s="33" cm="1">
        <f t="array" ref="F321">SUMPRODUCT(ISNUMBER(MATCH(mod_pp_ptim_wstim,$B$277,0))*('Koszty operacyjne'!$K$114:$X$114=Moduły!F$73),pp_ptim_wstim)</f>
        <v>0</v>
      </c>
      <c r="G321" s="33" cm="1">
        <f t="array" ref="G321">SUMPRODUCT(ISNUMBER(MATCH(mod_pp_ptim_wstim,$B$277,0))*('Koszty operacyjne'!$K$114:$X$114=Moduły!G$73),pp_ptim_wstim)</f>
        <v>0</v>
      </c>
      <c r="H321" s="33" cm="1">
        <f t="array" ref="H321">SUMPRODUCT(ISNUMBER(MATCH(mod_pp_ptim_wstim,$B$277,0))*('Koszty operacyjne'!$K$114:$X$114=Moduły!H$73),pp_ptim_wstim)</f>
        <v>0</v>
      </c>
      <c r="I321" s="33" cm="1">
        <f t="array" ref="I321">SUMPRODUCT(ISNUMBER(MATCH(mod_pp_ptim_wstim,$B$277,0))*('Koszty operacyjne'!$K$114:$X$114=Moduły!I$73),pp_ptim_wstim)</f>
        <v>0</v>
      </c>
      <c r="J321" s="33" cm="1">
        <f t="array" ref="J321">SUMPRODUCT(ISNUMBER(MATCH(mod_pp_ptim_wstim,$B$277,0))*('Koszty operacyjne'!$K$114:$X$114=Moduły!J$73),pp_ptim_wstim)</f>
        <v>0</v>
      </c>
      <c r="K321" s="33" cm="1">
        <f t="array" ref="K321">SUMPRODUCT(ISNUMBER(MATCH(mod_pp_ptim_wstim,$B$277,0))*('Koszty operacyjne'!$K$114:$X$114=Moduły!K$73),pp_ptim_wstim)</f>
        <v>0</v>
      </c>
      <c r="L321" s="33" cm="1">
        <f t="array" ref="L321">SUMPRODUCT(ISNUMBER(MATCH(mod_pp_ptim_wstim,$B$277,0))*('Koszty operacyjne'!$K$114:$X$114=Moduły!L$73),pp_ptim_wstim)</f>
        <v>0</v>
      </c>
      <c r="M321" s="33" cm="1">
        <f t="array" ref="M321">SUMPRODUCT(ISNUMBER(MATCH(mod_pp_ptim_wstim,$B$277,0))*('Koszty operacyjne'!$K$114:$X$114=Moduły!M$73),pp_ptim_wstim)</f>
        <v>0</v>
      </c>
      <c r="N321" s="33" cm="1">
        <f t="array" ref="N321">SUMPRODUCT(ISNUMBER(MATCH(mod_pp_ptim_wstim,$B$277,0))*('Koszty operacyjne'!$K$114:$X$114=Moduły!N$73),pp_ptim_wstim)</f>
        <v>0</v>
      </c>
      <c r="O321" s="33" cm="1">
        <f t="array" ref="O321">SUMPRODUCT(ISNUMBER(MATCH(mod_pp_ptim_wstim,$B$277,0))*('Koszty operacyjne'!$K$114:$X$114=Moduły!O$73),pp_ptim_wstim)</f>
        <v>0</v>
      </c>
      <c r="P321" s="33" cm="1">
        <f t="array" ref="P321">SUMPRODUCT(ISNUMBER(MATCH(mod_pp_ptim_wstim,$B$277,0))*('Koszty operacyjne'!$K$114:$X$114=Moduły!P$73),pp_ptim_wstim)</f>
        <v>0</v>
      </c>
    </row>
    <row r="322" spans="2:16"/>
    <row r="323" spans="2:16"/>
    <row r="324" spans="2:16">
      <c r="B324" s="371" t="s">
        <v>114</v>
      </c>
      <c r="C324" s="371" t="str">
        <f>C$73</f>
        <v>Uzupełnij dane</v>
      </c>
      <c r="D324" s="371" t="str">
        <f t="shared" ref="D324:P324" si="182">D$73</f>
        <v/>
      </c>
      <c r="E324" s="371" t="str">
        <f t="shared" si="182"/>
        <v/>
      </c>
      <c r="F324" s="371" t="str">
        <f t="shared" si="182"/>
        <v/>
      </c>
      <c r="G324" s="371" t="str">
        <f t="shared" si="182"/>
        <v/>
      </c>
      <c r="H324" s="371" t="str">
        <f t="shared" si="182"/>
        <v/>
      </c>
      <c r="I324" s="371" t="str">
        <f t="shared" si="182"/>
        <v/>
      </c>
      <c r="J324" s="371" t="str">
        <f t="shared" si="182"/>
        <v/>
      </c>
      <c r="K324" s="371" t="str">
        <f t="shared" si="182"/>
        <v/>
      </c>
      <c r="L324" s="371" t="str">
        <f t="shared" si="182"/>
        <v/>
      </c>
      <c r="M324" s="371" t="str">
        <f t="shared" si="182"/>
        <v/>
      </c>
      <c r="N324" s="371" t="str">
        <f t="shared" si="182"/>
        <v/>
      </c>
      <c r="O324" s="371" t="str">
        <f t="shared" si="182"/>
        <v/>
      </c>
      <c r="P324" s="371" t="str">
        <f t="shared" si="182"/>
        <v/>
      </c>
    </row>
    <row r="325" spans="2:16" ht="3.9" customHeight="1"/>
    <row r="326" spans="2:16" ht="12" customHeight="1">
      <c r="B326" s="99" t="s">
        <v>93</v>
      </c>
      <c r="C326" s="98">
        <f t="shared" ref="C326:P326" si="183">SUM(C327:C328)</f>
        <v>0</v>
      </c>
      <c r="D326" s="98">
        <f t="shared" si="183"/>
        <v>0</v>
      </c>
      <c r="E326" s="98">
        <f t="shared" si="183"/>
        <v>0</v>
      </c>
      <c r="F326" s="98">
        <f t="shared" si="183"/>
        <v>0</v>
      </c>
      <c r="G326" s="98">
        <f t="shared" si="183"/>
        <v>0</v>
      </c>
      <c r="H326" s="98">
        <f t="shared" si="183"/>
        <v>0</v>
      </c>
      <c r="I326" s="98">
        <f t="shared" si="183"/>
        <v>0</v>
      </c>
      <c r="J326" s="98">
        <f t="shared" si="183"/>
        <v>0</v>
      </c>
      <c r="K326" s="98">
        <f t="shared" si="183"/>
        <v>0</v>
      </c>
      <c r="L326" s="98">
        <f t="shared" si="183"/>
        <v>0</v>
      </c>
      <c r="M326" s="98">
        <f t="shared" si="183"/>
        <v>0</v>
      </c>
      <c r="N326" s="98">
        <f t="shared" si="183"/>
        <v>0</v>
      </c>
      <c r="O326" s="98">
        <f t="shared" si="183"/>
        <v>0</v>
      </c>
      <c r="P326" s="98">
        <f t="shared" si="183"/>
        <v>0</v>
      </c>
    </row>
    <row r="327" spans="2:16">
      <c r="B327" s="465" t="s">
        <v>95</v>
      </c>
      <c r="C327" s="466">
        <f>C331+C335+C339+C343+C347+C351+C355</f>
        <v>0</v>
      </c>
      <c r="D327" s="466">
        <f t="shared" ref="D327:P327" si="184">D331+D335+D339+D343+D347+D351+D355</f>
        <v>0</v>
      </c>
      <c r="E327" s="466">
        <f t="shared" si="184"/>
        <v>0</v>
      </c>
      <c r="F327" s="466">
        <f t="shared" si="184"/>
        <v>0</v>
      </c>
      <c r="G327" s="466">
        <f t="shared" si="184"/>
        <v>0</v>
      </c>
      <c r="H327" s="466">
        <f t="shared" si="184"/>
        <v>0</v>
      </c>
      <c r="I327" s="466">
        <f t="shared" si="184"/>
        <v>0</v>
      </c>
      <c r="J327" s="466">
        <f t="shared" si="184"/>
        <v>0</v>
      </c>
      <c r="K327" s="467">
        <f t="shared" si="184"/>
        <v>0</v>
      </c>
      <c r="L327" s="467">
        <f t="shared" si="184"/>
        <v>0</v>
      </c>
      <c r="M327" s="467">
        <f t="shared" si="184"/>
        <v>0</v>
      </c>
      <c r="N327" s="467">
        <f t="shared" si="184"/>
        <v>0</v>
      </c>
      <c r="O327" s="467">
        <f t="shared" si="184"/>
        <v>0</v>
      </c>
      <c r="P327" s="467">
        <f t="shared" si="184"/>
        <v>0</v>
      </c>
    </row>
    <row r="328" spans="2:16">
      <c r="B328" s="468" t="s">
        <v>96</v>
      </c>
      <c r="C328" s="469">
        <f>C332+C336+C340+C344+C348+C352+C356</f>
        <v>0</v>
      </c>
      <c r="D328" s="469">
        <f t="shared" ref="D328:P328" si="185">D332+D336+D340+D344+D348+D352+D356</f>
        <v>0</v>
      </c>
      <c r="E328" s="469">
        <f t="shared" si="185"/>
        <v>0</v>
      </c>
      <c r="F328" s="469">
        <f t="shared" si="185"/>
        <v>0</v>
      </c>
      <c r="G328" s="469">
        <f t="shared" si="185"/>
        <v>0</v>
      </c>
      <c r="H328" s="469">
        <f t="shared" si="185"/>
        <v>0</v>
      </c>
      <c r="I328" s="469">
        <f t="shared" si="185"/>
        <v>0</v>
      </c>
      <c r="J328" s="469">
        <f t="shared" si="185"/>
        <v>0</v>
      </c>
      <c r="K328" s="470">
        <f t="shared" si="185"/>
        <v>0</v>
      </c>
      <c r="L328" s="470">
        <f t="shared" si="185"/>
        <v>0</v>
      </c>
      <c r="M328" s="470">
        <f t="shared" si="185"/>
        <v>0</v>
      </c>
      <c r="N328" s="470">
        <f t="shared" si="185"/>
        <v>0</v>
      </c>
      <c r="O328" s="470">
        <f t="shared" si="185"/>
        <v>0</v>
      </c>
      <c r="P328" s="470">
        <f t="shared" si="185"/>
        <v>0</v>
      </c>
    </row>
    <row r="329" spans="2:16" ht="3.9" customHeight="1"/>
    <row r="330" spans="2:16" ht="12" customHeight="1">
      <c r="B330" s="355" t="s">
        <v>94</v>
      </c>
      <c r="C330" s="356">
        <f t="shared" ref="C330:P330" si="186">SUM(C331:C332)</f>
        <v>0</v>
      </c>
      <c r="D330" s="356">
        <f t="shared" si="186"/>
        <v>0</v>
      </c>
      <c r="E330" s="356">
        <f t="shared" si="186"/>
        <v>0</v>
      </c>
      <c r="F330" s="356">
        <f t="shared" si="186"/>
        <v>0</v>
      </c>
      <c r="G330" s="356">
        <f t="shared" si="186"/>
        <v>0</v>
      </c>
      <c r="H330" s="356">
        <f t="shared" si="186"/>
        <v>0</v>
      </c>
      <c r="I330" s="356">
        <f t="shared" si="186"/>
        <v>0</v>
      </c>
      <c r="J330" s="356">
        <f t="shared" si="186"/>
        <v>0</v>
      </c>
      <c r="K330" s="356">
        <f t="shared" si="186"/>
        <v>0</v>
      </c>
      <c r="L330" s="356">
        <f t="shared" si="186"/>
        <v>0</v>
      </c>
      <c r="M330" s="356">
        <f t="shared" si="186"/>
        <v>0</v>
      </c>
      <c r="N330" s="356">
        <f t="shared" si="186"/>
        <v>0</v>
      </c>
      <c r="O330" s="356">
        <f t="shared" si="186"/>
        <v>0</v>
      </c>
      <c r="P330" s="356">
        <f t="shared" si="186"/>
        <v>0</v>
      </c>
    </row>
    <row r="331" spans="2:16" ht="12" customHeight="1">
      <c r="B331" s="357" t="s">
        <v>95</v>
      </c>
      <c r="C331" s="358" cm="1">
        <f t="array" ref="C331">SUMPRODUCT(ISNUMBER(MATCH(mod_st_zpr,$B$324,0))*('Koszty operacyjne'!$K$114:$X$114=Moduły!C$73)*ISNUMBER(MATCH(st_zpr_kw,tak,0)),st_zpr)</f>
        <v>0</v>
      </c>
      <c r="D331" s="358" cm="1">
        <f t="array" ref="D331">SUMPRODUCT(ISNUMBER(MATCH(mod_st_zpr,$B$324,0))*('Koszty operacyjne'!$K$114:$X$114=Moduły!D$73)*ISNUMBER(MATCH(st_zpr_kw,tak,0)),st_zpr)</f>
        <v>0</v>
      </c>
      <c r="E331" s="358" cm="1">
        <f t="array" ref="E331">SUMPRODUCT(ISNUMBER(MATCH(mod_st_zpr,$B$324,0))*('Koszty operacyjne'!$K$114:$X$114=Moduły!E$73)*ISNUMBER(MATCH(st_zpr_kw,tak,0)),st_zpr)</f>
        <v>0</v>
      </c>
      <c r="F331" s="358" cm="1">
        <f t="array" ref="F331">SUMPRODUCT(ISNUMBER(MATCH(mod_st_zpr,$B$324,0))*('Koszty operacyjne'!$K$114:$X$114=Moduły!F$73)*ISNUMBER(MATCH(st_zpr_kw,tak,0)),st_zpr)</f>
        <v>0</v>
      </c>
      <c r="G331" s="358" cm="1">
        <f t="array" ref="G331">SUMPRODUCT(ISNUMBER(MATCH(mod_st_zpr,$B$324,0))*('Koszty operacyjne'!$K$114:$X$114=Moduły!G$73)*ISNUMBER(MATCH(st_zpr_kw,tak,0)),st_zpr)</f>
        <v>0</v>
      </c>
      <c r="H331" s="358" cm="1">
        <f t="array" ref="H331">SUMPRODUCT(ISNUMBER(MATCH(mod_st_zpr,$B$324,0))*('Koszty operacyjne'!$K$114:$X$114=Moduły!H$73)*ISNUMBER(MATCH(st_zpr_kw,tak,0)),st_zpr)</f>
        <v>0</v>
      </c>
      <c r="I331" s="358" cm="1">
        <f t="array" ref="I331">SUMPRODUCT(ISNUMBER(MATCH(mod_st_zpr,$B$324,0))*('Koszty operacyjne'!$K$114:$X$114=Moduły!I$73)*ISNUMBER(MATCH(st_zpr_kw,tak,0)),st_zpr)</f>
        <v>0</v>
      </c>
      <c r="J331" s="358" cm="1">
        <f t="array" ref="J331">SUMPRODUCT(ISNUMBER(MATCH(mod_st_zpr,$B$324,0))*('Koszty operacyjne'!$K$114:$X$114=Moduły!J$73)*ISNUMBER(MATCH(st_zpr_kw,tak,0)),st_zpr)</f>
        <v>0</v>
      </c>
      <c r="K331" s="358" cm="1">
        <f t="array" ref="K331">SUMPRODUCT(ISNUMBER(MATCH(mod_st_zpr,$B$324,0))*('Koszty operacyjne'!$K$114:$X$114=Moduły!K$73)*ISNUMBER(MATCH(st_zpr_kw,tak,0)),st_zpr)</f>
        <v>0</v>
      </c>
      <c r="L331" s="358" cm="1">
        <f t="array" ref="L331">SUMPRODUCT(ISNUMBER(MATCH(mod_st_zpr,$B$324,0))*('Koszty operacyjne'!$K$114:$X$114=Moduły!L$73)*ISNUMBER(MATCH(st_zpr_kw,tak,0)),st_zpr)</f>
        <v>0</v>
      </c>
      <c r="M331" s="358" cm="1">
        <f t="array" ref="M331">SUMPRODUCT(ISNUMBER(MATCH(mod_st_zpr,$B$324,0))*('Koszty operacyjne'!$K$114:$X$114=Moduły!M$73)*ISNUMBER(MATCH(st_zpr_kw,tak,0)),st_zpr)</f>
        <v>0</v>
      </c>
      <c r="N331" s="358" cm="1">
        <f t="array" ref="N331">SUMPRODUCT(ISNUMBER(MATCH(mod_st_zpr,$B$324,0))*('Koszty operacyjne'!$K$114:$X$114=Moduły!N$73)*ISNUMBER(MATCH(st_zpr_kw,tak,0)),st_zpr)</f>
        <v>0</v>
      </c>
      <c r="O331" s="358" cm="1">
        <f t="array" ref="O331">SUMPRODUCT(ISNUMBER(MATCH(mod_st_zpr,$B$324,0))*('Koszty operacyjne'!$K$114:$X$114=Moduły!O$73)*ISNUMBER(MATCH(st_zpr_kw,tak,0)),st_zpr)</f>
        <v>0</v>
      </c>
      <c r="P331" s="358" cm="1">
        <f t="array" ref="P331">SUMPRODUCT(ISNUMBER(MATCH(mod_st_zpr,$B$324,0))*('Koszty operacyjne'!$K$114:$X$114=Moduły!P$73)*ISNUMBER(MATCH(st_zpr_kw,tak,0)),st_zpr)</f>
        <v>0</v>
      </c>
    </row>
    <row r="332" spans="2:16" ht="12" customHeight="1">
      <c r="B332" s="359" t="s">
        <v>96</v>
      </c>
      <c r="C332" s="360" cm="1">
        <f t="array" ref="C332">SUMPRODUCT(ISNUMBER(MATCH(mod_st_zpr,$B$324,0))*('Koszty operacyjne'!$K$114:$X$114=Moduły!C$73)*ISNUMBER(MATCH(st_zpr_kw,nie,0)),st_zpr)</f>
        <v>0</v>
      </c>
      <c r="D332" s="360" cm="1">
        <f t="array" ref="D332">SUMPRODUCT(ISNUMBER(MATCH(mod_st_zpr,$B$324,0))*('Koszty operacyjne'!$K$114:$X$114=Moduły!D$73)*ISNUMBER(MATCH(st_zpr_kw,nie,0)),st_zpr)</f>
        <v>0</v>
      </c>
      <c r="E332" s="360" cm="1">
        <f t="array" ref="E332">SUMPRODUCT(ISNUMBER(MATCH(mod_st_zpr,$B$324,0))*('Koszty operacyjne'!$K$114:$X$114=Moduły!E$73)*ISNUMBER(MATCH(st_zpr_kw,nie,0)),st_zpr)</f>
        <v>0</v>
      </c>
      <c r="F332" s="360" cm="1">
        <f t="array" ref="F332">SUMPRODUCT(ISNUMBER(MATCH(mod_st_zpr,$B$324,0))*('Koszty operacyjne'!$K$114:$X$114=Moduły!F$73)*ISNUMBER(MATCH(st_zpr_kw,nie,0)),st_zpr)</f>
        <v>0</v>
      </c>
      <c r="G332" s="360" cm="1">
        <f t="array" ref="G332">SUMPRODUCT(ISNUMBER(MATCH(mod_st_zpr,$B$324,0))*('Koszty operacyjne'!$K$114:$X$114=Moduły!G$73)*ISNUMBER(MATCH(st_zpr_kw,nie,0)),st_zpr)</f>
        <v>0</v>
      </c>
      <c r="H332" s="360" cm="1">
        <f t="array" ref="H332">SUMPRODUCT(ISNUMBER(MATCH(mod_st_zpr,$B$324,0))*('Koszty operacyjne'!$K$114:$X$114=Moduły!H$73)*ISNUMBER(MATCH(st_zpr_kw,nie,0)),st_zpr)</f>
        <v>0</v>
      </c>
      <c r="I332" s="360" cm="1">
        <f t="array" ref="I332">SUMPRODUCT(ISNUMBER(MATCH(mod_st_zpr,$B$324,0))*('Koszty operacyjne'!$K$114:$X$114=Moduły!I$73)*ISNUMBER(MATCH(st_zpr_kw,nie,0)),st_zpr)</f>
        <v>0</v>
      </c>
      <c r="J332" s="360" cm="1">
        <f t="array" ref="J332">SUMPRODUCT(ISNUMBER(MATCH(mod_st_zpr,$B$324,0))*('Koszty operacyjne'!$K$114:$X$114=Moduły!J$73)*ISNUMBER(MATCH(st_zpr_kw,nie,0)),st_zpr)</f>
        <v>0</v>
      </c>
      <c r="K332" s="361" cm="1">
        <f t="array" ref="K332">SUMPRODUCT(ISNUMBER(MATCH(mod_st_zpr,$B$324,0))*('Koszty operacyjne'!$K$114:$X$114=Moduły!K$73)*ISNUMBER(MATCH(st_zpr_kw,nie,0)),st_zpr)</f>
        <v>0</v>
      </c>
      <c r="L332" s="361" cm="1">
        <f t="array" ref="L332">SUMPRODUCT(ISNUMBER(MATCH(mod_st_zpr,$B$324,0))*('Koszty operacyjne'!$K$114:$X$114=Moduły!L$73)*ISNUMBER(MATCH(st_zpr_kw,nie,0)),st_zpr)</f>
        <v>0</v>
      </c>
      <c r="M332" s="361" cm="1">
        <f t="array" ref="M332">SUMPRODUCT(ISNUMBER(MATCH(mod_st_zpr,$B$324,0))*('Koszty operacyjne'!$K$114:$X$114=Moduły!M$73)*ISNUMBER(MATCH(st_zpr_kw,nie,0)),st_zpr)</f>
        <v>0</v>
      </c>
      <c r="N332" s="361" cm="1">
        <f t="array" ref="N332">SUMPRODUCT(ISNUMBER(MATCH(mod_st_zpr,$B$324,0))*('Koszty operacyjne'!$K$114:$X$114=Moduły!N$73)*ISNUMBER(MATCH(st_zpr_kw,nie,0)),st_zpr)</f>
        <v>0</v>
      </c>
      <c r="O332" s="361" cm="1">
        <f t="array" ref="O332">SUMPRODUCT(ISNUMBER(MATCH(mod_st_zpr,$B$324,0))*('Koszty operacyjne'!$K$114:$X$114=Moduły!O$73)*ISNUMBER(MATCH(st_zpr_kw,nie,0)),st_zpr)</f>
        <v>0</v>
      </c>
      <c r="P332" s="361" cm="1">
        <f t="array" ref="P332">SUMPRODUCT(ISNUMBER(MATCH(mod_st_zpr,$B$324,0))*('Koszty operacyjne'!$K$114:$X$114=Moduły!P$73)*ISNUMBER(MATCH(st_zpr_kw,nie,0)),st_zpr)</f>
        <v>0</v>
      </c>
    </row>
    <row r="333" spans="2:16" ht="3.9" customHeight="1">
      <c r="B333" s="362"/>
      <c r="C333" s="363"/>
      <c r="D333" s="363"/>
      <c r="E333" s="363"/>
      <c r="F333" s="363"/>
      <c r="G333" s="363"/>
      <c r="H333" s="363"/>
      <c r="I333" s="363"/>
      <c r="J333" s="363"/>
      <c r="K333" s="364"/>
      <c r="L333" s="364"/>
      <c r="M333" s="364"/>
      <c r="N333" s="364"/>
      <c r="O333" s="364"/>
      <c r="P333" s="364"/>
    </row>
    <row r="334" spans="2:16" ht="12" customHeight="1">
      <c r="B334" s="355" t="s">
        <v>97</v>
      </c>
      <c r="C334" s="356">
        <f t="shared" ref="C334:P334" si="187">SUM(C335:C336)</f>
        <v>0</v>
      </c>
      <c r="D334" s="356">
        <f t="shared" si="187"/>
        <v>0</v>
      </c>
      <c r="E334" s="356">
        <f t="shared" si="187"/>
        <v>0</v>
      </c>
      <c r="F334" s="356">
        <f t="shared" si="187"/>
        <v>0</v>
      </c>
      <c r="G334" s="356">
        <f t="shared" si="187"/>
        <v>0</v>
      </c>
      <c r="H334" s="356">
        <f t="shared" si="187"/>
        <v>0</v>
      </c>
      <c r="I334" s="356">
        <f t="shared" si="187"/>
        <v>0</v>
      </c>
      <c r="J334" s="356">
        <f t="shared" si="187"/>
        <v>0</v>
      </c>
      <c r="K334" s="356">
        <f t="shared" si="187"/>
        <v>0</v>
      </c>
      <c r="L334" s="356">
        <f t="shared" si="187"/>
        <v>0</v>
      </c>
      <c r="M334" s="356">
        <f t="shared" si="187"/>
        <v>0</v>
      </c>
      <c r="N334" s="356">
        <f t="shared" si="187"/>
        <v>0</v>
      </c>
      <c r="O334" s="356">
        <f t="shared" si="187"/>
        <v>0</v>
      </c>
      <c r="P334" s="356">
        <f t="shared" si="187"/>
        <v>0</v>
      </c>
    </row>
    <row r="335" spans="2:16" ht="12" customHeight="1">
      <c r="B335" s="357" t="s">
        <v>95</v>
      </c>
      <c r="C335" s="358" cm="1">
        <f t="array" ref="C335">SUMPRODUCT(ISNUMBER(MATCH(mod_st_wnp,$B$324,0))*('Koszty operacyjne'!$K$114:$X$114=Moduły!C$73)*ISNUMBER(MATCH(st_wnp_kw,tak,0)),st_wnp)</f>
        <v>0</v>
      </c>
      <c r="D335" s="358" cm="1">
        <f t="array" ref="D335">SUMPRODUCT(ISNUMBER(MATCH(mod_st_wnp,$B$324,0))*('Koszty operacyjne'!$K$114:$X$114=Moduły!D$73)*ISNUMBER(MATCH(st_wnp_kw,tak,0)),st_wnp)</f>
        <v>0</v>
      </c>
      <c r="E335" s="358" cm="1">
        <f t="array" ref="E335">SUMPRODUCT(ISNUMBER(MATCH(mod_st_wnp,$B$324,0))*('Koszty operacyjne'!$K$114:$X$114=Moduły!E$73)*ISNUMBER(MATCH(st_wnp_kw,tak,0)),st_wnp)</f>
        <v>0</v>
      </c>
      <c r="F335" s="358" cm="1">
        <f t="array" ref="F335">SUMPRODUCT(ISNUMBER(MATCH(mod_st_wnp,$B$324,0))*('Koszty operacyjne'!$K$114:$X$114=Moduły!F$73)*ISNUMBER(MATCH(st_wnp_kw,tak,0)),st_wnp)</f>
        <v>0</v>
      </c>
      <c r="G335" s="358" cm="1">
        <f t="array" ref="G335">SUMPRODUCT(ISNUMBER(MATCH(mod_st_wnp,$B$324,0))*('Koszty operacyjne'!$K$114:$X$114=Moduły!G$73)*ISNUMBER(MATCH(st_wnp_kw,tak,0)),st_wnp)</f>
        <v>0</v>
      </c>
      <c r="H335" s="358" cm="1">
        <f t="array" ref="H335">SUMPRODUCT(ISNUMBER(MATCH(mod_st_wnp,$B$324,0))*('Koszty operacyjne'!$K$114:$X$114=Moduły!H$73)*ISNUMBER(MATCH(st_wnp_kw,tak,0)),st_wnp)</f>
        <v>0</v>
      </c>
      <c r="I335" s="358" cm="1">
        <f t="array" ref="I335">SUMPRODUCT(ISNUMBER(MATCH(mod_st_wnp,$B$324,0))*('Koszty operacyjne'!$K$114:$X$114=Moduły!I$73)*ISNUMBER(MATCH(st_wnp_kw,tak,0)),st_wnp)</f>
        <v>0</v>
      </c>
      <c r="J335" s="358" cm="1">
        <f t="array" ref="J335">SUMPRODUCT(ISNUMBER(MATCH(mod_st_wnp,$B$324,0))*('Koszty operacyjne'!$K$114:$X$114=Moduły!J$73)*ISNUMBER(MATCH(st_wnp_kw,tak,0)),st_wnp)</f>
        <v>0</v>
      </c>
      <c r="K335" s="358" cm="1">
        <f t="array" ref="K335">SUMPRODUCT(ISNUMBER(MATCH(mod_st_wnp,$B$324,0))*('Koszty operacyjne'!$K$114:$X$114=Moduły!K$73)*ISNUMBER(MATCH(st_wnp_kw,tak,0)),st_wnp)</f>
        <v>0</v>
      </c>
      <c r="L335" s="358" cm="1">
        <f t="array" ref="L335">SUMPRODUCT(ISNUMBER(MATCH(mod_st_wnp,$B$324,0))*('Koszty operacyjne'!$K$114:$X$114=Moduły!L$73)*ISNUMBER(MATCH(st_wnp_kw,tak,0)),st_wnp)</f>
        <v>0</v>
      </c>
      <c r="M335" s="358" cm="1">
        <f t="array" ref="M335">SUMPRODUCT(ISNUMBER(MATCH(mod_st_wnp,$B$324,0))*('Koszty operacyjne'!$K$114:$X$114=Moduły!M$73)*ISNUMBER(MATCH(st_wnp_kw,tak,0)),st_wnp)</f>
        <v>0</v>
      </c>
      <c r="N335" s="358" cm="1">
        <f t="array" ref="N335">SUMPRODUCT(ISNUMBER(MATCH(mod_st_wnp,$B$324,0))*('Koszty operacyjne'!$K$114:$X$114=Moduły!N$73)*ISNUMBER(MATCH(st_wnp_kw,tak,0)),st_wnp)</f>
        <v>0</v>
      </c>
      <c r="O335" s="358" cm="1">
        <f t="array" ref="O335">SUMPRODUCT(ISNUMBER(MATCH(mod_st_wnp,$B$324,0))*('Koszty operacyjne'!$K$114:$X$114=Moduły!O$73)*ISNUMBER(MATCH(st_wnp_kw,tak,0)),st_wnp)</f>
        <v>0</v>
      </c>
      <c r="P335" s="358" cm="1">
        <f t="array" ref="P335">SUMPRODUCT(ISNUMBER(MATCH(mod_st_wnp,$B$324,0))*('Koszty operacyjne'!$K$114:$X$114=Moduły!P$73)*ISNUMBER(MATCH(st_wnp_kw,tak,0)),st_wnp)</f>
        <v>0</v>
      </c>
    </row>
    <row r="336" spans="2:16" ht="12" customHeight="1">
      <c r="B336" s="359" t="s">
        <v>96</v>
      </c>
      <c r="C336" s="360" cm="1">
        <f t="array" ref="C336">SUMPRODUCT(ISNUMBER(MATCH(mod_st_wnp,$B$324,0))*('Koszty operacyjne'!$K$114:$X$114=Moduły!C$73)*ISNUMBER(MATCH(st_wnp_kw,nie,0)),st_wnp)</f>
        <v>0</v>
      </c>
      <c r="D336" s="360" cm="1">
        <f t="array" ref="D336">SUMPRODUCT(ISNUMBER(MATCH(mod_st_wnp,$B$324,0))*('Koszty operacyjne'!$K$114:$X$114=Moduły!D$73)*ISNUMBER(MATCH(st_wnp_kw,nie,0)),st_wnp)</f>
        <v>0</v>
      </c>
      <c r="E336" s="360" cm="1">
        <f t="array" ref="E336">SUMPRODUCT(ISNUMBER(MATCH(mod_st_wnp,$B$324,0))*('Koszty operacyjne'!$K$114:$X$114=Moduły!E$73)*ISNUMBER(MATCH(st_wnp_kw,nie,0)),st_wnp)</f>
        <v>0</v>
      </c>
      <c r="F336" s="360" cm="1">
        <f t="array" ref="F336">SUMPRODUCT(ISNUMBER(MATCH(mod_st_wnp,$B$324,0))*('Koszty operacyjne'!$K$114:$X$114=Moduły!F$73)*ISNUMBER(MATCH(st_wnp_kw,nie,0)),st_wnp)</f>
        <v>0</v>
      </c>
      <c r="G336" s="360" cm="1">
        <f t="array" ref="G336">SUMPRODUCT(ISNUMBER(MATCH(mod_st_wnp,$B$324,0))*('Koszty operacyjne'!$K$114:$X$114=Moduły!G$73)*ISNUMBER(MATCH(st_wnp_kw,nie,0)),st_wnp)</f>
        <v>0</v>
      </c>
      <c r="H336" s="360" cm="1">
        <f t="array" ref="H336">SUMPRODUCT(ISNUMBER(MATCH(mod_st_wnp,$B$324,0))*('Koszty operacyjne'!$K$114:$X$114=Moduły!H$73)*ISNUMBER(MATCH(st_wnp_kw,nie,0)),st_wnp)</f>
        <v>0</v>
      </c>
      <c r="I336" s="360" cm="1">
        <f t="array" ref="I336">SUMPRODUCT(ISNUMBER(MATCH(mod_st_wnp,$B$324,0))*('Koszty operacyjne'!$K$114:$X$114=Moduły!I$73)*ISNUMBER(MATCH(st_wnp_kw,nie,0)),st_wnp)</f>
        <v>0</v>
      </c>
      <c r="J336" s="360" cm="1">
        <f t="array" ref="J336">SUMPRODUCT(ISNUMBER(MATCH(mod_st_wnp,$B$324,0))*('Koszty operacyjne'!$K$114:$X$114=Moduły!J$73)*ISNUMBER(MATCH(st_wnp_kw,nie,0)),st_wnp)</f>
        <v>0</v>
      </c>
      <c r="K336" s="361" cm="1">
        <f t="array" ref="K336">SUMPRODUCT(ISNUMBER(MATCH(mod_st_wnp,$B$324,0))*('Koszty operacyjne'!$K$114:$X$114=Moduły!K$73)*ISNUMBER(MATCH(st_wnp_kw,nie,0)),st_wnp)</f>
        <v>0</v>
      </c>
      <c r="L336" s="361" cm="1">
        <f t="array" ref="L336">SUMPRODUCT(ISNUMBER(MATCH(mod_st_wnp,$B$324,0))*('Koszty operacyjne'!$K$114:$X$114=Moduły!L$73)*ISNUMBER(MATCH(st_wnp_kw,nie,0)),st_wnp)</f>
        <v>0</v>
      </c>
      <c r="M336" s="361" cm="1">
        <f t="array" ref="M336">SUMPRODUCT(ISNUMBER(MATCH(mod_st_wnp,$B$324,0))*('Koszty operacyjne'!$K$114:$X$114=Moduły!M$73)*ISNUMBER(MATCH(st_wnp_kw,nie,0)),st_wnp)</f>
        <v>0</v>
      </c>
      <c r="N336" s="361" cm="1">
        <f t="array" ref="N336">SUMPRODUCT(ISNUMBER(MATCH(mod_st_wnp,$B$324,0))*('Koszty operacyjne'!$K$114:$X$114=Moduły!N$73)*ISNUMBER(MATCH(st_wnp_kw,nie,0)),st_wnp)</f>
        <v>0</v>
      </c>
      <c r="O336" s="361" cm="1">
        <f t="array" ref="O336">SUMPRODUCT(ISNUMBER(MATCH(mod_st_wnp,$B$324,0))*('Koszty operacyjne'!$K$114:$X$114=Moduły!O$73)*ISNUMBER(MATCH(st_wnp_kw,nie,0)),st_wnp)</f>
        <v>0</v>
      </c>
      <c r="P336" s="361" cm="1">
        <f t="array" ref="P336">SUMPRODUCT(ISNUMBER(MATCH(mod_st_wnp,$B$324,0))*('Koszty operacyjne'!$K$114:$X$114=Moduły!P$73)*ISNUMBER(MATCH(st_wnp_kw,nie,0)),st_wnp)</f>
        <v>0</v>
      </c>
    </row>
    <row r="337" spans="2:16" ht="3.9" customHeight="1">
      <c r="B337" s="8"/>
      <c r="C337" s="363"/>
      <c r="D337" s="363"/>
      <c r="E337" s="363"/>
      <c r="F337" s="363"/>
      <c r="G337" s="363"/>
      <c r="H337" s="363"/>
      <c r="I337" s="363"/>
      <c r="J337" s="363"/>
      <c r="K337" s="364"/>
      <c r="L337" s="364"/>
      <c r="M337" s="364"/>
      <c r="N337" s="364"/>
      <c r="O337" s="364"/>
      <c r="P337" s="364"/>
    </row>
    <row r="338" spans="2:16" ht="12" customHeight="1">
      <c r="B338" s="355" t="s">
        <v>98</v>
      </c>
      <c r="C338" s="356">
        <f t="shared" ref="C338:P338" si="188">SUM(C339:C340)</f>
        <v>0</v>
      </c>
      <c r="D338" s="356">
        <f t="shared" si="188"/>
        <v>0</v>
      </c>
      <c r="E338" s="356">
        <f t="shared" si="188"/>
        <v>0</v>
      </c>
      <c r="F338" s="356">
        <f t="shared" si="188"/>
        <v>0</v>
      </c>
      <c r="G338" s="356">
        <f t="shared" si="188"/>
        <v>0</v>
      </c>
      <c r="H338" s="356">
        <f t="shared" si="188"/>
        <v>0</v>
      </c>
      <c r="I338" s="356">
        <f t="shared" si="188"/>
        <v>0</v>
      </c>
      <c r="J338" s="356">
        <f t="shared" si="188"/>
        <v>0</v>
      </c>
      <c r="K338" s="356">
        <f t="shared" si="188"/>
        <v>0</v>
      </c>
      <c r="L338" s="356">
        <f t="shared" si="188"/>
        <v>0</v>
      </c>
      <c r="M338" s="356">
        <f t="shared" si="188"/>
        <v>0</v>
      </c>
      <c r="N338" s="356">
        <f t="shared" si="188"/>
        <v>0</v>
      </c>
      <c r="O338" s="356">
        <f t="shared" si="188"/>
        <v>0</v>
      </c>
      <c r="P338" s="356">
        <f t="shared" si="188"/>
        <v>0</v>
      </c>
    </row>
    <row r="339" spans="2:16" ht="12" customHeight="1">
      <c r="B339" s="357" t="s">
        <v>95</v>
      </c>
      <c r="C339" s="358" cm="1">
        <f t="array" ref="C339">SUMPRODUCT(ISNUMBER(MATCH(mod_st_gry,$B$324,0))*('Koszty operacyjne'!$K$114:$X$114=Moduły!C$73)*ISNUMBER(MATCH(st_gry_kw,tak,0)),st_gry)</f>
        <v>0</v>
      </c>
      <c r="D339" s="358" cm="1">
        <f t="array" ref="D339">SUMPRODUCT(ISNUMBER(MATCH(mod_st_gry,$B$324,0))*('Koszty operacyjne'!$K$114:$X$114=Moduły!D$73)*ISNUMBER(MATCH(st_gry_kw,tak,0)),st_gry)</f>
        <v>0</v>
      </c>
      <c r="E339" s="358" cm="1">
        <f t="array" ref="E339">SUMPRODUCT(ISNUMBER(MATCH(mod_st_gry,$B$324,0))*('Koszty operacyjne'!$K$114:$X$114=Moduły!E$73)*ISNUMBER(MATCH(st_gry_kw,tak,0)),st_gry)</f>
        <v>0</v>
      </c>
      <c r="F339" s="358" cm="1">
        <f t="array" ref="F339">SUMPRODUCT(ISNUMBER(MATCH(mod_st_gry,$B$324,0))*('Koszty operacyjne'!$K$114:$X$114=Moduły!F$73)*ISNUMBER(MATCH(st_gry_kw,tak,0)),st_gry)</f>
        <v>0</v>
      </c>
      <c r="G339" s="358" cm="1">
        <f t="array" ref="G339">SUMPRODUCT(ISNUMBER(MATCH(mod_st_gry,$B$324,0))*('Koszty operacyjne'!$K$114:$X$114=Moduły!G$73)*ISNUMBER(MATCH(st_gry_kw,tak,0)),st_gry)</f>
        <v>0</v>
      </c>
      <c r="H339" s="358" cm="1">
        <f t="array" ref="H339">SUMPRODUCT(ISNUMBER(MATCH(mod_st_gry,$B$324,0))*('Koszty operacyjne'!$K$114:$X$114=Moduły!H$73)*ISNUMBER(MATCH(st_gry_kw,tak,0)),st_gry)</f>
        <v>0</v>
      </c>
      <c r="I339" s="358" cm="1">
        <f t="array" ref="I339">SUMPRODUCT(ISNUMBER(MATCH(mod_st_gry,$B$324,0))*('Koszty operacyjne'!$K$114:$X$114=Moduły!I$73)*ISNUMBER(MATCH(st_gry_kw,tak,0)),st_gry)</f>
        <v>0</v>
      </c>
      <c r="J339" s="358" cm="1">
        <f t="array" ref="J339">SUMPRODUCT(ISNUMBER(MATCH(mod_st_gry,$B$324,0))*('Koszty operacyjne'!$K$114:$X$114=Moduły!J$73)*ISNUMBER(MATCH(st_gry_kw,tak,0)),st_gry)</f>
        <v>0</v>
      </c>
      <c r="K339" s="358" cm="1">
        <f t="array" ref="K339">SUMPRODUCT(ISNUMBER(MATCH(mod_st_gry,$B$324,0))*('Koszty operacyjne'!$K$114:$X$114=Moduły!K$73)*ISNUMBER(MATCH(st_gry_kw,tak,0)),st_gry)</f>
        <v>0</v>
      </c>
      <c r="L339" s="358" cm="1">
        <f t="array" ref="L339">SUMPRODUCT(ISNUMBER(MATCH(mod_st_gry,$B$324,0))*('Koszty operacyjne'!$K$114:$X$114=Moduły!L$73)*ISNUMBER(MATCH(st_gry_kw,tak,0)),st_gry)</f>
        <v>0</v>
      </c>
      <c r="M339" s="358" cm="1">
        <f t="array" ref="M339">SUMPRODUCT(ISNUMBER(MATCH(mod_st_gry,$B$324,0))*('Koszty operacyjne'!$K$114:$X$114=Moduły!M$73)*ISNUMBER(MATCH(st_gry_kw,tak,0)),st_gry)</f>
        <v>0</v>
      </c>
      <c r="N339" s="358" cm="1">
        <f t="array" ref="N339">SUMPRODUCT(ISNUMBER(MATCH(mod_st_gry,$B$324,0))*('Koszty operacyjne'!$K$114:$X$114=Moduły!N$73)*ISNUMBER(MATCH(st_gry_kw,tak,0)),st_gry)</f>
        <v>0</v>
      </c>
      <c r="O339" s="358" cm="1">
        <f t="array" ref="O339">SUMPRODUCT(ISNUMBER(MATCH(mod_st_gry,$B$324,0))*('Koszty operacyjne'!$K$114:$X$114=Moduły!O$73)*ISNUMBER(MATCH(st_gry_kw,tak,0)),st_gry)</f>
        <v>0</v>
      </c>
      <c r="P339" s="358" cm="1">
        <f t="array" ref="P339">SUMPRODUCT(ISNUMBER(MATCH(mod_st_gry,$B$324,0))*('Koszty operacyjne'!$K$114:$X$114=Moduły!P$73)*ISNUMBER(MATCH(st_gry_kw,tak,0)),st_gry)</f>
        <v>0</v>
      </c>
    </row>
    <row r="340" spans="2:16" ht="12" customHeight="1">
      <c r="B340" s="359" t="s">
        <v>96</v>
      </c>
      <c r="C340" s="360" cm="1">
        <f t="array" ref="C340">SUMPRODUCT(ISNUMBER(MATCH(mod_st_gry,$B$324,0))*('Koszty operacyjne'!$K$114:$X$114=Moduły!C$73)*ISNUMBER(MATCH(st_gry_kw,nie,0)),st_gry)</f>
        <v>0</v>
      </c>
      <c r="D340" s="360" cm="1">
        <f t="array" ref="D340">SUMPRODUCT(ISNUMBER(MATCH(mod_st_gry,$B$324,0))*('Koszty operacyjne'!$K$114:$X$114=Moduły!D$73)*ISNUMBER(MATCH(st_gry_kw,nie,0)),st_gry)</f>
        <v>0</v>
      </c>
      <c r="E340" s="360" cm="1">
        <f t="array" ref="E340">SUMPRODUCT(ISNUMBER(MATCH(mod_st_gry,$B$324,0))*('Koszty operacyjne'!$K$114:$X$114=Moduły!E$73)*ISNUMBER(MATCH(st_gry_kw,nie,0)),st_gry)</f>
        <v>0</v>
      </c>
      <c r="F340" s="360" cm="1">
        <f t="array" ref="F340">SUMPRODUCT(ISNUMBER(MATCH(mod_st_gry,$B$324,0))*('Koszty operacyjne'!$K$114:$X$114=Moduły!F$73)*ISNUMBER(MATCH(st_gry_kw,nie,0)),st_gry)</f>
        <v>0</v>
      </c>
      <c r="G340" s="360" cm="1">
        <f t="array" ref="G340">SUMPRODUCT(ISNUMBER(MATCH(mod_st_gry,$B$324,0))*('Koszty operacyjne'!$K$114:$X$114=Moduły!G$73)*ISNUMBER(MATCH(st_gry_kw,nie,0)),st_gry)</f>
        <v>0</v>
      </c>
      <c r="H340" s="360" cm="1">
        <f t="array" ref="H340">SUMPRODUCT(ISNUMBER(MATCH(mod_st_gry,$B$324,0))*('Koszty operacyjne'!$K$114:$X$114=Moduły!H$73)*ISNUMBER(MATCH(st_gry_kw,nie,0)),st_gry)</f>
        <v>0</v>
      </c>
      <c r="I340" s="360" cm="1">
        <f t="array" ref="I340">SUMPRODUCT(ISNUMBER(MATCH(mod_st_gry,$B$324,0))*('Koszty operacyjne'!$K$114:$X$114=Moduły!I$73)*ISNUMBER(MATCH(st_gry_kw,nie,0)),st_gry)</f>
        <v>0</v>
      </c>
      <c r="J340" s="360" cm="1">
        <f t="array" ref="J340">SUMPRODUCT(ISNUMBER(MATCH(mod_st_gry,$B$324,0))*('Koszty operacyjne'!$K$114:$X$114=Moduły!J$73)*ISNUMBER(MATCH(st_gry_kw,nie,0)),st_gry)</f>
        <v>0</v>
      </c>
      <c r="K340" s="361" cm="1">
        <f t="array" ref="K340">SUMPRODUCT(ISNUMBER(MATCH(mod_st_gry,$B$324,0))*('Koszty operacyjne'!$K$114:$X$114=Moduły!K$73)*ISNUMBER(MATCH(st_gry_kw,nie,0)),st_gry)</f>
        <v>0</v>
      </c>
      <c r="L340" s="361" cm="1">
        <f t="array" ref="L340">SUMPRODUCT(ISNUMBER(MATCH(mod_st_gry,$B$324,0))*('Koszty operacyjne'!$K$114:$X$114=Moduły!L$73)*ISNUMBER(MATCH(st_gry_kw,nie,0)),st_gry)</f>
        <v>0</v>
      </c>
      <c r="M340" s="361" cm="1">
        <f t="array" ref="M340">SUMPRODUCT(ISNUMBER(MATCH(mod_st_gry,$B$324,0))*('Koszty operacyjne'!$K$114:$X$114=Moduły!M$73)*ISNUMBER(MATCH(st_gry_kw,nie,0)),st_gry)</f>
        <v>0</v>
      </c>
      <c r="N340" s="361" cm="1">
        <f t="array" ref="N340">SUMPRODUCT(ISNUMBER(MATCH(mod_st_gry,$B$324,0))*('Koszty operacyjne'!$K$114:$X$114=Moduły!N$73)*ISNUMBER(MATCH(st_gry_kw,nie,0)),st_gry)</f>
        <v>0</v>
      </c>
      <c r="O340" s="361" cm="1">
        <f t="array" ref="O340">SUMPRODUCT(ISNUMBER(MATCH(mod_st_gry,$B$324,0))*('Koszty operacyjne'!$K$114:$X$114=Moduły!O$73)*ISNUMBER(MATCH(st_gry_kw,nie,0)),st_gry)</f>
        <v>0</v>
      </c>
      <c r="P340" s="361" cm="1">
        <f t="array" ref="P340">SUMPRODUCT(ISNUMBER(MATCH(mod_st_gry,$B$324,0))*('Koszty operacyjne'!$K$114:$X$114=Moduły!P$73)*ISNUMBER(MATCH(st_gry_kw,nie,0)),st_gry)</f>
        <v>0</v>
      </c>
    </row>
    <row r="341" spans="2:16" ht="3.9" customHeight="1">
      <c r="B341" s="8"/>
      <c r="C341" s="363"/>
      <c r="D341" s="363"/>
      <c r="E341" s="363"/>
      <c r="F341" s="363"/>
      <c r="G341" s="363"/>
      <c r="H341" s="363"/>
      <c r="I341" s="363"/>
      <c r="J341" s="363"/>
      <c r="K341" s="364"/>
      <c r="L341" s="364"/>
      <c r="M341" s="364"/>
      <c r="N341" s="364"/>
      <c r="O341" s="364"/>
      <c r="P341" s="364"/>
    </row>
    <row r="342" spans="2:16" ht="12" customHeight="1">
      <c r="B342" s="355" t="s">
        <v>99</v>
      </c>
      <c r="C342" s="356">
        <f t="shared" ref="C342:P342" si="189">SUM(C343:C344)</f>
        <v>0</v>
      </c>
      <c r="D342" s="356">
        <f t="shared" si="189"/>
        <v>0</v>
      </c>
      <c r="E342" s="356">
        <f t="shared" si="189"/>
        <v>0</v>
      </c>
      <c r="F342" s="356">
        <f t="shared" si="189"/>
        <v>0</v>
      </c>
      <c r="G342" s="356">
        <f t="shared" si="189"/>
        <v>0</v>
      </c>
      <c r="H342" s="356">
        <f t="shared" si="189"/>
        <v>0</v>
      </c>
      <c r="I342" s="356">
        <f t="shared" si="189"/>
        <v>0</v>
      </c>
      <c r="J342" s="356">
        <f t="shared" si="189"/>
        <v>0</v>
      </c>
      <c r="K342" s="356">
        <f t="shared" si="189"/>
        <v>0</v>
      </c>
      <c r="L342" s="356">
        <f t="shared" si="189"/>
        <v>0</v>
      </c>
      <c r="M342" s="356">
        <f t="shared" si="189"/>
        <v>0</v>
      </c>
      <c r="N342" s="356">
        <f t="shared" si="189"/>
        <v>0</v>
      </c>
      <c r="O342" s="356">
        <f t="shared" si="189"/>
        <v>0</v>
      </c>
      <c r="P342" s="356">
        <f t="shared" si="189"/>
        <v>0</v>
      </c>
    </row>
    <row r="343" spans="2:16" ht="12" customHeight="1">
      <c r="B343" s="357" t="s">
        <v>95</v>
      </c>
      <c r="C343" s="358" cm="1">
        <f t="array" ref="C343">SUMPRODUCT(ISNUMBER(MATCH(mod_st_bib,$B$324,0))*('Koszty operacyjne'!$K$114:$X$114=Moduły!C$73)*ISNUMBER(MATCH(st_bib_kw,tak,0)),st_bib)</f>
        <v>0</v>
      </c>
      <c r="D343" s="358" cm="1">
        <f t="array" ref="D343">SUMPRODUCT(ISNUMBER(MATCH(mod_st_bib,$B$324,0))*('Koszty operacyjne'!$K$114:$X$114=Moduły!D$73)*ISNUMBER(MATCH(st_bib_kw,tak,0)),st_bib)</f>
        <v>0</v>
      </c>
      <c r="E343" s="358" cm="1">
        <f t="array" ref="E343">SUMPRODUCT(ISNUMBER(MATCH(mod_st_bib,$B$324,0))*('Koszty operacyjne'!$K$114:$X$114=Moduły!E$73)*ISNUMBER(MATCH(st_bib_kw,tak,0)),st_bib)</f>
        <v>0</v>
      </c>
      <c r="F343" s="358" cm="1">
        <f t="array" ref="F343">SUMPRODUCT(ISNUMBER(MATCH(mod_st_bib,$B$324,0))*('Koszty operacyjne'!$K$114:$X$114=Moduły!F$73)*ISNUMBER(MATCH(st_bib_kw,tak,0)),st_bib)</f>
        <v>0</v>
      </c>
      <c r="G343" s="358" cm="1">
        <f t="array" ref="G343">SUMPRODUCT(ISNUMBER(MATCH(mod_st_bib,$B$324,0))*('Koszty operacyjne'!$K$114:$X$114=Moduły!G$73)*ISNUMBER(MATCH(st_bib_kw,tak,0)),st_bib)</f>
        <v>0</v>
      </c>
      <c r="H343" s="358" cm="1">
        <f t="array" ref="H343">SUMPRODUCT(ISNUMBER(MATCH(mod_st_bib,$B$324,0))*('Koszty operacyjne'!$K$114:$X$114=Moduły!H$73)*ISNUMBER(MATCH(st_bib_kw,tak,0)),st_bib)</f>
        <v>0</v>
      </c>
      <c r="I343" s="358" cm="1">
        <f t="array" ref="I343">SUMPRODUCT(ISNUMBER(MATCH(mod_st_bib,$B$324,0))*('Koszty operacyjne'!$K$114:$X$114=Moduły!I$73)*ISNUMBER(MATCH(st_bib_kw,tak,0)),st_bib)</f>
        <v>0</v>
      </c>
      <c r="J343" s="358" cm="1">
        <f t="array" ref="J343">SUMPRODUCT(ISNUMBER(MATCH(mod_st_bib,$B$324,0))*('Koszty operacyjne'!$K$114:$X$114=Moduły!J$73)*ISNUMBER(MATCH(st_bib_kw,tak,0)),st_bib)</f>
        <v>0</v>
      </c>
      <c r="K343" s="358" cm="1">
        <f t="array" ref="K343">SUMPRODUCT(ISNUMBER(MATCH(mod_st_bib,$B$324,0))*('Koszty operacyjne'!$K$114:$X$114=Moduły!K$73)*ISNUMBER(MATCH(st_bib_kw,tak,0)),st_bib)</f>
        <v>0</v>
      </c>
      <c r="L343" s="358" cm="1">
        <f t="array" ref="L343">SUMPRODUCT(ISNUMBER(MATCH(mod_st_bib,$B$324,0))*('Koszty operacyjne'!$K$114:$X$114=Moduły!L$73)*ISNUMBER(MATCH(st_bib_kw,tak,0)),st_bib)</f>
        <v>0</v>
      </c>
      <c r="M343" s="358" cm="1">
        <f t="array" ref="M343">SUMPRODUCT(ISNUMBER(MATCH(mod_st_bib,$B$324,0))*('Koszty operacyjne'!$K$114:$X$114=Moduły!M$73)*ISNUMBER(MATCH(st_bib_kw,tak,0)),st_bib)</f>
        <v>0</v>
      </c>
      <c r="N343" s="358" cm="1">
        <f t="array" ref="N343">SUMPRODUCT(ISNUMBER(MATCH(mod_st_bib,$B$324,0))*('Koszty operacyjne'!$K$114:$X$114=Moduły!N$73)*ISNUMBER(MATCH(st_bib_kw,tak,0)),st_bib)</f>
        <v>0</v>
      </c>
      <c r="O343" s="358" cm="1">
        <f t="array" ref="O343">SUMPRODUCT(ISNUMBER(MATCH(mod_st_bib,$B$324,0))*('Koszty operacyjne'!$K$114:$X$114=Moduły!O$73)*ISNUMBER(MATCH(st_bib_kw,tak,0)),st_bib)</f>
        <v>0</v>
      </c>
      <c r="P343" s="358" cm="1">
        <f t="array" ref="P343">SUMPRODUCT(ISNUMBER(MATCH(mod_st_bib,$B$324,0))*('Koszty operacyjne'!$K$114:$X$114=Moduły!P$73)*ISNUMBER(MATCH(st_bib_kw,tak,0)),st_bib)</f>
        <v>0</v>
      </c>
    </row>
    <row r="344" spans="2:16" ht="12" customHeight="1">
      <c r="B344" s="359" t="s">
        <v>96</v>
      </c>
      <c r="C344" s="360" cm="1">
        <f t="array" ref="C344">SUMPRODUCT(ISNUMBER(MATCH(mod_st_bib,$B$324,0))*('Koszty operacyjne'!$K$114:$X$114=Moduły!C$73)*ISNUMBER(MATCH(st_bib_kw,nie,0)),st_bib)</f>
        <v>0</v>
      </c>
      <c r="D344" s="360" cm="1">
        <f t="array" ref="D344">SUMPRODUCT(ISNUMBER(MATCH(mod_st_bib,$B$324,0))*('Koszty operacyjne'!$K$114:$X$114=Moduły!D$73)*ISNUMBER(MATCH(st_bib_kw,nie,0)),st_bib)</f>
        <v>0</v>
      </c>
      <c r="E344" s="360" cm="1">
        <f t="array" ref="E344">SUMPRODUCT(ISNUMBER(MATCH(mod_st_bib,$B$324,0))*('Koszty operacyjne'!$K$114:$X$114=Moduły!E$73)*ISNUMBER(MATCH(st_bib_kw,nie,0)),st_bib)</f>
        <v>0</v>
      </c>
      <c r="F344" s="360" cm="1">
        <f t="array" ref="F344">SUMPRODUCT(ISNUMBER(MATCH(mod_st_bib,$B$324,0))*('Koszty operacyjne'!$K$114:$X$114=Moduły!F$73)*ISNUMBER(MATCH(st_bib_kw,nie,0)),st_bib)</f>
        <v>0</v>
      </c>
      <c r="G344" s="360" cm="1">
        <f t="array" ref="G344">SUMPRODUCT(ISNUMBER(MATCH(mod_st_bib,$B$324,0))*('Koszty operacyjne'!$K$114:$X$114=Moduły!G$73)*ISNUMBER(MATCH(st_bib_kw,nie,0)),st_bib)</f>
        <v>0</v>
      </c>
      <c r="H344" s="360" cm="1">
        <f t="array" ref="H344">SUMPRODUCT(ISNUMBER(MATCH(mod_st_bib,$B$324,0))*('Koszty operacyjne'!$K$114:$X$114=Moduły!H$73)*ISNUMBER(MATCH(st_bib_kw,nie,0)),st_bib)</f>
        <v>0</v>
      </c>
      <c r="I344" s="360" cm="1">
        <f t="array" ref="I344">SUMPRODUCT(ISNUMBER(MATCH(mod_st_bib,$B$324,0))*('Koszty operacyjne'!$K$114:$X$114=Moduły!I$73)*ISNUMBER(MATCH(st_bib_kw,nie,0)),st_bib)</f>
        <v>0</v>
      </c>
      <c r="J344" s="360" cm="1">
        <f t="array" ref="J344">SUMPRODUCT(ISNUMBER(MATCH(mod_st_bib,$B$324,0))*('Koszty operacyjne'!$K$114:$X$114=Moduły!J$73)*ISNUMBER(MATCH(st_bib_kw,nie,0)),st_bib)</f>
        <v>0</v>
      </c>
      <c r="K344" s="361" cm="1">
        <f t="array" ref="K344">SUMPRODUCT(ISNUMBER(MATCH(mod_st_bib,$B$324,0))*('Koszty operacyjne'!$K$114:$X$114=Moduły!K$73)*ISNUMBER(MATCH(st_bib_kw,nie,0)),st_bib)</f>
        <v>0</v>
      </c>
      <c r="L344" s="361" cm="1">
        <f t="array" ref="L344">SUMPRODUCT(ISNUMBER(MATCH(mod_st_bib,$B$324,0))*('Koszty operacyjne'!$K$114:$X$114=Moduły!L$73)*ISNUMBER(MATCH(st_bib_kw,nie,0)),st_bib)</f>
        <v>0</v>
      </c>
      <c r="M344" s="361" cm="1">
        <f t="array" ref="M344">SUMPRODUCT(ISNUMBER(MATCH(mod_st_bib,$B$324,0))*('Koszty operacyjne'!$K$114:$X$114=Moduły!M$73)*ISNUMBER(MATCH(st_bib_kw,nie,0)),st_bib)</f>
        <v>0</v>
      </c>
      <c r="N344" s="361" cm="1">
        <f t="array" ref="N344">SUMPRODUCT(ISNUMBER(MATCH(mod_st_bib,$B$324,0))*('Koszty operacyjne'!$K$114:$X$114=Moduły!N$73)*ISNUMBER(MATCH(st_bib_kw,nie,0)),st_bib)</f>
        <v>0</v>
      </c>
      <c r="O344" s="361" cm="1">
        <f t="array" ref="O344">SUMPRODUCT(ISNUMBER(MATCH(mod_st_bib,$B$324,0))*('Koszty operacyjne'!$K$114:$X$114=Moduły!O$73)*ISNUMBER(MATCH(st_bib_kw,nie,0)),st_bib)</f>
        <v>0</v>
      </c>
      <c r="P344" s="361" cm="1">
        <f t="array" ref="P344">SUMPRODUCT(ISNUMBER(MATCH(mod_st_bib,$B$324,0))*('Koszty operacyjne'!$K$114:$X$114=Moduły!P$73)*ISNUMBER(MATCH(st_bib_kw,nie,0)),st_bib)</f>
        <v>0</v>
      </c>
    </row>
    <row r="345" spans="2:16" ht="3.9" customHeight="1">
      <c r="B345" s="8"/>
      <c r="C345" s="363"/>
      <c r="D345" s="363"/>
      <c r="E345" s="363"/>
      <c r="F345" s="363"/>
      <c r="G345" s="363"/>
      <c r="H345" s="363"/>
      <c r="I345" s="363"/>
      <c r="J345" s="363"/>
      <c r="K345" s="364"/>
      <c r="L345" s="364"/>
      <c r="M345" s="364"/>
      <c r="N345" s="364"/>
      <c r="O345" s="364"/>
      <c r="P345" s="364"/>
    </row>
    <row r="346" spans="2:16" ht="12" customHeight="1">
      <c r="B346" s="355" t="s">
        <v>100</v>
      </c>
      <c r="C346" s="356">
        <f t="shared" ref="C346:P346" si="190">SUM(C347:C348)</f>
        <v>0</v>
      </c>
      <c r="D346" s="356">
        <f t="shared" si="190"/>
        <v>0</v>
      </c>
      <c r="E346" s="356">
        <f t="shared" si="190"/>
        <v>0</v>
      </c>
      <c r="F346" s="356">
        <f t="shared" si="190"/>
        <v>0</v>
      </c>
      <c r="G346" s="356">
        <f t="shared" si="190"/>
        <v>0</v>
      </c>
      <c r="H346" s="356">
        <f t="shared" si="190"/>
        <v>0</v>
      </c>
      <c r="I346" s="356">
        <f t="shared" si="190"/>
        <v>0</v>
      </c>
      <c r="J346" s="356">
        <f t="shared" si="190"/>
        <v>0</v>
      </c>
      <c r="K346" s="356">
        <f t="shared" si="190"/>
        <v>0</v>
      </c>
      <c r="L346" s="356">
        <f t="shared" si="190"/>
        <v>0</v>
      </c>
      <c r="M346" s="356">
        <f t="shared" si="190"/>
        <v>0</v>
      </c>
      <c r="N346" s="356">
        <f t="shared" si="190"/>
        <v>0</v>
      </c>
      <c r="O346" s="356">
        <f t="shared" si="190"/>
        <v>0</v>
      </c>
      <c r="P346" s="356">
        <f t="shared" si="190"/>
        <v>0</v>
      </c>
    </row>
    <row r="347" spans="2:16" ht="12" customHeight="1">
      <c r="B347" s="357" t="s">
        <v>95</v>
      </c>
      <c r="C347" s="358" cm="1">
        <f t="array" ref="C347">SUMPRODUCT(ISNUMBER(MATCH(mod_st_utm,$B$324,0))*('Koszty operacyjne'!$K$114:$X$114=Moduły!C$73)*ISNUMBER(MATCH(st_utm_kw,tak,0)),st_utm)</f>
        <v>0</v>
      </c>
      <c r="D347" s="358" cm="1">
        <f t="array" ref="D347">SUMPRODUCT(ISNUMBER(MATCH(mod_st_utm,$B$324,0))*('Koszty operacyjne'!$K$114:$X$114=Moduły!D$73)*ISNUMBER(MATCH(st_utm_kw,tak,0)),st_utm)</f>
        <v>0</v>
      </c>
      <c r="E347" s="358" cm="1">
        <f t="array" ref="E347">SUMPRODUCT(ISNUMBER(MATCH(mod_st_utm,$B$324,0))*('Koszty operacyjne'!$K$114:$X$114=Moduły!E$73)*ISNUMBER(MATCH(st_utm_kw,tak,0)),st_utm)</f>
        <v>0</v>
      </c>
      <c r="F347" s="358" cm="1">
        <f t="array" ref="F347">SUMPRODUCT(ISNUMBER(MATCH(mod_st_utm,$B$324,0))*('Koszty operacyjne'!$K$114:$X$114=Moduły!F$73)*ISNUMBER(MATCH(st_utm_kw,tak,0)),st_utm)</f>
        <v>0</v>
      </c>
      <c r="G347" s="358" cm="1">
        <f t="array" ref="G347">SUMPRODUCT(ISNUMBER(MATCH(mod_st_utm,$B$324,0))*('Koszty operacyjne'!$K$114:$X$114=Moduły!G$73)*ISNUMBER(MATCH(st_utm_kw,tak,0)),st_utm)</f>
        <v>0</v>
      </c>
      <c r="H347" s="358" cm="1">
        <f t="array" ref="H347">SUMPRODUCT(ISNUMBER(MATCH(mod_st_utm,$B$324,0))*('Koszty operacyjne'!$K$114:$X$114=Moduły!H$73)*ISNUMBER(MATCH(st_utm_kw,tak,0)),st_utm)</f>
        <v>0</v>
      </c>
      <c r="I347" s="358" cm="1">
        <f t="array" ref="I347">SUMPRODUCT(ISNUMBER(MATCH(mod_st_utm,$B$324,0))*('Koszty operacyjne'!$K$114:$X$114=Moduły!I$73)*ISNUMBER(MATCH(st_utm_kw,tak,0)),st_utm)</f>
        <v>0</v>
      </c>
      <c r="J347" s="358" cm="1">
        <f t="array" ref="J347">SUMPRODUCT(ISNUMBER(MATCH(mod_st_utm,$B$324,0))*('Koszty operacyjne'!$K$114:$X$114=Moduły!J$73)*ISNUMBER(MATCH(st_utm_kw,tak,0)),st_utm)</f>
        <v>0</v>
      </c>
      <c r="K347" s="358" cm="1">
        <f t="array" ref="K347">SUMPRODUCT(ISNUMBER(MATCH(mod_st_utm,$B$324,0))*('Koszty operacyjne'!$K$114:$X$114=Moduły!K$73)*ISNUMBER(MATCH(st_utm_kw,tak,0)),st_utm)</f>
        <v>0</v>
      </c>
      <c r="L347" s="358" cm="1">
        <f t="array" ref="L347">SUMPRODUCT(ISNUMBER(MATCH(mod_st_utm,$B$324,0))*('Koszty operacyjne'!$K$114:$X$114=Moduły!L$73)*ISNUMBER(MATCH(st_utm_kw,tak,0)),st_utm)</f>
        <v>0</v>
      </c>
      <c r="M347" s="358" cm="1">
        <f t="array" ref="M347">SUMPRODUCT(ISNUMBER(MATCH(mod_st_utm,$B$324,0))*('Koszty operacyjne'!$K$114:$X$114=Moduły!M$73)*ISNUMBER(MATCH(st_utm_kw,tak,0)),st_utm)</f>
        <v>0</v>
      </c>
      <c r="N347" s="358" cm="1">
        <f t="array" ref="N347">SUMPRODUCT(ISNUMBER(MATCH(mod_st_utm,$B$324,0))*('Koszty operacyjne'!$K$114:$X$114=Moduły!N$73)*ISNUMBER(MATCH(st_utm_kw,tak,0)),st_utm)</f>
        <v>0</v>
      </c>
      <c r="O347" s="358" cm="1">
        <f t="array" ref="O347">SUMPRODUCT(ISNUMBER(MATCH(mod_st_utm,$B$324,0))*('Koszty operacyjne'!$K$114:$X$114=Moduły!O$73)*ISNUMBER(MATCH(st_utm_kw,tak,0)),st_utm)</f>
        <v>0</v>
      </c>
      <c r="P347" s="358" cm="1">
        <f t="array" ref="P347">SUMPRODUCT(ISNUMBER(MATCH(mod_st_utm,$B$324,0))*('Koszty operacyjne'!$K$114:$X$114=Moduły!P$73)*ISNUMBER(MATCH(st_utm_kw,tak,0)),st_utm)</f>
        <v>0</v>
      </c>
    </row>
    <row r="348" spans="2:16" ht="12" customHeight="1">
      <c r="B348" s="359" t="s">
        <v>96</v>
      </c>
      <c r="C348" s="360" cm="1">
        <f t="array" ref="C348">SUMPRODUCT(ISNUMBER(MATCH(mod_st_utm,$B$324,0))*('Koszty operacyjne'!$K$114:$X$114=Moduły!C$73)*ISNUMBER(MATCH(st_utm_kw,nie,0)),st_utm)</f>
        <v>0</v>
      </c>
      <c r="D348" s="360" cm="1">
        <f t="array" ref="D348">SUMPRODUCT(ISNUMBER(MATCH(mod_st_utm,$B$324,0))*('Koszty operacyjne'!$K$114:$X$114=Moduły!D$73)*ISNUMBER(MATCH(st_utm_kw,nie,0)),st_utm)</f>
        <v>0</v>
      </c>
      <c r="E348" s="360" cm="1">
        <f t="array" ref="E348">SUMPRODUCT(ISNUMBER(MATCH(mod_st_utm,$B$324,0))*('Koszty operacyjne'!$K$114:$X$114=Moduły!E$73)*ISNUMBER(MATCH(st_utm_kw,nie,0)),st_utm)</f>
        <v>0</v>
      </c>
      <c r="F348" s="360" cm="1">
        <f t="array" ref="F348">SUMPRODUCT(ISNUMBER(MATCH(mod_st_utm,$B$324,0))*('Koszty operacyjne'!$K$114:$X$114=Moduły!F$73)*ISNUMBER(MATCH(st_utm_kw,nie,0)),st_utm)</f>
        <v>0</v>
      </c>
      <c r="G348" s="360" cm="1">
        <f t="array" ref="G348">SUMPRODUCT(ISNUMBER(MATCH(mod_st_utm,$B$324,0))*('Koszty operacyjne'!$K$114:$X$114=Moduły!G$73)*ISNUMBER(MATCH(st_utm_kw,nie,0)),st_utm)</f>
        <v>0</v>
      </c>
      <c r="H348" s="360" cm="1">
        <f t="array" ref="H348">SUMPRODUCT(ISNUMBER(MATCH(mod_st_utm,$B$324,0))*('Koszty operacyjne'!$K$114:$X$114=Moduły!H$73)*ISNUMBER(MATCH(st_utm_kw,nie,0)),st_utm)</f>
        <v>0</v>
      </c>
      <c r="I348" s="360" cm="1">
        <f t="array" ref="I348">SUMPRODUCT(ISNUMBER(MATCH(mod_st_utm,$B$324,0))*('Koszty operacyjne'!$K$114:$X$114=Moduły!I$73)*ISNUMBER(MATCH(st_utm_kw,nie,0)),st_utm)</f>
        <v>0</v>
      </c>
      <c r="J348" s="360" cm="1">
        <f t="array" ref="J348">SUMPRODUCT(ISNUMBER(MATCH(mod_st_utm,$B$324,0))*('Koszty operacyjne'!$K$114:$X$114=Moduły!J$73)*ISNUMBER(MATCH(st_utm_kw,nie,0)),st_utm)</f>
        <v>0</v>
      </c>
      <c r="K348" s="361" cm="1">
        <f t="array" ref="K348">SUMPRODUCT(ISNUMBER(MATCH(mod_st_utm,$B$324,0))*('Koszty operacyjne'!$K$114:$X$114=Moduły!K$73)*ISNUMBER(MATCH(st_utm_kw,nie,0)),st_utm)</f>
        <v>0</v>
      </c>
      <c r="L348" s="361" cm="1">
        <f t="array" ref="L348">SUMPRODUCT(ISNUMBER(MATCH(mod_st_utm,$B$324,0))*('Koszty operacyjne'!$K$114:$X$114=Moduły!L$73)*ISNUMBER(MATCH(st_utm_kw,nie,0)),st_utm)</f>
        <v>0</v>
      </c>
      <c r="M348" s="361" cm="1">
        <f t="array" ref="M348">SUMPRODUCT(ISNUMBER(MATCH(mod_st_utm,$B$324,0))*('Koszty operacyjne'!$K$114:$X$114=Moduły!M$73)*ISNUMBER(MATCH(st_utm_kw,nie,0)),st_utm)</f>
        <v>0</v>
      </c>
      <c r="N348" s="361" cm="1">
        <f t="array" ref="N348">SUMPRODUCT(ISNUMBER(MATCH(mod_st_utm,$B$324,0))*('Koszty operacyjne'!$K$114:$X$114=Moduły!N$73)*ISNUMBER(MATCH(st_utm_kw,nie,0)),st_utm)</f>
        <v>0</v>
      </c>
      <c r="O348" s="361" cm="1">
        <f t="array" ref="O348">SUMPRODUCT(ISNUMBER(MATCH(mod_st_utm,$B$324,0))*('Koszty operacyjne'!$K$114:$X$114=Moduły!O$73)*ISNUMBER(MATCH(st_utm_kw,nie,0)),st_utm)</f>
        <v>0</v>
      </c>
      <c r="P348" s="361" cm="1">
        <f t="array" ref="P348">SUMPRODUCT(ISNUMBER(MATCH(mod_st_utm,$B$324,0))*('Koszty operacyjne'!$K$114:$X$114=Moduły!P$73)*ISNUMBER(MATCH(st_utm_kw,nie,0)),st_utm)</f>
        <v>0</v>
      </c>
    </row>
    <row r="349" spans="2:16" ht="3.9" customHeight="1">
      <c r="B349" s="8"/>
      <c r="C349" s="363"/>
      <c r="D349" s="363"/>
      <c r="E349" s="363"/>
      <c r="F349" s="363"/>
      <c r="G349" s="363"/>
      <c r="H349" s="363"/>
      <c r="I349" s="363"/>
      <c r="J349" s="363"/>
      <c r="K349" s="364"/>
      <c r="L349" s="364"/>
      <c r="M349" s="364"/>
      <c r="N349" s="364"/>
      <c r="O349" s="364"/>
      <c r="P349" s="364"/>
    </row>
    <row r="350" spans="2:16" ht="12" customHeight="1">
      <c r="B350" s="355" t="s">
        <v>101</v>
      </c>
      <c r="C350" s="356">
        <f t="shared" ref="C350:P350" si="191">SUM(C351:C352)</f>
        <v>0</v>
      </c>
      <c r="D350" s="356">
        <f t="shared" si="191"/>
        <v>0</v>
      </c>
      <c r="E350" s="356">
        <f t="shared" si="191"/>
        <v>0</v>
      </c>
      <c r="F350" s="356">
        <f t="shared" si="191"/>
        <v>0</v>
      </c>
      <c r="G350" s="356">
        <f t="shared" si="191"/>
        <v>0</v>
      </c>
      <c r="H350" s="356">
        <f t="shared" si="191"/>
        <v>0</v>
      </c>
      <c r="I350" s="356">
        <f t="shared" si="191"/>
        <v>0</v>
      </c>
      <c r="J350" s="356">
        <f t="shared" si="191"/>
        <v>0</v>
      </c>
      <c r="K350" s="356">
        <f t="shared" si="191"/>
        <v>0</v>
      </c>
      <c r="L350" s="356">
        <f t="shared" si="191"/>
        <v>0</v>
      </c>
      <c r="M350" s="356">
        <f t="shared" si="191"/>
        <v>0</v>
      </c>
      <c r="N350" s="356">
        <f t="shared" si="191"/>
        <v>0</v>
      </c>
      <c r="O350" s="356">
        <f t="shared" si="191"/>
        <v>0</v>
      </c>
      <c r="P350" s="356">
        <f t="shared" si="191"/>
        <v>0</v>
      </c>
    </row>
    <row r="351" spans="2:16" ht="12" customHeight="1">
      <c r="B351" s="357" t="s">
        <v>95</v>
      </c>
      <c r="C351" s="358" cm="1">
        <f t="array" ref="C351">SUMPRODUCT(ISNUMBER(MATCH(mod_st_stu,$B$324,0))*('Koszty operacyjne'!$K$114:$X$114=Moduły!C$73)*ISNUMBER(MATCH(st_stu_kw,tak,0)),st_stu)</f>
        <v>0</v>
      </c>
      <c r="D351" s="358" cm="1">
        <f t="array" ref="D351">SUMPRODUCT(ISNUMBER(MATCH(mod_st_stu,$B$324,0))*('Koszty operacyjne'!$K$114:$X$114=Moduły!D$73)*ISNUMBER(MATCH(st_stu_kw,tak,0)),st_stu)</f>
        <v>0</v>
      </c>
      <c r="E351" s="358" cm="1">
        <f t="array" ref="E351">SUMPRODUCT(ISNUMBER(MATCH(mod_st_stu,$B$324,0))*('Koszty operacyjne'!$K$114:$X$114=Moduły!E$73)*ISNUMBER(MATCH(st_stu_kw,tak,0)),st_stu)</f>
        <v>0</v>
      </c>
      <c r="F351" s="358" cm="1">
        <f t="array" ref="F351">SUMPRODUCT(ISNUMBER(MATCH(mod_st_stu,$B$324,0))*('Koszty operacyjne'!$K$114:$X$114=Moduły!F$73)*ISNUMBER(MATCH(st_stu_kw,tak,0)),st_stu)</f>
        <v>0</v>
      </c>
      <c r="G351" s="358" cm="1">
        <f t="array" ref="G351">SUMPRODUCT(ISNUMBER(MATCH(mod_st_stu,$B$324,0))*('Koszty operacyjne'!$K$114:$X$114=Moduły!G$73)*ISNUMBER(MATCH(st_stu_kw,tak,0)),st_stu)</f>
        <v>0</v>
      </c>
      <c r="H351" s="358" cm="1">
        <f t="array" ref="H351">SUMPRODUCT(ISNUMBER(MATCH(mod_st_stu,$B$324,0))*('Koszty operacyjne'!$K$114:$X$114=Moduły!H$73)*ISNUMBER(MATCH(st_stu_kw,tak,0)),st_stu)</f>
        <v>0</v>
      </c>
      <c r="I351" s="358" cm="1">
        <f t="array" ref="I351">SUMPRODUCT(ISNUMBER(MATCH(mod_st_stu,$B$324,0))*('Koszty operacyjne'!$K$114:$X$114=Moduły!I$73)*ISNUMBER(MATCH(st_stu_kw,tak,0)),st_stu)</f>
        <v>0</v>
      </c>
      <c r="J351" s="358" cm="1">
        <f t="array" ref="J351">SUMPRODUCT(ISNUMBER(MATCH(mod_st_stu,$B$324,0))*('Koszty operacyjne'!$K$114:$X$114=Moduły!J$73)*ISNUMBER(MATCH(st_stu_kw,tak,0)),st_stu)</f>
        <v>0</v>
      </c>
      <c r="K351" s="358" cm="1">
        <f t="array" ref="K351">SUMPRODUCT(ISNUMBER(MATCH(mod_st_stu,$B$324,0))*('Koszty operacyjne'!$K$114:$X$114=Moduły!K$73)*ISNUMBER(MATCH(st_stu_kw,tak,0)),st_stu)</f>
        <v>0</v>
      </c>
      <c r="L351" s="358" cm="1">
        <f t="array" ref="L351">SUMPRODUCT(ISNUMBER(MATCH(mod_st_stu,$B$324,0))*('Koszty operacyjne'!$K$114:$X$114=Moduły!L$73)*ISNUMBER(MATCH(st_stu_kw,tak,0)),st_stu)</f>
        <v>0</v>
      </c>
      <c r="M351" s="358" cm="1">
        <f t="array" ref="M351">SUMPRODUCT(ISNUMBER(MATCH(mod_st_stu,$B$324,0))*('Koszty operacyjne'!$K$114:$X$114=Moduły!M$73)*ISNUMBER(MATCH(st_stu_kw,tak,0)),st_stu)</f>
        <v>0</v>
      </c>
      <c r="N351" s="358" cm="1">
        <f t="array" ref="N351">SUMPRODUCT(ISNUMBER(MATCH(mod_st_stu,$B$324,0))*('Koszty operacyjne'!$K$114:$X$114=Moduły!N$73)*ISNUMBER(MATCH(st_stu_kw,tak,0)),st_stu)</f>
        <v>0</v>
      </c>
      <c r="O351" s="358" cm="1">
        <f t="array" ref="O351">SUMPRODUCT(ISNUMBER(MATCH(mod_st_stu,$B$324,0))*('Koszty operacyjne'!$K$114:$X$114=Moduły!O$73)*ISNUMBER(MATCH(st_stu_kw,tak,0)),st_stu)</f>
        <v>0</v>
      </c>
      <c r="P351" s="358" cm="1">
        <f t="array" ref="P351">SUMPRODUCT(ISNUMBER(MATCH(mod_st_stu,$B$324,0))*('Koszty operacyjne'!$K$114:$X$114=Moduły!P$73)*ISNUMBER(MATCH(st_stu_kw,tak,0)),st_stu)</f>
        <v>0</v>
      </c>
    </row>
    <row r="352" spans="2:16" ht="12" customHeight="1">
      <c r="B352" s="359" t="s">
        <v>96</v>
      </c>
      <c r="C352" s="360" cm="1">
        <f t="array" ref="C352">SUMPRODUCT(ISNUMBER(MATCH(mod_st_stu,$B$324,0))*('Koszty operacyjne'!$K$114:$X$114=Moduły!C$73)*ISNUMBER(MATCH(st_stu_kw,nie,0)),st_stu)</f>
        <v>0</v>
      </c>
      <c r="D352" s="360" cm="1">
        <f t="array" ref="D352">SUMPRODUCT(ISNUMBER(MATCH(mod_st_stu,$B$324,0))*('Koszty operacyjne'!$K$114:$X$114=Moduły!D$73)*ISNUMBER(MATCH(st_stu_kw,nie,0)),st_stu)</f>
        <v>0</v>
      </c>
      <c r="E352" s="360" cm="1">
        <f t="array" ref="E352">SUMPRODUCT(ISNUMBER(MATCH(mod_st_stu,$B$324,0))*('Koszty operacyjne'!$K$114:$X$114=Moduły!E$73)*ISNUMBER(MATCH(st_stu_kw,nie,0)),st_stu)</f>
        <v>0</v>
      </c>
      <c r="F352" s="360" cm="1">
        <f t="array" ref="F352">SUMPRODUCT(ISNUMBER(MATCH(mod_st_stu,$B$324,0))*('Koszty operacyjne'!$K$114:$X$114=Moduły!F$73)*ISNUMBER(MATCH(st_stu_kw,nie,0)),st_stu)</f>
        <v>0</v>
      </c>
      <c r="G352" s="360" cm="1">
        <f t="array" ref="G352">SUMPRODUCT(ISNUMBER(MATCH(mod_st_stu,$B$324,0))*('Koszty operacyjne'!$K$114:$X$114=Moduły!G$73)*ISNUMBER(MATCH(st_stu_kw,nie,0)),st_stu)</f>
        <v>0</v>
      </c>
      <c r="H352" s="360" cm="1">
        <f t="array" ref="H352">SUMPRODUCT(ISNUMBER(MATCH(mod_st_stu,$B$324,0))*('Koszty operacyjne'!$K$114:$X$114=Moduły!H$73)*ISNUMBER(MATCH(st_stu_kw,nie,0)),st_stu)</f>
        <v>0</v>
      </c>
      <c r="I352" s="360" cm="1">
        <f t="array" ref="I352">SUMPRODUCT(ISNUMBER(MATCH(mod_st_stu,$B$324,0))*('Koszty operacyjne'!$K$114:$X$114=Moduły!I$73)*ISNUMBER(MATCH(st_stu_kw,nie,0)),st_stu)</f>
        <v>0</v>
      </c>
      <c r="J352" s="360" cm="1">
        <f t="array" ref="J352">SUMPRODUCT(ISNUMBER(MATCH(mod_st_stu,$B$324,0))*('Koszty operacyjne'!$K$114:$X$114=Moduły!J$73)*ISNUMBER(MATCH(st_stu_kw,nie,0)),st_stu)</f>
        <v>0</v>
      </c>
      <c r="K352" s="361" cm="1">
        <f t="array" ref="K352">SUMPRODUCT(ISNUMBER(MATCH(mod_st_stu,$B$324,0))*('Koszty operacyjne'!$K$114:$X$114=Moduły!K$73)*ISNUMBER(MATCH(st_stu_kw,nie,0)),st_stu)</f>
        <v>0</v>
      </c>
      <c r="L352" s="361" cm="1">
        <f t="array" ref="L352">SUMPRODUCT(ISNUMBER(MATCH(mod_st_stu,$B$324,0))*('Koszty operacyjne'!$K$114:$X$114=Moduły!L$73)*ISNUMBER(MATCH(st_stu_kw,nie,0)),st_stu)</f>
        <v>0</v>
      </c>
      <c r="M352" s="361" cm="1">
        <f t="array" ref="M352">SUMPRODUCT(ISNUMBER(MATCH(mod_st_stu,$B$324,0))*('Koszty operacyjne'!$K$114:$X$114=Moduły!M$73)*ISNUMBER(MATCH(st_stu_kw,nie,0)),st_stu)</f>
        <v>0</v>
      </c>
      <c r="N352" s="361" cm="1">
        <f t="array" ref="N352">SUMPRODUCT(ISNUMBER(MATCH(mod_st_stu,$B$324,0))*('Koszty operacyjne'!$K$114:$X$114=Moduły!N$73)*ISNUMBER(MATCH(st_stu_kw,nie,0)),st_stu)</f>
        <v>0</v>
      </c>
      <c r="O352" s="361" cm="1">
        <f t="array" ref="O352">SUMPRODUCT(ISNUMBER(MATCH(mod_st_stu,$B$324,0))*('Koszty operacyjne'!$K$114:$X$114=Moduły!O$73)*ISNUMBER(MATCH(st_stu_kw,nie,0)),st_stu)</f>
        <v>0</v>
      </c>
      <c r="P352" s="361" cm="1">
        <f t="array" ref="P352">SUMPRODUCT(ISNUMBER(MATCH(mod_st_stu,$B$324,0))*('Koszty operacyjne'!$K$114:$X$114=Moduły!P$73)*ISNUMBER(MATCH(st_stu_kw,nie,0)),st_stu)</f>
        <v>0</v>
      </c>
    </row>
    <row r="353" spans="2:16" ht="3.9" customHeight="1">
      <c r="B353" s="8"/>
      <c r="C353" s="363"/>
      <c r="D353" s="363"/>
      <c r="E353" s="363"/>
      <c r="F353" s="363"/>
      <c r="G353" s="363"/>
      <c r="H353" s="363"/>
      <c r="I353" s="363"/>
      <c r="J353" s="363"/>
      <c r="K353" s="364"/>
      <c r="L353" s="364"/>
      <c r="M353" s="364"/>
      <c r="N353" s="364"/>
      <c r="O353" s="364"/>
      <c r="P353" s="364"/>
    </row>
    <row r="354" spans="2:16" ht="12" customHeight="1">
      <c r="B354" s="355" t="s">
        <v>102</v>
      </c>
      <c r="C354" s="356">
        <f t="shared" ref="C354:P354" si="192">SUM(C355:C356)</f>
        <v>0</v>
      </c>
      <c r="D354" s="356">
        <f t="shared" si="192"/>
        <v>0</v>
      </c>
      <c r="E354" s="356">
        <f t="shared" si="192"/>
        <v>0</v>
      </c>
      <c r="F354" s="356">
        <f t="shared" si="192"/>
        <v>0</v>
      </c>
      <c r="G354" s="356">
        <f t="shared" si="192"/>
        <v>0</v>
      </c>
      <c r="H354" s="356">
        <f t="shared" si="192"/>
        <v>0</v>
      </c>
      <c r="I354" s="356">
        <f t="shared" si="192"/>
        <v>0</v>
      </c>
      <c r="J354" s="356">
        <f t="shared" si="192"/>
        <v>0</v>
      </c>
      <c r="K354" s="356">
        <f t="shared" si="192"/>
        <v>0</v>
      </c>
      <c r="L354" s="356">
        <f t="shared" si="192"/>
        <v>0</v>
      </c>
      <c r="M354" s="356">
        <f t="shared" si="192"/>
        <v>0</v>
      </c>
      <c r="N354" s="356">
        <f t="shared" si="192"/>
        <v>0</v>
      </c>
      <c r="O354" s="356">
        <f t="shared" si="192"/>
        <v>0</v>
      </c>
      <c r="P354" s="356">
        <f t="shared" si="192"/>
        <v>0</v>
      </c>
    </row>
    <row r="355" spans="2:16" ht="12" customHeight="1">
      <c r="B355" s="357" t="s">
        <v>95</v>
      </c>
      <c r="C355" s="358" cm="1">
        <f t="array" ref="C355">SUMPRODUCT(ISNUMBER(MATCH(mod_st_ist,$B$324,0))*('Koszty operacyjne'!$K$114:$X$114=Moduły!C$73)*ISNUMBER(MATCH(st_ist_kw,tak,0)),st_ist)</f>
        <v>0</v>
      </c>
      <c r="D355" s="358" cm="1">
        <f t="array" ref="D355">SUMPRODUCT(ISNUMBER(MATCH(mod_st_ist,$B$324,0))*('Koszty operacyjne'!$K$114:$X$114=Moduły!D$73)*ISNUMBER(MATCH(st_ist_kw,tak,0)),st_ist)</f>
        <v>0</v>
      </c>
      <c r="E355" s="358" cm="1">
        <f t="array" ref="E355">SUMPRODUCT(ISNUMBER(MATCH(mod_st_ist,$B$324,0))*('Koszty operacyjne'!$K$114:$X$114=Moduły!E$73)*ISNUMBER(MATCH(st_ist_kw,tak,0)),st_ist)</f>
        <v>0</v>
      </c>
      <c r="F355" s="358" cm="1">
        <f t="array" ref="F355">SUMPRODUCT(ISNUMBER(MATCH(mod_st_ist,$B$324,0))*('Koszty operacyjne'!$K$114:$X$114=Moduły!F$73)*ISNUMBER(MATCH(st_ist_kw,tak,0)),st_ist)</f>
        <v>0</v>
      </c>
      <c r="G355" s="358" cm="1">
        <f t="array" ref="G355">SUMPRODUCT(ISNUMBER(MATCH(mod_st_ist,$B$324,0))*('Koszty operacyjne'!$K$114:$X$114=Moduły!G$73)*ISNUMBER(MATCH(st_ist_kw,tak,0)),st_ist)</f>
        <v>0</v>
      </c>
      <c r="H355" s="358" cm="1">
        <f t="array" ref="H355">SUMPRODUCT(ISNUMBER(MATCH(mod_st_ist,$B$324,0))*('Koszty operacyjne'!$K$114:$X$114=Moduły!H$73)*ISNUMBER(MATCH(st_ist_kw,tak,0)),st_ist)</f>
        <v>0</v>
      </c>
      <c r="I355" s="358" cm="1">
        <f t="array" ref="I355">SUMPRODUCT(ISNUMBER(MATCH(mod_st_ist,$B$324,0))*('Koszty operacyjne'!$K$114:$X$114=Moduły!I$73)*ISNUMBER(MATCH(st_ist_kw,tak,0)),st_ist)</f>
        <v>0</v>
      </c>
      <c r="J355" s="358" cm="1">
        <f t="array" ref="J355">SUMPRODUCT(ISNUMBER(MATCH(mod_st_ist,$B$324,0))*('Koszty operacyjne'!$K$114:$X$114=Moduły!J$73)*ISNUMBER(MATCH(st_ist_kw,tak,0)),st_ist)</f>
        <v>0</v>
      </c>
      <c r="K355" s="358" cm="1">
        <f t="array" ref="K355">SUMPRODUCT(ISNUMBER(MATCH(mod_st_ist,$B$324,0))*('Koszty operacyjne'!$K$114:$X$114=Moduły!K$73)*ISNUMBER(MATCH(st_ist_kw,tak,0)),st_ist)</f>
        <v>0</v>
      </c>
      <c r="L355" s="358" cm="1">
        <f t="array" ref="L355">SUMPRODUCT(ISNUMBER(MATCH(mod_st_ist,$B$324,0))*('Koszty operacyjne'!$K$114:$X$114=Moduły!L$73)*ISNUMBER(MATCH(st_ist_kw,tak,0)),st_ist)</f>
        <v>0</v>
      </c>
      <c r="M355" s="358" cm="1">
        <f t="array" ref="M355">SUMPRODUCT(ISNUMBER(MATCH(mod_st_ist,$B$324,0))*('Koszty operacyjne'!$K$114:$X$114=Moduły!M$73)*ISNUMBER(MATCH(st_ist_kw,tak,0)),st_ist)</f>
        <v>0</v>
      </c>
      <c r="N355" s="358" cm="1">
        <f t="array" ref="N355">SUMPRODUCT(ISNUMBER(MATCH(mod_st_ist,$B$324,0))*('Koszty operacyjne'!$K$114:$X$114=Moduły!N$73)*ISNUMBER(MATCH(st_ist_kw,tak,0)),st_ist)</f>
        <v>0</v>
      </c>
      <c r="O355" s="358" cm="1">
        <f t="array" ref="O355">SUMPRODUCT(ISNUMBER(MATCH(mod_st_ist,$B$324,0))*('Koszty operacyjne'!$K$114:$X$114=Moduły!O$73)*ISNUMBER(MATCH(st_ist_kw,tak,0)),st_ist)</f>
        <v>0</v>
      </c>
      <c r="P355" s="358" cm="1">
        <f t="array" ref="P355">SUMPRODUCT(ISNUMBER(MATCH(mod_st_ist,$B$324,0))*('Koszty operacyjne'!$K$114:$X$114=Moduły!P$73)*ISNUMBER(MATCH(st_ist_kw,tak,0)),st_ist)</f>
        <v>0</v>
      </c>
    </row>
    <row r="356" spans="2:16" ht="12" customHeight="1">
      <c r="B356" s="359" t="s">
        <v>96</v>
      </c>
      <c r="C356" s="360" cm="1">
        <f t="array" ref="C356">SUMPRODUCT(ISNUMBER(MATCH(mod_st_ist,$B$324,0))*('Koszty operacyjne'!$K$114:$X$114=Moduły!C$73)*ISNUMBER(MATCH(st_ist_kw,nie,0)),st_ist)</f>
        <v>0</v>
      </c>
      <c r="D356" s="360" cm="1">
        <f t="array" ref="D356">SUMPRODUCT(ISNUMBER(MATCH(mod_st_ist,$B$324,0))*('Koszty operacyjne'!$K$114:$X$114=Moduły!D$73)*ISNUMBER(MATCH(st_ist_kw,nie,0)),st_ist)</f>
        <v>0</v>
      </c>
      <c r="E356" s="360" cm="1">
        <f t="array" ref="E356">SUMPRODUCT(ISNUMBER(MATCH(mod_st_ist,$B$324,0))*('Koszty operacyjne'!$K$114:$X$114=Moduły!E$73)*ISNUMBER(MATCH(st_ist_kw,nie,0)),st_ist)</f>
        <v>0</v>
      </c>
      <c r="F356" s="360" cm="1">
        <f t="array" ref="F356">SUMPRODUCT(ISNUMBER(MATCH(mod_st_ist,$B$324,0))*('Koszty operacyjne'!$K$114:$X$114=Moduły!F$73)*ISNUMBER(MATCH(st_ist_kw,nie,0)),st_ist)</f>
        <v>0</v>
      </c>
      <c r="G356" s="360" cm="1">
        <f t="array" ref="G356">SUMPRODUCT(ISNUMBER(MATCH(mod_st_ist,$B$324,0))*('Koszty operacyjne'!$K$114:$X$114=Moduły!G$73)*ISNUMBER(MATCH(st_ist_kw,nie,0)),st_ist)</f>
        <v>0</v>
      </c>
      <c r="H356" s="360" cm="1">
        <f t="array" ref="H356">SUMPRODUCT(ISNUMBER(MATCH(mod_st_ist,$B$324,0))*('Koszty operacyjne'!$K$114:$X$114=Moduły!H$73)*ISNUMBER(MATCH(st_ist_kw,nie,0)),st_ist)</f>
        <v>0</v>
      </c>
      <c r="I356" s="360" cm="1">
        <f t="array" ref="I356">SUMPRODUCT(ISNUMBER(MATCH(mod_st_ist,$B$324,0))*('Koszty operacyjne'!$K$114:$X$114=Moduły!I$73)*ISNUMBER(MATCH(st_ist_kw,nie,0)),st_ist)</f>
        <v>0</v>
      </c>
      <c r="J356" s="360" cm="1">
        <f t="array" ref="J356">SUMPRODUCT(ISNUMBER(MATCH(mod_st_ist,$B$324,0))*('Koszty operacyjne'!$K$114:$X$114=Moduły!J$73)*ISNUMBER(MATCH(st_ist_kw,nie,0)),st_ist)</f>
        <v>0</v>
      </c>
      <c r="K356" s="361" cm="1">
        <f t="array" ref="K356">SUMPRODUCT(ISNUMBER(MATCH(mod_st_ist,$B$324,0))*('Koszty operacyjne'!$K$114:$X$114=Moduły!K$73)*ISNUMBER(MATCH(st_ist_kw,nie,0)),st_ist)</f>
        <v>0</v>
      </c>
      <c r="L356" s="361" cm="1">
        <f t="array" ref="L356">SUMPRODUCT(ISNUMBER(MATCH(mod_st_ist,$B$324,0))*('Koszty operacyjne'!$K$114:$X$114=Moduły!L$73)*ISNUMBER(MATCH(st_ist_kw,nie,0)),st_ist)</f>
        <v>0</v>
      </c>
      <c r="M356" s="361" cm="1">
        <f t="array" ref="M356">SUMPRODUCT(ISNUMBER(MATCH(mod_st_ist,$B$324,0))*('Koszty operacyjne'!$K$114:$X$114=Moduły!M$73)*ISNUMBER(MATCH(st_ist_kw,nie,0)),st_ist)</f>
        <v>0</v>
      </c>
      <c r="N356" s="361" cm="1">
        <f t="array" ref="N356">SUMPRODUCT(ISNUMBER(MATCH(mod_st_ist,$B$324,0))*('Koszty operacyjne'!$K$114:$X$114=Moduły!N$73)*ISNUMBER(MATCH(st_ist_kw,nie,0)),st_ist)</f>
        <v>0</v>
      </c>
      <c r="O356" s="361" cm="1">
        <f t="array" ref="O356">SUMPRODUCT(ISNUMBER(MATCH(mod_st_ist,$B$324,0))*('Koszty operacyjne'!$K$114:$X$114=Moduły!O$73)*ISNUMBER(MATCH(st_ist_kw,nie,0)),st_ist)</f>
        <v>0</v>
      </c>
      <c r="P356" s="361" cm="1">
        <f t="array" ref="P356">SUMPRODUCT(ISNUMBER(MATCH(mod_st_ist,$B$324,0))*('Koszty operacyjne'!$K$114:$X$114=Moduły!P$73)*ISNUMBER(MATCH(st_ist_kw,nie,0)),st_ist)</f>
        <v>0</v>
      </c>
    </row>
    <row r="357" spans="2:16" ht="12" customHeight="1"/>
    <row r="358" spans="2:16">
      <c r="B358" s="99" t="s">
        <v>104</v>
      </c>
      <c r="C358" s="98" cm="1">
        <f t="array" ref="C358">SUMPRODUCT(ISNUMBER(MATCH(mod_pp_ppu,$B$324,0))*('Koszty operacyjne'!$K$114:$X$114=Moduły!C$73),pp_ppu)+SUMPRODUCT(ISNUMBER(MATCH(mod_pp_ptim,$B$324,0))*('Koszty operacyjne'!$K$114:$X$114=Moduły!C$73),pp_ptim)</f>
        <v>0</v>
      </c>
      <c r="D358" s="98" cm="1">
        <f t="array" ref="D358">SUMPRODUCT(ISNUMBER(MATCH(mod_pp_ppu,$B$324,0))*('Koszty operacyjne'!$K$114:$X$114=Moduły!D$73),pp_ppu)+SUMPRODUCT(ISNUMBER(MATCH(mod_pp_ptim,$B$324,0))*('Koszty operacyjne'!$K$114:$X$114=Moduły!D$73),pp_ptim)</f>
        <v>0</v>
      </c>
      <c r="E358" s="98" cm="1">
        <f t="array" ref="E358">SUMPRODUCT(ISNUMBER(MATCH(mod_pp_ppu,$B$324,0))*('Koszty operacyjne'!$K$114:$X$114=Moduły!E$73),pp_ppu)+SUMPRODUCT(ISNUMBER(MATCH(mod_pp_ptim,$B$324,0))*('Koszty operacyjne'!$K$114:$X$114=Moduły!E$73),pp_ptim)</f>
        <v>0</v>
      </c>
      <c r="F358" s="98" cm="1">
        <f t="array" ref="F358">SUMPRODUCT(ISNUMBER(MATCH(mod_pp_ppu,$B$324,0))*('Koszty operacyjne'!$K$114:$X$114=Moduły!F$73),pp_ppu)+SUMPRODUCT(ISNUMBER(MATCH(mod_pp_ptim,$B$324,0))*('Koszty operacyjne'!$K$114:$X$114=Moduły!F$73),pp_ptim)</f>
        <v>0</v>
      </c>
      <c r="G358" s="98" cm="1">
        <f t="array" ref="G358">SUMPRODUCT(ISNUMBER(MATCH(mod_pp_ppu,$B$324,0))*('Koszty operacyjne'!$K$114:$X$114=Moduły!G$73),pp_ppu)+SUMPRODUCT(ISNUMBER(MATCH(mod_pp_ptim,$B$324,0))*('Koszty operacyjne'!$K$114:$X$114=Moduły!G$73),pp_ptim)</f>
        <v>0</v>
      </c>
      <c r="H358" s="98" cm="1">
        <f t="array" ref="H358">SUMPRODUCT(ISNUMBER(MATCH(mod_pp_ppu,$B$324,0))*('Koszty operacyjne'!$K$114:$X$114=Moduły!H$73),pp_ppu)+SUMPRODUCT(ISNUMBER(MATCH(mod_pp_ptim,$B$324,0))*('Koszty operacyjne'!$K$114:$X$114=Moduły!H$73),pp_ptim)</f>
        <v>0</v>
      </c>
      <c r="I358" s="98" cm="1">
        <f t="array" ref="I358">SUMPRODUCT(ISNUMBER(MATCH(mod_pp_ppu,$B$324,0))*('Koszty operacyjne'!$K$114:$X$114=Moduły!I$73),pp_ppu)+SUMPRODUCT(ISNUMBER(MATCH(mod_pp_ptim,$B$324,0))*('Koszty operacyjne'!$K$114:$X$114=Moduły!I$73),pp_ptim)</f>
        <v>0</v>
      </c>
      <c r="J358" s="98" cm="1">
        <f t="array" ref="J358">SUMPRODUCT(ISNUMBER(MATCH(mod_pp_ppu,$B$324,0))*('Koszty operacyjne'!$K$114:$X$114=Moduły!J$73),pp_ppu)+SUMPRODUCT(ISNUMBER(MATCH(mod_pp_ptim,$B$324,0))*('Koszty operacyjne'!$K$114:$X$114=Moduły!J$73),pp_ptim)</f>
        <v>0</v>
      </c>
      <c r="K358" s="98" cm="1">
        <f t="array" ref="K358">SUMPRODUCT(ISNUMBER(MATCH(mod_pp_ppu,$B$324,0))*('Koszty operacyjne'!$K$114:$X$114=Moduły!K$73),pp_ppu)+SUMPRODUCT(ISNUMBER(MATCH(mod_pp_ptim,$B$324,0))*('Koszty operacyjne'!$K$114:$X$114=Moduły!K$73),pp_ptim)</f>
        <v>0</v>
      </c>
      <c r="L358" s="98" cm="1">
        <f t="array" ref="L358">SUMPRODUCT(ISNUMBER(MATCH(mod_pp_ppu,$B$324,0))*('Koszty operacyjne'!$K$114:$X$114=Moduły!L$73),pp_ppu)+SUMPRODUCT(ISNUMBER(MATCH(mod_pp_ptim,$B$324,0))*('Koszty operacyjne'!$K$114:$X$114=Moduły!L$73),pp_ptim)</f>
        <v>0</v>
      </c>
      <c r="M358" s="98" cm="1">
        <f t="array" ref="M358">SUMPRODUCT(ISNUMBER(MATCH(mod_pp_ppu,$B$324,0))*('Koszty operacyjne'!$K$114:$X$114=Moduły!M$73),pp_ppu)+SUMPRODUCT(ISNUMBER(MATCH(mod_pp_ptim,$B$324,0))*('Koszty operacyjne'!$K$114:$X$114=Moduły!M$73),pp_ptim)</f>
        <v>0</v>
      </c>
      <c r="N358" s="98" cm="1">
        <f t="array" ref="N358">SUMPRODUCT(ISNUMBER(MATCH(mod_pp_ppu,$B$324,0))*('Koszty operacyjne'!$K$114:$X$114=Moduły!N$73),pp_ppu)+SUMPRODUCT(ISNUMBER(MATCH(mod_pp_ptim,$B$324,0))*('Koszty operacyjne'!$K$114:$X$114=Moduły!N$73),pp_ptim)</f>
        <v>0</v>
      </c>
      <c r="O358" s="98" cm="1">
        <f t="array" ref="O358">SUMPRODUCT(ISNUMBER(MATCH(mod_pp_ppu,$B$324,0))*('Koszty operacyjne'!$K$114:$X$114=Moduły!O$73),pp_ppu)+SUMPRODUCT(ISNUMBER(MATCH(mod_pp_ptim,$B$324,0))*('Koszty operacyjne'!$K$114:$X$114=Moduły!O$73),pp_ptim)</f>
        <v>0</v>
      </c>
      <c r="P358" s="98" cm="1">
        <f t="array" ref="P358">SUMPRODUCT(ISNUMBER(MATCH(mod_pp_ppu,$B$324,0))*('Koszty operacyjne'!$K$114:$X$114=Moduły!P$73),pp_ppu)+SUMPRODUCT(ISNUMBER(MATCH(mod_pp_ptim,$B$324,0))*('Koszty operacyjne'!$K$114:$X$114=Moduły!P$73),pp_ptim)</f>
        <v>0</v>
      </c>
    </row>
    <row r="359" spans="2:16" ht="3.9" customHeight="1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</row>
    <row r="360" spans="2:16">
      <c r="B360" s="99" t="s">
        <v>105</v>
      </c>
      <c r="C360" s="98">
        <f t="shared" ref="C360:L360" ca="1" si="193">SUM(C361:C368)</f>
        <v>0</v>
      </c>
      <c r="D360" s="98">
        <f t="shared" ca="1" si="193"/>
        <v>0</v>
      </c>
      <c r="E360" s="98">
        <f t="shared" ca="1" si="193"/>
        <v>0</v>
      </c>
      <c r="F360" s="98">
        <f t="shared" ca="1" si="193"/>
        <v>0</v>
      </c>
      <c r="G360" s="98">
        <f t="shared" ca="1" si="193"/>
        <v>0</v>
      </c>
      <c r="H360" s="98">
        <f t="shared" ca="1" si="193"/>
        <v>0</v>
      </c>
      <c r="I360" s="98">
        <f t="shared" ca="1" si="193"/>
        <v>0</v>
      </c>
      <c r="J360" s="98">
        <f t="shared" ca="1" si="193"/>
        <v>0</v>
      </c>
      <c r="K360" s="98">
        <f t="shared" ca="1" si="193"/>
        <v>0</v>
      </c>
      <c r="L360" s="98">
        <f t="shared" ca="1" si="193"/>
        <v>0</v>
      </c>
      <c r="M360" s="98">
        <f ca="1">SUM(M361:M368)</f>
        <v>0</v>
      </c>
      <c r="N360" s="98">
        <f ca="1">SUM(N361:N368)</f>
        <v>0</v>
      </c>
      <c r="O360" s="98">
        <f ca="1">SUM(O361:O368)</f>
        <v>0</v>
      </c>
      <c r="P360" s="98">
        <f ca="1">SUM(P361:P368)</f>
        <v>0</v>
      </c>
    </row>
    <row r="361" spans="2:16">
      <c r="B361" s="104" t="s">
        <v>106</v>
      </c>
      <c r="C361" s="103" cm="1">
        <f t="array" aca="1" ref="C361" ca="1">SUMPRODUCT(ISNUMBER(MATCH(mod_st_am,$B$324,0))*('Koszty operacyjne'!$K$114:$X$114=Moduły!C$73),st_am)</f>
        <v>0</v>
      </c>
      <c r="D361" s="103" cm="1">
        <f t="array" aca="1" ref="D361" ca="1">SUMPRODUCT(ISNUMBER(MATCH(mod_st_am,$B$324,0))*('Koszty operacyjne'!$K$114:$X$114=Moduły!D$73),st_am)</f>
        <v>0</v>
      </c>
      <c r="E361" s="103" cm="1">
        <f t="array" aca="1" ref="E361" ca="1">SUMPRODUCT(ISNUMBER(MATCH(mod_st_am,$B$324,0))*('Koszty operacyjne'!$K$114:$X$114=Moduły!E$73),st_am)</f>
        <v>0</v>
      </c>
      <c r="F361" s="103" cm="1">
        <f t="array" aca="1" ref="F361" ca="1">SUMPRODUCT(ISNUMBER(MATCH(mod_st_am,$B$324,0))*('Koszty operacyjne'!$K$114:$X$114=Moduły!F$73),st_am)</f>
        <v>0</v>
      </c>
      <c r="G361" s="103" cm="1">
        <f t="array" aca="1" ref="G361" ca="1">SUMPRODUCT(ISNUMBER(MATCH(mod_st_am,$B$324,0))*('Koszty operacyjne'!$K$114:$X$114=Moduły!G$73),st_am)</f>
        <v>0</v>
      </c>
      <c r="H361" s="103" cm="1">
        <f t="array" aca="1" ref="H361" ca="1">SUMPRODUCT(ISNUMBER(MATCH(mod_st_am,$B$324,0))*('Koszty operacyjne'!$K$114:$X$114=Moduły!H$73),st_am)</f>
        <v>0</v>
      </c>
      <c r="I361" s="103" cm="1">
        <f t="array" aca="1" ref="I361" ca="1">SUMPRODUCT(ISNUMBER(MATCH(mod_st_am,$B$324,0))*('Koszty operacyjne'!$K$114:$X$114=Moduły!I$73),st_am)</f>
        <v>0</v>
      </c>
      <c r="J361" s="103" cm="1">
        <f t="array" aca="1" ref="J361" ca="1">SUMPRODUCT(ISNUMBER(MATCH(mod_st_am,$B$324,0))*('Koszty operacyjne'!$K$114:$X$114=Moduły!J$73),st_am)</f>
        <v>0</v>
      </c>
      <c r="K361" s="103" cm="1">
        <f t="array" aca="1" ref="K361" ca="1">SUMPRODUCT(ISNUMBER(MATCH(mod_st_am,$B$324,0))*('Koszty operacyjne'!$K$114:$X$114=Moduły!K$73),st_am)</f>
        <v>0</v>
      </c>
      <c r="L361" s="103" cm="1">
        <f t="array" aca="1" ref="L361" ca="1">SUMPRODUCT(ISNUMBER(MATCH(mod_st_am,$B$324,0))*('Koszty operacyjne'!$K$114:$X$114=Moduły!L$73),st_am)</f>
        <v>0</v>
      </c>
      <c r="M361" s="103" cm="1">
        <f t="array" aca="1" ref="M361" ca="1">SUMPRODUCT(ISNUMBER(MATCH(mod_st_am,$B$324,0))*('Koszty operacyjne'!$K$114:$X$114=Moduły!M$73),st_am)</f>
        <v>0</v>
      </c>
      <c r="N361" s="103" cm="1">
        <f t="array" aca="1" ref="N361" ca="1">SUMPRODUCT(ISNUMBER(MATCH(mod_st_am,$B$324,0))*('Koszty operacyjne'!$K$114:$X$114=Moduły!N$73),st_am)</f>
        <v>0</v>
      </c>
      <c r="O361" s="103" cm="1">
        <f t="array" aca="1" ref="O361" ca="1">SUMPRODUCT(ISNUMBER(MATCH(mod_st_am,$B$324,0))*('Koszty operacyjne'!$K$114:$X$114=Moduły!O$73),st_am)</f>
        <v>0</v>
      </c>
      <c r="P361" s="103" cm="1">
        <f t="array" aca="1" ref="P361" ca="1">SUMPRODUCT(ISNUMBER(MATCH(mod_st_am,$B$324,0))*('Koszty operacyjne'!$K$114:$X$114=Moduły!P$73),st_am)</f>
        <v>0</v>
      </c>
    </row>
    <row r="362" spans="2:16">
      <c r="B362" s="37" t="s">
        <v>107</v>
      </c>
      <c r="C362" s="33" cm="1">
        <f t="array" ref="C362">SUMPRODUCT(ISNUMBER(MATCH(mod_ko_zme,$B$324,0))*('Koszty operacyjne'!$K$114:$X$114=Moduły!C$73),ko_zme)</f>
        <v>0</v>
      </c>
      <c r="D362" s="33" cm="1">
        <f t="array" ref="D362">SUMPRODUCT(ISNUMBER(MATCH(mod_ko_zme,$B$324,0))*('Koszty operacyjne'!$K$114:$X$114=Moduły!D$73),ko_zme)</f>
        <v>0</v>
      </c>
      <c r="E362" s="33" cm="1">
        <f t="array" ref="E362">SUMPRODUCT(ISNUMBER(MATCH(mod_ko_zme,$B$324,0))*('Koszty operacyjne'!$K$114:$X$114=Moduły!E$73),ko_zme)</f>
        <v>0</v>
      </c>
      <c r="F362" s="33" cm="1">
        <f t="array" ref="F362">SUMPRODUCT(ISNUMBER(MATCH(mod_ko_zme,$B$324,0))*('Koszty operacyjne'!$K$114:$X$114=Moduły!F$73),ko_zme)</f>
        <v>0</v>
      </c>
      <c r="G362" s="33" cm="1">
        <f t="array" ref="G362">SUMPRODUCT(ISNUMBER(MATCH(mod_ko_zme,$B$324,0))*('Koszty operacyjne'!$K$114:$X$114=Moduły!G$73),ko_zme)</f>
        <v>0</v>
      </c>
      <c r="H362" s="33" cm="1">
        <f t="array" ref="H362">SUMPRODUCT(ISNUMBER(MATCH(mod_ko_zme,$B$324,0))*('Koszty operacyjne'!$K$114:$X$114=Moduły!H$73),ko_zme)</f>
        <v>0</v>
      </c>
      <c r="I362" s="33" cm="1">
        <f t="array" ref="I362">SUMPRODUCT(ISNUMBER(MATCH(mod_ko_zme,$B$324,0))*('Koszty operacyjne'!$K$114:$X$114=Moduły!I$73),ko_zme)</f>
        <v>0</v>
      </c>
      <c r="J362" s="33" cm="1">
        <f t="array" ref="J362">SUMPRODUCT(ISNUMBER(MATCH(mod_ko_zme,$B$324,0))*('Koszty operacyjne'!$K$114:$X$114=Moduły!J$73),ko_zme)</f>
        <v>0</v>
      </c>
      <c r="K362" s="33" cm="1">
        <f t="array" ref="K362">SUMPRODUCT(ISNUMBER(MATCH(mod_ko_zme,$B$324,0))*('Koszty operacyjne'!$K$114:$X$114=Moduły!K$73),ko_zme)</f>
        <v>0</v>
      </c>
      <c r="L362" s="33" cm="1">
        <f t="array" ref="L362">SUMPRODUCT(ISNUMBER(MATCH(mod_ko_zme,$B$324,0))*('Koszty operacyjne'!$K$114:$X$114=Moduły!L$73),ko_zme)</f>
        <v>0</v>
      </c>
      <c r="M362" s="33" cm="1">
        <f t="array" ref="M362">SUMPRODUCT(ISNUMBER(MATCH(mod_ko_zme,$B$324,0))*('Koszty operacyjne'!$K$114:$X$114=Moduły!M$73),ko_zme)</f>
        <v>0</v>
      </c>
      <c r="N362" s="33" cm="1">
        <f t="array" ref="N362">SUMPRODUCT(ISNUMBER(MATCH(mod_ko_zme,$B$324,0))*('Koszty operacyjne'!$K$114:$X$114=Moduły!N$73),ko_zme)</f>
        <v>0</v>
      </c>
      <c r="O362" s="33" cm="1">
        <f t="array" ref="O362">SUMPRODUCT(ISNUMBER(MATCH(mod_ko_zme,$B$324,0))*('Koszty operacyjne'!$K$114:$X$114=Moduły!O$73),ko_zme)</f>
        <v>0</v>
      </c>
      <c r="P362" s="33" cm="1">
        <f t="array" ref="P362">SUMPRODUCT(ISNUMBER(MATCH(mod_ko_zme,$B$324,0))*('Koszty operacyjne'!$K$114:$X$114=Moduły!P$73),ko_zme)</f>
        <v>0</v>
      </c>
    </row>
    <row r="363" spans="2:16">
      <c r="B363" s="37" t="s">
        <v>108</v>
      </c>
      <c r="C363" s="33" cm="1">
        <f t="array" ref="C363">SUMPRODUCT(ISNUMBER(MATCH(mod_ko_uoe,$B$324,0))*('Koszty operacyjne'!$K$114:$X$114=Moduły!C$73),ko_uoe)</f>
        <v>0</v>
      </c>
      <c r="D363" s="33" cm="1">
        <f t="array" ref="D363">SUMPRODUCT(ISNUMBER(MATCH(mod_ko_uoe,$B$324,0))*('Koszty operacyjne'!$K$114:$X$114=Moduły!D$73),ko_uoe)</f>
        <v>0</v>
      </c>
      <c r="E363" s="33" cm="1">
        <f t="array" ref="E363">SUMPRODUCT(ISNUMBER(MATCH(mod_ko_uoe,$B$324,0))*('Koszty operacyjne'!$K$114:$X$114=Moduły!E$73),ko_uoe)</f>
        <v>0</v>
      </c>
      <c r="F363" s="33" cm="1">
        <f t="array" ref="F363">SUMPRODUCT(ISNUMBER(MATCH(mod_ko_uoe,$B$324,0))*('Koszty operacyjne'!$K$114:$X$114=Moduły!F$73),ko_uoe)</f>
        <v>0</v>
      </c>
      <c r="G363" s="33" cm="1">
        <f t="array" ref="G363">SUMPRODUCT(ISNUMBER(MATCH(mod_ko_uoe,$B$324,0))*('Koszty operacyjne'!$K$114:$X$114=Moduły!G$73),ko_uoe)</f>
        <v>0</v>
      </c>
      <c r="H363" s="33" cm="1">
        <f t="array" ref="H363">SUMPRODUCT(ISNUMBER(MATCH(mod_ko_uoe,$B$324,0))*('Koszty operacyjne'!$K$114:$X$114=Moduły!H$73),ko_uoe)</f>
        <v>0</v>
      </c>
      <c r="I363" s="33" cm="1">
        <f t="array" ref="I363">SUMPRODUCT(ISNUMBER(MATCH(mod_ko_uoe,$B$324,0))*('Koszty operacyjne'!$K$114:$X$114=Moduły!I$73),ko_uoe)</f>
        <v>0</v>
      </c>
      <c r="J363" s="33" cm="1">
        <f t="array" ref="J363">SUMPRODUCT(ISNUMBER(MATCH(mod_ko_uoe,$B$324,0))*('Koszty operacyjne'!$K$114:$X$114=Moduły!J$73),ko_uoe)</f>
        <v>0</v>
      </c>
      <c r="K363" s="33" cm="1">
        <f t="array" ref="K363">SUMPRODUCT(ISNUMBER(MATCH(mod_ko_uoe,$B$324,0))*('Koszty operacyjne'!$K$114:$X$114=Moduły!K$73),ko_uoe)</f>
        <v>0</v>
      </c>
      <c r="L363" s="33" cm="1">
        <f t="array" ref="L363">SUMPRODUCT(ISNUMBER(MATCH(mod_ko_uoe,$B$324,0))*('Koszty operacyjne'!$K$114:$X$114=Moduły!L$73),ko_uoe)</f>
        <v>0</v>
      </c>
      <c r="M363" s="33" cm="1">
        <f t="array" ref="M363">SUMPRODUCT(ISNUMBER(MATCH(mod_ko_uoe,$B$324,0))*('Koszty operacyjne'!$K$114:$X$114=Moduły!M$73),ko_uoe)</f>
        <v>0</v>
      </c>
      <c r="N363" s="33" cm="1">
        <f t="array" ref="N363">SUMPRODUCT(ISNUMBER(MATCH(mod_ko_uoe,$B$324,0))*('Koszty operacyjne'!$K$114:$X$114=Moduły!N$73),ko_uoe)</f>
        <v>0</v>
      </c>
      <c r="O363" s="33" cm="1">
        <f t="array" ref="O363">SUMPRODUCT(ISNUMBER(MATCH(mod_ko_uoe,$B$324,0))*('Koszty operacyjne'!$K$114:$X$114=Moduły!O$73),ko_uoe)</f>
        <v>0</v>
      </c>
      <c r="P363" s="33" cm="1">
        <f t="array" ref="P363">SUMPRODUCT(ISNUMBER(MATCH(mod_ko_uoe,$B$324,0))*('Koszty operacyjne'!$K$114:$X$114=Moduły!P$73),ko_uoe)</f>
        <v>0</v>
      </c>
    </row>
    <row r="364" spans="2:16">
      <c r="B364" s="37" t="s">
        <v>778</v>
      </c>
      <c r="C364" s="33" cm="1">
        <f t="array" ref="C364">SUMPRODUCT(ISNUMBER(MATCH(mod_ko_pio,$B$324,0))*('Koszty operacyjne'!$K$114:$X$114=Moduły!C$73),ko_pio)</f>
        <v>0</v>
      </c>
      <c r="D364" s="33" cm="1">
        <f t="array" ref="D364">SUMPRODUCT(ISNUMBER(MATCH(mod_ko_pio,$B$324,0))*('Koszty operacyjne'!$K$114:$X$114=Moduły!D$73),ko_pio)</f>
        <v>0</v>
      </c>
      <c r="E364" s="33" cm="1">
        <f t="array" ref="E364">SUMPRODUCT(ISNUMBER(MATCH(mod_ko_pio,$B$324,0))*('Koszty operacyjne'!$K$114:$X$114=Moduły!E$73),ko_pio)</f>
        <v>0</v>
      </c>
      <c r="F364" s="33" cm="1">
        <f t="array" ref="F364">SUMPRODUCT(ISNUMBER(MATCH(mod_ko_pio,$B$324,0))*('Koszty operacyjne'!$K$114:$X$114=Moduły!F$73),ko_pio)</f>
        <v>0</v>
      </c>
      <c r="G364" s="33" cm="1">
        <f t="array" ref="G364">SUMPRODUCT(ISNUMBER(MATCH(mod_ko_pio,$B$324,0))*('Koszty operacyjne'!$K$114:$X$114=Moduły!G$73),ko_pio)</f>
        <v>0</v>
      </c>
      <c r="H364" s="33" cm="1">
        <f t="array" ref="H364">SUMPRODUCT(ISNUMBER(MATCH(mod_ko_pio,$B$324,0))*('Koszty operacyjne'!$K$114:$X$114=Moduły!H$73),ko_pio)</f>
        <v>0</v>
      </c>
      <c r="I364" s="33" cm="1">
        <f t="array" ref="I364">SUMPRODUCT(ISNUMBER(MATCH(mod_ko_pio,$B$324,0))*('Koszty operacyjne'!$K$114:$X$114=Moduły!I$73),ko_pio)</f>
        <v>0</v>
      </c>
      <c r="J364" s="33" cm="1">
        <f t="array" ref="J364">SUMPRODUCT(ISNUMBER(MATCH(mod_ko_pio,$B$324,0))*('Koszty operacyjne'!$K$114:$X$114=Moduły!J$73),ko_pio)</f>
        <v>0</v>
      </c>
      <c r="K364" s="33" cm="1">
        <f t="array" ref="K364">SUMPRODUCT(ISNUMBER(MATCH(mod_ko_pio,$B$324,0))*('Koszty operacyjne'!$K$114:$X$114=Moduły!K$73),ko_pio)</f>
        <v>0</v>
      </c>
      <c r="L364" s="33" cm="1">
        <f t="array" ref="L364">SUMPRODUCT(ISNUMBER(MATCH(mod_ko_pio,$B$324,0))*('Koszty operacyjne'!$K$114:$X$114=Moduły!L$73),ko_pio)</f>
        <v>0</v>
      </c>
      <c r="M364" s="33" cm="1">
        <f t="array" ref="M364">SUMPRODUCT(ISNUMBER(MATCH(mod_ko_pio,$B$324,0))*('Koszty operacyjne'!$K$114:$X$114=Moduły!M$73),ko_pio)</f>
        <v>0</v>
      </c>
      <c r="N364" s="33" cm="1">
        <f t="array" ref="N364">SUMPRODUCT(ISNUMBER(MATCH(mod_ko_pio,$B$324,0))*('Koszty operacyjne'!$K$114:$X$114=Moduły!N$73),ko_pio)</f>
        <v>0</v>
      </c>
      <c r="O364" s="33" cm="1">
        <f t="array" ref="O364">SUMPRODUCT(ISNUMBER(MATCH(mod_ko_pio,$B$324,0))*('Koszty operacyjne'!$K$114:$X$114=Moduły!O$73),ko_pio)</f>
        <v>0</v>
      </c>
      <c r="P364" s="33" cm="1">
        <f t="array" ref="P364">SUMPRODUCT(ISNUMBER(MATCH(mod_ko_pio,$B$324,0))*('Koszty operacyjne'!$K$114:$X$114=Moduły!P$73),ko_pio)</f>
        <v>0</v>
      </c>
    </row>
    <row r="365" spans="2:16">
      <c r="B365" s="37" t="s">
        <v>109</v>
      </c>
      <c r="C365" s="33" cm="1">
        <f t="array" ref="C365">SUMPRODUCT(ISNUMBER(MATCH(mod_ko_wyn,$B$324,0))*('Koszty operacyjne'!$K$114:$X$114=Moduły!C$73),ko_wyn)</f>
        <v>0</v>
      </c>
      <c r="D365" s="33" cm="1">
        <f t="array" ref="D365">SUMPRODUCT(ISNUMBER(MATCH(mod_ko_wyn,$B$324,0))*('Koszty operacyjne'!$K$114:$X$114=Moduły!D$73),ko_wyn)</f>
        <v>0</v>
      </c>
      <c r="E365" s="33" cm="1">
        <f t="array" ref="E365">SUMPRODUCT(ISNUMBER(MATCH(mod_ko_wyn,$B$324,0))*('Koszty operacyjne'!$K$114:$X$114=Moduły!E$73),ko_wyn)</f>
        <v>0</v>
      </c>
      <c r="F365" s="33" cm="1">
        <f t="array" ref="F365">SUMPRODUCT(ISNUMBER(MATCH(mod_ko_wyn,$B$324,0))*('Koszty operacyjne'!$K$114:$X$114=Moduły!F$73),ko_wyn)</f>
        <v>0</v>
      </c>
      <c r="G365" s="33" cm="1">
        <f t="array" ref="G365">SUMPRODUCT(ISNUMBER(MATCH(mod_ko_wyn,$B$324,0))*('Koszty operacyjne'!$K$114:$X$114=Moduły!G$73),ko_wyn)</f>
        <v>0</v>
      </c>
      <c r="H365" s="33" cm="1">
        <f t="array" ref="H365">SUMPRODUCT(ISNUMBER(MATCH(mod_ko_wyn,$B$324,0))*('Koszty operacyjne'!$K$114:$X$114=Moduły!H$73),ko_wyn)</f>
        <v>0</v>
      </c>
      <c r="I365" s="33" cm="1">
        <f t="array" ref="I365">SUMPRODUCT(ISNUMBER(MATCH(mod_ko_wyn,$B$324,0))*('Koszty operacyjne'!$K$114:$X$114=Moduły!I$73),ko_wyn)</f>
        <v>0</v>
      </c>
      <c r="J365" s="33" cm="1">
        <f t="array" ref="J365">SUMPRODUCT(ISNUMBER(MATCH(mod_ko_wyn,$B$324,0))*('Koszty operacyjne'!$K$114:$X$114=Moduły!J$73),ko_wyn)</f>
        <v>0</v>
      </c>
      <c r="K365" s="33" cm="1">
        <f t="array" ref="K365">SUMPRODUCT(ISNUMBER(MATCH(mod_ko_wyn,$B$324,0))*('Koszty operacyjne'!$K$114:$X$114=Moduły!K$73),ko_wyn)</f>
        <v>0</v>
      </c>
      <c r="L365" s="33" cm="1">
        <f t="array" ref="L365">SUMPRODUCT(ISNUMBER(MATCH(mod_ko_wyn,$B$324,0))*('Koszty operacyjne'!$K$114:$X$114=Moduły!L$73),ko_wyn)</f>
        <v>0</v>
      </c>
      <c r="M365" s="33" cm="1">
        <f t="array" ref="M365">SUMPRODUCT(ISNUMBER(MATCH(mod_ko_wyn,$B$324,0))*('Koszty operacyjne'!$K$114:$X$114=Moduły!M$73),ko_wyn)</f>
        <v>0</v>
      </c>
      <c r="N365" s="33" cm="1">
        <f t="array" ref="N365">SUMPRODUCT(ISNUMBER(MATCH(mod_ko_wyn,$B$324,0))*('Koszty operacyjne'!$K$114:$X$114=Moduły!N$73),ko_wyn)</f>
        <v>0</v>
      </c>
      <c r="O365" s="33" cm="1">
        <f t="array" ref="O365">SUMPRODUCT(ISNUMBER(MATCH(mod_ko_wyn,$B$324,0))*('Koszty operacyjne'!$K$114:$X$114=Moduły!O$73),ko_wyn)</f>
        <v>0</v>
      </c>
      <c r="P365" s="33" cm="1">
        <f t="array" ref="P365">SUMPRODUCT(ISNUMBER(MATCH(mod_ko_wyn,$B$324,0))*('Koszty operacyjne'!$K$114:$X$114=Moduły!P$73),ko_wyn)</f>
        <v>0</v>
      </c>
    </row>
    <row r="366" spans="2:16">
      <c r="B366" s="37" t="s">
        <v>110</v>
      </c>
      <c r="C366" s="33" cm="1">
        <f t="array" ref="C366">SUMPRODUCT(ISNUMBER(MATCH(mod_ko_zus,$B$324,0))*('Koszty operacyjne'!$K$114:$X$114=Moduły!C$73),ko_zus)</f>
        <v>0</v>
      </c>
      <c r="D366" s="33" cm="1">
        <f t="array" ref="D366">SUMPRODUCT(ISNUMBER(MATCH(mod_ko_zus,$B$324,0))*('Koszty operacyjne'!$K$114:$X$114=Moduły!D$73),ko_zus)</f>
        <v>0</v>
      </c>
      <c r="E366" s="33" cm="1">
        <f t="array" ref="E366">SUMPRODUCT(ISNUMBER(MATCH(mod_ko_zus,$B$324,0))*('Koszty operacyjne'!$K$114:$X$114=Moduły!E$73),ko_zus)</f>
        <v>0</v>
      </c>
      <c r="F366" s="33" cm="1">
        <f t="array" ref="F366">SUMPRODUCT(ISNUMBER(MATCH(mod_ko_zus,$B$324,0))*('Koszty operacyjne'!$K$114:$X$114=Moduły!F$73),ko_zus)</f>
        <v>0</v>
      </c>
      <c r="G366" s="33" cm="1">
        <f t="array" ref="G366">SUMPRODUCT(ISNUMBER(MATCH(mod_ko_zus,$B$324,0))*('Koszty operacyjne'!$K$114:$X$114=Moduły!G$73),ko_zus)</f>
        <v>0</v>
      </c>
      <c r="H366" s="33" cm="1">
        <f t="array" ref="H366">SUMPRODUCT(ISNUMBER(MATCH(mod_ko_zus,$B$324,0))*('Koszty operacyjne'!$K$114:$X$114=Moduły!H$73),ko_zus)</f>
        <v>0</v>
      </c>
      <c r="I366" s="33" cm="1">
        <f t="array" ref="I366">SUMPRODUCT(ISNUMBER(MATCH(mod_ko_zus,$B$324,0))*('Koszty operacyjne'!$K$114:$X$114=Moduły!I$73),ko_zus)</f>
        <v>0</v>
      </c>
      <c r="J366" s="33" cm="1">
        <f t="array" ref="J366">SUMPRODUCT(ISNUMBER(MATCH(mod_ko_zus,$B$324,0))*('Koszty operacyjne'!$K$114:$X$114=Moduły!J$73),ko_zus)</f>
        <v>0</v>
      </c>
      <c r="K366" s="33" cm="1">
        <f t="array" ref="K366">SUMPRODUCT(ISNUMBER(MATCH(mod_ko_zus,$B$324,0))*('Koszty operacyjne'!$K$114:$X$114=Moduły!K$73),ko_zus)</f>
        <v>0</v>
      </c>
      <c r="L366" s="33" cm="1">
        <f t="array" ref="L366">SUMPRODUCT(ISNUMBER(MATCH(mod_ko_zus,$B$324,0))*('Koszty operacyjne'!$K$114:$X$114=Moduły!L$73),ko_zus)</f>
        <v>0</v>
      </c>
      <c r="M366" s="33" cm="1">
        <f t="array" ref="M366">SUMPRODUCT(ISNUMBER(MATCH(mod_ko_zus,$B$324,0))*('Koszty operacyjne'!$K$114:$X$114=Moduły!M$73),ko_zus)</f>
        <v>0</v>
      </c>
      <c r="N366" s="33" cm="1">
        <f t="array" ref="N366">SUMPRODUCT(ISNUMBER(MATCH(mod_ko_zus,$B$324,0))*('Koszty operacyjne'!$K$114:$X$114=Moduły!N$73),ko_zus)</f>
        <v>0</v>
      </c>
      <c r="O366" s="33" cm="1">
        <f t="array" ref="O366">SUMPRODUCT(ISNUMBER(MATCH(mod_ko_zus,$B$324,0))*('Koszty operacyjne'!$K$114:$X$114=Moduły!O$73),ko_zus)</f>
        <v>0</v>
      </c>
      <c r="P366" s="33" cm="1">
        <f t="array" ref="P366">SUMPRODUCT(ISNUMBER(MATCH(mod_ko_zus,$B$324,0))*('Koszty operacyjne'!$K$114:$X$114=Moduły!P$73),ko_zus)</f>
        <v>0</v>
      </c>
    </row>
    <row r="367" spans="2:16">
      <c r="B367" s="37" t="s">
        <v>111</v>
      </c>
      <c r="C367" s="33" cm="1">
        <f t="array" ref="C367">SUMPRODUCT(ISNUMBER(MATCH(mod_ko_pkr,$B$324,0))*('Koszty operacyjne'!$K$114:$X$114=Moduły!C$73),ko_pkr)</f>
        <v>0</v>
      </c>
      <c r="D367" s="33" cm="1">
        <f t="array" ref="D367">SUMPRODUCT(ISNUMBER(MATCH(mod_ko_pkr,$B$324,0))*('Koszty operacyjne'!$K$114:$X$114=Moduły!D$73),ko_pkr)</f>
        <v>0</v>
      </c>
      <c r="E367" s="33" cm="1">
        <f t="array" ref="E367">SUMPRODUCT(ISNUMBER(MATCH(mod_ko_pkr,$B$324,0))*('Koszty operacyjne'!$K$114:$X$114=Moduły!E$73),ko_pkr)</f>
        <v>0</v>
      </c>
      <c r="F367" s="33" cm="1">
        <f t="array" ref="F367">SUMPRODUCT(ISNUMBER(MATCH(mod_ko_pkr,$B$324,0))*('Koszty operacyjne'!$K$114:$X$114=Moduły!F$73),ko_pkr)</f>
        <v>0</v>
      </c>
      <c r="G367" s="33" cm="1">
        <f t="array" ref="G367">SUMPRODUCT(ISNUMBER(MATCH(mod_ko_pkr,$B$324,0))*('Koszty operacyjne'!$K$114:$X$114=Moduły!G$73),ko_pkr)</f>
        <v>0</v>
      </c>
      <c r="H367" s="33" cm="1">
        <f t="array" ref="H367">SUMPRODUCT(ISNUMBER(MATCH(mod_ko_pkr,$B$324,0))*('Koszty operacyjne'!$K$114:$X$114=Moduły!H$73),ko_pkr)</f>
        <v>0</v>
      </c>
      <c r="I367" s="33" cm="1">
        <f t="array" ref="I367">SUMPRODUCT(ISNUMBER(MATCH(mod_ko_pkr,$B$324,0))*('Koszty operacyjne'!$K$114:$X$114=Moduły!I$73),ko_pkr)</f>
        <v>0</v>
      </c>
      <c r="J367" s="33" cm="1">
        <f t="array" ref="J367">SUMPRODUCT(ISNUMBER(MATCH(mod_ko_pkr,$B$324,0))*('Koszty operacyjne'!$K$114:$X$114=Moduły!J$73),ko_pkr)</f>
        <v>0</v>
      </c>
      <c r="K367" s="33" cm="1">
        <f t="array" ref="K367">SUMPRODUCT(ISNUMBER(MATCH(mod_ko_pkr,$B$324,0))*('Koszty operacyjne'!$K$114:$X$114=Moduły!K$73),ko_pkr)</f>
        <v>0</v>
      </c>
      <c r="L367" s="33" cm="1">
        <f t="array" ref="L367">SUMPRODUCT(ISNUMBER(MATCH(mod_ko_pkr,$B$324,0))*('Koszty operacyjne'!$K$114:$X$114=Moduły!L$73),ko_pkr)</f>
        <v>0</v>
      </c>
      <c r="M367" s="33" cm="1">
        <f t="array" ref="M367">SUMPRODUCT(ISNUMBER(MATCH(mod_ko_pkr,$B$324,0))*('Koszty operacyjne'!$K$114:$X$114=Moduły!M$73),ko_pkr)</f>
        <v>0</v>
      </c>
      <c r="N367" s="33" cm="1">
        <f t="array" ref="N367">SUMPRODUCT(ISNUMBER(MATCH(mod_ko_pkr,$B$324,0))*('Koszty operacyjne'!$K$114:$X$114=Moduły!N$73),ko_pkr)</f>
        <v>0</v>
      </c>
      <c r="O367" s="33" cm="1">
        <f t="array" ref="O367">SUMPRODUCT(ISNUMBER(MATCH(mod_ko_pkr,$B$324,0))*('Koszty operacyjne'!$K$114:$X$114=Moduły!O$73),ko_pkr)</f>
        <v>0</v>
      </c>
      <c r="P367" s="33" cm="1">
        <f t="array" ref="P367">SUMPRODUCT(ISNUMBER(MATCH(mod_ko_pkr,$B$324,0))*('Koszty operacyjne'!$K$114:$X$114=Moduły!P$73),ko_pkr)</f>
        <v>0</v>
      </c>
    </row>
    <row r="368" spans="2:16">
      <c r="B368" s="37" t="s">
        <v>112</v>
      </c>
      <c r="C368" s="33" cm="1">
        <f t="array" ref="C368">SUMPRODUCT(ISNUMBER(MATCH(mod_pp_ptim_wstim,$B$324,0))*('Koszty operacyjne'!$K$114:$X$114=Moduły!C$73),pp_ptim_wstim)</f>
        <v>0</v>
      </c>
      <c r="D368" s="33" cm="1">
        <f t="array" ref="D368">SUMPRODUCT(ISNUMBER(MATCH(mod_pp_ptim_wstim,$B$324,0))*('Koszty operacyjne'!$K$114:$X$114=Moduły!D$73),pp_ptim_wstim)</f>
        <v>0</v>
      </c>
      <c r="E368" s="33" cm="1">
        <f t="array" ref="E368">SUMPRODUCT(ISNUMBER(MATCH(mod_pp_ptim_wstim,$B$324,0))*('Koszty operacyjne'!$K$114:$X$114=Moduły!E$73),pp_ptim_wstim)</f>
        <v>0</v>
      </c>
      <c r="F368" s="33" cm="1">
        <f t="array" ref="F368">SUMPRODUCT(ISNUMBER(MATCH(mod_pp_ptim_wstim,$B$324,0))*('Koszty operacyjne'!$K$114:$X$114=Moduły!F$73),pp_ptim_wstim)</f>
        <v>0</v>
      </c>
      <c r="G368" s="33" cm="1">
        <f t="array" ref="G368">SUMPRODUCT(ISNUMBER(MATCH(mod_pp_ptim_wstim,$B$324,0))*('Koszty operacyjne'!$K$114:$X$114=Moduły!G$73),pp_ptim_wstim)</f>
        <v>0</v>
      </c>
      <c r="H368" s="33" cm="1">
        <f t="array" ref="H368">SUMPRODUCT(ISNUMBER(MATCH(mod_pp_ptim_wstim,$B$324,0))*('Koszty operacyjne'!$K$114:$X$114=Moduły!H$73),pp_ptim_wstim)</f>
        <v>0</v>
      </c>
      <c r="I368" s="33" cm="1">
        <f t="array" ref="I368">SUMPRODUCT(ISNUMBER(MATCH(mod_pp_ptim_wstim,$B$324,0))*('Koszty operacyjne'!$K$114:$X$114=Moduły!I$73),pp_ptim_wstim)</f>
        <v>0</v>
      </c>
      <c r="J368" s="33" cm="1">
        <f t="array" ref="J368">SUMPRODUCT(ISNUMBER(MATCH(mod_pp_ptim_wstim,$B$324,0))*('Koszty operacyjne'!$K$114:$X$114=Moduły!J$73),pp_ptim_wstim)</f>
        <v>0</v>
      </c>
      <c r="K368" s="33" cm="1">
        <f t="array" ref="K368">SUMPRODUCT(ISNUMBER(MATCH(mod_pp_ptim_wstim,$B$324,0))*('Koszty operacyjne'!$K$114:$X$114=Moduły!K$73),pp_ptim_wstim)</f>
        <v>0</v>
      </c>
      <c r="L368" s="33" cm="1">
        <f t="array" ref="L368">SUMPRODUCT(ISNUMBER(MATCH(mod_pp_ptim_wstim,$B$324,0))*('Koszty operacyjne'!$K$114:$X$114=Moduły!L$73),pp_ptim_wstim)</f>
        <v>0</v>
      </c>
      <c r="M368" s="33" cm="1">
        <f t="array" ref="M368">SUMPRODUCT(ISNUMBER(MATCH(mod_pp_ptim_wstim,$B$324,0))*('Koszty operacyjne'!$K$114:$X$114=Moduły!M$73),pp_ptim_wstim)</f>
        <v>0</v>
      </c>
      <c r="N368" s="33" cm="1">
        <f t="array" ref="N368">SUMPRODUCT(ISNUMBER(MATCH(mod_pp_ptim_wstim,$B$324,0))*('Koszty operacyjne'!$K$114:$X$114=Moduły!N$73),pp_ptim_wstim)</f>
        <v>0</v>
      </c>
      <c r="O368" s="33" cm="1">
        <f t="array" ref="O368">SUMPRODUCT(ISNUMBER(MATCH(mod_pp_ptim_wstim,$B$324,0))*('Koszty operacyjne'!$K$114:$X$114=Moduły!O$73),pp_ptim_wstim)</f>
        <v>0</v>
      </c>
      <c r="P368" s="33" cm="1">
        <f t="array" ref="P368">SUMPRODUCT(ISNUMBER(MATCH(mod_pp_ptim_wstim,$B$324,0))*('Koszty operacyjne'!$K$114:$X$114=Moduły!P$73),pp_ptim_wstim)</f>
        <v>0</v>
      </c>
    </row>
    <row r="369" spans="2:16"/>
    <row r="370" spans="2:16"/>
    <row r="371" spans="2:16">
      <c r="B371" s="371" t="s">
        <v>115</v>
      </c>
      <c r="C371" s="371" t="str">
        <f>C$73</f>
        <v>Uzupełnij dane</v>
      </c>
      <c r="D371" s="371" t="str">
        <f t="shared" ref="D371:P371" si="194">D$73</f>
        <v/>
      </c>
      <c r="E371" s="371" t="str">
        <f t="shared" si="194"/>
        <v/>
      </c>
      <c r="F371" s="371" t="str">
        <f t="shared" si="194"/>
        <v/>
      </c>
      <c r="G371" s="371" t="str">
        <f t="shared" si="194"/>
        <v/>
      </c>
      <c r="H371" s="371" t="str">
        <f t="shared" si="194"/>
        <v/>
      </c>
      <c r="I371" s="371" t="str">
        <f t="shared" si="194"/>
        <v/>
      </c>
      <c r="J371" s="371" t="str">
        <f t="shared" si="194"/>
        <v/>
      </c>
      <c r="K371" s="371" t="str">
        <f t="shared" si="194"/>
        <v/>
      </c>
      <c r="L371" s="371" t="str">
        <f t="shared" si="194"/>
        <v/>
      </c>
      <c r="M371" s="371" t="str">
        <f t="shared" si="194"/>
        <v/>
      </c>
      <c r="N371" s="371" t="str">
        <f t="shared" si="194"/>
        <v/>
      </c>
      <c r="O371" s="371" t="str">
        <f t="shared" si="194"/>
        <v/>
      </c>
      <c r="P371" s="371" t="str">
        <f t="shared" si="194"/>
        <v/>
      </c>
    </row>
    <row r="372" spans="2:16" ht="3.9" customHeight="1"/>
    <row r="373" spans="2:16" ht="12" customHeight="1">
      <c r="B373" s="99" t="s">
        <v>93</v>
      </c>
      <c r="C373" s="98">
        <f t="shared" ref="C373:P373" si="195">SUM(C374:C375)</f>
        <v>0</v>
      </c>
      <c r="D373" s="98">
        <f t="shared" si="195"/>
        <v>0</v>
      </c>
      <c r="E373" s="98">
        <f t="shared" si="195"/>
        <v>0</v>
      </c>
      <c r="F373" s="98">
        <f t="shared" si="195"/>
        <v>0</v>
      </c>
      <c r="G373" s="98">
        <f t="shared" si="195"/>
        <v>0</v>
      </c>
      <c r="H373" s="98">
        <f t="shared" si="195"/>
        <v>0</v>
      </c>
      <c r="I373" s="98">
        <f t="shared" si="195"/>
        <v>0</v>
      </c>
      <c r="J373" s="98">
        <f t="shared" si="195"/>
        <v>0</v>
      </c>
      <c r="K373" s="98">
        <f t="shared" si="195"/>
        <v>0</v>
      </c>
      <c r="L373" s="98">
        <f t="shared" si="195"/>
        <v>0</v>
      </c>
      <c r="M373" s="98">
        <f t="shared" si="195"/>
        <v>0</v>
      </c>
      <c r="N373" s="98">
        <f t="shared" si="195"/>
        <v>0</v>
      </c>
      <c r="O373" s="98">
        <f t="shared" si="195"/>
        <v>0</v>
      </c>
      <c r="P373" s="98">
        <f t="shared" si="195"/>
        <v>0</v>
      </c>
    </row>
    <row r="374" spans="2:16">
      <c r="B374" s="465" t="s">
        <v>95</v>
      </c>
      <c r="C374" s="466">
        <f>C378+C382+C386+C390+C394+C398+C402</f>
        <v>0</v>
      </c>
      <c r="D374" s="466">
        <f t="shared" ref="D374:P374" si="196">D378+D382+D386+D390+D394+D398+D402</f>
        <v>0</v>
      </c>
      <c r="E374" s="466">
        <f t="shared" si="196"/>
        <v>0</v>
      </c>
      <c r="F374" s="466">
        <f t="shared" si="196"/>
        <v>0</v>
      </c>
      <c r="G374" s="466">
        <f t="shared" si="196"/>
        <v>0</v>
      </c>
      <c r="H374" s="466">
        <f t="shared" si="196"/>
        <v>0</v>
      </c>
      <c r="I374" s="466">
        <f t="shared" si="196"/>
        <v>0</v>
      </c>
      <c r="J374" s="466">
        <f t="shared" si="196"/>
        <v>0</v>
      </c>
      <c r="K374" s="467">
        <f t="shared" si="196"/>
        <v>0</v>
      </c>
      <c r="L374" s="467">
        <f t="shared" si="196"/>
        <v>0</v>
      </c>
      <c r="M374" s="467">
        <f t="shared" si="196"/>
        <v>0</v>
      </c>
      <c r="N374" s="467">
        <f t="shared" si="196"/>
        <v>0</v>
      </c>
      <c r="O374" s="467">
        <f t="shared" si="196"/>
        <v>0</v>
      </c>
      <c r="P374" s="467">
        <f t="shared" si="196"/>
        <v>0</v>
      </c>
    </row>
    <row r="375" spans="2:16">
      <c r="B375" s="468" t="s">
        <v>96</v>
      </c>
      <c r="C375" s="469">
        <f>C379+C383+C387+C391+C395+C399+C403</f>
        <v>0</v>
      </c>
      <c r="D375" s="469">
        <f t="shared" ref="D375:P375" si="197">D379+D383+D387+D391+D395+D399+D403</f>
        <v>0</v>
      </c>
      <c r="E375" s="469">
        <f t="shared" si="197"/>
        <v>0</v>
      </c>
      <c r="F375" s="469">
        <f t="shared" si="197"/>
        <v>0</v>
      </c>
      <c r="G375" s="469">
        <f t="shared" si="197"/>
        <v>0</v>
      </c>
      <c r="H375" s="469">
        <f t="shared" si="197"/>
        <v>0</v>
      </c>
      <c r="I375" s="469">
        <f t="shared" si="197"/>
        <v>0</v>
      </c>
      <c r="J375" s="469">
        <f t="shared" si="197"/>
        <v>0</v>
      </c>
      <c r="K375" s="470">
        <f t="shared" si="197"/>
        <v>0</v>
      </c>
      <c r="L375" s="470">
        <f t="shared" si="197"/>
        <v>0</v>
      </c>
      <c r="M375" s="470">
        <f t="shared" si="197"/>
        <v>0</v>
      </c>
      <c r="N375" s="470">
        <f t="shared" si="197"/>
        <v>0</v>
      </c>
      <c r="O375" s="470">
        <f t="shared" si="197"/>
        <v>0</v>
      </c>
      <c r="P375" s="470">
        <f t="shared" si="197"/>
        <v>0</v>
      </c>
    </row>
    <row r="376" spans="2:16" ht="3.9" customHeight="1"/>
    <row r="377" spans="2:16" ht="12" customHeight="1">
      <c r="B377" s="355" t="s">
        <v>94</v>
      </c>
      <c r="C377" s="356">
        <f t="shared" ref="C377:P377" si="198">SUM(C378:C379)</f>
        <v>0</v>
      </c>
      <c r="D377" s="356">
        <f t="shared" si="198"/>
        <v>0</v>
      </c>
      <c r="E377" s="356">
        <f t="shared" si="198"/>
        <v>0</v>
      </c>
      <c r="F377" s="356">
        <f t="shared" si="198"/>
        <v>0</v>
      </c>
      <c r="G377" s="356">
        <f t="shared" si="198"/>
        <v>0</v>
      </c>
      <c r="H377" s="356">
        <f t="shared" si="198"/>
        <v>0</v>
      </c>
      <c r="I377" s="356">
        <f t="shared" si="198"/>
        <v>0</v>
      </c>
      <c r="J377" s="356">
        <f t="shared" si="198"/>
        <v>0</v>
      </c>
      <c r="K377" s="356">
        <f t="shared" si="198"/>
        <v>0</v>
      </c>
      <c r="L377" s="356">
        <f t="shared" si="198"/>
        <v>0</v>
      </c>
      <c r="M377" s="356">
        <f t="shared" si="198"/>
        <v>0</v>
      </c>
      <c r="N377" s="356">
        <f t="shared" si="198"/>
        <v>0</v>
      </c>
      <c r="O377" s="356">
        <f t="shared" si="198"/>
        <v>0</v>
      </c>
      <c r="P377" s="356">
        <f t="shared" si="198"/>
        <v>0</v>
      </c>
    </row>
    <row r="378" spans="2:16" ht="12" customHeight="1">
      <c r="B378" s="357" t="s">
        <v>95</v>
      </c>
      <c r="C378" s="358" cm="1">
        <f t="array" ref="C378">SUMPRODUCT(ISNUMBER(MATCH(mod_st_zpr,$B$371,0))*('Koszty operacyjne'!$K$114:$X$114=Moduły!C$73)*ISNUMBER(MATCH(st_zpr_kw,tak,0)),st_zpr)</f>
        <v>0</v>
      </c>
      <c r="D378" s="358" cm="1">
        <f t="array" ref="D378">SUMPRODUCT(ISNUMBER(MATCH(mod_st_zpr,$B$371,0))*('Koszty operacyjne'!$K$114:$X$114=Moduły!D$73)*ISNUMBER(MATCH(st_zpr_kw,tak,0)),st_zpr)</f>
        <v>0</v>
      </c>
      <c r="E378" s="358" cm="1">
        <f t="array" ref="E378">SUMPRODUCT(ISNUMBER(MATCH(mod_st_zpr,$B$371,0))*('Koszty operacyjne'!$K$114:$X$114=Moduły!E$73)*ISNUMBER(MATCH(st_zpr_kw,tak,0)),st_zpr)</f>
        <v>0</v>
      </c>
      <c r="F378" s="358" cm="1">
        <f t="array" ref="F378">SUMPRODUCT(ISNUMBER(MATCH(mod_st_zpr,$B$371,0))*('Koszty operacyjne'!$K$114:$X$114=Moduły!F$73)*ISNUMBER(MATCH(st_zpr_kw,tak,0)),st_zpr)</f>
        <v>0</v>
      </c>
      <c r="G378" s="358" cm="1">
        <f t="array" ref="G378">SUMPRODUCT(ISNUMBER(MATCH(mod_st_zpr,$B$371,0))*('Koszty operacyjne'!$K$114:$X$114=Moduły!G$73)*ISNUMBER(MATCH(st_zpr_kw,tak,0)),st_zpr)</f>
        <v>0</v>
      </c>
      <c r="H378" s="358" cm="1">
        <f t="array" ref="H378">SUMPRODUCT(ISNUMBER(MATCH(mod_st_zpr,$B$371,0))*('Koszty operacyjne'!$K$114:$X$114=Moduły!H$73)*ISNUMBER(MATCH(st_zpr_kw,tak,0)),st_zpr)</f>
        <v>0</v>
      </c>
      <c r="I378" s="358" cm="1">
        <f t="array" ref="I378">SUMPRODUCT(ISNUMBER(MATCH(mod_st_zpr,$B$371,0))*('Koszty operacyjne'!$K$114:$X$114=Moduły!I$73)*ISNUMBER(MATCH(st_zpr_kw,tak,0)),st_zpr)</f>
        <v>0</v>
      </c>
      <c r="J378" s="358" cm="1">
        <f t="array" ref="J378">SUMPRODUCT(ISNUMBER(MATCH(mod_st_zpr,$B$371,0))*('Koszty operacyjne'!$K$114:$X$114=Moduły!J$73)*ISNUMBER(MATCH(st_zpr_kw,tak,0)),st_zpr)</f>
        <v>0</v>
      </c>
      <c r="K378" s="358" cm="1">
        <f t="array" ref="K378">SUMPRODUCT(ISNUMBER(MATCH(mod_st_zpr,$B$371,0))*('Koszty operacyjne'!$K$114:$X$114=Moduły!K$73)*ISNUMBER(MATCH(st_zpr_kw,tak,0)),st_zpr)</f>
        <v>0</v>
      </c>
      <c r="L378" s="358" cm="1">
        <f t="array" ref="L378">SUMPRODUCT(ISNUMBER(MATCH(mod_st_zpr,$B$371,0))*('Koszty operacyjne'!$K$114:$X$114=Moduły!L$73)*ISNUMBER(MATCH(st_zpr_kw,tak,0)),st_zpr)</f>
        <v>0</v>
      </c>
      <c r="M378" s="358" cm="1">
        <f t="array" ref="M378">SUMPRODUCT(ISNUMBER(MATCH(mod_st_zpr,$B$371,0))*('Koszty operacyjne'!$K$114:$X$114=Moduły!M$73)*ISNUMBER(MATCH(st_zpr_kw,tak,0)),st_zpr)</f>
        <v>0</v>
      </c>
      <c r="N378" s="358" cm="1">
        <f t="array" ref="N378">SUMPRODUCT(ISNUMBER(MATCH(mod_st_zpr,$B$371,0))*('Koszty operacyjne'!$K$114:$X$114=Moduły!N$73)*ISNUMBER(MATCH(st_zpr_kw,tak,0)),st_zpr)</f>
        <v>0</v>
      </c>
      <c r="O378" s="358" cm="1">
        <f t="array" ref="O378">SUMPRODUCT(ISNUMBER(MATCH(mod_st_zpr,$B$371,0))*('Koszty operacyjne'!$K$114:$X$114=Moduły!O$73)*ISNUMBER(MATCH(st_zpr_kw,tak,0)),st_zpr)</f>
        <v>0</v>
      </c>
      <c r="P378" s="358" cm="1">
        <f t="array" ref="P378">SUMPRODUCT(ISNUMBER(MATCH(mod_st_zpr,$B$371,0))*('Koszty operacyjne'!$K$114:$X$114=Moduły!P$73)*ISNUMBER(MATCH(st_zpr_kw,tak,0)),st_zpr)</f>
        <v>0</v>
      </c>
    </row>
    <row r="379" spans="2:16" ht="12" customHeight="1">
      <c r="B379" s="359" t="s">
        <v>96</v>
      </c>
      <c r="C379" s="360" cm="1">
        <f t="array" ref="C379">SUMPRODUCT(ISNUMBER(MATCH(mod_st_zpr,$B$371,0))*('Koszty operacyjne'!$K$114:$X$114=Moduły!C$73)*ISNUMBER(MATCH(st_zpr_kw,nie,0)),st_zpr)</f>
        <v>0</v>
      </c>
      <c r="D379" s="360" cm="1">
        <f t="array" ref="D379">SUMPRODUCT(ISNUMBER(MATCH(mod_st_zpr,$B$371,0))*('Koszty operacyjne'!$K$114:$X$114=Moduły!D$73)*ISNUMBER(MATCH(st_zpr_kw,nie,0)),st_zpr)</f>
        <v>0</v>
      </c>
      <c r="E379" s="360" cm="1">
        <f t="array" ref="E379">SUMPRODUCT(ISNUMBER(MATCH(mod_st_zpr,$B$371,0))*('Koszty operacyjne'!$K$114:$X$114=Moduły!E$73)*ISNUMBER(MATCH(st_zpr_kw,nie,0)),st_zpr)</f>
        <v>0</v>
      </c>
      <c r="F379" s="360" cm="1">
        <f t="array" ref="F379">SUMPRODUCT(ISNUMBER(MATCH(mod_st_zpr,$B$371,0))*('Koszty operacyjne'!$K$114:$X$114=Moduły!F$73)*ISNUMBER(MATCH(st_zpr_kw,nie,0)),st_zpr)</f>
        <v>0</v>
      </c>
      <c r="G379" s="360" cm="1">
        <f t="array" ref="G379">SUMPRODUCT(ISNUMBER(MATCH(mod_st_zpr,$B$371,0))*('Koszty operacyjne'!$K$114:$X$114=Moduły!G$73)*ISNUMBER(MATCH(st_zpr_kw,nie,0)),st_zpr)</f>
        <v>0</v>
      </c>
      <c r="H379" s="360" cm="1">
        <f t="array" ref="H379">SUMPRODUCT(ISNUMBER(MATCH(mod_st_zpr,$B$371,0))*('Koszty operacyjne'!$K$114:$X$114=Moduły!H$73)*ISNUMBER(MATCH(st_zpr_kw,nie,0)),st_zpr)</f>
        <v>0</v>
      </c>
      <c r="I379" s="360" cm="1">
        <f t="array" ref="I379">SUMPRODUCT(ISNUMBER(MATCH(mod_st_zpr,$B$371,0))*('Koszty operacyjne'!$K$114:$X$114=Moduły!I$73)*ISNUMBER(MATCH(st_zpr_kw,nie,0)),st_zpr)</f>
        <v>0</v>
      </c>
      <c r="J379" s="360" cm="1">
        <f t="array" ref="J379">SUMPRODUCT(ISNUMBER(MATCH(mod_st_zpr,$B$371,0))*('Koszty operacyjne'!$K$114:$X$114=Moduły!J$73)*ISNUMBER(MATCH(st_zpr_kw,nie,0)),st_zpr)</f>
        <v>0</v>
      </c>
      <c r="K379" s="361" cm="1">
        <f t="array" ref="K379">SUMPRODUCT(ISNUMBER(MATCH(mod_st_zpr,$B$371,0))*('Koszty operacyjne'!$K$114:$X$114=Moduły!K$73)*ISNUMBER(MATCH(st_zpr_kw,nie,0)),st_zpr)</f>
        <v>0</v>
      </c>
      <c r="L379" s="361" cm="1">
        <f t="array" ref="L379">SUMPRODUCT(ISNUMBER(MATCH(mod_st_zpr,$B$371,0))*('Koszty operacyjne'!$K$114:$X$114=Moduły!L$73)*ISNUMBER(MATCH(st_zpr_kw,nie,0)),st_zpr)</f>
        <v>0</v>
      </c>
      <c r="M379" s="361" cm="1">
        <f t="array" ref="M379">SUMPRODUCT(ISNUMBER(MATCH(mod_st_zpr,$B$371,0))*('Koszty operacyjne'!$K$114:$X$114=Moduły!M$73)*ISNUMBER(MATCH(st_zpr_kw,nie,0)),st_zpr)</f>
        <v>0</v>
      </c>
      <c r="N379" s="361" cm="1">
        <f t="array" ref="N379">SUMPRODUCT(ISNUMBER(MATCH(mod_st_zpr,$B$371,0))*('Koszty operacyjne'!$K$114:$X$114=Moduły!N$73)*ISNUMBER(MATCH(st_zpr_kw,nie,0)),st_zpr)</f>
        <v>0</v>
      </c>
      <c r="O379" s="361" cm="1">
        <f t="array" ref="O379">SUMPRODUCT(ISNUMBER(MATCH(mod_st_zpr,$B$371,0))*('Koszty operacyjne'!$K$114:$X$114=Moduły!O$73)*ISNUMBER(MATCH(st_zpr_kw,nie,0)),st_zpr)</f>
        <v>0</v>
      </c>
      <c r="P379" s="361" cm="1">
        <f t="array" ref="P379">SUMPRODUCT(ISNUMBER(MATCH(mod_st_zpr,$B$371,0))*('Koszty operacyjne'!$K$114:$X$114=Moduły!P$73)*ISNUMBER(MATCH(st_zpr_kw,nie,0)),st_zpr)</f>
        <v>0</v>
      </c>
    </row>
    <row r="380" spans="2:16" ht="3.9" customHeight="1">
      <c r="B380" s="362"/>
      <c r="C380" s="363"/>
      <c r="D380" s="363"/>
      <c r="E380" s="363"/>
      <c r="F380" s="363"/>
      <c r="G380" s="363"/>
      <c r="H380" s="363"/>
      <c r="I380" s="363"/>
      <c r="J380" s="363"/>
      <c r="K380" s="364"/>
      <c r="L380" s="364"/>
      <c r="M380" s="364"/>
      <c r="N380" s="364"/>
      <c r="O380" s="364"/>
      <c r="P380" s="364"/>
    </row>
    <row r="381" spans="2:16" ht="12" customHeight="1">
      <c r="B381" s="355" t="s">
        <v>97</v>
      </c>
      <c r="C381" s="356">
        <f t="shared" ref="C381:P381" si="199">SUM(C382:C383)</f>
        <v>0</v>
      </c>
      <c r="D381" s="356">
        <f t="shared" si="199"/>
        <v>0</v>
      </c>
      <c r="E381" s="356">
        <f t="shared" si="199"/>
        <v>0</v>
      </c>
      <c r="F381" s="356">
        <f t="shared" si="199"/>
        <v>0</v>
      </c>
      <c r="G381" s="356">
        <f t="shared" si="199"/>
        <v>0</v>
      </c>
      <c r="H381" s="356">
        <f t="shared" si="199"/>
        <v>0</v>
      </c>
      <c r="I381" s="356">
        <f t="shared" si="199"/>
        <v>0</v>
      </c>
      <c r="J381" s="356">
        <f t="shared" si="199"/>
        <v>0</v>
      </c>
      <c r="K381" s="356">
        <f t="shared" si="199"/>
        <v>0</v>
      </c>
      <c r="L381" s="356">
        <f t="shared" si="199"/>
        <v>0</v>
      </c>
      <c r="M381" s="356">
        <f t="shared" si="199"/>
        <v>0</v>
      </c>
      <c r="N381" s="356">
        <f t="shared" si="199"/>
        <v>0</v>
      </c>
      <c r="O381" s="356">
        <f t="shared" si="199"/>
        <v>0</v>
      </c>
      <c r="P381" s="356">
        <f t="shared" si="199"/>
        <v>0</v>
      </c>
    </row>
    <row r="382" spans="2:16" ht="12" customHeight="1">
      <c r="B382" s="357" t="s">
        <v>95</v>
      </c>
      <c r="C382" s="358" cm="1">
        <f t="array" ref="C382">SUMPRODUCT(ISNUMBER(MATCH(mod_st_wnp,$B$371,0))*('Koszty operacyjne'!$K$114:$X$114=Moduły!C$73)*ISNUMBER(MATCH(st_wnp_kw,tak,0)),st_wnp)</f>
        <v>0</v>
      </c>
      <c r="D382" s="358" cm="1">
        <f t="array" ref="D382">SUMPRODUCT(ISNUMBER(MATCH(mod_st_wnp,$B$371,0))*('Koszty operacyjne'!$K$114:$X$114=Moduły!D$73)*ISNUMBER(MATCH(st_wnp_kw,tak,0)),st_wnp)</f>
        <v>0</v>
      </c>
      <c r="E382" s="358" cm="1">
        <f t="array" ref="E382">SUMPRODUCT(ISNUMBER(MATCH(mod_st_wnp,$B$371,0))*('Koszty operacyjne'!$K$114:$X$114=Moduły!E$73)*ISNUMBER(MATCH(st_wnp_kw,tak,0)),st_wnp)</f>
        <v>0</v>
      </c>
      <c r="F382" s="358" cm="1">
        <f t="array" ref="F382">SUMPRODUCT(ISNUMBER(MATCH(mod_st_wnp,$B$371,0))*('Koszty operacyjne'!$K$114:$X$114=Moduły!F$73)*ISNUMBER(MATCH(st_wnp_kw,tak,0)),st_wnp)</f>
        <v>0</v>
      </c>
      <c r="G382" s="358" cm="1">
        <f t="array" ref="G382">SUMPRODUCT(ISNUMBER(MATCH(mod_st_wnp,$B$371,0))*('Koszty operacyjne'!$K$114:$X$114=Moduły!G$73)*ISNUMBER(MATCH(st_wnp_kw,tak,0)),st_wnp)</f>
        <v>0</v>
      </c>
      <c r="H382" s="358" cm="1">
        <f t="array" ref="H382">SUMPRODUCT(ISNUMBER(MATCH(mod_st_wnp,$B$371,0))*('Koszty operacyjne'!$K$114:$X$114=Moduły!H$73)*ISNUMBER(MATCH(st_wnp_kw,tak,0)),st_wnp)</f>
        <v>0</v>
      </c>
      <c r="I382" s="358" cm="1">
        <f t="array" ref="I382">SUMPRODUCT(ISNUMBER(MATCH(mod_st_wnp,$B$371,0))*('Koszty operacyjne'!$K$114:$X$114=Moduły!I$73)*ISNUMBER(MATCH(st_wnp_kw,tak,0)),st_wnp)</f>
        <v>0</v>
      </c>
      <c r="J382" s="358" cm="1">
        <f t="array" ref="J382">SUMPRODUCT(ISNUMBER(MATCH(mod_st_wnp,$B$371,0))*('Koszty operacyjne'!$K$114:$X$114=Moduły!J$73)*ISNUMBER(MATCH(st_wnp_kw,tak,0)),st_wnp)</f>
        <v>0</v>
      </c>
      <c r="K382" s="358" cm="1">
        <f t="array" ref="K382">SUMPRODUCT(ISNUMBER(MATCH(mod_st_wnp,$B$371,0))*('Koszty operacyjne'!$K$114:$X$114=Moduły!K$73)*ISNUMBER(MATCH(st_wnp_kw,tak,0)),st_wnp)</f>
        <v>0</v>
      </c>
      <c r="L382" s="358" cm="1">
        <f t="array" ref="L382">SUMPRODUCT(ISNUMBER(MATCH(mod_st_wnp,$B$371,0))*('Koszty operacyjne'!$K$114:$X$114=Moduły!L$73)*ISNUMBER(MATCH(st_wnp_kw,tak,0)),st_wnp)</f>
        <v>0</v>
      </c>
      <c r="M382" s="358" cm="1">
        <f t="array" ref="M382">SUMPRODUCT(ISNUMBER(MATCH(mod_st_wnp,$B$371,0))*('Koszty operacyjne'!$K$114:$X$114=Moduły!M$73)*ISNUMBER(MATCH(st_wnp_kw,tak,0)),st_wnp)</f>
        <v>0</v>
      </c>
      <c r="N382" s="358" cm="1">
        <f t="array" ref="N382">SUMPRODUCT(ISNUMBER(MATCH(mod_st_wnp,$B$371,0))*('Koszty operacyjne'!$K$114:$X$114=Moduły!N$73)*ISNUMBER(MATCH(st_wnp_kw,tak,0)),st_wnp)</f>
        <v>0</v>
      </c>
      <c r="O382" s="358" cm="1">
        <f t="array" ref="O382">SUMPRODUCT(ISNUMBER(MATCH(mod_st_wnp,$B$371,0))*('Koszty operacyjne'!$K$114:$X$114=Moduły!O$73)*ISNUMBER(MATCH(st_wnp_kw,tak,0)),st_wnp)</f>
        <v>0</v>
      </c>
      <c r="P382" s="358" cm="1">
        <f t="array" ref="P382">SUMPRODUCT(ISNUMBER(MATCH(mod_st_wnp,$B$371,0))*('Koszty operacyjne'!$K$114:$X$114=Moduły!P$73)*ISNUMBER(MATCH(st_wnp_kw,tak,0)),st_wnp)</f>
        <v>0</v>
      </c>
    </row>
    <row r="383" spans="2:16" ht="12" customHeight="1">
      <c r="B383" s="359" t="s">
        <v>96</v>
      </c>
      <c r="C383" s="360" cm="1">
        <f t="array" ref="C383">SUMPRODUCT(ISNUMBER(MATCH(mod_st_wnp,$B$371,0))*('Koszty operacyjne'!$K$114:$X$114=Moduły!C$73)*ISNUMBER(MATCH(st_wnp_kw,nie,0)),st_wnp)</f>
        <v>0</v>
      </c>
      <c r="D383" s="360" cm="1">
        <f t="array" ref="D383">SUMPRODUCT(ISNUMBER(MATCH(mod_st_wnp,$B$371,0))*('Koszty operacyjne'!$K$114:$X$114=Moduły!D$73)*ISNUMBER(MATCH(st_wnp_kw,nie,0)),st_wnp)</f>
        <v>0</v>
      </c>
      <c r="E383" s="360" cm="1">
        <f t="array" ref="E383">SUMPRODUCT(ISNUMBER(MATCH(mod_st_wnp,$B$371,0))*('Koszty operacyjne'!$K$114:$X$114=Moduły!E$73)*ISNUMBER(MATCH(st_wnp_kw,nie,0)),st_wnp)</f>
        <v>0</v>
      </c>
      <c r="F383" s="360" cm="1">
        <f t="array" ref="F383">SUMPRODUCT(ISNUMBER(MATCH(mod_st_wnp,$B$371,0))*('Koszty operacyjne'!$K$114:$X$114=Moduły!F$73)*ISNUMBER(MATCH(st_wnp_kw,nie,0)),st_wnp)</f>
        <v>0</v>
      </c>
      <c r="G383" s="360" cm="1">
        <f t="array" ref="G383">SUMPRODUCT(ISNUMBER(MATCH(mod_st_wnp,$B$371,0))*('Koszty operacyjne'!$K$114:$X$114=Moduły!G$73)*ISNUMBER(MATCH(st_wnp_kw,nie,0)),st_wnp)</f>
        <v>0</v>
      </c>
      <c r="H383" s="360" cm="1">
        <f t="array" ref="H383">SUMPRODUCT(ISNUMBER(MATCH(mod_st_wnp,$B$371,0))*('Koszty operacyjne'!$K$114:$X$114=Moduły!H$73)*ISNUMBER(MATCH(st_wnp_kw,nie,0)),st_wnp)</f>
        <v>0</v>
      </c>
      <c r="I383" s="360" cm="1">
        <f t="array" ref="I383">SUMPRODUCT(ISNUMBER(MATCH(mod_st_wnp,$B$371,0))*('Koszty operacyjne'!$K$114:$X$114=Moduły!I$73)*ISNUMBER(MATCH(st_wnp_kw,nie,0)),st_wnp)</f>
        <v>0</v>
      </c>
      <c r="J383" s="360" cm="1">
        <f t="array" ref="J383">SUMPRODUCT(ISNUMBER(MATCH(mod_st_wnp,$B$371,0))*('Koszty operacyjne'!$K$114:$X$114=Moduły!J$73)*ISNUMBER(MATCH(st_wnp_kw,nie,0)),st_wnp)</f>
        <v>0</v>
      </c>
      <c r="K383" s="361" cm="1">
        <f t="array" ref="K383">SUMPRODUCT(ISNUMBER(MATCH(mod_st_wnp,$B$371,0))*('Koszty operacyjne'!$K$114:$X$114=Moduły!K$73)*ISNUMBER(MATCH(st_wnp_kw,nie,0)),st_wnp)</f>
        <v>0</v>
      </c>
      <c r="L383" s="361" cm="1">
        <f t="array" ref="L383">SUMPRODUCT(ISNUMBER(MATCH(mod_st_wnp,$B$371,0))*('Koszty operacyjne'!$K$114:$X$114=Moduły!L$73)*ISNUMBER(MATCH(st_wnp_kw,nie,0)),st_wnp)</f>
        <v>0</v>
      </c>
      <c r="M383" s="361" cm="1">
        <f t="array" ref="M383">SUMPRODUCT(ISNUMBER(MATCH(mod_st_wnp,$B$371,0))*('Koszty operacyjne'!$K$114:$X$114=Moduły!M$73)*ISNUMBER(MATCH(st_wnp_kw,nie,0)),st_wnp)</f>
        <v>0</v>
      </c>
      <c r="N383" s="361" cm="1">
        <f t="array" ref="N383">SUMPRODUCT(ISNUMBER(MATCH(mod_st_wnp,$B$371,0))*('Koszty operacyjne'!$K$114:$X$114=Moduły!N$73)*ISNUMBER(MATCH(st_wnp_kw,nie,0)),st_wnp)</f>
        <v>0</v>
      </c>
      <c r="O383" s="361" cm="1">
        <f t="array" ref="O383">SUMPRODUCT(ISNUMBER(MATCH(mod_st_wnp,$B$371,0))*('Koszty operacyjne'!$K$114:$X$114=Moduły!O$73)*ISNUMBER(MATCH(st_wnp_kw,nie,0)),st_wnp)</f>
        <v>0</v>
      </c>
      <c r="P383" s="361" cm="1">
        <f t="array" ref="P383">SUMPRODUCT(ISNUMBER(MATCH(mod_st_wnp,$B$371,0))*('Koszty operacyjne'!$K$114:$X$114=Moduły!P$73)*ISNUMBER(MATCH(st_wnp_kw,nie,0)),st_wnp)</f>
        <v>0</v>
      </c>
    </row>
    <row r="384" spans="2:16" ht="3.9" customHeight="1">
      <c r="B384" s="8"/>
      <c r="C384" s="363"/>
      <c r="D384" s="363"/>
      <c r="E384" s="363"/>
      <c r="F384" s="363"/>
      <c r="G384" s="363"/>
      <c r="H384" s="363"/>
      <c r="I384" s="363"/>
      <c r="J384" s="363"/>
      <c r="K384" s="364"/>
      <c r="L384" s="364"/>
      <c r="M384" s="364"/>
      <c r="N384" s="364"/>
      <c r="O384" s="364"/>
      <c r="P384" s="364"/>
    </row>
    <row r="385" spans="2:16" ht="12" customHeight="1">
      <c r="B385" s="355" t="s">
        <v>98</v>
      </c>
      <c r="C385" s="356">
        <f t="shared" ref="C385:P385" si="200">SUM(C386:C387)</f>
        <v>0</v>
      </c>
      <c r="D385" s="356">
        <f t="shared" si="200"/>
        <v>0</v>
      </c>
      <c r="E385" s="356">
        <f t="shared" si="200"/>
        <v>0</v>
      </c>
      <c r="F385" s="356">
        <f t="shared" si="200"/>
        <v>0</v>
      </c>
      <c r="G385" s="356">
        <f t="shared" si="200"/>
        <v>0</v>
      </c>
      <c r="H385" s="356">
        <f t="shared" si="200"/>
        <v>0</v>
      </c>
      <c r="I385" s="356">
        <f t="shared" si="200"/>
        <v>0</v>
      </c>
      <c r="J385" s="356">
        <f t="shared" si="200"/>
        <v>0</v>
      </c>
      <c r="K385" s="356">
        <f t="shared" si="200"/>
        <v>0</v>
      </c>
      <c r="L385" s="356">
        <f t="shared" si="200"/>
        <v>0</v>
      </c>
      <c r="M385" s="356">
        <f t="shared" si="200"/>
        <v>0</v>
      </c>
      <c r="N385" s="356">
        <f t="shared" si="200"/>
        <v>0</v>
      </c>
      <c r="O385" s="356">
        <f t="shared" si="200"/>
        <v>0</v>
      </c>
      <c r="P385" s="356">
        <f t="shared" si="200"/>
        <v>0</v>
      </c>
    </row>
    <row r="386" spans="2:16" ht="12" customHeight="1">
      <c r="B386" s="357" t="s">
        <v>95</v>
      </c>
      <c r="C386" s="358" cm="1">
        <f t="array" ref="C386">SUMPRODUCT(ISNUMBER(MATCH(mod_st_gry,$B$371,0))*('Koszty operacyjne'!$K$114:$X$114=Moduły!C$73)*ISNUMBER(MATCH(st_gry_kw,tak,0)),st_gry)</f>
        <v>0</v>
      </c>
      <c r="D386" s="358" cm="1">
        <f t="array" ref="D386">SUMPRODUCT(ISNUMBER(MATCH(mod_st_gry,$B$371,0))*('Koszty operacyjne'!$K$114:$X$114=Moduły!D$73)*ISNUMBER(MATCH(st_gry_kw,tak,0)),st_gry)</f>
        <v>0</v>
      </c>
      <c r="E386" s="358" cm="1">
        <f t="array" ref="E386">SUMPRODUCT(ISNUMBER(MATCH(mod_st_gry,$B$371,0))*('Koszty operacyjne'!$K$114:$X$114=Moduły!E$73)*ISNUMBER(MATCH(st_gry_kw,tak,0)),st_gry)</f>
        <v>0</v>
      </c>
      <c r="F386" s="358" cm="1">
        <f t="array" ref="F386">SUMPRODUCT(ISNUMBER(MATCH(mod_st_gry,$B$371,0))*('Koszty operacyjne'!$K$114:$X$114=Moduły!F$73)*ISNUMBER(MATCH(st_gry_kw,tak,0)),st_gry)</f>
        <v>0</v>
      </c>
      <c r="G386" s="358" cm="1">
        <f t="array" ref="G386">SUMPRODUCT(ISNUMBER(MATCH(mod_st_gry,$B$371,0))*('Koszty operacyjne'!$K$114:$X$114=Moduły!G$73)*ISNUMBER(MATCH(st_gry_kw,tak,0)),st_gry)</f>
        <v>0</v>
      </c>
      <c r="H386" s="358" cm="1">
        <f t="array" ref="H386">SUMPRODUCT(ISNUMBER(MATCH(mod_st_gry,$B$371,0))*('Koszty operacyjne'!$K$114:$X$114=Moduły!H$73)*ISNUMBER(MATCH(st_gry_kw,tak,0)),st_gry)</f>
        <v>0</v>
      </c>
      <c r="I386" s="358" cm="1">
        <f t="array" ref="I386">SUMPRODUCT(ISNUMBER(MATCH(mod_st_gry,$B$371,0))*('Koszty operacyjne'!$K$114:$X$114=Moduły!I$73)*ISNUMBER(MATCH(st_gry_kw,tak,0)),st_gry)</f>
        <v>0</v>
      </c>
      <c r="J386" s="358" cm="1">
        <f t="array" ref="J386">SUMPRODUCT(ISNUMBER(MATCH(mod_st_gry,$B$371,0))*('Koszty operacyjne'!$K$114:$X$114=Moduły!J$73)*ISNUMBER(MATCH(st_gry_kw,tak,0)),st_gry)</f>
        <v>0</v>
      </c>
      <c r="K386" s="358" cm="1">
        <f t="array" ref="K386">SUMPRODUCT(ISNUMBER(MATCH(mod_st_gry,$B$371,0))*('Koszty operacyjne'!$K$114:$X$114=Moduły!K$73)*ISNUMBER(MATCH(st_gry_kw,tak,0)),st_gry)</f>
        <v>0</v>
      </c>
      <c r="L386" s="358" cm="1">
        <f t="array" ref="L386">SUMPRODUCT(ISNUMBER(MATCH(mod_st_gry,$B$371,0))*('Koszty operacyjne'!$K$114:$X$114=Moduły!L$73)*ISNUMBER(MATCH(st_gry_kw,tak,0)),st_gry)</f>
        <v>0</v>
      </c>
      <c r="M386" s="358" cm="1">
        <f t="array" ref="M386">SUMPRODUCT(ISNUMBER(MATCH(mod_st_gry,$B$371,0))*('Koszty operacyjne'!$K$114:$X$114=Moduły!M$73)*ISNUMBER(MATCH(st_gry_kw,tak,0)),st_gry)</f>
        <v>0</v>
      </c>
      <c r="N386" s="358" cm="1">
        <f t="array" ref="N386">SUMPRODUCT(ISNUMBER(MATCH(mod_st_gry,$B$371,0))*('Koszty operacyjne'!$K$114:$X$114=Moduły!N$73)*ISNUMBER(MATCH(st_gry_kw,tak,0)),st_gry)</f>
        <v>0</v>
      </c>
      <c r="O386" s="358" cm="1">
        <f t="array" ref="O386">SUMPRODUCT(ISNUMBER(MATCH(mod_st_gry,$B$371,0))*('Koszty operacyjne'!$K$114:$X$114=Moduły!O$73)*ISNUMBER(MATCH(st_gry_kw,tak,0)),st_gry)</f>
        <v>0</v>
      </c>
      <c r="P386" s="358" cm="1">
        <f t="array" ref="P386">SUMPRODUCT(ISNUMBER(MATCH(mod_st_gry,$B$371,0))*('Koszty operacyjne'!$K$114:$X$114=Moduły!P$73)*ISNUMBER(MATCH(st_gry_kw,tak,0)),st_gry)</f>
        <v>0</v>
      </c>
    </row>
    <row r="387" spans="2:16" ht="12" customHeight="1">
      <c r="B387" s="359" t="s">
        <v>96</v>
      </c>
      <c r="C387" s="360" cm="1">
        <f t="array" ref="C387">SUMPRODUCT(ISNUMBER(MATCH(mod_st_gry,$B$371,0))*('Koszty operacyjne'!$K$114:$X$114=Moduły!C$73)*ISNUMBER(MATCH(st_gry_kw,nie,0)),st_gry)</f>
        <v>0</v>
      </c>
      <c r="D387" s="360" cm="1">
        <f t="array" ref="D387">SUMPRODUCT(ISNUMBER(MATCH(mod_st_gry,$B$371,0))*('Koszty operacyjne'!$K$114:$X$114=Moduły!D$73)*ISNUMBER(MATCH(st_gry_kw,nie,0)),st_gry)</f>
        <v>0</v>
      </c>
      <c r="E387" s="360" cm="1">
        <f t="array" ref="E387">SUMPRODUCT(ISNUMBER(MATCH(mod_st_gry,$B$371,0))*('Koszty operacyjne'!$K$114:$X$114=Moduły!E$73)*ISNUMBER(MATCH(st_gry_kw,nie,0)),st_gry)</f>
        <v>0</v>
      </c>
      <c r="F387" s="360" cm="1">
        <f t="array" ref="F387">SUMPRODUCT(ISNUMBER(MATCH(mod_st_gry,$B$371,0))*('Koszty operacyjne'!$K$114:$X$114=Moduły!F$73)*ISNUMBER(MATCH(st_gry_kw,nie,0)),st_gry)</f>
        <v>0</v>
      </c>
      <c r="G387" s="360" cm="1">
        <f t="array" ref="G387">SUMPRODUCT(ISNUMBER(MATCH(mod_st_gry,$B$371,0))*('Koszty operacyjne'!$K$114:$X$114=Moduły!G$73)*ISNUMBER(MATCH(st_gry_kw,nie,0)),st_gry)</f>
        <v>0</v>
      </c>
      <c r="H387" s="360" cm="1">
        <f t="array" ref="H387">SUMPRODUCT(ISNUMBER(MATCH(mod_st_gry,$B$371,0))*('Koszty operacyjne'!$K$114:$X$114=Moduły!H$73)*ISNUMBER(MATCH(st_gry_kw,nie,0)),st_gry)</f>
        <v>0</v>
      </c>
      <c r="I387" s="360" cm="1">
        <f t="array" ref="I387">SUMPRODUCT(ISNUMBER(MATCH(mod_st_gry,$B$371,0))*('Koszty operacyjne'!$K$114:$X$114=Moduły!I$73)*ISNUMBER(MATCH(st_gry_kw,nie,0)),st_gry)</f>
        <v>0</v>
      </c>
      <c r="J387" s="360" cm="1">
        <f t="array" ref="J387">SUMPRODUCT(ISNUMBER(MATCH(mod_st_gry,$B$371,0))*('Koszty operacyjne'!$K$114:$X$114=Moduły!J$73)*ISNUMBER(MATCH(st_gry_kw,nie,0)),st_gry)</f>
        <v>0</v>
      </c>
      <c r="K387" s="361" cm="1">
        <f t="array" ref="K387">SUMPRODUCT(ISNUMBER(MATCH(mod_st_gry,$B$371,0))*('Koszty operacyjne'!$K$114:$X$114=Moduły!K$73)*ISNUMBER(MATCH(st_gry_kw,nie,0)),st_gry)</f>
        <v>0</v>
      </c>
      <c r="L387" s="361" cm="1">
        <f t="array" ref="L387">SUMPRODUCT(ISNUMBER(MATCH(mod_st_gry,$B$371,0))*('Koszty operacyjne'!$K$114:$X$114=Moduły!L$73)*ISNUMBER(MATCH(st_gry_kw,nie,0)),st_gry)</f>
        <v>0</v>
      </c>
      <c r="M387" s="361" cm="1">
        <f t="array" ref="M387">SUMPRODUCT(ISNUMBER(MATCH(mod_st_gry,$B$371,0))*('Koszty operacyjne'!$K$114:$X$114=Moduły!M$73)*ISNUMBER(MATCH(st_gry_kw,nie,0)),st_gry)</f>
        <v>0</v>
      </c>
      <c r="N387" s="361" cm="1">
        <f t="array" ref="N387">SUMPRODUCT(ISNUMBER(MATCH(mod_st_gry,$B$371,0))*('Koszty operacyjne'!$K$114:$X$114=Moduły!N$73)*ISNUMBER(MATCH(st_gry_kw,nie,0)),st_gry)</f>
        <v>0</v>
      </c>
      <c r="O387" s="361" cm="1">
        <f t="array" ref="O387">SUMPRODUCT(ISNUMBER(MATCH(mod_st_gry,$B$371,0))*('Koszty operacyjne'!$K$114:$X$114=Moduły!O$73)*ISNUMBER(MATCH(st_gry_kw,nie,0)),st_gry)</f>
        <v>0</v>
      </c>
      <c r="P387" s="361" cm="1">
        <f t="array" ref="P387">SUMPRODUCT(ISNUMBER(MATCH(mod_st_gry,$B$371,0))*('Koszty operacyjne'!$K$114:$X$114=Moduły!P$73)*ISNUMBER(MATCH(st_gry_kw,nie,0)),st_gry)</f>
        <v>0</v>
      </c>
    </row>
    <row r="388" spans="2:16" ht="3.9" customHeight="1">
      <c r="B388" s="8"/>
      <c r="C388" s="363"/>
      <c r="D388" s="363"/>
      <c r="E388" s="363"/>
      <c r="F388" s="363"/>
      <c r="G388" s="363"/>
      <c r="H388" s="363"/>
      <c r="I388" s="363"/>
      <c r="J388" s="363"/>
      <c r="K388" s="364"/>
      <c r="L388" s="364"/>
      <c r="M388" s="364"/>
      <c r="N388" s="364"/>
      <c r="O388" s="364"/>
      <c r="P388" s="364"/>
    </row>
    <row r="389" spans="2:16" ht="12" customHeight="1">
      <c r="B389" s="355" t="s">
        <v>99</v>
      </c>
      <c r="C389" s="356">
        <f t="shared" ref="C389:P389" si="201">SUM(C390:C391)</f>
        <v>0</v>
      </c>
      <c r="D389" s="356">
        <f t="shared" si="201"/>
        <v>0</v>
      </c>
      <c r="E389" s="356">
        <f t="shared" si="201"/>
        <v>0</v>
      </c>
      <c r="F389" s="356">
        <f t="shared" si="201"/>
        <v>0</v>
      </c>
      <c r="G389" s="356">
        <f t="shared" si="201"/>
        <v>0</v>
      </c>
      <c r="H389" s="356">
        <f t="shared" si="201"/>
        <v>0</v>
      </c>
      <c r="I389" s="356">
        <f t="shared" si="201"/>
        <v>0</v>
      </c>
      <c r="J389" s="356">
        <f t="shared" si="201"/>
        <v>0</v>
      </c>
      <c r="K389" s="356">
        <f t="shared" si="201"/>
        <v>0</v>
      </c>
      <c r="L389" s="356">
        <f t="shared" si="201"/>
        <v>0</v>
      </c>
      <c r="M389" s="356">
        <f t="shared" si="201"/>
        <v>0</v>
      </c>
      <c r="N389" s="356">
        <f t="shared" si="201"/>
        <v>0</v>
      </c>
      <c r="O389" s="356">
        <f t="shared" si="201"/>
        <v>0</v>
      </c>
      <c r="P389" s="356">
        <f t="shared" si="201"/>
        <v>0</v>
      </c>
    </row>
    <row r="390" spans="2:16" ht="12" customHeight="1">
      <c r="B390" s="357" t="s">
        <v>95</v>
      </c>
      <c r="C390" s="358" cm="1">
        <f t="array" ref="C390">SUMPRODUCT(ISNUMBER(MATCH(mod_st_bib,$B$371,0))*('Koszty operacyjne'!$K$114:$X$114=Moduły!C$73)*ISNUMBER(MATCH(st_bib_kw,tak,0)),st_bib)</f>
        <v>0</v>
      </c>
      <c r="D390" s="358" cm="1">
        <f t="array" ref="D390">SUMPRODUCT(ISNUMBER(MATCH(mod_st_bib,$B$371,0))*('Koszty operacyjne'!$K$114:$X$114=Moduły!D$73)*ISNUMBER(MATCH(st_bib_kw,tak,0)),st_bib)</f>
        <v>0</v>
      </c>
      <c r="E390" s="358" cm="1">
        <f t="array" ref="E390">SUMPRODUCT(ISNUMBER(MATCH(mod_st_bib,$B$371,0))*('Koszty operacyjne'!$K$114:$X$114=Moduły!E$73)*ISNUMBER(MATCH(st_bib_kw,tak,0)),st_bib)</f>
        <v>0</v>
      </c>
      <c r="F390" s="358" cm="1">
        <f t="array" ref="F390">SUMPRODUCT(ISNUMBER(MATCH(mod_st_bib,$B$371,0))*('Koszty operacyjne'!$K$114:$X$114=Moduły!F$73)*ISNUMBER(MATCH(st_bib_kw,tak,0)),st_bib)</f>
        <v>0</v>
      </c>
      <c r="G390" s="358" cm="1">
        <f t="array" ref="G390">SUMPRODUCT(ISNUMBER(MATCH(mod_st_bib,$B$371,0))*('Koszty operacyjne'!$K$114:$X$114=Moduły!G$73)*ISNUMBER(MATCH(st_bib_kw,tak,0)),st_bib)</f>
        <v>0</v>
      </c>
      <c r="H390" s="358" cm="1">
        <f t="array" ref="H390">SUMPRODUCT(ISNUMBER(MATCH(mod_st_bib,$B$371,0))*('Koszty operacyjne'!$K$114:$X$114=Moduły!H$73)*ISNUMBER(MATCH(st_bib_kw,tak,0)),st_bib)</f>
        <v>0</v>
      </c>
      <c r="I390" s="358" cm="1">
        <f t="array" ref="I390">SUMPRODUCT(ISNUMBER(MATCH(mod_st_bib,$B$371,0))*('Koszty operacyjne'!$K$114:$X$114=Moduły!I$73)*ISNUMBER(MATCH(st_bib_kw,tak,0)),st_bib)</f>
        <v>0</v>
      </c>
      <c r="J390" s="358" cm="1">
        <f t="array" ref="J390">SUMPRODUCT(ISNUMBER(MATCH(mod_st_bib,$B$371,0))*('Koszty operacyjne'!$K$114:$X$114=Moduły!J$73)*ISNUMBER(MATCH(st_bib_kw,tak,0)),st_bib)</f>
        <v>0</v>
      </c>
      <c r="K390" s="358" cm="1">
        <f t="array" ref="K390">SUMPRODUCT(ISNUMBER(MATCH(mod_st_bib,$B$371,0))*('Koszty operacyjne'!$K$114:$X$114=Moduły!K$73)*ISNUMBER(MATCH(st_bib_kw,tak,0)),st_bib)</f>
        <v>0</v>
      </c>
      <c r="L390" s="358" cm="1">
        <f t="array" ref="L390">SUMPRODUCT(ISNUMBER(MATCH(mod_st_bib,$B$371,0))*('Koszty operacyjne'!$K$114:$X$114=Moduły!L$73)*ISNUMBER(MATCH(st_bib_kw,tak,0)),st_bib)</f>
        <v>0</v>
      </c>
      <c r="M390" s="358" cm="1">
        <f t="array" ref="M390">SUMPRODUCT(ISNUMBER(MATCH(mod_st_bib,$B$371,0))*('Koszty operacyjne'!$K$114:$X$114=Moduły!M$73)*ISNUMBER(MATCH(st_bib_kw,tak,0)),st_bib)</f>
        <v>0</v>
      </c>
      <c r="N390" s="358" cm="1">
        <f t="array" ref="N390">SUMPRODUCT(ISNUMBER(MATCH(mod_st_bib,$B$371,0))*('Koszty operacyjne'!$K$114:$X$114=Moduły!N$73)*ISNUMBER(MATCH(st_bib_kw,tak,0)),st_bib)</f>
        <v>0</v>
      </c>
      <c r="O390" s="358" cm="1">
        <f t="array" ref="O390">SUMPRODUCT(ISNUMBER(MATCH(mod_st_bib,$B$371,0))*('Koszty operacyjne'!$K$114:$X$114=Moduły!O$73)*ISNUMBER(MATCH(st_bib_kw,tak,0)),st_bib)</f>
        <v>0</v>
      </c>
      <c r="P390" s="358" cm="1">
        <f t="array" ref="P390">SUMPRODUCT(ISNUMBER(MATCH(mod_st_bib,$B$371,0))*('Koszty operacyjne'!$K$114:$X$114=Moduły!P$73)*ISNUMBER(MATCH(st_bib_kw,tak,0)),st_bib)</f>
        <v>0</v>
      </c>
    </row>
    <row r="391" spans="2:16" ht="12" customHeight="1">
      <c r="B391" s="359" t="s">
        <v>96</v>
      </c>
      <c r="C391" s="360" cm="1">
        <f t="array" ref="C391">SUMPRODUCT(ISNUMBER(MATCH(mod_st_bib,$B$371,0))*('Koszty operacyjne'!$K$114:$X$114=Moduły!C$73)*ISNUMBER(MATCH(st_bib_kw,nie,0)),st_bib)</f>
        <v>0</v>
      </c>
      <c r="D391" s="360" cm="1">
        <f t="array" ref="D391">SUMPRODUCT(ISNUMBER(MATCH(mod_st_bib,$B$371,0))*('Koszty operacyjne'!$K$114:$X$114=Moduły!D$73)*ISNUMBER(MATCH(st_bib_kw,nie,0)),st_bib)</f>
        <v>0</v>
      </c>
      <c r="E391" s="360" cm="1">
        <f t="array" ref="E391">SUMPRODUCT(ISNUMBER(MATCH(mod_st_bib,$B$371,0))*('Koszty operacyjne'!$K$114:$X$114=Moduły!E$73)*ISNUMBER(MATCH(st_bib_kw,nie,0)),st_bib)</f>
        <v>0</v>
      </c>
      <c r="F391" s="360" cm="1">
        <f t="array" ref="F391">SUMPRODUCT(ISNUMBER(MATCH(mod_st_bib,$B$371,0))*('Koszty operacyjne'!$K$114:$X$114=Moduły!F$73)*ISNUMBER(MATCH(st_bib_kw,nie,0)),st_bib)</f>
        <v>0</v>
      </c>
      <c r="G391" s="360" cm="1">
        <f t="array" ref="G391">SUMPRODUCT(ISNUMBER(MATCH(mod_st_bib,$B$371,0))*('Koszty operacyjne'!$K$114:$X$114=Moduły!G$73)*ISNUMBER(MATCH(st_bib_kw,nie,0)),st_bib)</f>
        <v>0</v>
      </c>
      <c r="H391" s="360" cm="1">
        <f t="array" ref="H391">SUMPRODUCT(ISNUMBER(MATCH(mod_st_bib,$B$371,0))*('Koszty operacyjne'!$K$114:$X$114=Moduły!H$73)*ISNUMBER(MATCH(st_bib_kw,nie,0)),st_bib)</f>
        <v>0</v>
      </c>
      <c r="I391" s="360" cm="1">
        <f t="array" ref="I391">SUMPRODUCT(ISNUMBER(MATCH(mod_st_bib,$B$371,0))*('Koszty operacyjne'!$K$114:$X$114=Moduły!I$73)*ISNUMBER(MATCH(st_bib_kw,nie,0)),st_bib)</f>
        <v>0</v>
      </c>
      <c r="J391" s="360" cm="1">
        <f t="array" ref="J391">SUMPRODUCT(ISNUMBER(MATCH(mod_st_bib,$B$371,0))*('Koszty operacyjne'!$K$114:$X$114=Moduły!J$73)*ISNUMBER(MATCH(st_bib_kw,nie,0)),st_bib)</f>
        <v>0</v>
      </c>
      <c r="K391" s="361" cm="1">
        <f t="array" ref="K391">SUMPRODUCT(ISNUMBER(MATCH(mod_st_bib,$B$371,0))*('Koszty operacyjne'!$K$114:$X$114=Moduły!K$73)*ISNUMBER(MATCH(st_bib_kw,nie,0)),st_bib)</f>
        <v>0</v>
      </c>
      <c r="L391" s="361" cm="1">
        <f t="array" ref="L391">SUMPRODUCT(ISNUMBER(MATCH(mod_st_bib,$B$371,0))*('Koszty operacyjne'!$K$114:$X$114=Moduły!L$73)*ISNUMBER(MATCH(st_bib_kw,nie,0)),st_bib)</f>
        <v>0</v>
      </c>
      <c r="M391" s="361" cm="1">
        <f t="array" ref="M391">SUMPRODUCT(ISNUMBER(MATCH(mod_st_bib,$B$371,0))*('Koszty operacyjne'!$K$114:$X$114=Moduły!M$73)*ISNUMBER(MATCH(st_bib_kw,nie,0)),st_bib)</f>
        <v>0</v>
      </c>
      <c r="N391" s="361" cm="1">
        <f t="array" ref="N391">SUMPRODUCT(ISNUMBER(MATCH(mod_st_bib,$B$371,0))*('Koszty operacyjne'!$K$114:$X$114=Moduły!N$73)*ISNUMBER(MATCH(st_bib_kw,nie,0)),st_bib)</f>
        <v>0</v>
      </c>
      <c r="O391" s="361" cm="1">
        <f t="array" ref="O391">SUMPRODUCT(ISNUMBER(MATCH(mod_st_bib,$B$371,0))*('Koszty operacyjne'!$K$114:$X$114=Moduły!O$73)*ISNUMBER(MATCH(st_bib_kw,nie,0)),st_bib)</f>
        <v>0</v>
      </c>
      <c r="P391" s="361" cm="1">
        <f t="array" ref="P391">SUMPRODUCT(ISNUMBER(MATCH(mod_st_bib,$B$371,0))*('Koszty operacyjne'!$K$114:$X$114=Moduły!P$73)*ISNUMBER(MATCH(st_bib_kw,nie,0)),st_bib)</f>
        <v>0</v>
      </c>
    </row>
    <row r="392" spans="2:16" ht="3.9" customHeight="1">
      <c r="B392" s="8"/>
      <c r="C392" s="363"/>
      <c r="D392" s="363"/>
      <c r="E392" s="363"/>
      <c r="F392" s="363"/>
      <c r="G392" s="363"/>
      <c r="H392" s="363"/>
      <c r="I392" s="363"/>
      <c r="J392" s="363"/>
      <c r="K392" s="364"/>
      <c r="L392" s="364"/>
      <c r="M392" s="364"/>
      <c r="N392" s="364"/>
      <c r="O392" s="364"/>
      <c r="P392" s="364"/>
    </row>
    <row r="393" spans="2:16" ht="12" customHeight="1">
      <c r="B393" s="355" t="s">
        <v>100</v>
      </c>
      <c r="C393" s="356">
        <f t="shared" ref="C393:P393" si="202">SUM(C394:C395)</f>
        <v>0</v>
      </c>
      <c r="D393" s="356">
        <f t="shared" si="202"/>
        <v>0</v>
      </c>
      <c r="E393" s="356">
        <f t="shared" si="202"/>
        <v>0</v>
      </c>
      <c r="F393" s="356">
        <f t="shared" si="202"/>
        <v>0</v>
      </c>
      <c r="G393" s="356">
        <f t="shared" si="202"/>
        <v>0</v>
      </c>
      <c r="H393" s="356">
        <f t="shared" si="202"/>
        <v>0</v>
      </c>
      <c r="I393" s="356">
        <f t="shared" si="202"/>
        <v>0</v>
      </c>
      <c r="J393" s="356">
        <f t="shared" si="202"/>
        <v>0</v>
      </c>
      <c r="K393" s="356">
        <f t="shared" si="202"/>
        <v>0</v>
      </c>
      <c r="L393" s="356">
        <f t="shared" si="202"/>
        <v>0</v>
      </c>
      <c r="M393" s="356">
        <f t="shared" si="202"/>
        <v>0</v>
      </c>
      <c r="N393" s="356">
        <f t="shared" si="202"/>
        <v>0</v>
      </c>
      <c r="O393" s="356">
        <f t="shared" si="202"/>
        <v>0</v>
      </c>
      <c r="P393" s="356">
        <f t="shared" si="202"/>
        <v>0</v>
      </c>
    </row>
    <row r="394" spans="2:16" ht="12" customHeight="1">
      <c r="B394" s="357" t="s">
        <v>95</v>
      </c>
      <c r="C394" s="358" cm="1">
        <f t="array" ref="C394">SUMPRODUCT(ISNUMBER(MATCH(mod_st_utm,$B$371,0))*('Koszty operacyjne'!$K$114:$X$114=Moduły!C$73)*ISNUMBER(MATCH(st_utm_kw,tak,0)),st_utm)</f>
        <v>0</v>
      </c>
      <c r="D394" s="358" cm="1">
        <f t="array" ref="D394">SUMPRODUCT(ISNUMBER(MATCH(mod_st_utm,$B$371,0))*('Koszty operacyjne'!$K$114:$X$114=Moduły!D$73)*ISNUMBER(MATCH(st_utm_kw,tak,0)),st_utm)</f>
        <v>0</v>
      </c>
      <c r="E394" s="358" cm="1">
        <f t="array" ref="E394">SUMPRODUCT(ISNUMBER(MATCH(mod_st_utm,$B$371,0))*('Koszty operacyjne'!$K$114:$X$114=Moduły!E$73)*ISNUMBER(MATCH(st_utm_kw,tak,0)),st_utm)</f>
        <v>0</v>
      </c>
      <c r="F394" s="358" cm="1">
        <f t="array" ref="F394">SUMPRODUCT(ISNUMBER(MATCH(mod_st_utm,$B$371,0))*('Koszty operacyjne'!$K$114:$X$114=Moduły!F$73)*ISNUMBER(MATCH(st_utm_kw,tak,0)),st_utm)</f>
        <v>0</v>
      </c>
      <c r="G394" s="358" cm="1">
        <f t="array" ref="G394">SUMPRODUCT(ISNUMBER(MATCH(mod_st_utm,$B$371,0))*('Koszty operacyjne'!$K$114:$X$114=Moduły!G$73)*ISNUMBER(MATCH(st_utm_kw,tak,0)),st_utm)</f>
        <v>0</v>
      </c>
      <c r="H394" s="358" cm="1">
        <f t="array" ref="H394">SUMPRODUCT(ISNUMBER(MATCH(mod_st_utm,$B$371,0))*('Koszty operacyjne'!$K$114:$X$114=Moduły!H$73)*ISNUMBER(MATCH(st_utm_kw,tak,0)),st_utm)</f>
        <v>0</v>
      </c>
      <c r="I394" s="358" cm="1">
        <f t="array" ref="I394">SUMPRODUCT(ISNUMBER(MATCH(mod_st_utm,$B$371,0))*('Koszty operacyjne'!$K$114:$X$114=Moduły!I$73)*ISNUMBER(MATCH(st_utm_kw,tak,0)),st_utm)</f>
        <v>0</v>
      </c>
      <c r="J394" s="358" cm="1">
        <f t="array" ref="J394">SUMPRODUCT(ISNUMBER(MATCH(mod_st_utm,$B$371,0))*('Koszty operacyjne'!$K$114:$X$114=Moduły!J$73)*ISNUMBER(MATCH(st_utm_kw,tak,0)),st_utm)</f>
        <v>0</v>
      </c>
      <c r="K394" s="358" cm="1">
        <f t="array" ref="K394">SUMPRODUCT(ISNUMBER(MATCH(mod_st_utm,$B$371,0))*('Koszty operacyjne'!$K$114:$X$114=Moduły!K$73)*ISNUMBER(MATCH(st_utm_kw,tak,0)),st_utm)</f>
        <v>0</v>
      </c>
      <c r="L394" s="358" cm="1">
        <f t="array" ref="L394">SUMPRODUCT(ISNUMBER(MATCH(mod_st_utm,$B$371,0))*('Koszty operacyjne'!$K$114:$X$114=Moduły!L$73)*ISNUMBER(MATCH(st_utm_kw,tak,0)),st_utm)</f>
        <v>0</v>
      </c>
      <c r="M394" s="358" cm="1">
        <f t="array" ref="M394">SUMPRODUCT(ISNUMBER(MATCH(mod_st_utm,$B$371,0))*('Koszty operacyjne'!$K$114:$X$114=Moduły!M$73)*ISNUMBER(MATCH(st_utm_kw,tak,0)),st_utm)</f>
        <v>0</v>
      </c>
      <c r="N394" s="358" cm="1">
        <f t="array" ref="N394">SUMPRODUCT(ISNUMBER(MATCH(mod_st_utm,$B$371,0))*('Koszty operacyjne'!$K$114:$X$114=Moduły!N$73)*ISNUMBER(MATCH(st_utm_kw,tak,0)),st_utm)</f>
        <v>0</v>
      </c>
      <c r="O394" s="358" cm="1">
        <f t="array" ref="O394">SUMPRODUCT(ISNUMBER(MATCH(mod_st_utm,$B$371,0))*('Koszty operacyjne'!$K$114:$X$114=Moduły!O$73)*ISNUMBER(MATCH(st_utm_kw,tak,0)),st_utm)</f>
        <v>0</v>
      </c>
      <c r="P394" s="358" cm="1">
        <f t="array" ref="P394">SUMPRODUCT(ISNUMBER(MATCH(mod_st_utm,$B$371,0))*('Koszty operacyjne'!$K$114:$X$114=Moduły!P$73)*ISNUMBER(MATCH(st_utm_kw,tak,0)),st_utm)</f>
        <v>0</v>
      </c>
    </row>
    <row r="395" spans="2:16" ht="12" customHeight="1">
      <c r="B395" s="359" t="s">
        <v>96</v>
      </c>
      <c r="C395" s="360" cm="1">
        <f t="array" ref="C395">SUMPRODUCT(ISNUMBER(MATCH(mod_st_utm,$B$371,0))*('Koszty operacyjne'!$K$114:$X$114=Moduły!C$73)*ISNUMBER(MATCH(st_utm_kw,nie,0)),st_utm)</f>
        <v>0</v>
      </c>
      <c r="D395" s="360" cm="1">
        <f t="array" ref="D395">SUMPRODUCT(ISNUMBER(MATCH(mod_st_utm,$B$371,0))*('Koszty operacyjne'!$K$114:$X$114=Moduły!D$73)*ISNUMBER(MATCH(st_utm_kw,nie,0)),st_utm)</f>
        <v>0</v>
      </c>
      <c r="E395" s="360" cm="1">
        <f t="array" ref="E395">SUMPRODUCT(ISNUMBER(MATCH(mod_st_utm,$B$371,0))*('Koszty operacyjne'!$K$114:$X$114=Moduły!E$73)*ISNUMBER(MATCH(st_utm_kw,nie,0)),st_utm)</f>
        <v>0</v>
      </c>
      <c r="F395" s="360" cm="1">
        <f t="array" ref="F395">SUMPRODUCT(ISNUMBER(MATCH(mod_st_utm,$B$371,0))*('Koszty operacyjne'!$K$114:$X$114=Moduły!F$73)*ISNUMBER(MATCH(st_utm_kw,nie,0)),st_utm)</f>
        <v>0</v>
      </c>
      <c r="G395" s="360" cm="1">
        <f t="array" ref="G395">SUMPRODUCT(ISNUMBER(MATCH(mod_st_utm,$B$371,0))*('Koszty operacyjne'!$K$114:$X$114=Moduły!G$73)*ISNUMBER(MATCH(st_utm_kw,nie,0)),st_utm)</f>
        <v>0</v>
      </c>
      <c r="H395" s="360" cm="1">
        <f t="array" ref="H395">SUMPRODUCT(ISNUMBER(MATCH(mod_st_utm,$B$371,0))*('Koszty operacyjne'!$K$114:$X$114=Moduły!H$73)*ISNUMBER(MATCH(st_utm_kw,nie,0)),st_utm)</f>
        <v>0</v>
      </c>
      <c r="I395" s="360" cm="1">
        <f t="array" ref="I395">SUMPRODUCT(ISNUMBER(MATCH(mod_st_utm,$B$371,0))*('Koszty operacyjne'!$K$114:$X$114=Moduły!I$73)*ISNUMBER(MATCH(st_utm_kw,nie,0)),st_utm)</f>
        <v>0</v>
      </c>
      <c r="J395" s="360" cm="1">
        <f t="array" ref="J395">SUMPRODUCT(ISNUMBER(MATCH(mod_st_utm,$B$371,0))*('Koszty operacyjne'!$K$114:$X$114=Moduły!J$73)*ISNUMBER(MATCH(st_utm_kw,nie,0)),st_utm)</f>
        <v>0</v>
      </c>
      <c r="K395" s="361" cm="1">
        <f t="array" ref="K395">SUMPRODUCT(ISNUMBER(MATCH(mod_st_utm,$B$371,0))*('Koszty operacyjne'!$K$114:$X$114=Moduły!K$73)*ISNUMBER(MATCH(st_utm_kw,nie,0)),st_utm)</f>
        <v>0</v>
      </c>
      <c r="L395" s="361" cm="1">
        <f t="array" ref="L395">SUMPRODUCT(ISNUMBER(MATCH(mod_st_utm,$B$371,0))*('Koszty operacyjne'!$K$114:$X$114=Moduły!L$73)*ISNUMBER(MATCH(st_utm_kw,nie,0)),st_utm)</f>
        <v>0</v>
      </c>
      <c r="M395" s="361" cm="1">
        <f t="array" ref="M395">SUMPRODUCT(ISNUMBER(MATCH(mod_st_utm,$B$371,0))*('Koszty operacyjne'!$K$114:$X$114=Moduły!M$73)*ISNUMBER(MATCH(st_utm_kw,nie,0)),st_utm)</f>
        <v>0</v>
      </c>
      <c r="N395" s="361" cm="1">
        <f t="array" ref="N395">SUMPRODUCT(ISNUMBER(MATCH(mod_st_utm,$B$371,0))*('Koszty operacyjne'!$K$114:$X$114=Moduły!N$73)*ISNUMBER(MATCH(st_utm_kw,nie,0)),st_utm)</f>
        <v>0</v>
      </c>
      <c r="O395" s="361" cm="1">
        <f t="array" ref="O395">SUMPRODUCT(ISNUMBER(MATCH(mod_st_utm,$B$371,0))*('Koszty operacyjne'!$K$114:$X$114=Moduły!O$73)*ISNUMBER(MATCH(st_utm_kw,nie,0)),st_utm)</f>
        <v>0</v>
      </c>
      <c r="P395" s="361" cm="1">
        <f t="array" ref="P395">SUMPRODUCT(ISNUMBER(MATCH(mod_st_utm,$B$371,0))*('Koszty operacyjne'!$K$114:$X$114=Moduły!P$73)*ISNUMBER(MATCH(st_utm_kw,nie,0)),st_utm)</f>
        <v>0</v>
      </c>
    </row>
    <row r="396" spans="2:16" ht="3.9" customHeight="1">
      <c r="B396" s="8"/>
      <c r="C396" s="363"/>
      <c r="D396" s="363"/>
      <c r="E396" s="363"/>
      <c r="F396" s="363"/>
      <c r="G396" s="363"/>
      <c r="H396" s="363"/>
      <c r="I396" s="363"/>
      <c r="J396" s="363"/>
      <c r="K396" s="364"/>
      <c r="L396" s="364"/>
      <c r="M396" s="364"/>
      <c r="N396" s="364"/>
      <c r="O396" s="364"/>
      <c r="P396" s="364"/>
    </row>
    <row r="397" spans="2:16" ht="12" customHeight="1">
      <c r="B397" s="355" t="s">
        <v>101</v>
      </c>
      <c r="C397" s="356">
        <f t="shared" ref="C397:P397" si="203">SUM(C398:C399)</f>
        <v>0</v>
      </c>
      <c r="D397" s="356">
        <f t="shared" si="203"/>
        <v>0</v>
      </c>
      <c r="E397" s="356">
        <f t="shared" si="203"/>
        <v>0</v>
      </c>
      <c r="F397" s="356">
        <f t="shared" si="203"/>
        <v>0</v>
      </c>
      <c r="G397" s="356">
        <f t="shared" si="203"/>
        <v>0</v>
      </c>
      <c r="H397" s="356">
        <f t="shared" si="203"/>
        <v>0</v>
      </c>
      <c r="I397" s="356">
        <f t="shared" si="203"/>
        <v>0</v>
      </c>
      <c r="J397" s="356">
        <f t="shared" si="203"/>
        <v>0</v>
      </c>
      <c r="K397" s="356">
        <f t="shared" si="203"/>
        <v>0</v>
      </c>
      <c r="L397" s="356">
        <f t="shared" si="203"/>
        <v>0</v>
      </c>
      <c r="M397" s="356">
        <f t="shared" si="203"/>
        <v>0</v>
      </c>
      <c r="N397" s="356">
        <f t="shared" si="203"/>
        <v>0</v>
      </c>
      <c r="O397" s="356">
        <f t="shared" si="203"/>
        <v>0</v>
      </c>
      <c r="P397" s="356">
        <f t="shared" si="203"/>
        <v>0</v>
      </c>
    </row>
    <row r="398" spans="2:16" ht="12" customHeight="1">
      <c r="B398" s="357" t="s">
        <v>95</v>
      </c>
      <c r="C398" s="358" cm="1">
        <f t="array" ref="C398">SUMPRODUCT(ISNUMBER(MATCH(mod_st_stu,$B$371,0))*('Koszty operacyjne'!$K$114:$X$114=Moduły!C$73)*ISNUMBER(MATCH(st_stu_kw,tak,0)),st_stu)</f>
        <v>0</v>
      </c>
      <c r="D398" s="358" cm="1">
        <f t="array" ref="D398">SUMPRODUCT(ISNUMBER(MATCH(mod_st_stu,$B$371,0))*('Koszty operacyjne'!$K$114:$X$114=Moduły!D$73)*ISNUMBER(MATCH(st_stu_kw,tak,0)),st_stu)</f>
        <v>0</v>
      </c>
      <c r="E398" s="358" cm="1">
        <f t="array" ref="E398">SUMPRODUCT(ISNUMBER(MATCH(mod_st_stu,$B$371,0))*('Koszty operacyjne'!$K$114:$X$114=Moduły!E$73)*ISNUMBER(MATCH(st_stu_kw,tak,0)),st_stu)</f>
        <v>0</v>
      </c>
      <c r="F398" s="358" cm="1">
        <f t="array" ref="F398">SUMPRODUCT(ISNUMBER(MATCH(mod_st_stu,$B$371,0))*('Koszty operacyjne'!$K$114:$X$114=Moduły!F$73)*ISNUMBER(MATCH(st_stu_kw,tak,0)),st_stu)</f>
        <v>0</v>
      </c>
      <c r="G398" s="358" cm="1">
        <f t="array" ref="G398">SUMPRODUCT(ISNUMBER(MATCH(mod_st_stu,$B$371,0))*('Koszty operacyjne'!$K$114:$X$114=Moduły!G$73)*ISNUMBER(MATCH(st_stu_kw,tak,0)),st_stu)</f>
        <v>0</v>
      </c>
      <c r="H398" s="358" cm="1">
        <f t="array" ref="H398">SUMPRODUCT(ISNUMBER(MATCH(mod_st_stu,$B$371,0))*('Koszty operacyjne'!$K$114:$X$114=Moduły!H$73)*ISNUMBER(MATCH(st_stu_kw,tak,0)),st_stu)</f>
        <v>0</v>
      </c>
      <c r="I398" s="358" cm="1">
        <f t="array" ref="I398">SUMPRODUCT(ISNUMBER(MATCH(mod_st_stu,$B$371,0))*('Koszty operacyjne'!$K$114:$X$114=Moduły!I$73)*ISNUMBER(MATCH(st_stu_kw,tak,0)),st_stu)</f>
        <v>0</v>
      </c>
      <c r="J398" s="358" cm="1">
        <f t="array" ref="J398">SUMPRODUCT(ISNUMBER(MATCH(mod_st_stu,$B$371,0))*('Koszty operacyjne'!$K$114:$X$114=Moduły!J$73)*ISNUMBER(MATCH(st_stu_kw,tak,0)),st_stu)</f>
        <v>0</v>
      </c>
      <c r="K398" s="358" cm="1">
        <f t="array" ref="K398">SUMPRODUCT(ISNUMBER(MATCH(mod_st_stu,$B$371,0))*('Koszty operacyjne'!$K$114:$X$114=Moduły!K$73)*ISNUMBER(MATCH(st_stu_kw,tak,0)),st_stu)</f>
        <v>0</v>
      </c>
      <c r="L398" s="358" cm="1">
        <f t="array" ref="L398">SUMPRODUCT(ISNUMBER(MATCH(mod_st_stu,$B$371,0))*('Koszty operacyjne'!$K$114:$X$114=Moduły!L$73)*ISNUMBER(MATCH(st_stu_kw,tak,0)),st_stu)</f>
        <v>0</v>
      </c>
      <c r="M398" s="358" cm="1">
        <f t="array" ref="M398">SUMPRODUCT(ISNUMBER(MATCH(mod_st_stu,$B$371,0))*('Koszty operacyjne'!$K$114:$X$114=Moduły!M$73)*ISNUMBER(MATCH(st_stu_kw,tak,0)),st_stu)</f>
        <v>0</v>
      </c>
      <c r="N398" s="358" cm="1">
        <f t="array" ref="N398">SUMPRODUCT(ISNUMBER(MATCH(mod_st_stu,$B$371,0))*('Koszty operacyjne'!$K$114:$X$114=Moduły!N$73)*ISNUMBER(MATCH(st_stu_kw,tak,0)),st_stu)</f>
        <v>0</v>
      </c>
      <c r="O398" s="358" cm="1">
        <f t="array" ref="O398">SUMPRODUCT(ISNUMBER(MATCH(mod_st_stu,$B$371,0))*('Koszty operacyjne'!$K$114:$X$114=Moduły!O$73)*ISNUMBER(MATCH(st_stu_kw,tak,0)),st_stu)</f>
        <v>0</v>
      </c>
      <c r="P398" s="358" cm="1">
        <f t="array" ref="P398">SUMPRODUCT(ISNUMBER(MATCH(mod_st_stu,$B$371,0))*('Koszty operacyjne'!$K$114:$X$114=Moduły!P$73)*ISNUMBER(MATCH(st_stu_kw,tak,0)),st_stu)</f>
        <v>0</v>
      </c>
    </row>
    <row r="399" spans="2:16" ht="12" customHeight="1">
      <c r="B399" s="359" t="s">
        <v>96</v>
      </c>
      <c r="C399" s="360" cm="1">
        <f t="array" ref="C399">SUMPRODUCT(ISNUMBER(MATCH(mod_st_stu,$B$371,0))*('Koszty operacyjne'!$K$114:$X$114=Moduły!C$73)*ISNUMBER(MATCH(st_stu_kw,nie,0)),st_stu)</f>
        <v>0</v>
      </c>
      <c r="D399" s="360" cm="1">
        <f t="array" ref="D399">SUMPRODUCT(ISNUMBER(MATCH(mod_st_stu,$B$371,0))*('Koszty operacyjne'!$K$114:$X$114=Moduły!D$73)*ISNUMBER(MATCH(st_stu_kw,nie,0)),st_stu)</f>
        <v>0</v>
      </c>
      <c r="E399" s="360" cm="1">
        <f t="array" ref="E399">SUMPRODUCT(ISNUMBER(MATCH(mod_st_stu,$B$371,0))*('Koszty operacyjne'!$K$114:$X$114=Moduły!E$73)*ISNUMBER(MATCH(st_stu_kw,nie,0)),st_stu)</f>
        <v>0</v>
      </c>
      <c r="F399" s="360" cm="1">
        <f t="array" ref="F399">SUMPRODUCT(ISNUMBER(MATCH(mod_st_stu,$B$371,0))*('Koszty operacyjne'!$K$114:$X$114=Moduły!F$73)*ISNUMBER(MATCH(st_stu_kw,nie,0)),st_stu)</f>
        <v>0</v>
      </c>
      <c r="G399" s="360" cm="1">
        <f t="array" ref="G399">SUMPRODUCT(ISNUMBER(MATCH(mod_st_stu,$B$371,0))*('Koszty operacyjne'!$K$114:$X$114=Moduły!G$73)*ISNUMBER(MATCH(st_stu_kw,nie,0)),st_stu)</f>
        <v>0</v>
      </c>
      <c r="H399" s="360" cm="1">
        <f t="array" ref="H399">SUMPRODUCT(ISNUMBER(MATCH(mod_st_stu,$B$371,0))*('Koszty operacyjne'!$K$114:$X$114=Moduły!H$73)*ISNUMBER(MATCH(st_stu_kw,nie,0)),st_stu)</f>
        <v>0</v>
      </c>
      <c r="I399" s="360" cm="1">
        <f t="array" ref="I399">SUMPRODUCT(ISNUMBER(MATCH(mod_st_stu,$B$371,0))*('Koszty operacyjne'!$K$114:$X$114=Moduły!I$73)*ISNUMBER(MATCH(st_stu_kw,nie,0)),st_stu)</f>
        <v>0</v>
      </c>
      <c r="J399" s="360" cm="1">
        <f t="array" ref="J399">SUMPRODUCT(ISNUMBER(MATCH(mod_st_stu,$B$371,0))*('Koszty operacyjne'!$K$114:$X$114=Moduły!J$73)*ISNUMBER(MATCH(st_stu_kw,nie,0)),st_stu)</f>
        <v>0</v>
      </c>
      <c r="K399" s="361" cm="1">
        <f t="array" ref="K399">SUMPRODUCT(ISNUMBER(MATCH(mod_st_stu,$B$371,0))*('Koszty operacyjne'!$K$114:$X$114=Moduły!K$73)*ISNUMBER(MATCH(st_stu_kw,nie,0)),st_stu)</f>
        <v>0</v>
      </c>
      <c r="L399" s="361" cm="1">
        <f t="array" ref="L399">SUMPRODUCT(ISNUMBER(MATCH(mod_st_stu,$B$371,0))*('Koszty operacyjne'!$K$114:$X$114=Moduły!L$73)*ISNUMBER(MATCH(st_stu_kw,nie,0)),st_stu)</f>
        <v>0</v>
      </c>
      <c r="M399" s="361" cm="1">
        <f t="array" ref="M399">SUMPRODUCT(ISNUMBER(MATCH(mod_st_stu,$B$371,0))*('Koszty operacyjne'!$K$114:$X$114=Moduły!M$73)*ISNUMBER(MATCH(st_stu_kw,nie,0)),st_stu)</f>
        <v>0</v>
      </c>
      <c r="N399" s="361" cm="1">
        <f t="array" ref="N399">SUMPRODUCT(ISNUMBER(MATCH(mod_st_stu,$B$371,0))*('Koszty operacyjne'!$K$114:$X$114=Moduły!N$73)*ISNUMBER(MATCH(st_stu_kw,nie,0)),st_stu)</f>
        <v>0</v>
      </c>
      <c r="O399" s="361" cm="1">
        <f t="array" ref="O399">SUMPRODUCT(ISNUMBER(MATCH(mod_st_stu,$B$371,0))*('Koszty operacyjne'!$K$114:$X$114=Moduły!O$73)*ISNUMBER(MATCH(st_stu_kw,nie,0)),st_stu)</f>
        <v>0</v>
      </c>
      <c r="P399" s="361" cm="1">
        <f t="array" ref="P399">SUMPRODUCT(ISNUMBER(MATCH(mod_st_stu,$B$371,0))*('Koszty operacyjne'!$K$114:$X$114=Moduły!P$73)*ISNUMBER(MATCH(st_stu_kw,nie,0)),st_stu)</f>
        <v>0</v>
      </c>
    </row>
    <row r="400" spans="2:16" ht="3.9" customHeight="1">
      <c r="B400" s="8"/>
      <c r="C400" s="363"/>
      <c r="D400" s="363"/>
      <c r="E400" s="363"/>
      <c r="F400" s="363"/>
      <c r="G400" s="363"/>
      <c r="H400" s="363"/>
      <c r="I400" s="363"/>
      <c r="J400" s="363"/>
      <c r="K400" s="364"/>
      <c r="L400" s="364"/>
      <c r="M400" s="364"/>
      <c r="N400" s="364"/>
      <c r="O400" s="364"/>
      <c r="P400" s="364"/>
    </row>
    <row r="401" spans="2:16" ht="12" customHeight="1">
      <c r="B401" s="355" t="s">
        <v>102</v>
      </c>
      <c r="C401" s="356">
        <f t="shared" ref="C401:P401" si="204">SUM(C402:C403)</f>
        <v>0</v>
      </c>
      <c r="D401" s="356">
        <f t="shared" si="204"/>
        <v>0</v>
      </c>
      <c r="E401" s="356">
        <f t="shared" si="204"/>
        <v>0</v>
      </c>
      <c r="F401" s="356">
        <f t="shared" si="204"/>
        <v>0</v>
      </c>
      <c r="G401" s="356">
        <f t="shared" si="204"/>
        <v>0</v>
      </c>
      <c r="H401" s="356">
        <f t="shared" si="204"/>
        <v>0</v>
      </c>
      <c r="I401" s="356">
        <f t="shared" si="204"/>
        <v>0</v>
      </c>
      <c r="J401" s="356">
        <f t="shared" si="204"/>
        <v>0</v>
      </c>
      <c r="K401" s="356">
        <f t="shared" si="204"/>
        <v>0</v>
      </c>
      <c r="L401" s="356">
        <f t="shared" si="204"/>
        <v>0</v>
      </c>
      <c r="M401" s="356">
        <f t="shared" si="204"/>
        <v>0</v>
      </c>
      <c r="N401" s="356">
        <f t="shared" si="204"/>
        <v>0</v>
      </c>
      <c r="O401" s="356">
        <f t="shared" si="204"/>
        <v>0</v>
      </c>
      <c r="P401" s="356">
        <f t="shared" si="204"/>
        <v>0</v>
      </c>
    </row>
    <row r="402" spans="2:16" ht="12" customHeight="1">
      <c r="B402" s="357" t="s">
        <v>95</v>
      </c>
      <c r="C402" s="358" cm="1">
        <f t="array" ref="C402">SUMPRODUCT(ISNUMBER(MATCH(mod_st_ist,$B$371,0))*('Koszty operacyjne'!$K$114:$X$114=Moduły!C$73)*ISNUMBER(MATCH(st_ist_kw,tak,0)),st_ist)</f>
        <v>0</v>
      </c>
      <c r="D402" s="358" cm="1">
        <f t="array" ref="D402">SUMPRODUCT(ISNUMBER(MATCH(mod_st_ist,$B$371,0))*('Koszty operacyjne'!$K$114:$X$114=Moduły!D$73)*ISNUMBER(MATCH(st_ist_kw,tak,0)),st_ist)</f>
        <v>0</v>
      </c>
      <c r="E402" s="358" cm="1">
        <f t="array" ref="E402">SUMPRODUCT(ISNUMBER(MATCH(mod_st_ist,$B$371,0))*('Koszty operacyjne'!$K$114:$X$114=Moduły!E$73)*ISNUMBER(MATCH(st_ist_kw,tak,0)),st_ist)</f>
        <v>0</v>
      </c>
      <c r="F402" s="358" cm="1">
        <f t="array" ref="F402">SUMPRODUCT(ISNUMBER(MATCH(mod_st_ist,$B$371,0))*('Koszty operacyjne'!$K$114:$X$114=Moduły!F$73)*ISNUMBER(MATCH(st_ist_kw,tak,0)),st_ist)</f>
        <v>0</v>
      </c>
      <c r="G402" s="358" cm="1">
        <f t="array" ref="G402">SUMPRODUCT(ISNUMBER(MATCH(mod_st_ist,$B$371,0))*('Koszty operacyjne'!$K$114:$X$114=Moduły!G$73)*ISNUMBER(MATCH(st_ist_kw,tak,0)),st_ist)</f>
        <v>0</v>
      </c>
      <c r="H402" s="358" cm="1">
        <f t="array" ref="H402">SUMPRODUCT(ISNUMBER(MATCH(mod_st_ist,$B$371,0))*('Koszty operacyjne'!$K$114:$X$114=Moduły!H$73)*ISNUMBER(MATCH(st_ist_kw,tak,0)),st_ist)</f>
        <v>0</v>
      </c>
      <c r="I402" s="358" cm="1">
        <f t="array" ref="I402">SUMPRODUCT(ISNUMBER(MATCH(mod_st_ist,$B$371,0))*('Koszty operacyjne'!$K$114:$X$114=Moduły!I$73)*ISNUMBER(MATCH(st_ist_kw,tak,0)),st_ist)</f>
        <v>0</v>
      </c>
      <c r="J402" s="358" cm="1">
        <f t="array" ref="J402">SUMPRODUCT(ISNUMBER(MATCH(mod_st_ist,$B$371,0))*('Koszty operacyjne'!$K$114:$X$114=Moduły!J$73)*ISNUMBER(MATCH(st_ist_kw,tak,0)),st_ist)</f>
        <v>0</v>
      </c>
      <c r="K402" s="358" cm="1">
        <f t="array" ref="K402">SUMPRODUCT(ISNUMBER(MATCH(mod_st_ist,$B$371,0))*('Koszty operacyjne'!$K$114:$X$114=Moduły!K$73)*ISNUMBER(MATCH(st_ist_kw,tak,0)),st_ist)</f>
        <v>0</v>
      </c>
      <c r="L402" s="358" cm="1">
        <f t="array" ref="L402">SUMPRODUCT(ISNUMBER(MATCH(mod_st_ist,$B$371,0))*('Koszty operacyjne'!$K$114:$X$114=Moduły!L$73)*ISNUMBER(MATCH(st_ist_kw,tak,0)),st_ist)</f>
        <v>0</v>
      </c>
      <c r="M402" s="358" cm="1">
        <f t="array" ref="M402">SUMPRODUCT(ISNUMBER(MATCH(mod_st_ist,$B$371,0))*('Koszty operacyjne'!$K$114:$X$114=Moduły!M$73)*ISNUMBER(MATCH(st_ist_kw,tak,0)),st_ist)</f>
        <v>0</v>
      </c>
      <c r="N402" s="358" cm="1">
        <f t="array" ref="N402">SUMPRODUCT(ISNUMBER(MATCH(mod_st_ist,$B$371,0))*('Koszty operacyjne'!$K$114:$X$114=Moduły!N$73)*ISNUMBER(MATCH(st_ist_kw,tak,0)),st_ist)</f>
        <v>0</v>
      </c>
      <c r="O402" s="358" cm="1">
        <f t="array" ref="O402">SUMPRODUCT(ISNUMBER(MATCH(mod_st_ist,$B$371,0))*('Koszty operacyjne'!$K$114:$X$114=Moduły!O$73)*ISNUMBER(MATCH(st_ist_kw,tak,0)),st_ist)</f>
        <v>0</v>
      </c>
      <c r="P402" s="358" cm="1">
        <f t="array" ref="P402">SUMPRODUCT(ISNUMBER(MATCH(mod_st_ist,$B$371,0))*('Koszty operacyjne'!$K$114:$X$114=Moduły!P$73)*ISNUMBER(MATCH(st_ist_kw,tak,0)),st_ist)</f>
        <v>0</v>
      </c>
    </row>
    <row r="403" spans="2:16" ht="12" customHeight="1">
      <c r="B403" s="359" t="s">
        <v>96</v>
      </c>
      <c r="C403" s="360" cm="1">
        <f t="array" ref="C403">SUMPRODUCT(ISNUMBER(MATCH(mod_st_ist,$B$371,0))*('Koszty operacyjne'!$K$114:$X$114=Moduły!C$73)*ISNUMBER(MATCH(st_ist_kw,nie,0)),st_ist)</f>
        <v>0</v>
      </c>
      <c r="D403" s="360" cm="1">
        <f t="array" ref="D403">SUMPRODUCT(ISNUMBER(MATCH(mod_st_ist,$B$371,0))*('Koszty operacyjne'!$K$114:$X$114=Moduły!D$73)*ISNUMBER(MATCH(st_ist_kw,nie,0)),st_ist)</f>
        <v>0</v>
      </c>
      <c r="E403" s="360" cm="1">
        <f t="array" ref="E403">SUMPRODUCT(ISNUMBER(MATCH(mod_st_ist,$B$371,0))*('Koszty operacyjne'!$K$114:$X$114=Moduły!E$73)*ISNUMBER(MATCH(st_ist_kw,nie,0)),st_ist)</f>
        <v>0</v>
      </c>
      <c r="F403" s="360" cm="1">
        <f t="array" ref="F403">SUMPRODUCT(ISNUMBER(MATCH(mod_st_ist,$B$371,0))*('Koszty operacyjne'!$K$114:$X$114=Moduły!F$73)*ISNUMBER(MATCH(st_ist_kw,nie,0)),st_ist)</f>
        <v>0</v>
      </c>
      <c r="G403" s="360" cm="1">
        <f t="array" ref="G403">SUMPRODUCT(ISNUMBER(MATCH(mod_st_ist,$B$371,0))*('Koszty operacyjne'!$K$114:$X$114=Moduły!G$73)*ISNUMBER(MATCH(st_ist_kw,nie,0)),st_ist)</f>
        <v>0</v>
      </c>
      <c r="H403" s="360" cm="1">
        <f t="array" ref="H403">SUMPRODUCT(ISNUMBER(MATCH(mod_st_ist,$B$371,0))*('Koszty operacyjne'!$K$114:$X$114=Moduły!H$73)*ISNUMBER(MATCH(st_ist_kw,nie,0)),st_ist)</f>
        <v>0</v>
      </c>
      <c r="I403" s="360" cm="1">
        <f t="array" ref="I403">SUMPRODUCT(ISNUMBER(MATCH(mod_st_ist,$B$371,0))*('Koszty operacyjne'!$K$114:$X$114=Moduły!I$73)*ISNUMBER(MATCH(st_ist_kw,nie,0)),st_ist)</f>
        <v>0</v>
      </c>
      <c r="J403" s="360" cm="1">
        <f t="array" ref="J403">SUMPRODUCT(ISNUMBER(MATCH(mod_st_ist,$B$371,0))*('Koszty operacyjne'!$K$114:$X$114=Moduły!J$73)*ISNUMBER(MATCH(st_ist_kw,nie,0)),st_ist)</f>
        <v>0</v>
      </c>
      <c r="K403" s="361" cm="1">
        <f t="array" ref="K403">SUMPRODUCT(ISNUMBER(MATCH(mod_st_ist,$B$371,0))*('Koszty operacyjne'!$K$114:$X$114=Moduły!K$73)*ISNUMBER(MATCH(st_ist_kw,nie,0)),st_ist)</f>
        <v>0</v>
      </c>
      <c r="L403" s="361" cm="1">
        <f t="array" ref="L403">SUMPRODUCT(ISNUMBER(MATCH(mod_st_ist,$B$371,0))*('Koszty operacyjne'!$K$114:$X$114=Moduły!L$73)*ISNUMBER(MATCH(st_ist_kw,nie,0)),st_ist)</f>
        <v>0</v>
      </c>
      <c r="M403" s="361" cm="1">
        <f t="array" ref="M403">SUMPRODUCT(ISNUMBER(MATCH(mod_st_ist,$B$371,0))*('Koszty operacyjne'!$K$114:$X$114=Moduły!M$73)*ISNUMBER(MATCH(st_ist_kw,nie,0)),st_ist)</f>
        <v>0</v>
      </c>
      <c r="N403" s="361" cm="1">
        <f t="array" ref="N403">SUMPRODUCT(ISNUMBER(MATCH(mod_st_ist,$B$371,0))*('Koszty operacyjne'!$K$114:$X$114=Moduły!N$73)*ISNUMBER(MATCH(st_ist_kw,nie,0)),st_ist)</f>
        <v>0</v>
      </c>
      <c r="O403" s="361" cm="1">
        <f t="array" ref="O403">SUMPRODUCT(ISNUMBER(MATCH(mod_st_ist,$B$371,0))*('Koszty operacyjne'!$K$114:$X$114=Moduły!O$73)*ISNUMBER(MATCH(st_ist_kw,nie,0)),st_ist)</f>
        <v>0</v>
      </c>
      <c r="P403" s="361" cm="1">
        <f t="array" ref="P403">SUMPRODUCT(ISNUMBER(MATCH(mod_st_ist,$B$371,0))*('Koszty operacyjne'!$K$114:$X$114=Moduły!P$73)*ISNUMBER(MATCH(st_ist_kw,nie,0)),st_ist)</f>
        <v>0</v>
      </c>
    </row>
    <row r="404" spans="2:16" ht="12" customHeight="1"/>
    <row r="405" spans="2:16">
      <c r="B405" s="99" t="s">
        <v>104</v>
      </c>
      <c r="C405" s="98" cm="1">
        <f t="array" ref="C405">SUMPRODUCT(ISNUMBER(MATCH(mod_pp_ppu,$B$371,0))*('Koszty operacyjne'!$K$114:$X$114=Moduły!C$73),pp_ppu)+SUMPRODUCT(ISNUMBER(MATCH(mod_pp_ptim,$B$371,0))*('Koszty operacyjne'!$K$114:$X$114=Moduły!C$73),pp_ptim)</f>
        <v>0</v>
      </c>
      <c r="D405" s="98" cm="1">
        <f t="array" ref="D405">SUMPRODUCT(ISNUMBER(MATCH(mod_pp_ppu,$B$371,0))*('Koszty operacyjne'!$K$114:$X$114=Moduły!D$73),pp_ppu)+SUMPRODUCT(ISNUMBER(MATCH(mod_pp_ptim,$B$371,0))*('Koszty operacyjne'!$K$114:$X$114=Moduły!D$73),pp_ptim)</f>
        <v>0</v>
      </c>
      <c r="E405" s="98" cm="1">
        <f t="array" ref="E405">SUMPRODUCT(ISNUMBER(MATCH(mod_pp_ppu,$B$371,0))*('Koszty operacyjne'!$K$114:$X$114=Moduły!E$73),pp_ppu)+SUMPRODUCT(ISNUMBER(MATCH(mod_pp_ptim,$B$371,0))*('Koszty operacyjne'!$K$114:$X$114=Moduły!E$73),pp_ptim)</f>
        <v>0</v>
      </c>
      <c r="F405" s="98" cm="1">
        <f t="array" ref="F405">SUMPRODUCT(ISNUMBER(MATCH(mod_pp_ppu,$B$371,0))*('Koszty operacyjne'!$K$114:$X$114=Moduły!F$73),pp_ppu)+SUMPRODUCT(ISNUMBER(MATCH(mod_pp_ptim,$B$371,0))*('Koszty operacyjne'!$K$114:$X$114=Moduły!F$73),pp_ptim)</f>
        <v>0</v>
      </c>
      <c r="G405" s="98" cm="1">
        <f t="array" ref="G405">SUMPRODUCT(ISNUMBER(MATCH(mod_pp_ppu,$B$371,0))*('Koszty operacyjne'!$K$114:$X$114=Moduły!G$73),pp_ppu)+SUMPRODUCT(ISNUMBER(MATCH(mod_pp_ptim,$B$371,0))*('Koszty operacyjne'!$K$114:$X$114=Moduły!G$73),pp_ptim)</f>
        <v>0</v>
      </c>
      <c r="H405" s="98" cm="1">
        <f t="array" ref="H405">SUMPRODUCT(ISNUMBER(MATCH(mod_pp_ppu,$B$371,0))*('Koszty operacyjne'!$K$114:$X$114=Moduły!H$73),pp_ppu)+SUMPRODUCT(ISNUMBER(MATCH(mod_pp_ptim,$B$371,0))*('Koszty operacyjne'!$K$114:$X$114=Moduły!H$73),pp_ptim)</f>
        <v>0</v>
      </c>
      <c r="I405" s="98" cm="1">
        <f t="array" ref="I405">SUMPRODUCT(ISNUMBER(MATCH(mod_pp_ppu,$B$371,0))*('Koszty operacyjne'!$K$114:$X$114=Moduły!I$73),pp_ppu)+SUMPRODUCT(ISNUMBER(MATCH(mod_pp_ptim,$B$371,0))*('Koszty operacyjne'!$K$114:$X$114=Moduły!I$73),pp_ptim)</f>
        <v>0</v>
      </c>
      <c r="J405" s="98" cm="1">
        <f t="array" ref="J405">SUMPRODUCT(ISNUMBER(MATCH(mod_pp_ppu,$B$371,0))*('Koszty operacyjne'!$K$114:$X$114=Moduły!J$73),pp_ppu)+SUMPRODUCT(ISNUMBER(MATCH(mod_pp_ptim,$B$371,0))*('Koszty operacyjne'!$K$114:$X$114=Moduły!J$73),pp_ptim)</f>
        <v>0</v>
      </c>
      <c r="K405" s="98" cm="1">
        <f t="array" ref="K405">SUMPRODUCT(ISNUMBER(MATCH(mod_pp_ppu,$B$371,0))*('Koszty operacyjne'!$K$114:$X$114=Moduły!K$73),pp_ppu)+SUMPRODUCT(ISNUMBER(MATCH(mod_pp_ptim,$B$371,0))*('Koszty operacyjne'!$K$114:$X$114=Moduły!K$73),pp_ptim)</f>
        <v>0</v>
      </c>
      <c r="L405" s="98" cm="1">
        <f t="array" ref="L405">SUMPRODUCT(ISNUMBER(MATCH(mod_pp_ppu,$B$371,0))*('Koszty operacyjne'!$K$114:$X$114=Moduły!L$73),pp_ppu)+SUMPRODUCT(ISNUMBER(MATCH(mod_pp_ptim,$B$371,0))*('Koszty operacyjne'!$K$114:$X$114=Moduły!L$73),pp_ptim)</f>
        <v>0</v>
      </c>
      <c r="M405" s="98" cm="1">
        <f t="array" ref="M405">SUMPRODUCT(ISNUMBER(MATCH(mod_pp_ppu,$B$371,0))*('Koszty operacyjne'!$K$114:$X$114=Moduły!M$73),pp_ppu)+SUMPRODUCT(ISNUMBER(MATCH(mod_pp_ptim,$B$371,0))*('Koszty operacyjne'!$K$114:$X$114=Moduły!M$73),pp_ptim)</f>
        <v>0</v>
      </c>
      <c r="N405" s="98" cm="1">
        <f t="array" ref="N405">SUMPRODUCT(ISNUMBER(MATCH(mod_pp_ppu,$B$371,0))*('Koszty operacyjne'!$K$114:$X$114=Moduły!N$73),pp_ppu)+SUMPRODUCT(ISNUMBER(MATCH(mod_pp_ptim,$B$371,0))*('Koszty operacyjne'!$K$114:$X$114=Moduły!N$73),pp_ptim)</f>
        <v>0</v>
      </c>
      <c r="O405" s="98" cm="1">
        <f t="array" ref="O405">SUMPRODUCT(ISNUMBER(MATCH(mod_pp_ppu,$B$371,0))*('Koszty operacyjne'!$K$114:$X$114=Moduły!O$73),pp_ppu)+SUMPRODUCT(ISNUMBER(MATCH(mod_pp_ptim,$B$371,0))*('Koszty operacyjne'!$K$114:$X$114=Moduły!O$73),pp_ptim)</f>
        <v>0</v>
      </c>
      <c r="P405" s="98" cm="1">
        <f t="array" ref="P405">SUMPRODUCT(ISNUMBER(MATCH(mod_pp_ppu,$B$371,0))*('Koszty operacyjne'!$K$114:$X$114=Moduły!P$73),pp_ppu)+SUMPRODUCT(ISNUMBER(MATCH(mod_pp_ptim,$B$371,0))*('Koszty operacyjne'!$K$114:$X$114=Moduły!P$73),pp_ptim)</f>
        <v>0</v>
      </c>
    </row>
    <row r="406" spans="2:16" ht="3.9" customHeight="1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</row>
    <row r="407" spans="2:16">
      <c r="B407" s="99" t="s">
        <v>105</v>
      </c>
      <c r="C407" s="98">
        <f t="shared" ref="C407:L407" ca="1" si="205">SUM(C408:C415)</f>
        <v>0</v>
      </c>
      <c r="D407" s="98">
        <f t="shared" ca="1" si="205"/>
        <v>0</v>
      </c>
      <c r="E407" s="98">
        <f t="shared" ca="1" si="205"/>
        <v>0</v>
      </c>
      <c r="F407" s="98">
        <f t="shared" ca="1" si="205"/>
        <v>0</v>
      </c>
      <c r="G407" s="98">
        <f t="shared" ca="1" si="205"/>
        <v>0</v>
      </c>
      <c r="H407" s="98">
        <f t="shared" ca="1" si="205"/>
        <v>0</v>
      </c>
      <c r="I407" s="98">
        <f t="shared" ca="1" si="205"/>
        <v>0</v>
      </c>
      <c r="J407" s="98">
        <f t="shared" ca="1" si="205"/>
        <v>0</v>
      </c>
      <c r="K407" s="98">
        <f t="shared" ca="1" si="205"/>
        <v>0</v>
      </c>
      <c r="L407" s="98">
        <f t="shared" ca="1" si="205"/>
        <v>0</v>
      </c>
      <c r="M407" s="98">
        <f ca="1">SUM(M408:M415)</f>
        <v>0</v>
      </c>
      <c r="N407" s="98">
        <f ca="1">SUM(N408:N415)</f>
        <v>0</v>
      </c>
      <c r="O407" s="98">
        <f ca="1">SUM(O408:O415)</f>
        <v>0</v>
      </c>
      <c r="P407" s="98">
        <f ca="1">SUM(P408:P415)</f>
        <v>0</v>
      </c>
    </row>
    <row r="408" spans="2:16">
      <c r="B408" s="104" t="s">
        <v>106</v>
      </c>
      <c r="C408" s="103" cm="1">
        <f t="array" aca="1" ref="C408" ca="1">SUMPRODUCT(ISNUMBER(MATCH(mod_st_am,$B$371,0))*('Koszty operacyjne'!$K$114:$X$114=Moduły!C$73),st_am)</f>
        <v>0</v>
      </c>
      <c r="D408" s="103" cm="1">
        <f t="array" aca="1" ref="D408" ca="1">SUMPRODUCT(ISNUMBER(MATCH(mod_st_am,$B$371,0))*('Koszty operacyjne'!$K$114:$X$114=Moduły!D$73),st_am)</f>
        <v>0</v>
      </c>
      <c r="E408" s="103" cm="1">
        <f t="array" aca="1" ref="E408" ca="1">SUMPRODUCT(ISNUMBER(MATCH(mod_st_am,$B$371,0))*('Koszty operacyjne'!$K$114:$X$114=Moduły!E$73),st_am)</f>
        <v>0</v>
      </c>
      <c r="F408" s="103" cm="1">
        <f t="array" aca="1" ref="F408" ca="1">SUMPRODUCT(ISNUMBER(MATCH(mod_st_am,$B$371,0))*('Koszty operacyjne'!$K$114:$X$114=Moduły!F$73),st_am)</f>
        <v>0</v>
      </c>
      <c r="G408" s="103" cm="1">
        <f t="array" aca="1" ref="G408" ca="1">SUMPRODUCT(ISNUMBER(MATCH(mod_st_am,$B$371,0))*('Koszty operacyjne'!$K$114:$X$114=Moduły!G$73),st_am)</f>
        <v>0</v>
      </c>
      <c r="H408" s="103" cm="1">
        <f t="array" aca="1" ref="H408" ca="1">SUMPRODUCT(ISNUMBER(MATCH(mod_st_am,$B$371,0))*('Koszty operacyjne'!$K$114:$X$114=Moduły!H$73),st_am)</f>
        <v>0</v>
      </c>
      <c r="I408" s="103" cm="1">
        <f t="array" aca="1" ref="I408" ca="1">SUMPRODUCT(ISNUMBER(MATCH(mod_st_am,$B$371,0))*('Koszty operacyjne'!$K$114:$X$114=Moduły!I$73),st_am)</f>
        <v>0</v>
      </c>
      <c r="J408" s="103" cm="1">
        <f t="array" aca="1" ref="J408" ca="1">SUMPRODUCT(ISNUMBER(MATCH(mod_st_am,$B$371,0))*('Koszty operacyjne'!$K$114:$X$114=Moduły!J$73),st_am)</f>
        <v>0</v>
      </c>
      <c r="K408" s="103" cm="1">
        <f t="array" aca="1" ref="K408" ca="1">SUMPRODUCT(ISNUMBER(MATCH(mod_st_am,$B$371,0))*('Koszty operacyjne'!$K$114:$X$114=Moduły!K$73),st_am)</f>
        <v>0</v>
      </c>
      <c r="L408" s="103" cm="1">
        <f t="array" aca="1" ref="L408" ca="1">SUMPRODUCT(ISNUMBER(MATCH(mod_st_am,$B$371,0))*('Koszty operacyjne'!$K$114:$X$114=Moduły!L$73),st_am)</f>
        <v>0</v>
      </c>
      <c r="M408" s="103" cm="1">
        <f t="array" aca="1" ref="M408" ca="1">SUMPRODUCT(ISNUMBER(MATCH(mod_st_am,$B$371,0))*('Koszty operacyjne'!$K$114:$X$114=Moduły!M$73),st_am)</f>
        <v>0</v>
      </c>
      <c r="N408" s="103" cm="1">
        <f t="array" aca="1" ref="N408" ca="1">SUMPRODUCT(ISNUMBER(MATCH(mod_st_am,$B$371,0))*('Koszty operacyjne'!$K$114:$X$114=Moduły!N$73),st_am)</f>
        <v>0</v>
      </c>
      <c r="O408" s="103" cm="1">
        <f t="array" aca="1" ref="O408" ca="1">SUMPRODUCT(ISNUMBER(MATCH(mod_st_am,$B$371,0))*('Koszty operacyjne'!$K$114:$X$114=Moduły!O$73),st_am)</f>
        <v>0</v>
      </c>
      <c r="P408" s="103" cm="1">
        <f t="array" aca="1" ref="P408" ca="1">SUMPRODUCT(ISNUMBER(MATCH(mod_st_am,$B$371,0))*('Koszty operacyjne'!$K$114:$X$114=Moduły!P$73),st_am)</f>
        <v>0</v>
      </c>
    </row>
    <row r="409" spans="2:16">
      <c r="B409" s="37" t="s">
        <v>107</v>
      </c>
      <c r="C409" s="33" cm="1">
        <f t="array" ref="C409">SUMPRODUCT(ISNUMBER(MATCH(mod_ko_zme,$B$371,0))*('Koszty operacyjne'!$K$114:$X$114=Moduły!C$73),ko_zme)</f>
        <v>0</v>
      </c>
      <c r="D409" s="33" cm="1">
        <f t="array" ref="D409">SUMPRODUCT(ISNUMBER(MATCH(mod_ko_zme,$B$371,0))*('Koszty operacyjne'!$K$114:$X$114=Moduły!D$73),ko_zme)</f>
        <v>0</v>
      </c>
      <c r="E409" s="33" cm="1">
        <f t="array" ref="E409">SUMPRODUCT(ISNUMBER(MATCH(mod_ko_zme,$B$371,0))*('Koszty operacyjne'!$K$114:$X$114=Moduły!E$73),ko_zme)</f>
        <v>0</v>
      </c>
      <c r="F409" s="33" cm="1">
        <f t="array" ref="F409">SUMPRODUCT(ISNUMBER(MATCH(mod_ko_zme,$B$371,0))*('Koszty operacyjne'!$K$114:$X$114=Moduły!F$73),ko_zme)</f>
        <v>0</v>
      </c>
      <c r="G409" s="33" cm="1">
        <f t="array" ref="G409">SUMPRODUCT(ISNUMBER(MATCH(mod_ko_zme,$B$371,0))*('Koszty operacyjne'!$K$114:$X$114=Moduły!G$73),ko_zme)</f>
        <v>0</v>
      </c>
      <c r="H409" s="33" cm="1">
        <f t="array" ref="H409">SUMPRODUCT(ISNUMBER(MATCH(mod_ko_zme,$B$371,0))*('Koszty operacyjne'!$K$114:$X$114=Moduły!H$73),ko_zme)</f>
        <v>0</v>
      </c>
      <c r="I409" s="33" cm="1">
        <f t="array" ref="I409">SUMPRODUCT(ISNUMBER(MATCH(mod_ko_zme,$B$371,0))*('Koszty operacyjne'!$K$114:$X$114=Moduły!I$73),ko_zme)</f>
        <v>0</v>
      </c>
      <c r="J409" s="33" cm="1">
        <f t="array" ref="J409">SUMPRODUCT(ISNUMBER(MATCH(mod_ko_zme,$B$371,0))*('Koszty operacyjne'!$K$114:$X$114=Moduły!J$73),ko_zme)</f>
        <v>0</v>
      </c>
      <c r="K409" s="33" cm="1">
        <f t="array" ref="K409">SUMPRODUCT(ISNUMBER(MATCH(mod_ko_zme,$B$371,0))*('Koszty operacyjne'!$K$114:$X$114=Moduły!K$73),ko_zme)</f>
        <v>0</v>
      </c>
      <c r="L409" s="33" cm="1">
        <f t="array" ref="L409">SUMPRODUCT(ISNUMBER(MATCH(mod_ko_zme,$B$371,0))*('Koszty operacyjne'!$K$114:$X$114=Moduły!L$73),ko_zme)</f>
        <v>0</v>
      </c>
      <c r="M409" s="33" cm="1">
        <f t="array" ref="M409">SUMPRODUCT(ISNUMBER(MATCH(mod_ko_zme,$B$371,0))*('Koszty operacyjne'!$K$114:$X$114=Moduły!M$73),ko_zme)</f>
        <v>0</v>
      </c>
      <c r="N409" s="33" cm="1">
        <f t="array" ref="N409">SUMPRODUCT(ISNUMBER(MATCH(mod_ko_zme,$B$371,0))*('Koszty operacyjne'!$K$114:$X$114=Moduły!N$73),ko_zme)</f>
        <v>0</v>
      </c>
      <c r="O409" s="33" cm="1">
        <f t="array" ref="O409">SUMPRODUCT(ISNUMBER(MATCH(mod_ko_zme,$B$371,0))*('Koszty operacyjne'!$K$114:$X$114=Moduły!O$73),ko_zme)</f>
        <v>0</v>
      </c>
      <c r="P409" s="33" cm="1">
        <f t="array" ref="P409">SUMPRODUCT(ISNUMBER(MATCH(mod_ko_zme,$B$371,0))*('Koszty operacyjne'!$K$114:$X$114=Moduły!P$73),ko_zme)</f>
        <v>0</v>
      </c>
    </row>
    <row r="410" spans="2:16">
      <c r="B410" s="37" t="s">
        <v>108</v>
      </c>
      <c r="C410" s="33" cm="1">
        <f t="array" ref="C410">SUMPRODUCT(ISNUMBER(MATCH(mod_ko_uoe,$B$371,0))*('Koszty operacyjne'!$K$114:$X$114=Moduły!C$73),ko_uoe)</f>
        <v>0</v>
      </c>
      <c r="D410" s="33" cm="1">
        <f t="array" ref="D410">SUMPRODUCT(ISNUMBER(MATCH(mod_ko_uoe,$B$371,0))*('Koszty operacyjne'!$K$114:$X$114=Moduły!D$73),ko_uoe)</f>
        <v>0</v>
      </c>
      <c r="E410" s="33" cm="1">
        <f t="array" ref="E410">SUMPRODUCT(ISNUMBER(MATCH(mod_ko_uoe,$B$371,0))*('Koszty operacyjne'!$K$114:$X$114=Moduły!E$73),ko_uoe)</f>
        <v>0</v>
      </c>
      <c r="F410" s="33" cm="1">
        <f t="array" ref="F410">SUMPRODUCT(ISNUMBER(MATCH(mod_ko_uoe,$B$371,0))*('Koszty operacyjne'!$K$114:$X$114=Moduły!F$73),ko_uoe)</f>
        <v>0</v>
      </c>
      <c r="G410" s="33" cm="1">
        <f t="array" ref="G410">SUMPRODUCT(ISNUMBER(MATCH(mod_ko_uoe,$B$371,0))*('Koszty operacyjne'!$K$114:$X$114=Moduły!G$73),ko_uoe)</f>
        <v>0</v>
      </c>
      <c r="H410" s="33" cm="1">
        <f t="array" ref="H410">SUMPRODUCT(ISNUMBER(MATCH(mod_ko_uoe,$B$371,0))*('Koszty operacyjne'!$K$114:$X$114=Moduły!H$73),ko_uoe)</f>
        <v>0</v>
      </c>
      <c r="I410" s="33" cm="1">
        <f t="array" ref="I410">SUMPRODUCT(ISNUMBER(MATCH(mod_ko_uoe,$B$371,0))*('Koszty operacyjne'!$K$114:$X$114=Moduły!I$73),ko_uoe)</f>
        <v>0</v>
      </c>
      <c r="J410" s="33" cm="1">
        <f t="array" ref="J410">SUMPRODUCT(ISNUMBER(MATCH(mod_ko_uoe,$B$371,0))*('Koszty operacyjne'!$K$114:$X$114=Moduły!J$73),ko_uoe)</f>
        <v>0</v>
      </c>
      <c r="K410" s="33" cm="1">
        <f t="array" ref="K410">SUMPRODUCT(ISNUMBER(MATCH(mod_ko_uoe,$B$371,0))*('Koszty operacyjne'!$K$114:$X$114=Moduły!K$73),ko_uoe)</f>
        <v>0</v>
      </c>
      <c r="L410" s="33" cm="1">
        <f t="array" ref="L410">SUMPRODUCT(ISNUMBER(MATCH(mod_ko_uoe,$B$371,0))*('Koszty operacyjne'!$K$114:$X$114=Moduły!L$73),ko_uoe)</f>
        <v>0</v>
      </c>
      <c r="M410" s="33" cm="1">
        <f t="array" ref="M410">SUMPRODUCT(ISNUMBER(MATCH(mod_ko_uoe,$B$371,0))*('Koszty operacyjne'!$K$114:$X$114=Moduły!M$73),ko_uoe)</f>
        <v>0</v>
      </c>
      <c r="N410" s="33" cm="1">
        <f t="array" ref="N410">SUMPRODUCT(ISNUMBER(MATCH(mod_ko_uoe,$B$371,0))*('Koszty operacyjne'!$K$114:$X$114=Moduły!N$73),ko_uoe)</f>
        <v>0</v>
      </c>
      <c r="O410" s="33" cm="1">
        <f t="array" ref="O410">SUMPRODUCT(ISNUMBER(MATCH(mod_ko_uoe,$B$371,0))*('Koszty operacyjne'!$K$114:$X$114=Moduły!O$73),ko_uoe)</f>
        <v>0</v>
      </c>
      <c r="P410" s="33" cm="1">
        <f t="array" ref="P410">SUMPRODUCT(ISNUMBER(MATCH(mod_ko_uoe,$B$371,0))*('Koszty operacyjne'!$K$114:$X$114=Moduły!P$73),ko_uoe)</f>
        <v>0</v>
      </c>
    </row>
    <row r="411" spans="2:16">
      <c r="B411" s="37" t="s">
        <v>778</v>
      </c>
      <c r="C411" s="33" cm="1">
        <f t="array" ref="C411">SUMPRODUCT(ISNUMBER(MATCH(mod_ko_pio,$B$371,0))*('Koszty operacyjne'!$K$114:$X$114=Moduły!C$73),ko_pio)</f>
        <v>0</v>
      </c>
      <c r="D411" s="33" cm="1">
        <f t="array" ref="D411">SUMPRODUCT(ISNUMBER(MATCH(mod_ko_pio,$B$371,0))*('Koszty operacyjne'!$K$114:$X$114=Moduły!D$73),ko_pio)</f>
        <v>0</v>
      </c>
      <c r="E411" s="33" cm="1">
        <f t="array" ref="E411">SUMPRODUCT(ISNUMBER(MATCH(mod_ko_pio,$B$371,0))*('Koszty operacyjne'!$K$114:$X$114=Moduły!E$73),ko_pio)</f>
        <v>0</v>
      </c>
      <c r="F411" s="33" cm="1">
        <f t="array" ref="F411">SUMPRODUCT(ISNUMBER(MATCH(mod_ko_pio,$B$371,0))*('Koszty operacyjne'!$K$114:$X$114=Moduły!F$73),ko_pio)</f>
        <v>0</v>
      </c>
      <c r="G411" s="33" cm="1">
        <f t="array" ref="G411">SUMPRODUCT(ISNUMBER(MATCH(mod_ko_pio,$B$371,0))*('Koszty operacyjne'!$K$114:$X$114=Moduły!G$73),ko_pio)</f>
        <v>0</v>
      </c>
      <c r="H411" s="33" cm="1">
        <f t="array" ref="H411">SUMPRODUCT(ISNUMBER(MATCH(mod_ko_pio,$B$371,0))*('Koszty operacyjne'!$K$114:$X$114=Moduły!H$73),ko_pio)</f>
        <v>0</v>
      </c>
      <c r="I411" s="33" cm="1">
        <f t="array" ref="I411">SUMPRODUCT(ISNUMBER(MATCH(mod_ko_pio,$B$371,0))*('Koszty operacyjne'!$K$114:$X$114=Moduły!I$73),ko_pio)</f>
        <v>0</v>
      </c>
      <c r="J411" s="33" cm="1">
        <f t="array" ref="J411">SUMPRODUCT(ISNUMBER(MATCH(mod_ko_pio,$B$371,0))*('Koszty operacyjne'!$K$114:$X$114=Moduły!J$73),ko_pio)</f>
        <v>0</v>
      </c>
      <c r="K411" s="33" cm="1">
        <f t="array" ref="K411">SUMPRODUCT(ISNUMBER(MATCH(mod_ko_pio,$B$371,0))*('Koszty operacyjne'!$K$114:$X$114=Moduły!K$73),ko_pio)</f>
        <v>0</v>
      </c>
      <c r="L411" s="33" cm="1">
        <f t="array" ref="L411">SUMPRODUCT(ISNUMBER(MATCH(mod_ko_pio,$B$371,0))*('Koszty operacyjne'!$K$114:$X$114=Moduły!L$73),ko_pio)</f>
        <v>0</v>
      </c>
      <c r="M411" s="33" cm="1">
        <f t="array" ref="M411">SUMPRODUCT(ISNUMBER(MATCH(mod_ko_pio,$B$371,0))*('Koszty operacyjne'!$K$114:$X$114=Moduły!M$73),ko_pio)</f>
        <v>0</v>
      </c>
      <c r="N411" s="33" cm="1">
        <f t="array" ref="N411">SUMPRODUCT(ISNUMBER(MATCH(mod_ko_pio,$B$371,0))*('Koszty operacyjne'!$K$114:$X$114=Moduły!N$73),ko_pio)</f>
        <v>0</v>
      </c>
      <c r="O411" s="33" cm="1">
        <f t="array" ref="O411">SUMPRODUCT(ISNUMBER(MATCH(mod_ko_pio,$B$371,0))*('Koszty operacyjne'!$K$114:$X$114=Moduły!O$73),ko_pio)</f>
        <v>0</v>
      </c>
      <c r="P411" s="33" cm="1">
        <f t="array" ref="P411">SUMPRODUCT(ISNUMBER(MATCH(mod_ko_pio,$B$371,0))*('Koszty operacyjne'!$K$114:$X$114=Moduły!P$73),ko_pio)</f>
        <v>0</v>
      </c>
    </row>
    <row r="412" spans="2:16">
      <c r="B412" s="37" t="s">
        <v>109</v>
      </c>
      <c r="C412" s="33" cm="1">
        <f t="array" ref="C412">SUMPRODUCT(ISNUMBER(MATCH(mod_ko_wyn,$B$371,0))*('Koszty operacyjne'!$K$114:$X$114=Moduły!C$73),ko_wyn)</f>
        <v>0</v>
      </c>
      <c r="D412" s="33" cm="1">
        <f t="array" ref="D412">SUMPRODUCT(ISNUMBER(MATCH(mod_ko_wyn,$B$371,0))*('Koszty operacyjne'!$K$114:$X$114=Moduły!D$73),ko_wyn)</f>
        <v>0</v>
      </c>
      <c r="E412" s="33" cm="1">
        <f t="array" ref="E412">SUMPRODUCT(ISNUMBER(MATCH(mod_ko_wyn,$B$371,0))*('Koszty operacyjne'!$K$114:$X$114=Moduły!E$73),ko_wyn)</f>
        <v>0</v>
      </c>
      <c r="F412" s="33" cm="1">
        <f t="array" ref="F412">SUMPRODUCT(ISNUMBER(MATCH(mod_ko_wyn,$B$371,0))*('Koszty operacyjne'!$K$114:$X$114=Moduły!F$73),ko_wyn)</f>
        <v>0</v>
      </c>
      <c r="G412" s="33" cm="1">
        <f t="array" ref="G412">SUMPRODUCT(ISNUMBER(MATCH(mod_ko_wyn,$B$371,0))*('Koszty operacyjne'!$K$114:$X$114=Moduły!G$73),ko_wyn)</f>
        <v>0</v>
      </c>
      <c r="H412" s="33" cm="1">
        <f t="array" ref="H412">SUMPRODUCT(ISNUMBER(MATCH(mod_ko_wyn,$B$371,0))*('Koszty operacyjne'!$K$114:$X$114=Moduły!H$73),ko_wyn)</f>
        <v>0</v>
      </c>
      <c r="I412" s="33" cm="1">
        <f t="array" ref="I412">SUMPRODUCT(ISNUMBER(MATCH(mod_ko_wyn,$B$371,0))*('Koszty operacyjne'!$K$114:$X$114=Moduły!I$73),ko_wyn)</f>
        <v>0</v>
      </c>
      <c r="J412" s="33" cm="1">
        <f t="array" ref="J412">SUMPRODUCT(ISNUMBER(MATCH(mod_ko_wyn,$B$371,0))*('Koszty operacyjne'!$K$114:$X$114=Moduły!J$73),ko_wyn)</f>
        <v>0</v>
      </c>
      <c r="K412" s="33" cm="1">
        <f t="array" ref="K412">SUMPRODUCT(ISNUMBER(MATCH(mod_ko_wyn,$B$371,0))*('Koszty operacyjne'!$K$114:$X$114=Moduły!K$73),ko_wyn)</f>
        <v>0</v>
      </c>
      <c r="L412" s="33" cm="1">
        <f t="array" ref="L412">SUMPRODUCT(ISNUMBER(MATCH(mod_ko_wyn,$B$371,0))*('Koszty operacyjne'!$K$114:$X$114=Moduły!L$73),ko_wyn)</f>
        <v>0</v>
      </c>
      <c r="M412" s="33" cm="1">
        <f t="array" ref="M412">SUMPRODUCT(ISNUMBER(MATCH(mod_ko_wyn,$B$371,0))*('Koszty operacyjne'!$K$114:$X$114=Moduły!M$73),ko_wyn)</f>
        <v>0</v>
      </c>
      <c r="N412" s="33" cm="1">
        <f t="array" ref="N412">SUMPRODUCT(ISNUMBER(MATCH(mod_ko_wyn,$B$371,0))*('Koszty operacyjne'!$K$114:$X$114=Moduły!N$73),ko_wyn)</f>
        <v>0</v>
      </c>
      <c r="O412" s="33" cm="1">
        <f t="array" ref="O412">SUMPRODUCT(ISNUMBER(MATCH(mod_ko_wyn,$B$371,0))*('Koszty operacyjne'!$K$114:$X$114=Moduły!O$73),ko_wyn)</f>
        <v>0</v>
      </c>
      <c r="P412" s="33" cm="1">
        <f t="array" ref="P412">SUMPRODUCT(ISNUMBER(MATCH(mod_ko_wyn,$B$371,0))*('Koszty operacyjne'!$K$114:$X$114=Moduły!P$73),ko_wyn)</f>
        <v>0</v>
      </c>
    </row>
    <row r="413" spans="2:16">
      <c r="B413" s="37" t="s">
        <v>110</v>
      </c>
      <c r="C413" s="33" cm="1">
        <f t="array" ref="C413">SUMPRODUCT(ISNUMBER(MATCH(mod_ko_zus,$B$371,0))*('Koszty operacyjne'!$K$114:$X$114=Moduły!C$73),ko_zus)</f>
        <v>0</v>
      </c>
      <c r="D413" s="33" cm="1">
        <f t="array" ref="D413">SUMPRODUCT(ISNUMBER(MATCH(mod_ko_zus,$B$371,0))*('Koszty operacyjne'!$K$114:$X$114=Moduły!D$73),ko_zus)</f>
        <v>0</v>
      </c>
      <c r="E413" s="33" cm="1">
        <f t="array" ref="E413">SUMPRODUCT(ISNUMBER(MATCH(mod_ko_zus,$B$371,0))*('Koszty operacyjne'!$K$114:$X$114=Moduły!E$73),ko_zus)</f>
        <v>0</v>
      </c>
      <c r="F413" s="33" cm="1">
        <f t="array" ref="F413">SUMPRODUCT(ISNUMBER(MATCH(mod_ko_zus,$B$371,0))*('Koszty operacyjne'!$K$114:$X$114=Moduły!F$73),ko_zus)</f>
        <v>0</v>
      </c>
      <c r="G413" s="33" cm="1">
        <f t="array" ref="G413">SUMPRODUCT(ISNUMBER(MATCH(mod_ko_zus,$B$371,0))*('Koszty operacyjne'!$K$114:$X$114=Moduły!G$73),ko_zus)</f>
        <v>0</v>
      </c>
      <c r="H413" s="33" cm="1">
        <f t="array" ref="H413">SUMPRODUCT(ISNUMBER(MATCH(mod_ko_zus,$B$371,0))*('Koszty operacyjne'!$K$114:$X$114=Moduły!H$73),ko_zus)</f>
        <v>0</v>
      </c>
      <c r="I413" s="33" cm="1">
        <f t="array" ref="I413">SUMPRODUCT(ISNUMBER(MATCH(mod_ko_zus,$B$371,0))*('Koszty operacyjne'!$K$114:$X$114=Moduły!I$73),ko_zus)</f>
        <v>0</v>
      </c>
      <c r="J413" s="33" cm="1">
        <f t="array" ref="J413">SUMPRODUCT(ISNUMBER(MATCH(mod_ko_zus,$B$371,0))*('Koszty operacyjne'!$K$114:$X$114=Moduły!J$73),ko_zus)</f>
        <v>0</v>
      </c>
      <c r="K413" s="33" cm="1">
        <f t="array" ref="K413">SUMPRODUCT(ISNUMBER(MATCH(mod_ko_zus,$B$371,0))*('Koszty operacyjne'!$K$114:$X$114=Moduły!K$73),ko_zus)</f>
        <v>0</v>
      </c>
      <c r="L413" s="33" cm="1">
        <f t="array" ref="L413">SUMPRODUCT(ISNUMBER(MATCH(mod_ko_zus,$B$371,0))*('Koszty operacyjne'!$K$114:$X$114=Moduły!L$73),ko_zus)</f>
        <v>0</v>
      </c>
      <c r="M413" s="33" cm="1">
        <f t="array" ref="M413">SUMPRODUCT(ISNUMBER(MATCH(mod_ko_zus,$B$371,0))*('Koszty operacyjne'!$K$114:$X$114=Moduły!M$73),ko_zus)</f>
        <v>0</v>
      </c>
      <c r="N413" s="33" cm="1">
        <f t="array" ref="N413">SUMPRODUCT(ISNUMBER(MATCH(mod_ko_zus,$B$371,0))*('Koszty operacyjne'!$K$114:$X$114=Moduły!N$73),ko_zus)</f>
        <v>0</v>
      </c>
      <c r="O413" s="33" cm="1">
        <f t="array" ref="O413">SUMPRODUCT(ISNUMBER(MATCH(mod_ko_zus,$B$371,0))*('Koszty operacyjne'!$K$114:$X$114=Moduły!O$73),ko_zus)</f>
        <v>0</v>
      </c>
      <c r="P413" s="33" cm="1">
        <f t="array" ref="P413">SUMPRODUCT(ISNUMBER(MATCH(mod_ko_zus,$B$371,0))*('Koszty operacyjne'!$K$114:$X$114=Moduły!P$73),ko_zus)</f>
        <v>0</v>
      </c>
    </row>
    <row r="414" spans="2:16">
      <c r="B414" s="37" t="s">
        <v>111</v>
      </c>
      <c r="C414" s="33" cm="1">
        <f t="array" ref="C414">SUMPRODUCT(ISNUMBER(MATCH(mod_ko_pkr,$B$371,0))*('Koszty operacyjne'!$K$114:$X$114=Moduły!C$73),ko_pkr)</f>
        <v>0</v>
      </c>
      <c r="D414" s="33" cm="1">
        <f t="array" ref="D414">SUMPRODUCT(ISNUMBER(MATCH(mod_ko_pkr,$B$371,0))*('Koszty operacyjne'!$K$114:$X$114=Moduły!D$73),ko_pkr)</f>
        <v>0</v>
      </c>
      <c r="E414" s="33" cm="1">
        <f t="array" ref="E414">SUMPRODUCT(ISNUMBER(MATCH(mod_ko_pkr,$B$371,0))*('Koszty operacyjne'!$K$114:$X$114=Moduły!E$73),ko_pkr)</f>
        <v>0</v>
      </c>
      <c r="F414" s="33" cm="1">
        <f t="array" ref="F414">SUMPRODUCT(ISNUMBER(MATCH(mod_ko_pkr,$B$371,0))*('Koszty operacyjne'!$K$114:$X$114=Moduły!F$73),ko_pkr)</f>
        <v>0</v>
      </c>
      <c r="G414" s="33" cm="1">
        <f t="array" ref="G414">SUMPRODUCT(ISNUMBER(MATCH(mod_ko_pkr,$B$371,0))*('Koszty operacyjne'!$K$114:$X$114=Moduły!G$73),ko_pkr)</f>
        <v>0</v>
      </c>
      <c r="H414" s="33" cm="1">
        <f t="array" ref="H414">SUMPRODUCT(ISNUMBER(MATCH(mod_ko_pkr,$B$371,0))*('Koszty operacyjne'!$K$114:$X$114=Moduły!H$73),ko_pkr)</f>
        <v>0</v>
      </c>
      <c r="I414" s="33" cm="1">
        <f t="array" ref="I414">SUMPRODUCT(ISNUMBER(MATCH(mod_ko_pkr,$B$371,0))*('Koszty operacyjne'!$K$114:$X$114=Moduły!I$73),ko_pkr)</f>
        <v>0</v>
      </c>
      <c r="J414" s="33" cm="1">
        <f t="array" ref="J414">SUMPRODUCT(ISNUMBER(MATCH(mod_ko_pkr,$B$371,0))*('Koszty operacyjne'!$K$114:$X$114=Moduły!J$73),ko_pkr)</f>
        <v>0</v>
      </c>
      <c r="K414" s="33" cm="1">
        <f t="array" ref="K414">SUMPRODUCT(ISNUMBER(MATCH(mod_ko_pkr,$B$371,0))*('Koszty operacyjne'!$K$114:$X$114=Moduły!K$73),ko_pkr)</f>
        <v>0</v>
      </c>
      <c r="L414" s="33" cm="1">
        <f t="array" ref="L414">SUMPRODUCT(ISNUMBER(MATCH(mod_ko_pkr,$B$371,0))*('Koszty operacyjne'!$K$114:$X$114=Moduły!L$73),ko_pkr)</f>
        <v>0</v>
      </c>
      <c r="M414" s="33" cm="1">
        <f t="array" ref="M414">SUMPRODUCT(ISNUMBER(MATCH(mod_ko_pkr,$B$371,0))*('Koszty operacyjne'!$K$114:$X$114=Moduły!M$73),ko_pkr)</f>
        <v>0</v>
      </c>
      <c r="N414" s="33" cm="1">
        <f t="array" ref="N414">SUMPRODUCT(ISNUMBER(MATCH(mod_ko_pkr,$B$371,0))*('Koszty operacyjne'!$K$114:$X$114=Moduły!N$73),ko_pkr)</f>
        <v>0</v>
      </c>
      <c r="O414" s="33" cm="1">
        <f t="array" ref="O414">SUMPRODUCT(ISNUMBER(MATCH(mod_ko_pkr,$B$371,0))*('Koszty operacyjne'!$K$114:$X$114=Moduły!O$73),ko_pkr)</f>
        <v>0</v>
      </c>
      <c r="P414" s="33" cm="1">
        <f t="array" ref="P414">SUMPRODUCT(ISNUMBER(MATCH(mod_ko_pkr,$B$371,0))*('Koszty operacyjne'!$K$114:$X$114=Moduły!P$73),ko_pkr)</f>
        <v>0</v>
      </c>
    </row>
    <row r="415" spans="2:16">
      <c r="B415" s="37" t="s">
        <v>112</v>
      </c>
      <c r="C415" s="33" cm="1">
        <f t="array" ref="C415">SUMPRODUCT(ISNUMBER(MATCH(mod_pp_ptim_wstim,$B$371,0))*('Koszty operacyjne'!$K$114:$X$114=Moduły!C$73),pp_ptim_wstim)</f>
        <v>0</v>
      </c>
      <c r="D415" s="33" cm="1">
        <f t="array" ref="D415">SUMPRODUCT(ISNUMBER(MATCH(mod_pp_ptim_wstim,$B$371,0))*('Koszty operacyjne'!$K$114:$X$114=Moduły!D$73),pp_ptim_wstim)</f>
        <v>0</v>
      </c>
      <c r="E415" s="33" cm="1">
        <f t="array" ref="E415">SUMPRODUCT(ISNUMBER(MATCH(mod_pp_ptim_wstim,$B$371,0))*('Koszty operacyjne'!$K$114:$X$114=Moduły!E$73),pp_ptim_wstim)</f>
        <v>0</v>
      </c>
      <c r="F415" s="33" cm="1">
        <f t="array" ref="F415">SUMPRODUCT(ISNUMBER(MATCH(mod_pp_ptim_wstim,$B$371,0))*('Koszty operacyjne'!$K$114:$X$114=Moduły!F$73),pp_ptim_wstim)</f>
        <v>0</v>
      </c>
      <c r="G415" s="33" cm="1">
        <f t="array" ref="G415">SUMPRODUCT(ISNUMBER(MATCH(mod_pp_ptim_wstim,$B$371,0))*('Koszty operacyjne'!$K$114:$X$114=Moduły!G$73),pp_ptim_wstim)</f>
        <v>0</v>
      </c>
      <c r="H415" s="33" cm="1">
        <f t="array" ref="H415">SUMPRODUCT(ISNUMBER(MATCH(mod_pp_ptim_wstim,$B$371,0))*('Koszty operacyjne'!$K$114:$X$114=Moduły!H$73),pp_ptim_wstim)</f>
        <v>0</v>
      </c>
      <c r="I415" s="33" cm="1">
        <f t="array" ref="I415">SUMPRODUCT(ISNUMBER(MATCH(mod_pp_ptim_wstim,$B$371,0))*('Koszty operacyjne'!$K$114:$X$114=Moduły!I$73),pp_ptim_wstim)</f>
        <v>0</v>
      </c>
      <c r="J415" s="33" cm="1">
        <f t="array" ref="J415">SUMPRODUCT(ISNUMBER(MATCH(mod_pp_ptim_wstim,$B$371,0))*('Koszty operacyjne'!$K$114:$X$114=Moduły!J$73),pp_ptim_wstim)</f>
        <v>0</v>
      </c>
      <c r="K415" s="33" cm="1">
        <f t="array" ref="K415">SUMPRODUCT(ISNUMBER(MATCH(mod_pp_ptim_wstim,$B$371,0))*('Koszty operacyjne'!$K$114:$X$114=Moduły!K$73),pp_ptim_wstim)</f>
        <v>0</v>
      </c>
      <c r="L415" s="33" cm="1">
        <f t="array" ref="L415">SUMPRODUCT(ISNUMBER(MATCH(mod_pp_ptim_wstim,$B$371,0))*('Koszty operacyjne'!$K$114:$X$114=Moduły!L$73),pp_ptim_wstim)</f>
        <v>0</v>
      </c>
      <c r="M415" s="33" cm="1">
        <f t="array" ref="M415">SUMPRODUCT(ISNUMBER(MATCH(mod_pp_ptim_wstim,$B$371,0))*('Koszty operacyjne'!$K$114:$X$114=Moduły!M$73),pp_ptim_wstim)</f>
        <v>0</v>
      </c>
      <c r="N415" s="33" cm="1">
        <f t="array" ref="N415">SUMPRODUCT(ISNUMBER(MATCH(mod_pp_ptim_wstim,$B$371,0))*('Koszty operacyjne'!$K$114:$X$114=Moduły!N$73),pp_ptim_wstim)</f>
        <v>0</v>
      </c>
      <c r="O415" s="33" cm="1">
        <f t="array" ref="O415">SUMPRODUCT(ISNUMBER(MATCH(mod_pp_ptim_wstim,$B$371,0))*('Koszty operacyjne'!$K$114:$X$114=Moduły!O$73),pp_ptim_wstim)</f>
        <v>0</v>
      </c>
      <c r="P415" s="33" cm="1">
        <f t="array" ref="P415">SUMPRODUCT(ISNUMBER(MATCH(mod_pp_ptim_wstim,$B$371,0))*('Koszty operacyjne'!$K$114:$X$114=Moduły!P$73),pp_ptim_wstim)</f>
        <v>0</v>
      </c>
    </row>
    <row r="416" spans="2:16"/>
    <row r="417" spans="2:16"/>
    <row r="418" spans="2:16">
      <c r="B418" s="371" t="s">
        <v>116</v>
      </c>
      <c r="C418" s="371" t="str">
        <f>C$73</f>
        <v>Uzupełnij dane</v>
      </c>
      <c r="D418" s="371" t="str">
        <f t="shared" ref="D418:P418" si="206">D$73</f>
        <v/>
      </c>
      <c r="E418" s="371" t="str">
        <f t="shared" si="206"/>
        <v/>
      </c>
      <c r="F418" s="371" t="str">
        <f t="shared" si="206"/>
        <v/>
      </c>
      <c r="G418" s="371" t="str">
        <f t="shared" si="206"/>
        <v/>
      </c>
      <c r="H418" s="371" t="str">
        <f t="shared" si="206"/>
        <v/>
      </c>
      <c r="I418" s="371" t="str">
        <f t="shared" si="206"/>
        <v/>
      </c>
      <c r="J418" s="371" t="str">
        <f t="shared" si="206"/>
        <v/>
      </c>
      <c r="K418" s="371" t="str">
        <f t="shared" si="206"/>
        <v/>
      </c>
      <c r="L418" s="371" t="str">
        <f t="shared" si="206"/>
        <v/>
      </c>
      <c r="M418" s="371" t="str">
        <f t="shared" si="206"/>
        <v/>
      </c>
      <c r="N418" s="371" t="str">
        <f t="shared" si="206"/>
        <v/>
      </c>
      <c r="O418" s="371" t="str">
        <f t="shared" si="206"/>
        <v/>
      </c>
      <c r="P418" s="371" t="str">
        <f t="shared" si="206"/>
        <v/>
      </c>
    </row>
    <row r="419" spans="2:16" ht="3.9" customHeight="1"/>
    <row r="420" spans="2:16" ht="12" customHeight="1">
      <c r="B420" s="99" t="s">
        <v>93</v>
      </c>
      <c r="C420" s="98">
        <f t="shared" ref="C420:P420" si="207">SUM(C421:C422)</f>
        <v>0</v>
      </c>
      <c r="D420" s="98">
        <f t="shared" si="207"/>
        <v>0</v>
      </c>
      <c r="E420" s="98">
        <f t="shared" si="207"/>
        <v>0</v>
      </c>
      <c r="F420" s="98">
        <f t="shared" si="207"/>
        <v>0</v>
      </c>
      <c r="G420" s="98">
        <f t="shared" si="207"/>
        <v>0</v>
      </c>
      <c r="H420" s="98">
        <f t="shared" si="207"/>
        <v>0</v>
      </c>
      <c r="I420" s="98">
        <f t="shared" si="207"/>
        <v>0</v>
      </c>
      <c r="J420" s="98">
        <f t="shared" si="207"/>
        <v>0</v>
      </c>
      <c r="K420" s="98">
        <f t="shared" si="207"/>
        <v>0</v>
      </c>
      <c r="L420" s="98">
        <f t="shared" si="207"/>
        <v>0</v>
      </c>
      <c r="M420" s="98">
        <f t="shared" si="207"/>
        <v>0</v>
      </c>
      <c r="N420" s="98">
        <f t="shared" si="207"/>
        <v>0</v>
      </c>
      <c r="O420" s="98">
        <f t="shared" si="207"/>
        <v>0</v>
      </c>
      <c r="P420" s="98">
        <f t="shared" si="207"/>
        <v>0</v>
      </c>
    </row>
    <row r="421" spans="2:16">
      <c r="B421" s="465" t="s">
        <v>95</v>
      </c>
      <c r="C421" s="466">
        <f>C425+C429+C433+C437+C441+C445+C449</f>
        <v>0</v>
      </c>
      <c r="D421" s="466">
        <f t="shared" ref="D421:P421" si="208">D425+D429+D433+D437+D441+D445+D449</f>
        <v>0</v>
      </c>
      <c r="E421" s="466">
        <f t="shared" si="208"/>
        <v>0</v>
      </c>
      <c r="F421" s="466">
        <f t="shared" si="208"/>
        <v>0</v>
      </c>
      <c r="G421" s="466">
        <f t="shared" si="208"/>
        <v>0</v>
      </c>
      <c r="H421" s="466">
        <f t="shared" si="208"/>
        <v>0</v>
      </c>
      <c r="I421" s="466">
        <f t="shared" si="208"/>
        <v>0</v>
      </c>
      <c r="J421" s="466">
        <f t="shared" si="208"/>
        <v>0</v>
      </c>
      <c r="K421" s="467">
        <f t="shared" si="208"/>
        <v>0</v>
      </c>
      <c r="L421" s="467">
        <f t="shared" si="208"/>
        <v>0</v>
      </c>
      <c r="M421" s="467">
        <f t="shared" si="208"/>
        <v>0</v>
      </c>
      <c r="N421" s="467">
        <f t="shared" si="208"/>
        <v>0</v>
      </c>
      <c r="O421" s="467">
        <f t="shared" si="208"/>
        <v>0</v>
      </c>
      <c r="P421" s="467">
        <f t="shared" si="208"/>
        <v>0</v>
      </c>
    </row>
    <row r="422" spans="2:16">
      <c r="B422" s="468" t="s">
        <v>96</v>
      </c>
      <c r="C422" s="469">
        <f>C426+C430+C434+C438+C442+C446+C450</f>
        <v>0</v>
      </c>
      <c r="D422" s="469">
        <f t="shared" ref="D422:P422" si="209">D426+D430+D434+D438+D442+D446+D450</f>
        <v>0</v>
      </c>
      <c r="E422" s="469">
        <f t="shared" si="209"/>
        <v>0</v>
      </c>
      <c r="F422" s="469">
        <f t="shared" si="209"/>
        <v>0</v>
      </c>
      <c r="G422" s="469">
        <f t="shared" si="209"/>
        <v>0</v>
      </c>
      <c r="H422" s="469">
        <f t="shared" si="209"/>
        <v>0</v>
      </c>
      <c r="I422" s="469">
        <f t="shared" si="209"/>
        <v>0</v>
      </c>
      <c r="J422" s="469">
        <f t="shared" si="209"/>
        <v>0</v>
      </c>
      <c r="K422" s="470">
        <f t="shared" si="209"/>
        <v>0</v>
      </c>
      <c r="L422" s="470">
        <f t="shared" si="209"/>
        <v>0</v>
      </c>
      <c r="M422" s="470">
        <f t="shared" si="209"/>
        <v>0</v>
      </c>
      <c r="N422" s="470">
        <f t="shared" si="209"/>
        <v>0</v>
      </c>
      <c r="O422" s="470">
        <f t="shared" si="209"/>
        <v>0</v>
      </c>
      <c r="P422" s="470">
        <f t="shared" si="209"/>
        <v>0</v>
      </c>
    </row>
    <row r="423" spans="2:16" ht="3.9" customHeight="1"/>
    <row r="424" spans="2:16" ht="12" customHeight="1">
      <c r="B424" s="355" t="s">
        <v>94</v>
      </c>
      <c r="C424" s="356">
        <f t="shared" ref="C424:P424" si="210">SUM(C425:C426)</f>
        <v>0</v>
      </c>
      <c r="D424" s="356">
        <f t="shared" si="210"/>
        <v>0</v>
      </c>
      <c r="E424" s="356">
        <f t="shared" si="210"/>
        <v>0</v>
      </c>
      <c r="F424" s="356">
        <f t="shared" si="210"/>
        <v>0</v>
      </c>
      <c r="G424" s="356">
        <f t="shared" si="210"/>
        <v>0</v>
      </c>
      <c r="H424" s="356">
        <f t="shared" si="210"/>
        <v>0</v>
      </c>
      <c r="I424" s="356">
        <f t="shared" si="210"/>
        <v>0</v>
      </c>
      <c r="J424" s="356">
        <f t="shared" si="210"/>
        <v>0</v>
      </c>
      <c r="K424" s="356">
        <f t="shared" si="210"/>
        <v>0</v>
      </c>
      <c r="L424" s="356">
        <f t="shared" si="210"/>
        <v>0</v>
      </c>
      <c r="M424" s="356">
        <f t="shared" si="210"/>
        <v>0</v>
      </c>
      <c r="N424" s="356">
        <f t="shared" si="210"/>
        <v>0</v>
      </c>
      <c r="O424" s="356">
        <f t="shared" si="210"/>
        <v>0</v>
      </c>
      <c r="P424" s="356">
        <f t="shared" si="210"/>
        <v>0</v>
      </c>
    </row>
    <row r="425" spans="2:16" ht="12" customHeight="1">
      <c r="B425" s="357" t="s">
        <v>95</v>
      </c>
      <c r="C425" s="358" cm="1">
        <f t="array" ref="C425">SUMPRODUCT(ISNUMBER(MATCH(mod_st_zpr,$B$418,0))*('Koszty operacyjne'!$K$114:$X$114=Moduły!C$73)*ISNUMBER(MATCH(st_zpr_kw,tak,0)),st_zpr)</f>
        <v>0</v>
      </c>
      <c r="D425" s="358" cm="1">
        <f t="array" ref="D425">SUMPRODUCT(ISNUMBER(MATCH(mod_st_zpr,$B$418,0))*('Koszty operacyjne'!$K$114:$X$114=Moduły!D$73)*ISNUMBER(MATCH(st_zpr_kw,tak,0)),st_zpr)</f>
        <v>0</v>
      </c>
      <c r="E425" s="358" cm="1">
        <f t="array" ref="E425">SUMPRODUCT(ISNUMBER(MATCH(mod_st_zpr,$B$418,0))*('Koszty operacyjne'!$K$114:$X$114=Moduły!E$73)*ISNUMBER(MATCH(st_zpr_kw,tak,0)),st_zpr)</f>
        <v>0</v>
      </c>
      <c r="F425" s="358" cm="1">
        <f t="array" ref="F425">SUMPRODUCT(ISNUMBER(MATCH(mod_st_zpr,$B$418,0))*('Koszty operacyjne'!$K$114:$X$114=Moduły!F$73)*ISNUMBER(MATCH(st_zpr_kw,tak,0)),st_zpr)</f>
        <v>0</v>
      </c>
      <c r="G425" s="358" cm="1">
        <f t="array" ref="G425">SUMPRODUCT(ISNUMBER(MATCH(mod_st_zpr,$B$418,0))*('Koszty operacyjne'!$K$114:$X$114=Moduły!G$73)*ISNUMBER(MATCH(st_zpr_kw,tak,0)),st_zpr)</f>
        <v>0</v>
      </c>
      <c r="H425" s="358" cm="1">
        <f t="array" ref="H425">SUMPRODUCT(ISNUMBER(MATCH(mod_st_zpr,$B$418,0))*('Koszty operacyjne'!$K$114:$X$114=Moduły!H$73)*ISNUMBER(MATCH(st_zpr_kw,tak,0)),st_zpr)</f>
        <v>0</v>
      </c>
      <c r="I425" s="358" cm="1">
        <f t="array" ref="I425">SUMPRODUCT(ISNUMBER(MATCH(mod_st_zpr,$B$418,0))*('Koszty operacyjne'!$K$114:$X$114=Moduły!I$73)*ISNUMBER(MATCH(st_zpr_kw,tak,0)),st_zpr)</f>
        <v>0</v>
      </c>
      <c r="J425" s="358" cm="1">
        <f t="array" ref="J425">SUMPRODUCT(ISNUMBER(MATCH(mod_st_zpr,$B$418,0))*('Koszty operacyjne'!$K$114:$X$114=Moduły!J$73)*ISNUMBER(MATCH(st_zpr_kw,tak,0)),st_zpr)</f>
        <v>0</v>
      </c>
      <c r="K425" s="358" cm="1">
        <f t="array" ref="K425">SUMPRODUCT(ISNUMBER(MATCH(mod_st_zpr,$B$418,0))*('Koszty operacyjne'!$K$114:$X$114=Moduły!K$73)*ISNUMBER(MATCH(st_zpr_kw,tak,0)),st_zpr)</f>
        <v>0</v>
      </c>
      <c r="L425" s="358" cm="1">
        <f t="array" ref="L425">SUMPRODUCT(ISNUMBER(MATCH(mod_st_zpr,$B$418,0))*('Koszty operacyjne'!$K$114:$X$114=Moduły!L$73)*ISNUMBER(MATCH(st_zpr_kw,tak,0)),st_zpr)</f>
        <v>0</v>
      </c>
      <c r="M425" s="358" cm="1">
        <f t="array" ref="M425">SUMPRODUCT(ISNUMBER(MATCH(mod_st_zpr,$B$418,0))*('Koszty operacyjne'!$K$114:$X$114=Moduły!M$73)*ISNUMBER(MATCH(st_zpr_kw,tak,0)),st_zpr)</f>
        <v>0</v>
      </c>
      <c r="N425" s="358" cm="1">
        <f t="array" ref="N425">SUMPRODUCT(ISNUMBER(MATCH(mod_st_zpr,$B$418,0))*('Koszty operacyjne'!$K$114:$X$114=Moduły!N$73)*ISNUMBER(MATCH(st_zpr_kw,tak,0)),st_zpr)</f>
        <v>0</v>
      </c>
      <c r="O425" s="358" cm="1">
        <f t="array" ref="O425">SUMPRODUCT(ISNUMBER(MATCH(mod_st_zpr,$B$418,0))*('Koszty operacyjne'!$K$114:$X$114=Moduły!O$73)*ISNUMBER(MATCH(st_zpr_kw,tak,0)),st_zpr)</f>
        <v>0</v>
      </c>
      <c r="P425" s="358" cm="1">
        <f t="array" ref="P425">SUMPRODUCT(ISNUMBER(MATCH(mod_st_zpr,$B$418,0))*('Koszty operacyjne'!$K$114:$X$114=Moduły!P$73)*ISNUMBER(MATCH(st_zpr_kw,tak,0)),st_zpr)</f>
        <v>0</v>
      </c>
    </row>
    <row r="426" spans="2:16" ht="12" customHeight="1">
      <c r="B426" s="359" t="s">
        <v>96</v>
      </c>
      <c r="C426" s="360" cm="1">
        <f t="array" ref="C426">SUMPRODUCT(ISNUMBER(MATCH(mod_st_zpr,$B$418,0))*('Koszty operacyjne'!$K$114:$X$114=Moduły!C$73)*ISNUMBER(MATCH(st_zpr_kw,nie,0)),st_zpr)</f>
        <v>0</v>
      </c>
      <c r="D426" s="360" cm="1">
        <f t="array" ref="D426">SUMPRODUCT(ISNUMBER(MATCH(mod_st_zpr,$B$418,0))*('Koszty operacyjne'!$K$114:$X$114=Moduły!D$73)*ISNUMBER(MATCH(st_zpr_kw,nie,0)),st_zpr)</f>
        <v>0</v>
      </c>
      <c r="E426" s="360" cm="1">
        <f t="array" ref="E426">SUMPRODUCT(ISNUMBER(MATCH(mod_st_zpr,$B$418,0))*('Koszty operacyjne'!$K$114:$X$114=Moduły!E$73)*ISNUMBER(MATCH(st_zpr_kw,nie,0)),st_zpr)</f>
        <v>0</v>
      </c>
      <c r="F426" s="360" cm="1">
        <f t="array" ref="F426">SUMPRODUCT(ISNUMBER(MATCH(mod_st_zpr,$B$418,0))*('Koszty operacyjne'!$K$114:$X$114=Moduły!F$73)*ISNUMBER(MATCH(st_zpr_kw,nie,0)),st_zpr)</f>
        <v>0</v>
      </c>
      <c r="G426" s="360" cm="1">
        <f t="array" ref="G426">SUMPRODUCT(ISNUMBER(MATCH(mod_st_zpr,$B$418,0))*('Koszty operacyjne'!$K$114:$X$114=Moduły!G$73)*ISNUMBER(MATCH(st_zpr_kw,nie,0)),st_zpr)</f>
        <v>0</v>
      </c>
      <c r="H426" s="360" cm="1">
        <f t="array" ref="H426">SUMPRODUCT(ISNUMBER(MATCH(mod_st_zpr,$B$418,0))*('Koszty operacyjne'!$K$114:$X$114=Moduły!H$73)*ISNUMBER(MATCH(st_zpr_kw,nie,0)),st_zpr)</f>
        <v>0</v>
      </c>
      <c r="I426" s="360" cm="1">
        <f t="array" ref="I426">SUMPRODUCT(ISNUMBER(MATCH(mod_st_zpr,$B$418,0))*('Koszty operacyjne'!$K$114:$X$114=Moduły!I$73)*ISNUMBER(MATCH(st_zpr_kw,nie,0)),st_zpr)</f>
        <v>0</v>
      </c>
      <c r="J426" s="360" cm="1">
        <f t="array" ref="J426">SUMPRODUCT(ISNUMBER(MATCH(mod_st_zpr,$B$418,0))*('Koszty operacyjne'!$K$114:$X$114=Moduły!J$73)*ISNUMBER(MATCH(st_zpr_kw,nie,0)),st_zpr)</f>
        <v>0</v>
      </c>
      <c r="K426" s="361" cm="1">
        <f t="array" ref="K426">SUMPRODUCT(ISNUMBER(MATCH(mod_st_zpr,$B$418,0))*('Koszty operacyjne'!$K$114:$X$114=Moduły!K$73)*ISNUMBER(MATCH(st_zpr_kw,nie,0)),st_zpr)</f>
        <v>0</v>
      </c>
      <c r="L426" s="361" cm="1">
        <f t="array" ref="L426">SUMPRODUCT(ISNUMBER(MATCH(mod_st_zpr,$B$418,0))*('Koszty operacyjne'!$K$114:$X$114=Moduły!L$73)*ISNUMBER(MATCH(st_zpr_kw,nie,0)),st_zpr)</f>
        <v>0</v>
      </c>
      <c r="M426" s="361" cm="1">
        <f t="array" ref="M426">SUMPRODUCT(ISNUMBER(MATCH(mod_st_zpr,$B$418,0))*('Koszty operacyjne'!$K$114:$X$114=Moduły!M$73)*ISNUMBER(MATCH(st_zpr_kw,nie,0)),st_zpr)</f>
        <v>0</v>
      </c>
      <c r="N426" s="361" cm="1">
        <f t="array" ref="N426">SUMPRODUCT(ISNUMBER(MATCH(mod_st_zpr,$B$418,0))*('Koszty operacyjne'!$K$114:$X$114=Moduły!N$73)*ISNUMBER(MATCH(st_zpr_kw,nie,0)),st_zpr)</f>
        <v>0</v>
      </c>
      <c r="O426" s="361" cm="1">
        <f t="array" ref="O426">SUMPRODUCT(ISNUMBER(MATCH(mod_st_zpr,$B$418,0))*('Koszty operacyjne'!$K$114:$X$114=Moduły!O$73)*ISNUMBER(MATCH(st_zpr_kw,nie,0)),st_zpr)</f>
        <v>0</v>
      </c>
      <c r="P426" s="361" cm="1">
        <f t="array" ref="P426">SUMPRODUCT(ISNUMBER(MATCH(mod_st_zpr,$B$418,0))*('Koszty operacyjne'!$K$114:$X$114=Moduły!P$73)*ISNUMBER(MATCH(st_zpr_kw,nie,0)),st_zpr)</f>
        <v>0</v>
      </c>
    </row>
    <row r="427" spans="2:16" ht="3.9" customHeight="1">
      <c r="B427" s="362"/>
      <c r="C427" s="363"/>
      <c r="D427" s="363"/>
      <c r="E427" s="363"/>
      <c r="F427" s="363"/>
      <c r="G427" s="363"/>
      <c r="H427" s="363"/>
      <c r="I427" s="363"/>
      <c r="J427" s="363"/>
      <c r="K427" s="364"/>
      <c r="L427" s="364"/>
      <c r="M427" s="364"/>
      <c r="N427" s="364"/>
      <c r="O427" s="364"/>
      <c r="P427" s="364"/>
    </row>
    <row r="428" spans="2:16" ht="12" customHeight="1">
      <c r="B428" s="355" t="s">
        <v>97</v>
      </c>
      <c r="C428" s="356">
        <f t="shared" ref="C428:P428" si="211">SUM(C429:C430)</f>
        <v>0</v>
      </c>
      <c r="D428" s="356">
        <f t="shared" si="211"/>
        <v>0</v>
      </c>
      <c r="E428" s="356">
        <f t="shared" si="211"/>
        <v>0</v>
      </c>
      <c r="F428" s="356">
        <f t="shared" si="211"/>
        <v>0</v>
      </c>
      <c r="G428" s="356">
        <f t="shared" si="211"/>
        <v>0</v>
      </c>
      <c r="H428" s="356">
        <f t="shared" si="211"/>
        <v>0</v>
      </c>
      <c r="I428" s="356">
        <f t="shared" si="211"/>
        <v>0</v>
      </c>
      <c r="J428" s="356">
        <f t="shared" si="211"/>
        <v>0</v>
      </c>
      <c r="K428" s="356">
        <f t="shared" si="211"/>
        <v>0</v>
      </c>
      <c r="L428" s="356">
        <f t="shared" si="211"/>
        <v>0</v>
      </c>
      <c r="M428" s="356">
        <f t="shared" si="211"/>
        <v>0</v>
      </c>
      <c r="N428" s="356">
        <f t="shared" si="211"/>
        <v>0</v>
      </c>
      <c r="O428" s="356">
        <f t="shared" si="211"/>
        <v>0</v>
      </c>
      <c r="P428" s="356">
        <f t="shared" si="211"/>
        <v>0</v>
      </c>
    </row>
    <row r="429" spans="2:16" ht="12" customHeight="1">
      <c r="B429" s="357" t="s">
        <v>95</v>
      </c>
      <c r="C429" s="358" cm="1">
        <f t="array" ref="C429">SUMPRODUCT(ISNUMBER(MATCH(mod_st_wnp,$B$418,0))*('Koszty operacyjne'!$K$114:$X$114=Moduły!C$73)*ISNUMBER(MATCH(st_wnp_kw,tak,0)),st_wnp)</f>
        <v>0</v>
      </c>
      <c r="D429" s="358" cm="1">
        <f t="array" ref="D429">SUMPRODUCT(ISNUMBER(MATCH(mod_st_wnp,$B$418,0))*('Koszty operacyjne'!$K$114:$X$114=Moduły!D$73)*ISNUMBER(MATCH(st_wnp_kw,tak,0)),st_wnp)</f>
        <v>0</v>
      </c>
      <c r="E429" s="358" cm="1">
        <f t="array" ref="E429">SUMPRODUCT(ISNUMBER(MATCH(mod_st_wnp,$B$418,0))*('Koszty operacyjne'!$K$114:$X$114=Moduły!E$73)*ISNUMBER(MATCH(st_wnp_kw,tak,0)),st_wnp)</f>
        <v>0</v>
      </c>
      <c r="F429" s="358" cm="1">
        <f t="array" ref="F429">SUMPRODUCT(ISNUMBER(MATCH(mod_st_wnp,$B$418,0))*('Koszty operacyjne'!$K$114:$X$114=Moduły!F$73)*ISNUMBER(MATCH(st_wnp_kw,tak,0)),st_wnp)</f>
        <v>0</v>
      </c>
      <c r="G429" s="358" cm="1">
        <f t="array" ref="G429">SUMPRODUCT(ISNUMBER(MATCH(mod_st_wnp,$B$418,0))*('Koszty operacyjne'!$K$114:$X$114=Moduły!G$73)*ISNUMBER(MATCH(st_wnp_kw,tak,0)),st_wnp)</f>
        <v>0</v>
      </c>
      <c r="H429" s="358" cm="1">
        <f t="array" ref="H429">SUMPRODUCT(ISNUMBER(MATCH(mod_st_wnp,$B$418,0))*('Koszty operacyjne'!$K$114:$X$114=Moduły!H$73)*ISNUMBER(MATCH(st_wnp_kw,tak,0)),st_wnp)</f>
        <v>0</v>
      </c>
      <c r="I429" s="358" cm="1">
        <f t="array" ref="I429">SUMPRODUCT(ISNUMBER(MATCH(mod_st_wnp,$B$418,0))*('Koszty operacyjne'!$K$114:$X$114=Moduły!I$73)*ISNUMBER(MATCH(st_wnp_kw,tak,0)),st_wnp)</f>
        <v>0</v>
      </c>
      <c r="J429" s="358" cm="1">
        <f t="array" ref="J429">SUMPRODUCT(ISNUMBER(MATCH(mod_st_wnp,$B$418,0))*('Koszty operacyjne'!$K$114:$X$114=Moduły!J$73)*ISNUMBER(MATCH(st_wnp_kw,tak,0)),st_wnp)</f>
        <v>0</v>
      </c>
      <c r="K429" s="358" cm="1">
        <f t="array" ref="K429">SUMPRODUCT(ISNUMBER(MATCH(mod_st_wnp,$B$418,0))*('Koszty operacyjne'!$K$114:$X$114=Moduły!K$73)*ISNUMBER(MATCH(st_wnp_kw,tak,0)),st_wnp)</f>
        <v>0</v>
      </c>
      <c r="L429" s="358" cm="1">
        <f t="array" ref="L429">SUMPRODUCT(ISNUMBER(MATCH(mod_st_wnp,$B$418,0))*('Koszty operacyjne'!$K$114:$X$114=Moduły!L$73)*ISNUMBER(MATCH(st_wnp_kw,tak,0)),st_wnp)</f>
        <v>0</v>
      </c>
      <c r="M429" s="358" cm="1">
        <f t="array" ref="M429">SUMPRODUCT(ISNUMBER(MATCH(mod_st_wnp,$B$418,0))*('Koszty operacyjne'!$K$114:$X$114=Moduły!M$73)*ISNUMBER(MATCH(st_wnp_kw,tak,0)),st_wnp)</f>
        <v>0</v>
      </c>
      <c r="N429" s="358" cm="1">
        <f t="array" ref="N429">SUMPRODUCT(ISNUMBER(MATCH(mod_st_wnp,$B$418,0))*('Koszty operacyjne'!$K$114:$X$114=Moduły!N$73)*ISNUMBER(MATCH(st_wnp_kw,tak,0)),st_wnp)</f>
        <v>0</v>
      </c>
      <c r="O429" s="358" cm="1">
        <f t="array" ref="O429">SUMPRODUCT(ISNUMBER(MATCH(mod_st_wnp,$B$418,0))*('Koszty operacyjne'!$K$114:$X$114=Moduły!O$73)*ISNUMBER(MATCH(st_wnp_kw,tak,0)),st_wnp)</f>
        <v>0</v>
      </c>
      <c r="P429" s="358" cm="1">
        <f t="array" ref="P429">SUMPRODUCT(ISNUMBER(MATCH(mod_st_wnp,$B$418,0))*('Koszty operacyjne'!$K$114:$X$114=Moduły!P$73)*ISNUMBER(MATCH(st_wnp_kw,tak,0)),st_wnp)</f>
        <v>0</v>
      </c>
    </row>
    <row r="430" spans="2:16" ht="12" customHeight="1">
      <c r="B430" s="359" t="s">
        <v>96</v>
      </c>
      <c r="C430" s="360" cm="1">
        <f t="array" ref="C430">SUMPRODUCT(ISNUMBER(MATCH(mod_st_wnp,$B$418,0))*('Koszty operacyjne'!$K$114:$X$114=Moduły!C$73)*ISNUMBER(MATCH(st_wnp_kw,nie,0)),st_wnp)</f>
        <v>0</v>
      </c>
      <c r="D430" s="360" cm="1">
        <f t="array" ref="D430">SUMPRODUCT(ISNUMBER(MATCH(mod_st_wnp,$B$418,0))*('Koszty operacyjne'!$K$114:$X$114=Moduły!D$73)*ISNUMBER(MATCH(st_wnp_kw,nie,0)),st_wnp)</f>
        <v>0</v>
      </c>
      <c r="E430" s="360" cm="1">
        <f t="array" ref="E430">SUMPRODUCT(ISNUMBER(MATCH(mod_st_wnp,$B$418,0))*('Koszty operacyjne'!$K$114:$X$114=Moduły!E$73)*ISNUMBER(MATCH(st_wnp_kw,nie,0)),st_wnp)</f>
        <v>0</v>
      </c>
      <c r="F430" s="360" cm="1">
        <f t="array" ref="F430">SUMPRODUCT(ISNUMBER(MATCH(mod_st_wnp,$B$418,0))*('Koszty operacyjne'!$K$114:$X$114=Moduły!F$73)*ISNUMBER(MATCH(st_wnp_kw,nie,0)),st_wnp)</f>
        <v>0</v>
      </c>
      <c r="G430" s="360" cm="1">
        <f t="array" ref="G430">SUMPRODUCT(ISNUMBER(MATCH(mod_st_wnp,$B$418,0))*('Koszty operacyjne'!$K$114:$X$114=Moduły!G$73)*ISNUMBER(MATCH(st_wnp_kw,nie,0)),st_wnp)</f>
        <v>0</v>
      </c>
      <c r="H430" s="360" cm="1">
        <f t="array" ref="H430">SUMPRODUCT(ISNUMBER(MATCH(mod_st_wnp,$B$418,0))*('Koszty operacyjne'!$K$114:$X$114=Moduły!H$73)*ISNUMBER(MATCH(st_wnp_kw,nie,0)),st_wnp)</f>
        <v>0</v>
      </c>
      <c r="I430" s="360" cm="1">
        <f t="array" ref="I430">SUMPRODUCT(ISNUMBER(MATCH(mod_st_wnp,$B$418,0))*('Koszty operacyjne'!$K$114:$X$114=Moduły!I$73)*ISNUMBER(MATCH(st_wnp_kw,nie,0)),st_wnp)</f>
        <v>0</v>
      </c>
      <c r="J430" s="360" cm="1">
        <f t="array" ref="J430">SUMPRODUCT(ISNUMBER(MATCH(mod_st_wnp,$B$418,0))*('Koszty operacyjne'!$K$114:$X$114=Moduły!J$73)*ISNUMBER(MATCH(st_wnp_kw,nie,0)),st_wnp)</f>
        <v>0</v>
      </c>
      <c r="K430" s="361" cm="1">
        <f t="array" ref="K430">SUMPRODUCT(ISNUMBER(MATCH(mod_st_wnp,$B$418,0))*('Koszty operacyjne'!$K$114:$X$114=Moduły!K$73)*ISNUMBER(MATCH(st_wnp_kw,nie,0)),st_wnp)</f>
        <v>0</v>
      </c>
      <c r="L430" s="361" cm="1">
        <f t="array" ref="L430">SUMPRODUCT(ISNUMBER(MATCH(mod_st_wnp,$B$418,0))*('Koszty operacyjne'!$K$114:$X$114=Moduły!L$73)*ISNUMBER(MATCH(st_wnp_kw,nie,0)),st_wnp)</f>
        <v>0</v>
      </c>
      <c r="M430" s="361" cm="1">
        <f t="array" ref="M430">SUMPRODUCT(ISNUMBER(MATCH(mod_st_wnp,$B$418,0))*('Koszty operacyjne'!$K$114:$X$114=Moduły!M$73)*ISNUMBER(MATCH(st_wnp_kw,nie,0)),st_wnp)</f>
        <v>0</v>
      </c>
      <c r="N430" s="361" cm="1">
        <f t="array" ref="N430">SUMPRODUCT(ISNUMBER(MATCH(mod_st_wnp,$B$418,0))*('Koszty operacyjne'!$K$114:$X$114=Moduły!N$73)*ISNUMBER(MATCH(st_wnp_kw,nie,0)),st_wnp)</f>
        <v>0</v>
      </c>
      <c r="O430" s="361" cm="1">
        <f t="array" ref="O430">SUMPRODUCT(ISNUMBER(MATCH(mod_st_wnp,$B$418,0))*('Koszty operacyjne'!$K$114:$X$114=Moduły!O$73)*ISNUMBER(MATCH(st_wnp_kw,nie,0)),st_wnp)</f>
        <v>0</v>
      </c>
      <c r="P430" s="361" cm="1">
        <f t="array" ref="P430">SUMPRODUCT(ISNUMBER(MATCH(mod_st_wnp,$B$418,0))*('Koszty operacyjne'!$K$114:$X$114=Moduły!P$73)*ISNUMBER(MATCH(st_wnp_kw,nie,0)),st_wnp)</f>
        <v>0</v>
      </c>
    </row>
    <row r="431" spans="2:16" ht="3.9" customHeight="1">
      <c r="B431" s="8"/>
      <c r="C431" s="363"/>
      <c r="D431" s="363"/>
      <c r="E431" s="363"/>
      <c r="F431" s="363"/>
      <c r="G431" s="363"/>
      <c r="H431" s="363"/>
      <c r="I431" s="363"/>
      <c r="J431" s="363"/>
      <c r="K431" s="364"/>
      <c r="L431" s="364"/>
      <c r="M431" s="364"/>
      <c r="N431" s="364"/>
      <c r="O431" s="364"/>
      <c r="P431" s="364"/>
    </row>
    <row r="432" spans="2:16" ht="12" customHeight="1">
      <c r="B432" s="355" t="s">
        <v>98</v>
      </c>
      <c r="C432" s="356">
        <f t="shared" ref="C432:P432" si="212">SUM(C433:C434)</f>
        <v>0</v>
      </c>
      <c r="D432" s="356">
        <f t="shared" si="212"/>
        <v>0</v>
      </c>
      <c r="E432" s="356">
        <f t="shared" si="212"/>
        <v>0</v>
      </c>
      <c r="F432" s="356">
        <f t="shared" si="212"/>
        <v>0</v>
      </c>
      <c r="G432" s="356">
        <f t="shared" si="212"/>
        <v>0</v>
      </c>
      <c r="H432" s="356">
        <f t="shared" si="212"/>
        <v>0</v>
      </c>
      <c r="I432" s="356">
        <f t="shared" si="212"/>
        <v>0</v>
      </c>
      <c r="J432" s="356">
        <f t="shared" si="212"/>
        <v>0</v>
      </c>
      <c r="K432" s="356">
        <f t="shared" si="212"/>
        <v>0</v>
      </c>
      <c r="L432" s="356">
        <f t="shared" si="212"/>
        <v>0</v>
      </c>
      <c r="M432" s="356">
        <f t="shared" si="212"/>
        <v>0</v>
      </c>
      <c r="N432" s="356">
        <f t="shared" si="212"/>
        <v>0</v>
      </c>
      <c r="O432" s="356">
        <f t="shared" si="212"/>
        <v>0</v>
      </c>
      <c r="P432" s="356">
        <f t="shared" si="212"/>
        <v>0</v>
      </c>
    </row>
    <row r="433" spans="2:16" ht="12" customHeight="1">
      <c r="B433" s="357" t="s">
        <v>95</v>
      </c>
      <c r="C433" s="358" cm="1">
        <f t="array" ref="C433">SUMPRODUCT(ISNUMBER(MATCH(mod_st_gry,$B$418,0))*('Koszty operacyjne'!$K$114:$X$114=Moduły!C$73)*ISNUMBER(MATCH(st_gry_kw,tak,0)),st_gry)</f>
        <v>0</v>
      </c>
      <c r="D433" s="358" cm="1">
        <f t="array" ref="D433">SUMPRODUCT(ISNUMBER(MATCH(mod_st_gry,$B$418,0))*('Koszty operacyjne'!$K$114:$X$114=Moduły!D$73)*ISNUMBER(MATCH(st_gry_kw,tak,0)),st_gry)</f>
        <v>0</v>
      </c>
      <c r="E433" s="358" cm="1">
        <f t="array" ref="E433">SUMPRODUCT(ISNUMBER(MATCH(mod_st_gry,$B$418,0))*('Koszty operacyjne'!$K$114:$X$114=Moduły!E$73)*ISNUMBER(MATCH(st_gry_kw,tak,0)),st_gry)</f>
        <v>0</v>
      </c>
      <c r="F433" s="358" cm="1">
        <f t="array" ref="F433">SUMPRODUCT(ISNUMBER(MATCH(mod_st_gry,$B$418,0))*('Koszty operacyjne'!$K$114:$X$114=Moduły!F$73)*ISNUMBER(MATCH(st_gry_kw,tak,0)),st_gry)</f>
        <v>0</v>
      </c>
      <c r="G433" s="358" cm="1">
        <f t="array" ref="G433">SUMPRODUCT(ISNUMBER(MATCH(mod_st_gry,$B$418,0))*('Koszty operacyjne'!$K$114:$X$114=Moduły!G$73)*ISNUMBER(MATCH(st_gry_kw,tak,0)),st_gry)</f>
        <v>0</v>
      </c>
      <c r="H433" s="358" cm="1">
        <f t="array" ref="H433">SUMPRODUCT(ISNUMBER(MATCH(mod_st_gry,$B$418,0))*('Koszty operacyjne'!$K$114:$X$114=Moduły!H$73)*ISNUMBER(MATCH(st_gry_kw,tak,0)),st_gry)</f>
        <v>0</v>
      </c>
      <c r="I433" s="358" cm="1">
        <f t="array" ref="I433">SUMPRODUCT(ISNUMBER(MATCH(mod_st_gry,$B$418,0))*('Koszty operacyjne'!$K$114:$X$114=Moduły!I$73)*ISNUMBER(MATCH(st_gry_kw,tak,0)),st_gry)</f>
        <v>0</v>
      </c>
      <c r="J433" s="358" cm="1">
        <f t="array" ref="J433">SUMPRODUCT(ISNUMBER(MATCH(mod_st_gry,$B$418,0))*('Koszty operacyjne'!$K$114:$X$114=Moduły!J$73)*ISNUMBER(MATCH(st_gry_kw,tak,0)),st_gry)</f>
        <v>0</v>
      </c>
      <c r="K433" s="358" cm="1">
        <f t="array" ref="K433">SUMPRODUCT(ISNUMBER(MATCH(mod_st_gry,$B$418,0))*('Koszty operacyjne'!$K$114:$X$114=Moduły!K$73)*ISNUMBER(MATCH(st_gry_kw,tak,0)),st_gry)</f>
        <v>0</v>
      </c>
      <c r="L433" s="358" cm="1">
        <f t="array" ref="L433">SUMPRODUCT(ISNUMBER(MATCH(mod_st_gry,$B$418,0))*('Koszty operacyjne'!$K$114:$X$114=Moduły!L$73)*ISNUMBER(MATCH(st_gry_kw,tak,0)),st_gry)</f>
        <v>0</v>
      </c>
      <c r="M433" s="358" cm="1">
        <f t="array" ref="M433">SUMPRODUCT(ISNUMBER(MATCH(mod_st_gry,$B$418,0))*('Koszty operacyjne'!$K$114:$X$114=Moduły!M$73)*ISNUMBER(MATCH(st_gry_kw,tak,0)),st_gry)</f>
        <v>0</v>
      </c>
      <c r="N433" s="358" cm="1">
        <f t="array" ref="N433">SUMPRODUCT(ISNUMBER(MATCH(mod_st_gry,$B$418,0))*('Koszty operacyjne'!$K$114:$X$114=Moduły!N$73)*ISNUMBER(MATCH(st_gry_kw,tak,0)),st_gry)</f>
        <v>0</v>
      </c>
      <c r="O433" s="358" cm="1">
        <f t="array" ref="O433">SUMPRODUCT(ISNUMBER(MATCH(mod_st_gry,$B$418,0))*('Koszty operacyjne'!$K$114:$X$114=Moduły!O$73)*ISNUMBER(MATCH(st_gry_kw,tak,0)),st_gry)</f>
        <v>0</v>
      </c>
      <c r="P433" s="358" cm="1">
        <f t="array" ref="P433">SUMPRODUCT(ISNUMBER(MATCH(mod_st_gry,$B$418,0))*('Koszty operacyjne'!$K$114:$X$114=Moduły!P$73)*ISNUMBER(MATCH(st_gry_kw,tak,0)),st_gry)</f>
        <v>0</v>
      </c>
    </row>
    <row r="434" spans="2:16" ht="12" customHeight="1">
      <c r="B434" s="359" t="s">
        <v>96</v>
      </c>
      <c r="C434" s="360" cm="1">
        <f t="array" ref="C434">SUMPRODUCT(ISNUMBER(MATCH(mod_st_gry,$B$418,0))*('Koszty operacyjne'!$K$114:$X$114=Moduły!C$73)*ISNUMBER(MATCH(st_gry_kw,nie,0)),st_gry)</f>
        <v>0</v>
      </c>
      <c r="D434" s="360" cm="1">
        <f t="array" ref="D434">SUMPRODUCT(ISNUMBER(MATCH(mod_st_gry,$B$418,0))*('Koszty operacyjne'!$K$114:$X$114=Moduły!D$73)*ISNUMBER(MATCH(st_gry_kw,nie,0)),st_gry)</f>
        <v>0</v>
      </c>
      <c r="E434" s="360" cm="1">
        <f t="array" ref="E434">SUMPRODUCT(ISNUMBER(MATCH(mod_st_gry,$B$418,0))*('Koszty operacyjne'!$K$114:$X$114=Moduły!E$73)*ISNUMBER(MATCH(st_gry_kw,nie,0)),st_gry)</f>
        <v>0</v>
      </c>
      <c r="F434" s="360" cm="1">
        <f t="array" ref="F434">SUMPRODUCT(ISNUMBER(MATCH(mod_st_gry,$B$418,0))*('Koszty operacyjne'!$K$114:$X$114=Moduły!F$73)*ISNUMBER(MATCH(st_gry_kw,nie,0)),st_gry)</f>
        <v>0</v>
      </c>
      <c r="G434" s="360" cm="1">
        <f t="array" ref="G434">SUMPRODUCT(ISNUMBER(MATCH(mod_st_gry,$B$418,0))*('Koszty operacyjne'!$K$114:$X$114=Moduły!G$73)*ISNUMBER(MATCH(st_gry_kw,nie,0)),st_gry)</f>
        <v>0</v>
      </c>
      <c r="H434" s="360" cm="1">
        <f t="array" ref="H434">SUMPRODUCT(ISNUMBER(MATCH(mod_st_gry,$B$418,0))*('Koszty operacyjne'!$K$114:$X$114=Moduły!H$73)*ISNUMBER(MATCH(st_gry_kw,nie,0)),st_gry)</f>
        <v>0</v>
      </c>
      <c r="I434" s="360" cm="1">
        <f t="array" ref="I434">SUMPRODUCT(ISNUMBER(MATCH(mod_st_gry,$B$418,0))*('Koszty operacyjne'!$K$114:$X$114=Moduły!I$73)*ISNUMBER(MATCH(st_gry_kw,nie,0)),st_gry)</f>
        <v>0</v>
      </c>
      <c r="J434" s="360" cm="1">
        <f t="array" ref="J434">SUMPRODUCT(ISNUMBER(MATCH(mod_st_gry,$B$418,0))*('Koszty operacyjne'!$K$114:$X$114=Moduły!J$73)*ISNUMBER(MATCH(st_gry_kw,nie,0)),st_gry)</f>
        <v>0</v>
      </c>
      <c r="K434" s="361" cm="1">
        <f t="array" ref="K434">SUMPRODUCT(ISNUMBER(MATCH(mod_st_gry,$B$418,0))*('Koszty operacyjne'!$K$114:$X$114=Moduły!K$73)*ISNUMBER(MATCH(st_gry_kw,nie,0)),st_gry)</f>
        <v>0</v>
      </c>
      <c r="L434" s="361" cm="1">
        <f t="array" ref="L434">SUMPRODUCT(ISNUMBER(MATCH(mod_st_gry,$B$418,0))*('Koszty operacyjne'!$K$114:$X$114=Moduły!L$73)*ISNUMBER(MATCH(st_gry_kw,nie,0)),st_gry)</f>
        <v>0</v>
      </c>
      <c r="M434" s="361" cm="1">
        <f t="array" ref="M434">SUMPRODUCT(ISNUMBER(MATCH(mod_st_gry,$B$418,0))*('Koszty operacyjne'!$K$114:$X$114=Moduły!M$73)*ISNUMBER(MATCH(st_gry_kw,nie,0)),st_gry)</f>
        <v>0</v>
      </c>
      <c r="N434" s="361" cm="1">
        <f t="array" ref="N434">SUMPRODUCT(ISNUMBER(MATCH(mod_st_gry,$B$418,0))*('Koszty operacyjne'!$K$114:$X$114=Moduły!N$73)*ISNUMBER(MATCH(st_gry_kw,nie,0)),st_gry)</f>
        <v>0</v>
      </c>
      <c r="O434" s="361" cm="1">
        <f t="array" ref="O434">SUMPRODUCT(ISNUMBER(MATCH(mod_st_gry,$B$418,0))*('Koszty operacyjne'!$K$114:$X$114=Moduły!O$73)*ISNUMBER(MATCH(st_gry_kw,nie,0)),st_gry)</f>
        <v>0</v>
      </c>
      <c r="P434" s="361" cm="1">
        <f t="array" ref="P434">SUMPRODUCT(ISNUMBER(MATCH(mod_st_gry,$B$418,0))*('Koszty operacyjne'!$K$114:$X$114=Moduły!P$73)*ISNUMBER(MATCH(st_gry_kw,nie,0)),st_gry)</f>
        <v>0</v>
      </c>
    </row>
    <row r="435" spans="2:16" ht="3.9" customHeight="1">
      <c r="B435" s="8"/>
      <c r="C435" s="363"/>
      <c r="D435" s="363"/>
      <c r="E435" s="363"/>
      <c r="F435" s="363"/>
      <c r="G435" s="363"/>
      <c r="H435" s="363"/>
      <c r="I435" s="363"/>
      <c r="J435" s="363"/>
      <c r="K435" s="364"/>
      <c r="L435" s="364"/>
      <c r="M435" s="364"/>
      <c r="N435" s="364"/>
      <c r="O435" s="364"/>
      <c r="P435" s="364"/>
    </row>
    <row r="436" spans="2:16" ht="12" customHeight="1">
      <c r="B436" s="355" t="s">
        <v>99</v>
      </c>
      <c r="C436" s="356">
        <f t="shared" ref="C436:P436" si="213">SUM(C437:C438)</f>
        <v>0</v>
      </c>
      <c r="D436" s="356">
        <f t="shared" si="213"/>
        <v>0</v>
      </c>
      <c r="E436" s="356">
        <f t="shared" si="213"/>
        <v>0</v>
      </c>
      <c r="F436" s="356">
        <f t="shared" si="213"/>
        <v>0</v>
      </c>
      <c r="G436" s="356">
        <f t="shared" si="213"/>
        <v>0</v>
      </c>
      <c r="H436" s="356">
        <f t="shared" si="213"/>
        <v>0</v>
      </c>
      <c r="I436" s="356">
        <f t="shared" si="213"/>
        <v>0</v>
      </c>
      <c r="J436" s="356">
        <f t="shared" si="213"/>
        <v>0</v>
      </c>
      <c r="K436" s="356">
        <f t="shared" si="213"/>
        <v>0</v>
      </c>
      <c r="L436" s="356">
        <f t="shared" si="213"/>
        <v>0</v>
      </c>
      <c r="M436" s="356">
        <f t="shared" si="213"/>
        <v>0</v>
      </c>
      <c r="N436" s="356">
        <f t="shared" si="213"/>
        <v>0</v>
      </c>
      <c r="O436" s="356">
        <f t="shared" si="213"/>
        <v>0</v>
      </c>
      <c r="P436" s="356">
        <f t="shared" si="213"/>
        <v>0</v>
      </c>
    </row>
    <row r="437" spans="2:16" ht="12" customHeight="1">
      <c r="B437" s="357" t="s">
        <v>95</v>
      </c>
      <c r="C437" s="358" cm="1">
        <f t="array" ref="C437">SUMPRODUCT(ISNUMBER(MATCH(mod_st_bib,$B$418,0))*('Koszty operacyjne'!$K$114:$X$114=Moduły!C$73)*ISNUMBER(MATCH(st_bib_kw,tak,0)),st_bib)</f>
        <v>0</v>
      </c>
      <c r="D437" s="358" cm="1">
        <f t="array" ref="D437">SUMPRODUCT(ISNUMBER(MATCH(mod_st_bib,$B$418,0))*('Koszty operacyjne'!$K$114:$X$114=Moduły!D$73)*ISNUMBER(MATCH(st_bib_kw,tak,0)),st_bib)</f>
        <v>0</v>
      </c>
      <c r="E437" s="358" cm="1">
        <f t="array" ref="E437">SUMPRODUCT(ISNUMBER(MATCH(mod_st_bib,$B$418,0))*('Koszty operacyjne'!$K$114:$X$114=Moduły!E$73)*ISNUMBER(MATCH(st_bib_kw,tak,0)),st_bib)</f>
        <v>0</v>
      </c>
      <c r="F437" s="358" cm="1">
        <f t="array" ref="F437">SUMPRODUCT(ISNUMBER(MATCH(mod_st_bib,$B$418,0))*('Koszty operacyjne'!$K$114:$X$114=Moduły!F$73)*ISNUMBER(MATCH(st_bib_kw,tak,0)),st_bib)</f>
        <v>0</v>
      </c>
      <c r="G437" s="358" cm="1">
        <f t="array" ref="G437">SUMPRODUCT(ISNUMBER(MATCH(mod_st_bib,$B$418,0))*('Koszty operacyjne'!$K$114:$X$114=Moduły!G$73)*ISNUMBER(MATCH(st_bib_kw,tak,0)),st_bib)</f>
        <v>0</v>
      </c>
      <c r="H437" s="358" cm="1">
        <f t="array" ref="H437">SUMPRODUCT(ISNUMBER(MATCH(mod_st_bib,$B$418,0))*('Koszty operacyjne'!$K$114:$X$114=Moduły!H$73)*ISNUMBER(MATCH(st_bib_kw,tak,0)),st_bib)</f>
        <v>0</v>
      </c>
      <c r="I437" s="358" cm="1">
        <f t="array" ref="I437">SUMPRODUCT(ISNUMBER(MATCH(mod_st_bib,$B$418,0))*('Koszty operacyjne'!$K$114:$X$114=Moduły!I$73)*ISNUMBER(MATCH(st_bib_kw,tak,0)),st_bib)</f>
        <v>0</v>
      </c>
      <c r="J437" s="358" cm="1">
        <f t="array" ref="J437">SUMPRODUCT(ISNUMBER(MATCH(mod_st_bib,$B$418,0))*('Koszty operacyjne'!$K$114:$X$114=Moduły!J$73)*ISNUMBER(MATCH(st_bib_kw,tak,0)),st_bib)</f>
        <v>0</v>
      </c>
      <c r="K437" s="358" cm="1">
        <f t="array" ref="K437">SUMPRODUCT(ISNUMBER(MATCH(mod_st_bib,$B$418,0))*('Koszty operacyjne'!$K$114:$X$114=Moduły!K$73)*ISNUMBER(MATCH(st_bib_kw,tak,0)),st_bib)</f>
        <v>0</v>
      </c>
      <c r="L437" s="358" cm="1">
        <f t="array" ref="L437">SUMPRODUCT(ISNUMBER(MATCH(mod_st_bib,$B$418,0))*('Koszty operacyjne'!$K$114:$X$114=Moduły!L$73)*ISNUMBER(MATCH(st_bib_kw,tak,0)),st_bib)</f>
        <v>0</v>
      </c>
      <c r="M437" s="358" cm="1">
        <f t="array" ref="M437">SUMPRODUCT(ISNUMBER(MATCH(mod_st_bib,$B$418,0))*('Koszty operacyjne'!$K$114:$X$114=Moduły!M$73)*ISNUMBER(MATCH(st_bib_kw,tak,0)),st_bib)</f>
        <v>0</v>
      </c>
      <c r="N437" s="358" cm="1">
        <f t="array" ref="N437">SUMPRODUCT(ISNUMBER(MATCH(mod_st_bib,$B$418,0))*('Koszty operacyjne'!$K$114:$X$114=Moduły!N$73)*ISNUMBER(MATCH(st_bib_kw,tak,0)),st_bib)</f>
        <v>0</v>
      </c>
      <c r="O437" s="358" cm="1">
        <f t="array" ref="O437">SUMPRODUCT(ISNUMBER(MATCH(mod_st_bib,$B$418,0))*('Koszty operacyjne'!$K$114:$X$114=Moduły!O$73)*ISNUMBER(MATCH(st_bib_kw,tak,0)),st_bib)</f>
        <v>0</v>
      </c>
      <c r="P437" s="358" cm="1">
        <f t="array" ref="P437">SUMPRODUCT(ISNUMBER(MATCH(mod_st_bib,$B$418,0))*('Koszty operacyjne'!$K$114:$X$114=Moduły!P$73)*ISNUMBER(MATCH(st_bib_kw,tak,0)),st_bib)</f>
        <v>0</v>
      </c>
    </row>
    <row r="438" spans="2:16" ht="12" customHeight="1">
      <c r="B438" s="359" t="s">
        <v>96</v>
      </c>
      <c r="C438" s="360" cm="1">
        <f t="array" ref="C438">SUMPRODUCT(ISNUMBER(MATCH(mod_st_bib,$B$418,0))*('Koszty operacyjne'!$K$114:$X$114=Moduły!C$73)*ISNUMBER(MATCH(st_bib_kw,nie,0)),st_bib)</f>
        <v>0</v>
      </c>
      <c r="D438" s="360" cm="1">
        <f t="array" ref="D438">SUMPRODUCT(ISNUMBER(MATCH(mod_st_bib,$B$418,0))*('Koszty operacyjne'!$K$114:$X$114=Moduły!D$73)*ISNUMBER(MATCH(st_bib_kw,nie,0)),st_bib)</f>
        <v>0</v>
      </c>
      <c r="E438" s="360" cm="1">
        <f t="array" ref="E438">SUMPRODUCT(ISNUMBER(MATCH(mod_st_bib,$B$418,0))*('Koszty operacyjne'!$K$114:$X$114=Moduły!E$73)*ISNUMBER(MATCH(st_bib_kw,nie,0)),st_bib)</f>
        <v>0</v>
      </c>
      <c r="F438" s="360" cm="1">
        <f t="array" ref="F438">SUMPRODUCT(ISNUMBER(MATCH(mod_st_bib,$B$418,0))*('Koszty operacyjne'!$K$114:$X$114=Moduły!F$73)*ISNUMBER(MATCH(st_bib_kw,nie,0)),st_bib)</f>
        <v>0</v>
      </c>
      <c r="G438" s="360" cm="1">
        <f t="array" ref="G438">SUMPRODUCT(ISNUMBER(MATCH(mod_st_bib,$B$418,0))*('Koszty operacyjne'!$K$114:$X$114=Moduły!G$73)*ISNUMBER(MATCH(st_bib_kw,nie,0)),st_bib)</f>
        <v>0</v>
      </c>
      <c r="H438" s="360" cm="1">
        <f t="array" ref="H438">SUMPRODUCT(ISNUMBER(MATCH(mod_st_bib,$B$418,0))*('Koszty operacyjne'!$K$114:$X$114=Moduły!H$73)*ISNUMBER(MATCH(st_bib_kw,nie,0)),st_bib)</f>
        <v>0</v>
      </c>
      <c r="I438" s="360" cm="1">
        <f t="array" ref="I438">SUMPRODUCT(ISNUMBER(MATCH(mod_st_bib,$B$418,0))*('Koszty operacyjne'!$K$114:$X$114=Moduły!I$73)*ISNUMBER(MATCH(st_bib_kw,nie,0)),st_bib)</f>
        <v>0</v>
      </c>
      <c r="J438" s="360" cm="1">
        <f t="array" ref="J438">SUMPRODUCT(ISNUMBER(MATCH(mod_st_bib,$B$418,0))*('Koszty operacyjne'!$K$114:$X$114=Moduły!J$73)*ISNUMBER(MATCH(st_bib_kw,nie,0)),st_bib)</f>
        <v>0</v>
      </c>
      <c r="K438" s="361" cm="1">
        <f t="array" ref="K438">SUMPRODUCT(ISNUMBER(MATCH(mod_st_bib,$B$418,0))*('Koszty operacyjne'!$K$114:$X$114=Moduły!K$73)*ISNUMBER(MATCH(st_bib_kw,nie,0)),st_bib)</f>
        <v>0</v>
      </c>
      <c r="L438" s="361" cm="1">
        <f t="array" ref="L438">SUMPRODUCT(ISNUMBER(MATCH(mod_st_bib,$B$418,0))*('Koszty operacyjne'!$K$114:$X$114=Moduły!L$73)*ISNUMBER(MATCH(st_bib_kw,nie,0)),st_bib)</f>
        <v>0</v>
      </c>
      <c r="M438" s="361" cm="1">
        <f t="array" ref="M438">SUMPRODUCT(ISNUMBER(MATCH(mod_st_bib,$B$418,0))*('Koszty operacyjne'!$K$114:$X$114=Moduły!M$73)*ISNUMBER(MATCH(st_bib_kw,nie,0)),st_bib)</f>
        <v>0</v>
      </c>
      <c r="N438" s="361" cm="1">
        <f t="array" ref="N438">SUMPRODUCT(ISNUMBER(MATCH(mod_st_bib,$B$418,0))*('Koszty operacyjne'!$K$114:$X$114=Moduły!N$73)*ISNUMBER(MATCH(st_bib_kw,nie,0)),st_bib)</f>
        <v>0</v>
      </c>
      <c r="O438" s="361" cm="1">
        <f t="array" ref="O438">SUMPRODUCT(ISNUMBER(MATCH(mod_st_bib,$B$418,0))*('Koszty operacyjne'!$K$114:$X$114=Moduły!O$73)*ISNUMBER(MATCH(st_bib_kw,nie,0)),st_bib)</f>
        <v>0</v>
      </c>
      <c r="P438" s="361" cm="1">
        <f t="array" ref="P438">SUMPRODUCT(ISNUMBER(MATCH(mod_st_bib,$B$418,0))*('Koszty operacyjne'!$K$114:$X$114=Moduły!P$73)*ISNUMBER(MATCH(st_bib_kw,nie,0)),st_bib)</f>
        <v>0</v>
      </c>
    </row>
    <row r="439" spans="2:16" ht="3.9" customHeight="1">
      <c r="B439" s="8"/>
      <c r="C439" s="363"/>
      <c r="D439" s="363"/>
      <c r="E439" s="363"/>
      <c r="F439" s="363"/>
      <c r="G439" s="363"/>
      <c r="H439" s="363"/>
      <c r="I439" s="363"/>
      <c r="J439" s="363"/>
      <c r="K439" s="364"/>
      <c r="L439" s="364"/>
      <c r="M439" s="364"/>
      <c r="N439" s="364"/>
      <c r="O439" s="364"/>
      <c r="P439" s="364"/>
    </row>
    <row r="440" spans="2:16" ht="12" customHeight="1">
      <c r="B440" s="355" t="s">
        <v>100</v>
      </c>
      <c r="C440" s="356">
        <f t="shared" ref="C440:P440" si="214">SUM(C441:C442)</f>
        <v>0</v>
      </c>
      <c r="D440" s="356">
        <f t="shared" si="214"/>
        <v>0</v>
      </c>
      <c r="E440" s="356">
        <f t="shared" si="214"/>
        <v>0</v>
      </c>
      <c r="F440" s="356">
        <f t="shared" si="214"/>
        <v>0</v>
      </c>
      <c r="G440" s="356">
        <f t="shared" si="214"/>
        <v>0</v>
      </c>
      <c r="H440" s="356">
        <f t="shared" si="214"/>
        <v>0</v>
      </c>
      <c r="I440" s="356">
        <f t="shared" si="214"/>
        <v>0</v>
      </c>
      <c r="J440" s="356">
        <f t="shared" si="214"/>
        <v>0</v>
      </c>
      <c r="K440" s="356">
        <f t="shared" si="214"/>
        <v>0</v>
      </c>
      <c r="L440" s="356">
        <f t="shared" si="214"/>
        <v>0</v>
      </c>
      <c r="M440" s="356">
        <f t="shared" si="214"/>
        <v>0</v>
      </c>
      <c r="N440" s="356">
        <f t="shared" si="214"/>
        <v>0</v>
      </c>
      <c r="O440" s="356">
        <f t="shared" si="214"/>
        <v>0</v>
      </c>
      <c r="P440" s="356">
        <f t="shared" si="214"/>
        <v>0</v>
      </c>
    </row>
    <row r="441" spans="2:16" ht="12" customHeight="1">
      <c r="B441" s="357" t="s">
        <v>95</v>
      </c>
      <c r="C441" s="358" cm="1">
        <f t="array" ref="C441">SUMPRODUCT(ISNUMBER(MATCH(mod_st_utm,$B$418,0))*('Koszty operacyjne'!$K$114:$X$114=Moduły!C$73)*ISNUMBER(MATCH(st_utm_kw,tak,0)),st_utm)</f>
        <v>0</v>
      </c>
      <c r="D441" s="358" cm="1">
        <f t="array" ref="D441">SUMPRODUCT(ISNUMBER(MATCH(mod_st_utm,$B$418,0))*('Koszty operacyjne'!$K$114:$X$114=Moduły!D$73)*ISNUMBER(MATCH(st_utm_kw,tak,0)),st_utm)</f>
        <v>0</v>
      </c>
      <c r="E441" s="358" cm="1">
        <f t="array" ref="E441">SUMPRODUCT(ISNUMBER(MATCH(mod_st_utm,$B$418,0))*('Koszty operacyjne'!$K$114:$X$114=Moduły!E$73)*ISNUMBER(MATCH(st_utm_kw,tak,0)),st_utm)</f>
        <v>0</v>
      </c>
      <c r="F441" s="358" cm="1">
        <f t="array" ref="F441">SUMPRODUCT(ISNUMBER(MATCH(mod_st_utm,$B$418,0))*('Koszty operacyjne'!$K$114:$X$114=Moduły!F$73)*ISNUMBER(MATCH(st_utm_kw,tak,0)),st_utm)</f>
        <v>0</v>
      </c>
      <c r="G441" s="358" cm="1">
        <f t="array" ref="G441">SUMPRODUCT(ISNUMBER(MATCH(mod_st_utm,$B$418,0))*('Koszty operacyjne'!$K$114:$X$114=Moduły!G$73)*ISNUMBER(MATCH(st_utm_kw,tak,0)),st_utm)</f>
        <v>0</v>
      </c>
      <c r="H441" s="358" cm="1">
        <f t="array" ref="H441">SUMPRODUCT(ISNUMBER(MATCH(mod_st_utm,$B$418,0))*('Koszty operacyjne'!$K$114:$X$114=Moduły!H$73)*ISNUMBER(MATCH(st_utm_kw,tak,0)),st_utm)</f>
        <v>0</v>
      </c>
      <c r="I441" s="358" cm="1">
        <f t="array" ref="I441">SUMPRODUCT(ISNUMBER(MATCH(mod_st_utm,$B$418,0))*('Koszty operacyjne'!$K$114:$X$114=Moduły!I$73)*ISNUMBER(MATCH(st_utm_kw,tak,0)),st_utm)</f>
        <v>0</v>
      </c>
      <c r="J441" s="358" cm="1">
        <f t="array" ref="J441">SUMPRODUCT(ISNUMBER(MATCH(mod_st_utm,$B$418,0))*('Koszty operacyjne'!$K$114:$X$114=Moduły!J$73)*ISNUMBER(MATCH(st_utm_kw,tak,0)),st_utm)</f>
        <v>0</v>
      </c>
      <c r="K441" s="358" cm="1">
        <f t="array" ref="K441">SUMPRODUCT(ISNUMBER(MATCH(mod_st_utm,$B$418,0))*('Koszty operacyjne'!$K$114:$X$114=Moduły!K$73)*ISNUMBER(MATCH(st_utm_kw,tak,0)),st_utm)</f>
        <v>0</v>
      </c>
      <c r="L441" s="358" cm="1">
        <f t="array" ref="L441">SUMPRODUCT(ISNUMBER(MATCH(mod_st_utm,$B$418,0))*('Koszty operacyjne'!$K$114:$X$114=Moduły!L$73)*ISNUMBER(MATCH(st_utm_kw,tak,0)),st_utm)</f>
        <v>0</v>
      </c>
      <c r="M441" s="358" cm="1">
        <f t="array" ref="M441">SUMPRODUCT(ISNUMBER(MATCH(mod_st_utm,$B$418,0))*('Koszty operacyjne'!$K$114:$X$114=Moduły!M$73)*ISNUMBER(MATCH(st_utm_kw,tak,0)),st_utm)</f>
        <v>0</v>
      </c>
      <c r="N441" s="358" cm="1">
        <f t="array" ref="N441">SUMPRODUCT(ISNUMBER(MATCH(mod_st_utm,$B$418,0))*('Koszty operacyjne'!$K$114:$X$114=Moduły!N$73)*ISNUMBER(MATCH(st_utm_kw,tak,0)),st_utm)</f>
        <v>0</v>
      </c>
      <c r="O441" s="358" cm="1">
        <f t="array" ref="O441">SUMPRODUCT(ISNUMBER(MATCH(mod_st_utm,$B$418,0))*('Koszty operacyjne'!$K$114:$X$114=Moduły!O$73)*ISNUMBER(MATCH(st_utm_kw,tak,0)),st_utm)</f>
        <v>0</v>
      </c>
      <c r="P441" s="358" cm="1">
        <f t="array" ref="P441">SUMPRODUCT(ISNUMBER(MATCH(mod_st_utm,$B$418,0))*('Koszty operacyjne'!$K$114:$X$114=Moduły!P$73)*ISNUMBER(MATCH(st_utm_kw,tak,0)),st_utm)</f>
        <v>0</v>
      </c>
    </row>
    <row r="442" spans="2:16" ht="12" customHeight="1">
      <c r="B442" s="359" t="s">
        <v>96</v>
      </c>
      <c r="C442" s="360" cm="1">
        <f t="array" ref="C442">SUMPRODUCT(ISNUMBER(MATCH(mod_st_utm,$B$418,0))*('Koszty operacyjne'!$K$114:$X$114=Moduły!C$73)*ISNUMBER(MATCH(st_utm_kw,nie,0)),st_utm)</f>
        <v>0</v>
      </c>
      <c r="D442" s="360" cm="1">
        <f t="array" ref="D442">SUMPRODUCT(ISNUMBER(MATCH(mod_st_utm,$B$418,0))*('Koszty operacyjne'!$K$114:$X$114=Moduły!D$73)*ISNUMBER(MATCH(st_utm_kw,nie,0)),st_utm)</f>
        <v>0</v>
      </c>
      <c r="E442" s="360" cm="1">
        <f t="array" ref="E442">SUMPRODUCT(ISNUMBER(MATCH(mod_st_utm,$B$418,0))*('Koszty operacyjne'!$K$114:$X$114=Moduły!E$73)*ISNUMBER(MATCH(st_utm_kw,nie,0)),st_utm)</f>
        <v>0</v>
      </c>
      <c r="F442" s="360" cm="1">
        <f t="array" ref="F442">SUMPRODUCT(ISNUMBER(MATCH(mod_st_utm,$B$418,0))*('Koszty operacyjne'!$K$114:$X$114=Moduły!F$73)*ISNUMBER(MATCH(st_utm_kw,nie,0)),st_utm)</f>
        <v>0</v>
      </c>
      <c r="G442" s="360" cm="1">
        <f t="array" ref="G442">SUMPRODUCT(ISNUMBER(MATCH(mod_st_utm,$B$418,0))*('Koszty operacyjne'!$K$114:$X$114=Moduły!G$73)*ISNUMBER(MATCH(st_utm_kw,nie,0)),st_utm)</f>
        <v>0</v>
      </c>
      <c r="H442" s="360" cm="1">
        <f t="array" ref="H442">SUMPRODUCT(ISNUMBER(MATCH(mod_st_utm,$B$418,0))*('Koszty operacyjne'!$K$114:$X$114=Moduły!H$73)*ISNUMBER(MATCH(st_utm_kw,nie,0)),st_utm)</f>
        <v>0</v>
      </c>
      <c r="I442" s="360" cm="1">
        <f t="array" ref="I442">SUMPRODUCT(ISNUMBER(MATCH(mod_st_utm,$B$418,0))*('Koszty operacyjne'!$K$114:$X$114=Moduły!I$73)*ISNUMBER(MATCH(st_utm_kw,nie,0)),st_utm)</f>
        <v>0</v>
      </c>
      <c r="J442" s="360" cm="1">
        <f t="array" ref="J442">SUMPRODUCT(ISNUMBER(MATCH(mod_st_utm,$B$418,0))*('Koszty operacyjne'!$K$114:$X$114=Moduły!J$73)*ISNUMBER(MATCH(st_utm_kw,nie,0)),st_utm)</f>
        <v>0</v>
      </c>
      <c r="K442" s="361" cm="1">
        <f t="array" ref="K442">SUMPRODUCT(ISNUMBER(MATCH(mod_st_utm,$B$418,0))*('Koszty operacyjne'!$K$114:$X$114=Moduły!K$73)*ISNUMBER(MATCH(st_utm_kw,nie,0)),st_utm)</f>
        <v>0</v>
      </c>
      <c r="L442" s="361" cm="1">
        <f t="array" ref="L442">SUMPRODUCT(ISNUMBER(MATCH(mod_st_utm,$B$418,0))*('Koszty operacyjne'!$K$114:$X$114=Moduły!L$73)*ISNUMBER(MATCH(st_utm_kw,nie,0)),st_utm)</f>
        <v>0</v>
      </c>
      <c r="M442" s="361" cm="1">
        <f t="array" ref="M442">SUMPRODUCT(ISNUMBER(MATCH(mod_st_utm,$B$418,0))*('Koszty operacyjne'!$K$114:$X$114=Moduły!M$73)*ISNUMBER(MATCH(st_utm_kw,nie,0)),st_utm)</f>
        <v>0</v>
      </c>
      <c r="N442" s="361" cm="1">
        <f t="array" ref="N442">SUMPRODUCT(ISNUMBER(MATCH(mod_st_utm,$B$418,0))*('Koszty operacyjne'!$K$114:$X$114=Moduły!N$73)*ISNUMBER(MATCH(st_utm_kw,nie,0)),st_utm)</f>
        <v>0</v>
      </c>
      <c r="O442" s="361" cm="1">
        <f t="array" ref="O442">SUMPRODUCT(ISNUMBER(MATCH(mod_st_utm,$B$418,0))*('Koszty operacyjne'!$K$114:$X$114=Moduły!O$73)*ISNUMBER(MATCH(st_utm_kw,nie,0)),st_utm)</f>
        <v>0</v>
      </c>
      <c r="P442" s="361" cm="1">
        <f t="array" ref="P442">SUMPRODUCT(ISNUMBER(MATCH(mod_st_utm,$B$418,0))*('Koszty operacyjne'!$K$114:$X$114=Moduły!P$73)*ISNUMBER(MATCH(st_utm_kw,nie,0)),st_utm)</f>
        <v>0</v>
      </c>
    </row>
    <row r="443" spans="2:16" ht="3.9" customHeight="1">
      <c r="B443" s="8"/>
      <c r="C443" s="363"/>
      <c r="D443" s="363"/>
      <c r="E443" s="363"/>
      <c r="F443" s="363"/>
      <c r="G443" s="363"/>
      <c r="H443" s="363"/>
      <c r="I443" s="363"/>
      <c r="J443" s="363"/>
      <c r="K443" s="364"/>
      <c r="L443" s="364"/>
      <c r="M443" s="364"/>
      <c r="N443" s="364"/>
      <c r="O443" s="364"/>
      <c r="P443" s="364"/>
    </row>
    <row r="444" spans="2:16" ht="12" customHeight="1">
      <c r="B444" s="355" t="s">
        <v>101</v>
      </c>
      <c r="C444" s="356">
        <f t="shared" ref="C444:P444" si="215">SUM(C445:C446)</f>
        <v>0</v>
      </c>
      <c r="D444" s="356">
        <f t="shared" si="215"/>
        <v>0</v>
      </c>
      <c r="E444" s="356">
        <f t="shared" si="215"/>
        <v>0</v>
      </c>
      <c r="F444" s="356">
        <f t="shared" si="215"/>
        <v>0</v>
      </c>
      <c r="G444" s="356">
        <f t="shared" si="215"/>
        <v>0</v>
      </c>
      <c r="H444" s="356">
        <f t="shared" si="215"/>
        <v>0</v>
      </c>
      <c r="I444" s="356">
        <f t="shared" si="215"/>
        <v>0</v>
      </c>
      <c r="J444" s="356">
        <f t="shared" si="215"/>
        <v>0</v>
      </c>
      <c r="K444" s="356">
        <f t="shared" si="215"/>
        <v>0</v>
      </c>
      <c r="L444" s="356">
        <f t="shared" si="215"/>
        <v>0</v>
      </c>
      <c r="M444" s="356">
        <f t="shared" si="215"/>
        <v>0</v>
      </c>
      <c r="N444" s="356">
        <f t="shared" si="215"/>
        <v>0</v>
      </c>
      <c r="O444" s="356">
        <f t="shared" si="215"/>
        <v>0</v>
      </c>
      <c r="P444" s="356">
        <f t="shared" si="215"/>
        <v>0</v>
      </c>
    </row>
    <row r="445" spans="2:16" ht="12" customHeight="1">
      <c r="B445" s="357" t="s">
        <v>95</v>
      </c>
      <c r="C445" s="358" cm="1">
        <f t="array" ref="C445">SUMPRODUCT(ISNUMBER(MATCH(mod_st_stu,$B$418,0))*('Koszty operacyjne'!$K$114:$X$114=Moduły!C$73)*ISNUMBER(MATCH(st_stu_kw,tak,0)),st_stu)</f>
        <v>0</v>
      </c>
      <c r="D445" s="358" cm="1">
        <f t="array" ref="D445">SUMPRODUCT(ISNUMBER(MATCH(mod_st_stu,$B$418,0))*('Koszty operacyjne'!$K$114:$X$114=Moduły!D$73)*ISNUMBER(MATCH(st_stu_kw,tak,0)),st_stu)</f>
        <v>0</v>
      </c>
      <c r="E445" s="358" cm="1">
        <f t="array" ref="E445">SUMPRODUCT(ISNUMBER(MATCH(mod_st_stu,$B$418,0))*('Koszty operacyjne'!$K$114:$X$114=Moduły!E$73)*ISNUMBER(MATCH(st_stu_kw,tak,0)),st_stu)</f>
        <v>0</v>
      </c>
      <c r="F445" s="358" cm="1">
        <f t="array" ref="F445">SUMPRODUCT(ISNUMBER(MATCH(mod_st_stu,$B$418,0))*('Koszty operacyjne'!$K$114:$X$114=Moduły!F$73)*ISNUMBER(MATCH(st_stu_kw,tak,0)),st_stu)</f>
        <v>0</v>
      </c>
      <c r="G445" s="358" cm="1">
        <f t="array" ref="G445">SUMPRODUCT(ISNUMBER(MATCH(mod_st_stu,$B$418,0))*('Koszty operacyjne'!$K$114:$X$114=Moduły!G$73)*ISNUMBER(MATCH(st_stu_kw,tak,0)),st_stu)</f>
        <v>0</v>
      </c>
      <c r="H445" s="358" cm="1">
        <f t="array" ref="H445">SUMPRODUCT(ISNUMBER(MATCH(mod_st_stu,$B$418,0))*('Koszty operacyjne'!$K$114:$X$114=Moduły!H$73)*ISNUMBER(MATCH(st_stu_kw,tak,0)),st_stu)</f>
        <v>0</v>
      </c>
      <c r="I445" s="358" cm="1">
        <f t="array" ref="I445">SUMPRODUCT(ISNUMBER(MATCH(mod_st_stu,$B$418,0))*('Koszty operacyjne'!$K$114:$X$114=Moduły!I$73)*ISNUMBER(MATCH(st_stu_kw,tak,0)),st_stu)</f>
        <v>0</v>
      </c>
      <c r="J445" s="358" cm="1">
        <f t="array" ref="J445">SUMPRODUCT(ISNUMBER(MATCH(mod_st_stu,$B$418,0))*('Koszty operacyjne'!$K$114:$X$114=Moduły!J$73)*ISNUMBER(MATCH(st_stu_kw,tak,0)),st_stu)</f>
        <v>0</v>
      </c>
      <c r="K445" s="358" cm="1">
        <f t="array" ref="K445">SUMPRODUCT(ISNUMBER(MATCH(mod_st_stu,$B$418,0))*('Koszty operacyjne'!$K$114:$X$114=Moduły!K$73)*ISNUMBER(MATCH(st_stu_kw,tak,0)),st_stu)</f>
        <v>0</v>
      </c>
      <c r="L445" s="358" cm="1">
        <f t="array" ref="L445">SUMPRODUCT(ISNUMBER(MATCH(mod_st_stu,$B$418,0))*('Koszty operacyjne'!$K$114:$X$114=Moduły!L$73)*ISNUMBER(MATCH(st_stu_kw,tak,0)),st_stu)</f>
        <v>0</v>
      </c>
      <c r="M445" s="358" cm="1">
        <f t="array" ref="M445">SUMPRODUCT(ISNUMBER(MATCH(mod_st_stu,$B$418,0))*('Koszty operacyjne'!$K$114:$X$114=Moduły!M$73)*ISNUMBER(MATCH(st_stu_kw,tak,0)),st_stu)</f>
        <v>0</v>
      </c>
      <c r="N445" s="358" cm="1">
        <f t="array" ref="N445">SUMPRODUCT(ISNUMBER(MATCH(mod_st_stu,$B$418,0))*('Koszty operacyjne'!$K$114:$X$114=Moduły!N$73)*ISNUMBER(MATCH(st_stu_kw,tak,0)),st_stu)</f>
        <v>0</v>
      </c>
      <c r="O445" s="358" cm="1">
        <f t="array" ref="O445">SUMPRODUCT(ISNUMBER(MATCH(mod_st_stu,$B$418,0))*('Koszty operacyjne'!$K$114:$X$114=Moduły!O$73)*ISNUMBER(MATCH(st_stu_kw,tak,0)),st_stu)</f>
        <v>0</v>
      </c>
      <c r="P445" s="358" cm="1">
        <f t="array" ref="P445">SUMPRODUCT(ISNUMBER(MATCH(mod_st_stu,$B$418,0))*('Koszty operacyjne'!$K$114:$X$114=Moduły!P$73)*ISNUMBER(MATCH(st_stu_kw,tak,0)),st_stu)</f>
        <v>0</v>
      </c>
    </row>
    <row r="446" spans="2:16" ht="12" customHeight="1">
      <c r="B446" s="359" t="s">
        <v>96</v>
      </c>
      <c r="C446" s="360" cm="1">
        <f t="array" ref="C446">SUMPRODUCT(ISNUMBER(MATCH(mod_st_stu,$B$418,0))*('Koszty operacyjne'!$K$114:$X$114=Moduły!C$73)*ISNUMBER(MATCH(st_stu_kw,nie,0)),st_stu)</f>
        <v>0</v>
      </c>
      <c r="D446" s="360" cm="1">
        <f t="array" ref="D446">SUMPRODUCT(ISNUMBER(MATCH(mod_st_stu,$B$418,0))*('Koszty operacyjne'!$K$114:$X$114=Moduły!D$73)*ISNUMBER(MATCH(st_stu_kw,nie,0)),st_stu)</f>
        <v>0</v>
      </c>
      <c r="E446" s="360" cm="1">
        <f t="array" ref="E446">SUMPRODUCT(ISNUMBER(MATCH(mod_st_stu,$B$418,0))*('Koszty operacyjne'!$K$114:$X$114=Moduły!E$73)*ISNUMBER(MATCH(st_stu_kw,nie,0)),st_stu)</f>
        <v>0</v>
      </c>
      <c r="F446" s="360" cm="1">
        <f t="array" ref="F446">SUMPRODUCT(ISNUMBER(MATCH(mod_st_stu,$B$418,0))*('Koszty operacyjne'!$K$114:$X$114=Moduły!F$73)*ISNUMBER(MATCH(st_stu_kw,nie,0)),st_stu)</f>
        <v>0</v>
      </c>
      <c r="G446" s="360" cm="1">
        <f t="array" ref="G446">SUMPRODUCT(ISNUMBER(MATCH(mod_st_stu,$B$418,0))*('Koszty operacyjne'!$K$114:$X$114=Moduły!G$73)*ISNUMBER(MATCH(st_stu_kw,nie,0)),st_stu)</f>
        <v>0</v>
      </c>
      <c r="H446" s="360" cm="1">
        <f t="array" ref="H446">SUMPRODUCT(ISNUMBER(MATCH(mod_st_stu,$B$418,0))*('Koszty operacyjne'!$K$114:$X$114=Moduły!H$73)*ISNUMBER(MATCH(st_stu_kw,nie,0)),st_stu)</f>
        <v>0</v>
      </c>
      <c r="I446" s="360" cm="1">
        <f t="array" ref="I446">SUMPRODUCT(ISNUMBER(MATCH(mod_st_stu,$B$418,0))*('Koszty operacyjne'!$K$114:$X$114=Moduły!I$73)*ISNUMBER(MATCH(st_stu_kw,nie,0)),st_stu)</f>
        <v>0</v>
      </c>
      <c r="J446" s="360" cm="1">
        <f t="array" ref="J446">SUMPRODUCT(ISNUMBER(MATCH(mod_st_stu,$B$418,0))*('Koszty operacyjne'!$K$114:$X$114=Moduły!J$73)*ISNUMBER(MATCH(st_stu_kw,nie,0)),st_stu)</f>
        <v>0</v>
      </c>
      <c r="K446" s="361" cm="1">
        <f t="array" ref="K446">SUMPRODUCT(ISNUMBER(MATCH(mod_st_stu,$B$418,0))*('Koszty operacyjne'!$K$114:$X$114=Moduły!K$73)*ISNUMBER(MATCH(st_stu_kw,nie,0)),st_stu)</f>
        <v>0</v>
      </c>
      <c r="L446" s="361" cm="1">
        <f t="array" ref="L446">SUMPRODUCT(ISNUMBER(MATCH(mod_st_stu,$B$418,0))*('Koszty operacyjne'!$K$114:$X$114=Moduły!L$73)*ISNUMBER(MATCH(st_stu_kw,nie,0)),st_stu)</f>
        <v>0</v>
      </c>
      <c r="M446" s="361" cm="1">
        <f t="array" ref="M446">SUMPRODUCT(ISNUMBER(MATCH(mod_st_stu,$B$418,0))*('Koszty operacyjne'!$K$114:$X$114=Moduły!M$73)*ISNUMBER(MATCH(st_stu_kw,nie,0)),st_stu)</f>
        <v>0</v>
      </c>
      <c r="N446" s="361" cm="1">
        <f t="array" ref="N446">SUMPRODUCT(ISNUMBER(MATCH(mod_st_stu,$B$418,0))*('Koszty operacyjne'!$K$114:$X$114=Moduły!N$73)*ISNUMBER(MATCH(st_stu_kw,nie,0)),st_stu)</f>
        <v>0</v>
      </c>
      <c r="O446" s="361" cm="1">
        <f t="array" ref="O446">SUMPRODUCT(ISNUMBER(MATCH(mod_st_stu,$B$418,0))*('Koszty operacyjne'!$K$114:$X$114=Moduły!O$73)*ISNUMBER(MATCH(st_stu_kw,nie,0)),st_stu)</f>
        <v>0</v>
      </c>
      <c r="P446" s="361" cm="1">
        <f t="array" ref="P446">SUMPRODUCT(ISNUMBER(MATCH(mod_st_stu,$B$418,0))*('Koszty operacyjne'!$K$114:$X$114=Moduły!P$73)*ISNUMBER(MATCH(st_stu_kw,nie,0)),st_stu)</f>
        <v>0</v>
      </c>
    </row>
    <row r="447" spans="2:16" ht="3.9" customHeight="1">
      <c r="B447" s="8"/>
      <c r="C447" s="363"/>
      <c r="D447" s="363"/>
      <c r="E447" s="363"/>
      <c r="F447" s="363"/>
      <c r="G447" s="363"/>
      <c r="H447" s="363"/>
      <c r="I447" s="363"/>
      <c r="J447" s="363"/>
      <c r="K447" s="364"/>
      <c r="L447" s="364"/>
      <c r="M447" s="364"/>
      <c r="N447" s="364"/>
      <c r="O447" s="364"/>
      <c r="P447" s="364"/>
    </row>
    <row r="448" spans="2:16" ht="12" customHeight="1">
      <c r="B448" s="355" t="s">
        <v>102</v>
      </c>
      <c r="C448" s="356">
        <f t="shared" ref="C448:P448" si="216">SUM(C449:C450)</f>
        <v>0</v>
      </c>
      <c r="D448" s="356">
        <f t="shared" si="216"/>
        <v>0</v>
      </c>
      <c r="E448" s="356">
        <f t="shared" si="216"/>
        <v>0</v>
      </c>
      <c r="F448" s="356">
        <f t="shared" si="216"/>
        <v>0</v>
      </c>
      <c r="G448" s="356">
        <f t="shared" si="216"/>
        <v>0</v>
      </c>
      <c r="H448" s="356">
        <f t="shared" si="216"/>
        <v>0</v>
      </c>
      <c r="I448" s="356">
        <f t="shared" si="216"/>
        <v>0</v>
      </c>
      <c r="J448" s="356">
        <f t="shared" si="216"/>
        <v>0</v>
      </c>
      <c r="K448" s="356">
        <f t="shared" si="216"/>
        <v>0</v>
      </c>
      <c r="L448" s="356">
        <f t="shared" si="216"/>
        <v>0</v>
      </c>
      <c r="M448" s="356">
        <f t="shared" si="216"/>
        <v>0</v>
      </c>
      <c r="N448" s="356">
        <f t="shared" si="216"/>
        <v>0</v>
      </c>
      <c r="O448" s="356">
        <f t="shared" si="216"/>
        <v>0</v>
      </c>
      <c r="P448" s="356">
        <f t="shared" si="216"/>
        <v>0</v>
      </c>
    </row>
    <row r="449" spans="2:16" ht="12" customHeight="1">
      <c r="B449" s="357" t="s">
        <v>95</v>
      </c>
      <c r="C449" s="358" cm="1">
        <f t="array" ref="C449">SUMPRODUCT(ISNUMBER(MATCH(mod_st_ist,$B$418,0))*('Koszty operacyjne'!$K$114:$X$114=Moduły!C$73)*ISNUMBER(MATCH(st_ist_kw,tak,0)),st_ist)</f>
        <v>0</v>
      </c>
      <c r="D449" s="358" cm="1">
        <f t="array" ref="D449">SUMPRODUCT(ISNUMBER(MATCH(mod_st_ist,$B$418,0))*('Koszty operacyjne'!$K$114:$X$114=Moduły!D$73)*ISNUMBER(MATCH(st_ist_kw,tak,0)),st_ist)</f>
        <v>0</v>
      </c>
      <c r="E449" s="358" cm="1">
        <f t="array" ref="E449">SUMPRODUCT(ISNUMBER(MATCH(mod_st_ist,$B$418,0))*('Koszty operacyjne'!$K$114:$X$114=Moduły!E$73)*ISNUMBER(MATCH(st_ist_kw,tak,0)),st_ist)</f>
        <v>0</v>
      </c>
      <c r="F449" s="358" cm="1">
        <f t="array" ref="F449">SUMPRODUCT(ISNUMBER(MATCH(mod_st_ist,$B$418,0))*('Koszty operacyjne'!$K$114:$X$114=Moduły!F$73)*ISNUMBER(MATCH(st_ist_kw,tak,0)),st_ist)</f>
        <v>0</v>
      </c>
      <c r="G449" s="358" cm="1">
        <f t="array" ref="G449">SUMPRODUCT(ISNUMBER(MATCH(mod_st_ist,$B$418,0))*('Koszty operacyjne'!$K$114:$X$114=Moduły!G$73)*ISNUMBER(MATCH(st_ist_kw,tak,0)),st_ist)</f>
        <v>0</v>
      </c>
      <c r="H449" s="358" cm="1">
        <f t="array" ref="H449">SUMPRODUCT(ISNUMBER(MATCH(mod_st_ist,$B$418,0))*('Koszty operacyjne'!$K$114:$X$114=Moduły!H$73)*ISNUMBER(MATCH(st_ist_kw,tak,0)),st_ist)</f>
        <v>0</v>
      </c>
      <c r="I449" s="358" cm="1">
        <f t="array" ref="I449">SUMPRODUCT(ISNUMBER(MATCH(mod_st_ist,$B$418,0))*('Koszty operacyjne'!$K$114:$X$114=Moduły!I$73)*ISNUMBER(MATCH(st_ist_kw,tak,0)),st_ist)</f>
        <v>0</v>
      </c>
      <c r="J449" s="358" cm="1">
        <f t="array" ref="J449">SUMPRODUCT(ISNUMBER(MATCH(mod_st_ist,$B$418,0))*('Koszty operacyjne'!$K$114:$X$114=Moduły!J$73)*ISNUMBER(MATCH(st_ist_kw,tak,0)),st_ist)</f>
        <v>0</v>
      </c>
      <c r="K449" s="358" cm="1">
        <f t="array" ref="K449">SUMPRODUCT(ISNUMBER(MATCH(mod_st_ist,$B$418,0))*('Koszty operacyjne'!$K$114:$X$114=Moduły!K$73)*ISNUMBER(MATCH(st_ist_kw,tak,0)),st_ist)</f>
        <v>0</v>
      </c>
      <c r="L449" s="358" cm="1">
        <f t="array" ref="L449">SUMPRODUCT(ISNUMBER(MATCH(mod_st_ist,$B$418,0))*('Koszty operacyjne'!$K$114:$X$114=Moduły!L$73)*ISNUMBER(MATCH(st_ist_kw,tak,0)),st_ist)</f>
        <v>0</v>
      </c>
      <c r="M449" s="358" cm="1">
        <f t="array" ref="M449">SUMPRODUCT(ISNUMBER(MATCH(mod_st_ist,$B$418,0))*('Koszty operacyjne'!$K$114:$X$114=Moduły!M$73)*ISNUMBER(MATCH(st_ist_kw,tak,0)),st_ist)</f>
        <v>0</v>
      </c>
      <c r="N449" s="358" cm="1">
        <f t="array" ref="N449">SUMPRODUCT(ISNUMBER(MATCH(mod_st_ist,$B$418,0))*('Koszty operacyjne'!$K$114:$X$114=Moduły!N$73)*ISNUMBER(MATCH(st_ist_kw,tak,0)),st_ist)</f>
        <v>0</v>
      </c>
      <c r="O449" s="358" cm="1">
        <f t="array" ref="O449">SUMPRODUCT(ISNUMBER(MATCH(mod_st_ist,$B$418,0))*('Koszty operacyjne'!$K$114:$X$114=Moduły!O$73)*ISNUMBER(MATCH(st_ist_kw,tak,0)),st_ist)</f>
        <v>0</v>
      </c>
      <c r="P449" s="358" cm="1">
        <f t="array" ref="P449">SUMPRODUCT(ISNUMBER(MATCH(mod_st_ist,$B$418,0))*('Koszty operacyjne'!$K$114:$X$114=Moduły!P$73)*ISNUMBER(MATCH(st_ist_kw,tak,0)),st_ist)</f>
        <v>0</v>
      </c>
    </row>
    <row r="450" spans="2:16" ht="12" customHeight="1">
      <c r="B450" s="359" t="s">
        <v>96</v>
      </c>
      <c r="C450" s="360" cm="1">
        <f t="array" ref="C450">SUMPRODUCT(ISNUMBER(MATCH(mod_st_ist,$B$418,0))*('Koszty operacyjne'!$K$114:$X$114=Moduły!C$73)*ISNUMBER(MATCH(st_ist_kw,nie,0)),st_ist)</f>
        <v>0</v>
      </c>
      <c r="D450" s="360" cm="1">
        <f t="array" ref="D450">SUMPRODUCT(ISNUMBER(MATCH(mod_st_ist,$B$418,0))*('Koszty operacyjne'!$K$114:$X$114=Moduły!D$73)*ISNUMBER(MATCH(st_ist_kw,nie,0)),st_ist)</f>
        <v>0</v>
      </c>
      <c r="E450" s="360" cm="1">
        <f t="array" ref="E450">SUMPRODUCT(ISNUMBER(MATCH(mod_st_ist,$B$418,0))*('Koszty operacyjne'!$K$114:$X$114=Moduły!E$73)*ISNUMBER(MATCH(st_ist_kw,nie,0)),st_ist)</f>
        <v>0</v>
      </c>
      <c r="F450" s="360" cm="1">
        <f t="array" ref="F450">SUMPRODUCT(ISNUMBER(MATCH(mod_st_ist,$B$418,0))*('Koszty operacyjne'!$K$114:$X$114=Moduły!F$73)*ISNUMBER(MATCH(st_ist_kw,nie,0)),st_ist)</f>
        <v>0</v>
      </c>
      <c r="G450" s="360" cm="1">
        <f t="array" ref="G450">SUMPRODUCT(ISNUMBER(MATCH(mod_st_ist,$B$418,0))*('Koszty operacyjne'!$K$114:$X$114=Moduły!G$73)*ISNUMBER(MATCH(st_ist_kw,nie,0)),st_ist)</f>
        <v>0</v>
      </c>
      <c r="H450" s="360" cm="1">
        <f t="array" ref="H450">SUMPRODUCT(ISNUMBER(MATCH(mod_st_ist,$B$418,0))*('Koszty operacyjne'!$K$114:$X$114=Moduły!H$73)*ISNUMBER(MATCH(st_ist_kw,nie,0)),st_ist)</f>
        <v>0</v>
      </c>
      <c r="I450" s="360" cm="1">
        <f t="array" ref="I450">SUMPRODUCT(ISNUMBER(MATCH(mod_st_ist,$B$418,0))*('Koszty operacyjne'!$K$114:$X$114=Moduły!I$73)*ISNUMBER(MATCH(st_ist_kw,nie,0)),st_ist)</f>
        <v>0</v>
      </c>
      <c r="J450" s="360" cm="1">
        <f t="array" ref="J450">SUMPRODUCT(ISNUMBER(MATCH(mod_st_ist,$B$418,0))*('Koszty operacyjne'!$K$114:$X$114=Moduły!J$73)*ISNUMBER(MATCH(st_ist_kw,nie,0)),st_ist)</f>
        <v>0</v>
      </c>
      <c r="K450" s="361" cm="1">
        <f t="array" ref="K450">SUMPRODUCT(ISNUMBER(MATCH(mod_st_ist,$B$418,0))*('Koszty operacyjne'!$K$114:$X$114=Moduły!K$73)*ISNUMBER(MATCH(st_ist_kw,nie,0)),st_ist)</f>
        <v>0</v>
      </c>
      <c r="L450" s="361" cm="1">
        <f t="array" ref="L450">SUMPRODUCT(ISNUMBER(MATCH(mod_st_ist,$B$418,0))*('Koszty operacyjne'!$K$114:$X$114=Moduły!L$73)*ISNUMBER(MATCH(st_ist_kw,nie,0)),st_ist)</f>
        <v>0</v>
      </c>
      <c r="M450" s="361" cm="1">
        <f t="array" ref="M450">SUMPRODUCT(ISNUMBER(MATCH(mod_st_ist,$B$418,0))*('Koszty operacyjne'!$K$114:$X$114=Moduły!M$73)*ISNUMBER(MATCH(st_ist_kw,nie,0)),st_ist)</f>
        <v>0</v>
      </c>
      <c r="N450" s="361" cm="1">
        <f t="array" ref="N450">SUMPRODUCT(ISNUMBER(MATCH(mod_st_ist,$B$418,0))*('Koszty operacyjne'!$K$114:$X$114=Moduły!N$73)*ISNUMBER(MATCH(st_ist_kw,nie,0)),st_ist)</f>
        <v>0</v>
      </c>
      <c r="O450" s="361" cm="1">
        <f t="array" ref="O450">SUMPRODUCT(ISNUMBER(MATCH(mod_st_ist,$B$418,0))*('Koszty operacyjne'!$K$114:$X$114=Moduły!O$73)*ISNUMBER(MATCH(st_ist_kw,nie,0)),st_ist)</f>
        <v>0</v>
      </c>
      <c r="P450" s="361" cm="1">
        <f t="array" ref="P450">SUMPRODUCT(ISNUMBER(MATCH(mod_st_ist,$B$418,0))*('Koszty operacyjne'!$K$114:$X$114=Moduły!P$73)*ISNUMBER(MATCH(st_ist_kw,nie,0)),st_ist)</f>
        <v>0</v>
      </c>
    </row>
    <row r="451" spans="2:16" ht="12" customHeight="1"/>
    <row r="452" spans="2:16">
      <c r="B452" s="99" t="s">
        <v>104</v>
      </c>
      <c r="C452" s="98" cm="1">
        <f t="array" ref="C452">SUMPRODUCT(ISNUMBER(MATCH(mod_pp_ppu,$B$418,0))*('Koszty operacyjne'!$K$114:$X$114=Moduły!C$73),pp_ppu)+SUMPRODUCT(ISNUMBER(MATCH(mod_pp_ptim,$B$418,0))*('Koszty operacyjne'!$K$114:$X$114=Moduły!C$73),pp_ptim)</f>
        <v>0</v>
      </c>
      <c r="D452" s="98" cm="1">
        <f t="array" ref="D452">SUMPRODUCT(ISNUMBER(MATCH(mod_pp_ppu,$B$418,0))*('Koszty operacyjne'!$K$114:$X$114=Moduły!D$73),pp_ppu)+SUMPRODUCT(ISNUMBER(MATCH(mod_pp_ptim,$B$418,0))*('Koszty operacyjne'!$K$114:$X$114=Moduły!D$73),pp_ptim)</f>
        <v>0</v>
      </c>
      <c r="E452" s="98" cm="1">
        <f t="array" ref="E452">SUMPRODUCT(ISNUMBER(MATCH(mod_pp_ppu,$B$418,0))*('Koszty operacyjne'!$K$114:$X$114=Moduły!E$73),pp_ppu)+SUMPRODUCT(ISNUMBER(MATCH(mod_pp_ptim,$B$418,0))*('Koszty operacyjne'!$K$114:$X$114=Moduły!E$73),pp_ptim)</f>
        <v>0</v>
      </c>
      <c r="F452" s="98" cm="1">
        <f t="array" ref="F452">SUMPRODUCT(ISNUMBER(MATCH(mod_pp_ppu,$B$418,0))*('Koszty operacyjne'!$K$114:$X$114=Moduły!F$73),pp_ppu)+SUMPRODUCT(ISNUMBER(MATCH(mod_pp_ptim,$B$418,0))*('Koszty operacyjne'!$K$114:$X$114=Moduły!F$73),pp_ptim)</f>
        <v>0</v>
      </c>
      <c r="G452" s="98" cm="1">
        <f t="array" ref="G452">SUMPRODUCT(ISNUMBER(MATCH(mod_pp_ppu,$B$418,0))*('Koszty operacyjne'!$K$114:$X$114=Moduły!G$73),pp_ppu)+SUMPRODUCT(ISNUMBER(MATCH(mod_pp_ptim,$B$418,0))*('Koszty operacyjne'!$K$114:$X$114=Moduły!G$73),pp_ptim)</f>
        <v>0</v>
      </c>
      <c r="H452" s="98" cm="1">
        <f t="array" ref="H452">SUMPRODUCT(ISNUMBER(MATCH(mod_pp_ppu,$B$418,0))*('Koszty operacyjne'!$K$114:$X$114=Moduły!H$73),pp_ppu)+SUMPRODUCT(ISNUMBER(MATCH(mod_pp_ptim,$B$418,0))*('Koszty operacyjne'!$K$114:$X$114=Moduły!H$73),pp_ptim)</f>
        <v>0</v>
      </c>
      <c r="I452" s="98" cm="1">
        <f t="array" ref="I452">SUMPRODUCT(ISNUMBER(MATCH(mod_pp_ppu,$B$418,0))*('Koszty operacyjne'!$K$114:$X$114=Moduły!I$73),pp_ppu)+SUMPRODUCT(ISNUMBER(MATCH(mod_pp_ptim,$B$418,0))*('Koszty operacyjne'!$K$114:$X$114=Moduły!I$73),pp_ptim)</f>
        <v>0</v>
      </c>
      <c r="J452" s="98" cm="1">
        <f t="array" ref="J452">SUMPRODUCT(ISNUMBER(MATCH(mod_pp_ppu,$B$418,0))*('Koszty operacyjne'!$K$114:$X$114=Moduły!J$73),pp_ppu)+SUMPRODUCT(ISNUMBER(MATCH(mod_pp_ptim,$B$418,0))*('Koszty operacyjne'!$K$114:$X$114=Moduły!J$73),pp_ptim)</f>
        <v>0</v>
      </c>
      <c r="K452" s="98" cm="1">
        <f t="array" ref="K452">SUMPRODUCT(ISNUMBER(MATCH(mod_pp_ppu,$B$418,0))*('Koszty operacyjne'!$K$114:$X$114=Moduły!K$73),pp_ppu)+SUMPRODUCT(ISNUMBER(MATCH(mod_pp_ptim,$B$418,0))*('Koszty operacyjne'!$K$114:$X$114=Moduły!K$73),pp_ptim)</f>
        <v>0</v>
      </c>
      <c r="L452" s="98" cm="1">
        <f t="array" ref="L452">SUMPRODUCT(ISNUMBER(MATCH(mod_pp_ppu,$B$418,0))*('Koszty operacyjne'!$K$114:$X$114=Moduły!L$73),pp_ppu)+SUMPRODUCT(ISNUMBER(MATCH(mod_pp_ptim,$B$418,0))*('Koszty operacyjne'!$K$114:$X$114=Moduły!L$73),pp_ptim)</f>
        <v>0</v>
      </c>
      <c r="M452" s="98" cm="1">
        <f t="array" ref="M452">SUMPRODUCT(ISNUMBER(MATCH(mod_pp_ppu,$B$418,0))*('Koszty operacyjne'!$K$114:$X$114=Moduły!M$73),pp_ppu)+SUMPRODUCT(ISNUMBER(MATCH(mod_pp_ptim,$B$418,0))*('Koszty operacyjne'!$K$114:$X$114=Moduły!M$73),pp_ptim)</f>
        <v>0</v>
      </c>
      <c r="N452" s="98" cm="1">
        <f t="array" ref="N452">SUMPRODUCT(ISNUMBER(MATCH(mod_pp_ppu,$B$418,0))*('Koszty operacyjne'!$K$114:$X$114=Moduły!N$73),pp_ppu)+SUMPRODUCT(ISNUMBER(MATCH(mod_pp_ptim,$B$418,0))*('Koszty operacyjne'!$K$114:$X$114=Moduły!N$73),pp_ptim)</f>
        <v>0</v>
      </c>
      <c r="O452" s="98" cm="1">
        <f t="array" ref="O452">SUMPRODUCT(ISNUMBER(MATCH(mod_pp_ppu,$B$418,0))*('Koszty operacyjne'!$K$114:$X$114=Moduły!O$73),pp_ppu)+SUMPRODUCT(ISNUMBER(MATCH(mod_pp_ptim,$B$418,0))*('Koszty operacyjne'!$K$114:$X$114=Moduły!O$73),pp_ptim)</f>
        <v>0</v>
      </c>
      <c r="P452" s="98" cm="1">
        <f t="array" ref="P452">SUMPRODUCT(ISNUMBER(MATCH(mod_pp_ppu,$B$418,0))*('Koszty operacyjne'!$K$114:$X$114=Moduły!P$73),pp_ppu)+SUMPRODUCT(ISNUMBER(MATCH(mod_pp_ptim,$B$418,0))*('Koszty operacyjne'!$K$114:$X$114=Moduły!P$73),pp_ptim)</f>
        <v>0</v>
      </c>
    </row>
    <row r="453" spans="2:16" ht="3.9" customHeight="1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</row>
    <row r="454" spans="2:16">
      <c r="B454" s="99" t="s">
        <v>105</v>
      </c>
      <c r="C454" s="98">
        <f t="shared" ref="C454:L454" ca="1" si="217">SUM(C455:C462)</f>
        <v>0</v>
      </c>
      <c r="D454" s="98">
        <f t="shared" ca="1" si="217"/>
        <v>0</v>
      </c>
      <c r="E454" s="98">
        <f t="shared" ca="1" si="217"/>
        <v>0</v>
      </c>
      <c r="F454" s="98">
        <f t="shared" ca="1" si="217"/>
        <v>0</v>
      </c>
      <c r="G454" s="98">
        <f t="shared" ca="1" si="217"/>
        <v>0</v>
      </c>
      <c r="H454" s="98">
        <f t="shared" ca="1" si="217"/>
        <v>0</v>
      </c>
      <c r="I454" s="98">
        <f t="shared" ca="1" si="217"/>
        <v>0</v>
      </c>
      <c r="J454" s="98">
        <f t="shared" ca="1" si="217"/>
        <v>0</v>
      </c>
      <c r="K454" s="98">
        <f t="shared" ca="1" si="217"/>
        <v>0</v>
      </c>
      <c r="L454" s="98">
        <f t="shared" ca="1" si="217"/>
        <v>0</v>
      </c>
      <c r="M454" s="98">
        <f ca="1">SUM(M455:M462)</f>
        <v>0</v>
      </c>
      <c r="N454" s="98">
        <f ca="1">SUM(N455:N462)</f>
        <v>0</v>
      </c>
      <c r="O454" s="98">
        <f ca="1">SUM(O455:O462)</f>
        <v>0</v>
      </c>
      <c r="P454" s="98">
        <f ca="1">SUM(P455:P462)</f>
        <v>0</v>
      </c>
    </row>
    <row r="455" spans="2:16">
      <c r="B455" s="104" t="s">
        <v>106</v>
      </c>
      <c r="C455" s="103" cm="1">
        <f t="array" aca="1" ref="C455" ca="1">SUMPRODUCT(ISNUMBER(MATCH(mod_st_am,$B$418,0))*('Koszty operacyjne'!$K$114:$X$114=Moduły!C$73),st_am)</f>
        <v>0</v>
      </c>
      <c r="D455" s="103" cm="1">
        <f t="array" aca="1" ref="D455" ca="1">SUMPRODUCT(ISNUMBER(MATCH(mod_st_am,$B$418,0))*('Koszty operacyjne'!$K$114:$X$114=Moduły!D$73),st_am)</f>
        <v>0</v>
      </c>
      <c r="E455" s="103" cm="1">
        <f t="array" aca="1" ref="E455" ca="1">SUMPRODUCT(ISNUMBER(MATCH(mod_st_am,$B$418,0))*('Koszty operacyjne'!$K$114:$X$114=Moduły!E$73),st_am)</f>
        <v>0</v>
      </c>
      <c r="F455" s="103" cm="1">
        <f t="array" aca="1" ref="F455" ca="1">SUMPRODUCT(ISNUMBER(MATCH(mod_st_am,$B$418,0))*('Koszty operacyjne'!$K$114:$X$114=Moduły!F$73),st_am)</f>
        <v>0</v>
      </c>
      <c r="G455" s="103" cm="1">
        <f t="array" aca="1" ref="G455" ca="1">SUMPRODUCT(ISNUMBER(MATCH(mod_st_am,$B$418,0))*('Koszty operacyjne'!$K$114:$X$114=Moduły!G$73),st_am)</f>
        <v>0</v>
      </c>
      <c r="H455" s="103" cm="1">
        <f t="array" aca="1" ref="H455" ca="1">SUMPRODUCT(ISNUMBER(MATCH(mod_st_am,$B$418,0))*('Koszty operacyjne'!$K$114:$X$114=Moduły!H$73),st_am)</f>
        <v>0</v>
      </c>
      <c r="I455" s="103" cm="1">
        <f t="array" aca="1" ref="I455" ca="1">SUMPRODUCT(ISNUMBER(MATCH(mod_st_am,$B$418,0))*('Koszty operacyjne'!$K$114:$X$114=Moduły!I$73),st_am)</f>
        <v>0</v>
      </c>
      <c r="J455" s="103" cm="1">
        <f t="array" aca="1" ref="J455" ca="1">SUMPRODUCT(ISNUMBER(MATCH(mod_st_am,$B$418,0))*('Koszty operacyjne'!$K$114:$X$114=Moduły!J$73),st_am)</f>
        <v>0</v>
      </c>
      <c r="K455" s="103" cm="1">
        <f t="array" aca="1" ref="K455" ca="1">SUMPRODUCT(ISNUMBER(MATCH(mod_st_am,$B$418,0))*('Koszty operacyjne'!$K$114:$X$114=Moduły!K$73),st_am)</f>
        <v>0</v>
      </c>
      <c r="L455" s="103" cm="1">
        <f t="array" aca="1" ref="L455" ca="1">SUMPRODUCT(ISNUMBER(MATCH(mod_st_am,$B$418,0))*('Koszty operacyjne'!$K$114:$X$114=Moduły!L$73),st_am)</f>
        <v>0</v>
      </c>
      <c r="M455" s="103" cm="1">
        <f t="array" aca="1" ref="M455" ca="1">SUMPRODUCT(ISNUMBER(MATCH(mod_st_am,$B$418,0))*('Koszty operacyjne'!$K$114:$X$114=Moduły!M$73),st_am)</f>
        <v>0</v>
      </c>
      <c r="N455" s="103" cm="1">
        <f t="array" aca="1" ref="N455" ca="1">SUMPRODUCT(ISNUMBER(MATCH(mod_st_am,$B$418,0))*('Koszty operacyjne'!$K$114:$X$114=Moduły!N$73),st_am)</f>
        <v>0</v>
      </c>
      <c r="O455" s="103" cm="1">
        <f t="array" aca="1" ref="O455" ca="1">SUMPRODUCT(ISNUMBER(MATCH(mod_st_am,$B$418,0))*('Koszty operacyjne'!$K$114:$X$114=Moduły!O$73),st_am)</f>
        <v>0</v>
      </c>
      <c r="P455" s="103" cm="1">
        <f t="array" aca="1" ref="P455" ca="1">SUMPRODUCT(ISNUMBER(MATCH(mod_st_am,$B$418,0))*('Koszty operacyjne'!$K$114:$X$114=Moduły!P$73),st_am)</f>
        <v>0</v>
      </c>
    </row>
    <row r="456" spans="2:16">
      <c r="B456" s="37" t="s">
        <v>107</v>
      </c>
      <c r="C456" s="33" cm="1">
        <f t="array" ref="C456">SUMPRODUCT(ISNUMBER(MATCH(mod_ko_zme,$B$418,0))*('Koszty operacyjne'!$K$114:$X$114=Moduły!C$73),ko_zme)</f>
        <v>0</v>
      </c>
      <c r="D456" s="33" cm="1">
        <f t="array" ref="D456">SUMPRODUCT(ISNUMBER(MATCH(mod_ko_zme,$B$418,0))*('Koszty operacyjne'!$K$114:$X$114=Moduły!D$73),ko_zme)</f>
        <v>0</v>
      </c>
      <c r="E456" s="33" cm="1">
        <f t="array" ref="E456">SUMPRODUCT(ISNUMBER(MATCH(mod_ko_zme,$B$418,0))*('Koszty operacyjne'!$K$114:$X$114=Moduły!E$73),ko_zme)</f>
        <v>0</v>
      </c>
      <c r="F456" s="33" cm="1">
        <f t="array" ref="F456">SUMPRODUCT(ISNUMBER(MATCH(mod_ko_zme,$B$418,0))*('Koszty operacyjne'!$K$114:$X$114=Moduły!F$73),ko_zme)</f>
        <v>0</v>
      </c>
      <c r="G456" s="33" cm="1">
        <f t="array" ref="G456">SUMPRODUCT(ISNUMBER(MATCH(mod_ko_zme,$B$418,0))*('Koszty operacyjne'!$K$114:$X$114=Moduły!G$73),ko_zme)</f>
        <v>0</v>
      </c>
      <c r="H456" s="33" cm="1">
        <f t="array" ref="H456">SUMPRODUCT(ISNUMBER(MATCH(mod_ko_zme,$B$418,0))*('Koszty operacyjne'!$K$114:$X$114=Moduły!H$73),ko_zme)</f>
        <v>0</v>
      </c>
      <c r="I456" s="33" cm="1">
        <f t="array" ref="I456">SUMPRODUCT(ISNUMBER(MATCH(mod_ko_zme,$B$418,0))*('Koszty operacyjne'!$K$114:$X$114=Moduły!I$73),ko_zme)</f>
        <v>0</v>
      </c>
      <c r="J456" s="33" cm="1">
        <f t="array" ref="J456">SUMPRODUCT(ISNUMBER(MATCH(mod_ko_zme,$B$418,0))*('Koszty operacyjne'!$K$114:$X$114=Moduły!J$73),ko_zme)</f>
        <v>0</v>
      </c>
      <c r="K456" s="33" cm="1">
        <f t="array" ref="K456">SUMPRODUCT(ISNUMBER(MATCH(mod_ko_zme,$B$418,0))*('Koszty operacyjne'!$K$114:$X$114=Moduły!K$73),ko_zme)</f>
        <v>0</v>
      </c>
      <c r="L456" s="33" cm="1">
        <f t="array" ref="L456">SUMPRODUCT(ISNUMBER(MATCH(mod_ko_zme,$B$418,0))*('Koszty operacyjne'!$K$114:$X$114=Moduły!L$73),ko_zme)</f>
        <v>0</v>
      </c>
      <c r="M456" s="33" cm="1">
        <f t="array" ref="M456">SUMPRODUCT(ISNUMBER(MATCH(mod_ko_zme,$B$418,0))*('Koszty operacyjne'!$K$114:$X$114=Moduły!M$73),ko_zme)</f>
        <v>0</v>
      </c>
      <c r="N456" s="33" cm="1">
        <f t="array" ref="N456">SUMPRODUCT(ISNUMBER(MATCH(mod_ko_zme,$B$418,0))*('Koszty operacyjne'!$K$114:$X$114=Moduły!N$73),ko_zme)</f>
        <v>0</v>
      </c>
      <c r="O456" s="33" cm="1">
        <f t="array" ref="O456">SUMPRODUCT(ISNUMBER(MATCH(mod_ko_zme,$B$418,0))*('Koszty operacyjne'!$K$114:$X$114=Moduły!O$73),ko_zme)</f>
        <v>0</v>
      </c>
      <c r="P456" s="33" cm="1">
        <f t="array" ref="P456">SUMPRODUCT(ISNUMBER(MATCH(mod_ko_zme,$B$418,0))*('Koszty operacyjne'!$K$114:$X$114=Moduły!P$73),ko_zme)</f>
        <v>0</v>
      </c>
    </row>
    <row r="457" spans="2:16">
      <c r="B457" s="37" t="s">
        <v>108</v>
      </c>
      <c r="C457" s="33" cm="1">
        <f t="array" ref="C457">SUMPRODUCT(ISNUMBER(MATCH(mod_ko_uoe,$B$418,0))*('Koszty operacyjne'!$K$114:$X$114=Moduły!C$73),ko_uoe)</f>
        <v>0</v>
      </c>
      <c r="D457" s="33" cm="1">
        <f t="array" ref="D457">SUMPRODUCT(ISNUMBER(MATCH(mod_ko_uoe,$B$418,0))*('Koszty operacyjne'!$K$114:$X$114=Moduły!D$73),ko_uoe)</f>
        <v>0</v>
      </c>
      <c r="E457" s="33" cm="1">
        <f t="array" ref="E457">SUMPRODUCT(ISNUMBER(MATCH(mod_ko_uoe,$B$418,0))*('Koszty operacyjne'!$K$114:$X$114=Moduły!E$73),ko_uoe)</f>
        <v>0</v>
      </c>
      <c r="F457" s="33" cm="1">
        <f t="array" ref="F457">SUMPRODUCT(ISNUMBER(MATCH(mod_ko_uoe,$B$418,0))*('Koszty operacyjne'!$K$114:$X$114=Moduły!F$73),ko_uoe)</f>
        <v>0</v>
      </c>
      <c r="G457" s="33" cm="1">
        <f t="array" ref="G457">SUMPRODUCT(ISNUMBER(MATCH(mod_ko_uoe,$B$418,0))*('Koszty operacyjne'!$K$114:$X$114=Moduły!G$73),ko_uoe)</f>
        <v>0</v>
      </c>
      <c r="H457" s="33" cm="1">
        <f t="array" ref="H457">SUMPRODUCT(ISNUMBER(MATCH(mod_ko_uoe,$B$418,0))*('Koszty operacyjne'!$K$114:$X$114=Moduły!H$73),ko_uoe)</f>
        <v>0</v>
      </c>
      <c r="I457" s="33" cm="1">
        <f t="array" ref="I457">SUMPRODUCT(ISNUMBER(MATCH(mod_ko_uoe,$B$418,0))*('Koszty operacyjne'!$K$114:$X$114=Moduły!I$73),ko_uoe)</f>
        <v>0</v>
      </c>
      <c r="J457" s="33" cm="1">
        <f t="array" ref="J457">SUMPRODUCT(ISNUMBER(MATCH(mod_ko_uoe,$B$418,0))*('Koszty operacyjne'!$K$114:$X$114=Moduły!J$73),ko_uoe)</f>
        <v>0</v>
      </c>
      <c r="K457" s="33" cm="1">
        <f t="array" ref="K457">SUMPRODUCT(ISNUMBER(MATCH(mod_ko_uoe,$B$418,0))*('Koszty operacyjne'!$K$114:$X$114=Moduły!K$73),ko_uoe)</f>
        <v>0</v>
      </c>
      <c r="L457" s="33" cm="1">
        <f t="array" ref="L457">SUMPRODUCT(ISNUMBER(MATCH(mod_ko_uoe,$B$418,0))*('Koszty operacyjne'!$K$114:$X$114=Moduły!L$73),ko_uoe)</f>
        <v>0</v>
      </c>
      <c r="M457" s="33" cm="1">
        <f t="array" ref="M457">SUMPRODUCT(ISNUMBER(MATCH(mod_ko_uoe,$B$418,0))*('Koszty operacyjne'!$K$114:$X$114=Moduły!M$73),ko_uoe)</f>
        <v>0</v>
      </c>
      <c r="N457" s="33" cm="1">
        <f t="array" ref="N457">SUMPRODUCT(ISNUMBER(MATCH(mod_ko_uoe,$B$418,0))*('Koszty operacyjne'!$K$114:$X$114=Moduły!N$73),ko_uoe)</f>
        <v>0</v>
      </c>
      <c r="O457" s="33" cm="1">
        <f t="array" ref="O457">SUMPRODUCT(ISNUMBER(MATCH(mod_ko_uoe,$B$418,0))*('Koszty operacyjne'!$K$114:$X$114=Moduły!O$73),ko_uoe)</f>
        <v>0</v>
      </c>
      <c r="P457" s="33" cm="1">
        <f t="array" ref="P457">SUMPRODUCT(ISNUMBER(MATCH(mod_ko_uoe,$B$418,0))*('Koszty operacyjne'!$K$114:$X$114=Moduły!P$73),ko_uoe)</f>
        <v>0</v>
      </c>
    </row>
    <row r="458" spans="2:16">
      <c r="B458" s="37" t="s">
        <v>778</v>
      </c>
      <c r="C458" s="33" cm="1">
        <f t="array" ref="C458">SUMPRODUCT(ISNUMBER(MATCH(mod_ko_pio,$B$418,0))*('Koszty operacyjne'!$K$114:$X$114=Moduły!C$73),ko_pio)</f>
        <v>0</v>
      </c>
      <c r="D458" s="33" cm="1">
        <f t="array" ref="D458">SUMPRODUCT(ISNUMBER(MATCH(mod_ko_pio,$B$418,0))*('Koszty operacyjne'!$K$114:$X$114=Moduły!D$73),ko_pio)</f>
        <v>0</v>
      </c>
      <c r="E458" s="33" cm="1">
        <f t="array" ref="E458">SUMPRODUCT(ISNUMBER(MATCH(mod_ko_pio,$B$418,0))*('Koszty operacyjne'!$K$114:$X$114=Moduły!E$73),ko_pio)</f>
        <v>0</v>
      </c>
      <c r="F458" s="33" cm="1">
        <f t="array" ref="F458">SUMPRODUCT(ISNUMBER(MATCH(mod_ko_pio,$B$418,0))*('Koszty operacyjne'!$K$114:$X$114=Moduły!F$73),ko_pio)</f>
        <v>0</v>
      </c>
      <c r="G458" s="33" cm="1">
        <f t="array" ref="G458">SUMPRODUCT(ISNUMBER(MATCH(mod_ko_pio,$B$418,0))*('Koszty operacyjne'!$K$114:$X$114=Moduły!G$73),ko_pio)</f>
        <v>0</v>
      </c>
      <c r="H458" s="33" cm="1">
        <f t="array" ref="H458">SUMPRODUCT(ISNUMBER(MATCH(mod_ko_pio,$B$418,0))*('Koszty operacyjne'!$K$114:$X$114=Moduły!H$73),ko_pio)</f>
        <v>0</v>
      </c>
      <c r="I458" s="33" cm="1">
        <f t="array" ref="I458">SUMPRODUCT(ISNUMBER(MATCH(mod_ko_pio,$B$418,0))*('Koszty operacyjne'!$K$114:$X$114=Moduły!I$73),ko_pio)</f>
        <v>0</v>
      </c>
      <c r="J458" s="33" cm="1">
        <f t="array" ref="J458">SUMPRODUCT(ISNUMBER(MATCH(mod_ko_pio,$B$418,0))*('Koszty operacyjne'!$K$114:$X$114=Moduły!J$73),ko_pio)</f>
        <v>0</v>
      </c>
      <c r="K458" s="33" cm="1">
        <f t="array" ref="K458">SUMPRODUCT(ISNUMBER(MATCH(mod_ko_pio,$B$418,0))*('Koszty operacyjne'!$K$114:$X$114=Moduły!K$73),ko_pio)</f>
        <v>0</v>
      </c>
      <c r="L458" s="33" cm="1">
        <f t="array" ref="L458">SUMPRODUCT(ISNUMBER(MATCH(mod_ko_pio,$B$418,0))*('Koszty operacyjne'!$K$114:$X$114=Moduły!L$73),ko_pio)</f>
        <v>0</v>
      </c>
      <c r="M458" s="33" cm="1">
        <f t="array" ref="M458">SUMPRODUCT(ISNUMBER(MATCH(mod_ko_pio,$B$418,0))*('Koszty operacyjne'!$K$114:$X$114=Moduły!M$73),ko_pio)</f>
        <v>0</v>
      </c>
      <c r="N458" s="33" cm="1">
        <f t="array" ref="N458">SUMPRODUCT(ISNUMBER(MATCH(mod_ko_pio,$B$418,0))*('Koszty operacyjne'!$K$114:$X$114=Moduły!N$73),ko_pio)</f>
        <v>0</v>
      </c>
      <c r="O458" s="33" cm="1">
        <f t="array" ref="O458">SUMPRODUCT(ISNUMBER(MATCH(mod_ko_pio,$B$418,0))*('Koszty operacyjne'!$K$114:$X$114=Moduły!O$73),ko_pio)</f>
        <v>0</v>
      </c>
      <c r="P458" s="33" cm="1">
        <f t="array" ref="P458">SUMPRODUCT(ISNUMBER(MATCH(mod_ko_pio,$B$418,0))*('Koszty operacyjne'!$K$114:$X$114=Moduły!P$73),ko_pio)</f>
        <v>0</v>
      </c>
    </row>
    <row r="459" spans="2:16">
      <c r="B459" s="37" t="s">
        <v>109</v>
      </c>
      <c r="C459" s="33" cm="1">
        <f t="array" ref="C459">SUMPRODUCT(ISNUMBER(MATCH(mod_ko_wyn,$B$418,0))*('Koszty operacyjne'!$K$114:$X$114=Moduły!C$73),ko_wyn)</f>
        <v>0</v>
      </c>
      <c r="D459" s="33" cm="1">
        <f t="array" ref="D459">SUMPRODUCT(ISNUMBER(MATCH(mod_ko_wyn,$B$418,0))*('Koszty operacyjne'!$K$114:$X$114=Moduły!D$73),ko_wyn)</f>
        <v>0</v>
      </c>
      <c r="E459" s="33" cm="1">
        <f t="array" ref="E459">SUMPRODUCT(ISNUMBER(MATCH(mod_ko_wyn,$B$418,0))*('Koszty operacyjne'!$K$114:$X$114=Moduły!E$73),ko_wyn)</f>
        <v>0</v>
      </c>
      <c r="F459" s="33" cm="1">
        <f t="array" ref="F459">SUMPRODUCT(ISNUMBER(MATCH(mod_ko_wyn,$B$418,0))*('Koszty operacyjne'!$K$114:$X$114=Moduły!F$73),ko_wyn)</f>
        <v>0</v>
      </c>
      <c r="G459" s="33" cm="1">
        <f t="array" ref="G459">SUMPRODUCT(ISNUMBER(MATCH(mod_ko_wyn,$B$418,0))*('Koszty operacyjne'!$K$114:$X$114=Moduły!G$73),ko_wyn)</f>
        <v>0</v>
      </c>
      <c r="H459" s="33" cm="1">
        <f t="array" ref="H459">SUMPRODUCT(ISNUMBER(MATCH(mod_ko_wyn,$B$418,0))*('Koszty operacyjne'!$K$114:$X$114=Moduły!H$73),ko_wyn)</f>
        <v>0</v>
      </c>
      <c r="I459" s="33" cm="1">
        <f t="array" ref="I459">SUMPRODUCT(ISNUMBER(MATCH(mod_ko_wyn,$B$418,0))*('Koszty operacyjne'!$K$114:$X$114=Moduły!I$73),ko_wyn)</f>
        <v>0</v>
      </c>
      <c r="J459" s="33" cm="1">
        <f t="array" ref="J459">SUMPRODUCT(ISNUMBER(MATCH(mod_ko_wyn,$B$418,0))*('Koszty operacyjne'!$K$114:$X$114=Moduły!J$73),ko_wyn)</f>
        <v>0</v>
      </c>
      <c r="K459" s="33" cm="1">
        <f t="array" ref="K459">SUMPRODUCT(ISNUMBER(MATCH(mod_ko_wyn,$B$418,0))*('Koszty operacyjne'!$K$114:$X$114=Moduły!K$73),ko_wyn)</f>
        <v>0</v>
      </c>
      <c r="L459" s="33" cm="1">
        <f t="array" ref="L459">SUMPRODUCT(ISNUMBER(MATCH(mod_ko_wyn,$B$418,0))*('Koszty operacyjne'!$K$114:$X$114=Moduły!L$73),ko_wyn)</f>
        <v>0</v>
      </c>
      <c r="M459" s="33" cm="1">
        <f t="array" ref="M459">SUMPRODUCT(ISNUMBER(MATCH(mod_ko_wyn,$B$418,0))*('Koszty operacyjne'!$K$114:$X$114=Moduły!M$73),ko_wyn)</f>
        <v>0</v>
      </c>
      <c r="N459" s="33" cm="1">
        <f t="array" ref="N459">SUMPRODUCT(ISNUMBER(MATCH(mod_ko_wyn,$B$418,0))*('Koszty operacyjne'!$K$114:$X$114=Moduły!N$73),ko_wyn)</f>
        <v>0</v>
      </c>
      <c r="O459" s="33" cm="1">
        <f t="array" ref="O459">SUMPRODUCT(ISNUMBER(MATCH(mod_ko_wyn,$B$418,0))*('Koszty operacyjne'!$K$114:$X$114=Moduły!O$73),ko_wyn)</f>
        <v>0</v>
      </c>
      <c r="P459" s="33" cm="1">
        <f t="array" ref="P459">SUMPRODUCT(ISNUMBER(MATCH(mod_ko_wyn,$B$418,0))*('Koszty operacyjne'!$K$114:$X$114=Moduły!P$73),ko_wyn)</f>
        <v>0</v>
      </c>
    </row>
    <row r="460" spans="2:16">
      <c r="B460" s="37" t="s">
        <v>110</v>
      </c>
      <c r="C460" s="33" cm="1">
        <f t="array" ref="C460">SUMPRODUCT(ISNUMBER(MATCH(mod_ko_zus,$B$418,0))*('Koszty operacyjne'!$K$114:$X$114=Moduły!C$73),ko_zus)</f>
        <v>0</v>
      </c>
      <c r="D460" s="33" cm="1">
        <f t="array" ref="D460">SUMPRODUCT(ISNUMBER(MATCH(mod_ko_zus,$B$418,0))*('Koszty operacyjne'!$K$114:$X$114=Moduły!D$73),ko_zus)</f>
        <v>0</v>
      </c>
      <c r="E460" s="33" cm="1">
        <f t="array" ref="E460">SUMPRODUCT(ISNUMBER(MATCH(mod_ko_zus,$B$418,0))*('Koszty operacyjne'!$K$114:$X$114=Moduły!E$73),ko_zus)</f>
        <v>0</v>
      </c>
      <c r="F460" s="33" cm="1">
        <f t="array" ref="F460">SUMPRODUCT(ISNUMBER(MATCH(mod_ko_zus,$B$418,0))*('Koszty operacyjne'!$K$114:$X$114=Moduły!F$73),ko_zus)</f>
        <v>0</v>
      </c>
      <c r="G460" s="33" cm="1">
        <f t="array" ref="G460">SUMPRODUCT(ISNUMBER(MATCH(mod_ko_zus,$B$418,0))*('Koszty operacyjne'!$K$114:$X$114=Moduły!G$73),ko_zus)</f>
        <v>0</v>
      </c>
      <c r="H460" s="33" cm="1">
        <f t="array" ref="H460">SUMPRODUCT(ISNUMBER(MATCH(mod_ko_zus,$B$418,0))*('Koszty operacyjne'!$K$114:$X$114=Moduły!H$73),ko_zus)</f>
        <v>0</v>
      </c>
      <c r="I460" s="33" cm="1">
        <f t="array" ref="I460">SUMPRODUCT(ISNUMBER(MATCH(mod_ko_zus,$B$418,0))*('Koszty operacyjne'!$K$114:$X$114=Moduły!I$73),ko_zus)</f>
        <v>0</v>
      </c>
      <c r="J460" s="33" cm="1">
        <f t="array" ref="J460">SUMPRODUCT(ISNUMBER(MATCH(mod_ko_zus,$B$418,0))*('Koszty operacyjne'!$K$114:$X$114=Moduły!J$73),ko_zus)</f>
        <v>0</v>
      </c>
      <c r="K460" s="33" cm="1">
        <f t="array" ref="K460">SUMPRODUCT(ISNUMBER(MATCH(mod_ko_zus,$B$418,0))*('Koszty operacyjne'!$K$114:$X$114=Moduły!K$73),ko_zus)</f>
        <v>0</v>
      </c>
      <c r="L460" s="33" cm="1">
        <f t="array" ref="L460">SUMPRODUCT(ISNUMBER(MATCH(mod_ko_zus,$B$418,0))*('Koszty operacyjne'!$K$114:$X$114=Moduły!L$73),ko_zus)</f>
        <v>0</v>
      </c>
      <c r="M460" s="33" cm="1">
        <f t="array" ref="M460">SUMPRODUCT(ISNUMBER(MATCH(mod_ko_zus,$B$418,0))*('Koszty operacyjne'!$K$114:$X$114=Moduły!M$73),ko_zus)</f>
        <v>0</v>
      </c>
      <c r="N460" s="33" cm="1">
        <f t="array" ref="N460">SUMPRODUCT(ISNUMBER(MATCH(mod_ko_zus,$B$418,0))*('Koszty operacyjne'!$K$114:$X$114=Moduły!N$73),ko_zus)</f>
        <v>0</v>
      </c>
      <c r="O460" s="33" cm="1">
        <f t="array" ref="O460">SUMPRODUCT(ISNUMBER(MATCH(mod_ko_zus,$B$418,0))*('Koszty operacyjne'!$K$114:$X$114=Moduły!O$73),ko_zus)</f>
        <v>0</v>
      </c>
      <c r="P460" s="33" cm="1">
        <f t="array" ref="P460">SUMPRODUCT(ISNUMBER(MATCH(mod_ko_zus,$B$418,0))*('Koszty operacyjne'!$K$114:$X$114=Moduły!P$73),ko_zus)</f>
        <v>0</v>
      </c>
    </row>
    <row r="461" spans="2:16">
      <c r="B461" s="37" t="s">
        <v>111</v>
      </c>
      <c r="C461" s="33" cm="1">
        <f t="array" ref="C461">SUMPRODUCT(ISNUMBER(MATCH(mod_ko_pkr,$B$418,0))*('Koszty operacyjne'!$K$114:$X$114=Moduły!C$73),ko_pkr)</f>
        <v>0</v>
      </c>
      <c r="D461" s="33" cm="1">
        <f t="array" ref="D461">SUMPRODUCT(ISNUMBER(MATCH(mod_ko_pkr,$B$418,0))*('Koszty operacyjne'!$K$114:$X$114=Moduły!D$73),ko_pkr)</f>
        <v>0</v>
      </c>
      <c r="E461" s="33" cm="1">
        <f t="array" ref="E461">SUMPRODUCT(ISNUMBER(MATCH(mod_ko_pkr,$B$418,0))*('Koszty operacyjne'!$K$114:$X$114=Moduły!E$73),ko_pkr)</f>
        <v>0</v>
      </c>
      <c r="F461" s="33" cm="1">
        <f t="array" ref="F461">SUMPRODUCT(ISNUMBER(MATCH(mod_ko_pkr,$B$418,0))*('Koszty operacyjne'!$K$114:$X$114=Moduły!F$73),ko_pkr)</f>
        <v>0</v>
      </c>
      <c r="G461" s="33" cm="1">
        <f t="array" ref="G461">SUMPRODUCT(ISNUMBER(MATCH(mod_ko_pkr,$B$418,0))*('Koszty operacyjne'!$K$114:$X$114=Moduły!G$73),ko_pkr)</f>
        <v>0</v>
      </c>
      <c r="H461" s="33" cm="1">
        <f t="array" ref="H461">SUMPRODUCT(ISNUMBER(MATCH(mod_ko_pkr,$B$418,0))*('Koszty operacyjne'!$K$114:$X$114=Moduły!H$73),ko_pkr)</f>
        <v>0</v>
      </c>
      <c r="I461" s="33" cm="1">
        <f t="array" ref="I461">SUMPRODUCT(ISNUMBER(MATCH(mod_ko_pkr,$B$418,0))*('Koszty operacyjne'!$K$114:$X$114=Moduły!I$73),ko_pkr)</f>
        <v>0</v>
      </c>
      <c r="J461" s="33" cm="1">
        <f t="array" ref="J461">SUMPRODUCT(ISNUMBER(MATCH(mod_ko_pkr,$B$418,0))*('Koszty operacyjne'!$K$114:$X$114=Moduły!J$73),ko_pkr)</f>
        <v>0</v>
      </c>
      <c r="K461" s="33" cm="1">
        <f t="array" ref="K461">SUMPRODUCT(ISNUMBER(MATCH(mod_ko_pkr,$B$418,0))*('Koszty operacyjne'!$K$114:$X$114=Moduły!K$73),ko_pkr)</f>
        <v>0</v>
      </c>
      <c r="L461" s="33" cm="1">
        <f t="array" ref="L461">SUMPRODUCT(ISNUMBER(MATCH(mod_ko_pkr,$B$418,0))*('Koszty operacyjne'!$K$114:$X$114=Moduły!L$73),ko_pkr)</f>
        <v>0</v>
      </c>
      <c r="M461" s="33" cm="1">
        <f t="array" ref="M461">SUMPRODUCT(ISNUMBER(MATCH(mod_ko_pkr,$B$418,0))*('Koszty operacyjne'!$K$114:$X$114=Moduły!M$73),ko_pkr)</f>
        <v>0</v>
      </c>
      <c r="N461" s="33" cm="1">
        <f t="array" ref="N461">SUMPRODUCT(ISNUMBER(MATCH(mod_ko_pkr,$B$418,0))*('Koszty operacyjne'!$K$114:$X$114=Moduły!N$73),ko_pkr)</f>
        <v>0</v>
      </c>
      <c r="O461" s="33" cm="1">
        <f t="array" ref="O461">SUMPRODUCT(ISNUMBER(MATCH(mod_ko_pkr,$B$418,0))*('Koszty operacyjne'!$K$114:$X$114=Moduły!O$73),ko_pkr)</f>
        <v>0</v>
      </c>
      <c r="P461" s="33" cm="1">
        <f t="array" ref="P461">SUMPRODUCT(ISNUMBER(MATCH(mod_ko_pkr,$B$418,0))*('Koszty operacyjne'!$K$114:$X$114=Moduły!P$73),ko_pkr)</f>
        <v>0</v>
      </c>
    </row>
    <row r="462" spans="2:16">
      <c r="B462" s="37" t="s">
        <v>112</v>
      </c>
      <c r="C462" s="33" cm="1">
        <f t="array" ref="C462">SUMPRODUCT(ISNUMBER(MATCH(mod_pp_ptim_wstim,$B$418,0))*('Koszty operacyjne'!$K$114:$X$114=Moduły!C$73),pp_ptim_wstim)</f>
        <v>0</v>
      </c>
      <c r="D462" s="33" cm="1">
        <f t="array" ref="D462">SUMPRODUCT(ISNUMBER(MATCH(mod_pp_ptim_wstim,$B$418,0))*('Koszty operacyjne'!$K$114:$X$114=Moduły!D$73),pp_ptim_wstim)</f>
        <v>0</v>
      </c>
      <c r="E462" s="33" cm="1">
        <f t="array" ref="E462">SUMPRODUCT(ISNUMBER(MATCH(mod_pp_ptim_wstim,$B$418,0))*('Koszty operacyjne'!$K$114:$X$114=Moduły!E$73),pp_ptim_wstim)</f>
        <v>0</v>
      </c>
      <c r="F462" s="33" cm="1">
        <f t="array" ref="F462">SUMPRODUCT(ISNUMBER(MATCH(mod_pp_ptim_wstim,$B$418,0))*('Koszty operacyjne'!$K$114:$X$114=Moduły!F$73),pp_ptim_wstim)</f>
        <v>0</v>
      </c>
      <c r="G462" s="33" cm="1">
        <f t="array" ref="G462">SUMPRODUCT(ISNUMBER(MATCH(mod_pp_ptim_wstim,$B$418,0))*('Koszty operacyjne'!$K$114:$X$114=Moduły!G$73),pp_ptim_wstim)</f>
        <v>0</v>
      </c>
      <c r="H462" s="33" cm="1">
        <f t="array" ref="H462">SUMPRODUCT(ISNUMBER(MATCH(mod_pp_ptim_wstim,$B$418,0))*('Koszty operacyjne'!$K$114:$X$114=Moduły!H$73),pp_ptim_wstim)</f>
        <v>0</v>
      </c>
      <c r="I462" s="33" cm="1">
        <f t="array" ref="I462">SUMPRODUCT(ISNUMBER(MATCH(mod_pp_ptim_wstim,$B$418,0))*('Koszty operacyjne'!$K$114:$X$114=Moduły!I$73),pp_ptim_wstim)</f>
        <v>0</v>
      </c>
      <c r="J462" s="33" cm="1">
        <f t="array" ref="J462">SUMPRODUCT(ISNUMBER(MATCH(mod_pp_ptim_wstim,$B$418,0))*('Koszty operacyjne'!$K$114:$X$114=Moduły!J$73),pp_ptim_wstim)</f>
        <v>0</v>
      </c>
      <c r="K462" s="33" cm="1">
        <f t="array" ref="K462">SUMPRODUCT(ISNUMBER(MATCH(mod_pp_ptim_wstim,$B$418,0))*('Koszty operacyjne'!$K$114:$X$114=Moduły!K$73),pp_ptim_wstim)</f>
        <v>0</v>
      </c>
      <c r="L462" s="33" cm="1">
        <f t="array" ref="L462">SUMPRODUCT(ISNUMBER(MATCH(mod_pp_ptim_wstim,$B$418,0))*('Koszty operacyjne'!$K$114:$X$114=Moduły!L$73),pp_ptim_wstim)</f>
        <v>0</v>
      </c>
      <c r="M462" s="33" cm="1">
        <f t="array" ref="M462">SUMPRODUCT(ISNUMBER(MATCH(mod_pp_ptim_wstim,$B$418,0))*('Koszty operacyjne'!$K$114:$X$114=Moduły!M$73),pp_ptim_wstim)</f>
        <v>0</v>
      </c>
      <c r="N462" s="33" cm="1">
        <f t="array" ref="N462">SUMPRODUCT(ISNUMBER(MATCH(mod_pp_ptim_wstim,$B$418,0))*('Koszty operacyjne'!$K$114:$X$114=Moduły!N$73),pp_ptim_wstim)</f>
        <v>0</v>
      </c>
      <c r="O462" s="33" cm="1">
        <f t="array" ref="O462">SUMPRODUCT(ISNUMBER(MATCH(mod_pp_ptim_wstim,$B$418,0))*('Koszty operacyjne'!$K$114:$X$114=Moduły!O$73),pp_ptim_wstim)</f>
        <v>0</v>
      </c>
      <c r="P462" s="33" cm="1">
        <f t="array" ref="P462">SUMPRODUCT(ISNUMBER(MATCH(mod_pp_ptim_wstim,$B$418,0))*('Koszty operacyjne'!$K$114:$X$114=Moduły!P$73),pp_ptim_wstim)</f>
        <v>0</v>
      </c>
    </row>
    <row r="463" spans="2:16"/>
    <row r="464" spans="2:16"/>
    <row r="465" spans="2:16">
      <c r="B465" s="371" t="s">
        <v>117</v>
      </c>
      <c r="C465" s="371" t="str">
        <f>C$73</f>
        <v>Uzupełnij dane</v>
      </c>
      <c r="D465" s="371" t="str">
        <f t="shared" ref="D465:P465" si="218">D$73</f>
        <v/>
      </c>
      <c r="E465" s="371" t="str">
        <f t="shared" si="218"/>
        <v/>
      </c>
      <c r="F465" s="371" t="str">
        <f t="shared" si="218"/>
        <v/>
      </c>
      <c r="G465" s="371" t="str">
        <f t="shared" si="218"/>
        <v/>
      </c>
      <c r="H465" s="371" t="str">
        <f t="shared" si="218"/>
        <v/>
      </c>
      <c r="I465" s="371" t="str">
        <f t="shared" si="218"/>
        <v/>
      </c>
      <c r="J465" s="371" t="str">
        <f t="shared" si="218"/>
        <v/>
      </c>
      <c r="K465" s="371" t="str">
        <f t="shared" si="218"/>
        <v/>
      </c>
      <c r="L465" s="371" t="str">
        <f t="shared" si="218"/>
        <v/>
      </c>
      <c r="M465" s="371" t="str">
        <f t="shared" si="218"/>
        <v/>
      </c>
      <c r="N465" s="371" t="str">
        <f t="shared" si="218"/>
        <v/>
      </c>
      <c r="O465" s="371" t="str">
        <f t="shared" si="218"/>
        <v/>
      </c>
      <c r="P465" s="371" t="str">
        <f t="shared" si="218"/>
        <v/>
      </c>
    </row>
    <row r="466" spans="2:16" ht="3.9" customHeight="1"/>
    <row r="467" spans="2:16" ht="12" customHeight="1">
      <c r="B467" s="99" t="s">
        <v>93</v>
      </c>
      <c r="C467" s="98">
        <f t="shared" ref="C467:P467" si="219">SUM(C468:C469)</f>
        <v>0</v>
      </c>
      <c r="D467" s="98">
        <f t="shared" si="219"/>
        <v>0</v>
      </c>
      <c r="E467" s="98">
        <f t="shared" si="219"/>
        <v>0</v>
      </c>
      <c r="F467" s="98">
        <f t="shared" si="219"/>
        <v>0</v>
      </c>
      <c r="G467" s="98">
        <f t="shared" si="219"/>
        <v>0</v>
      </c>
      <c r="H467" s="98">
        <f t="shared" si="219"/>
        <v>0</v>
      </c>
      <c r="I467" s="98">
        <f t="shared" si="219"/>
        <v>0</v>
      </c>
      <c r="J467" s="98">
        <f t="shared" si="219"/>
        <v>0</v>
      </c>
      <c r="K467" s="98">
        <f t="shared" si="219"/>
        <v>0</v>
      </c>
      <c r="L467" s="98">
        <f t="shared" si="219"/>
        <v>0</v>
      </c>
      <c r="M467" s="98">
        <f t="shared" si="219"/>
        <v>0</v>
      </c>
      <c r="N467" s="98">
        <f t="shared" si="219"/>
        <v>0</v>
      </c>
      <c r="O467" s="98">
        <f t="shared" si="219"/>
        <v>0</v>
      </c>
      <c r="P467" s="98">
        <f t="shared" si="219"/>
        <v>0</v>
      </c>
    </row>
    <row r="468" spans="2:16">
      <c r="B468" s="465" t="s">
        <v>95</v>
      </c>
      <c r="C468" s="466">
        <f t="shared" ref="C468:P468" si="220">C472+C476+C480+C484+C488+C492+C496</f>
        <v>0</v>
      </c>
      <c r="D468" s="466">
        <f t="shared" si="220"/>
        <v>0</v>
      </c>
      <c r="E468" s="466">
        <f t="shared" si="220"/>
        <v>0</v>
      </c>
      <c r="F468" s="466">
        <f t="shared" si="220"/>
        <v>0</v>
      </c>
      <c r="G468" s="466">
        <f t="shared" si="220"/>
        <v>0</v>
      </c>
      <c r="H468" s="466">
        <f t="shared" si="220"/>
        <v>0</v>
      </c>
      <c r="I468" s="466">
        <f t="shared" si="220"/>
        <v>0</v>
      </c>
      <c r="J468" s="466">
        <f t="shared" si="220"/>
        <v>0</v>
      </c>
      <c r="K468" s="467">
        <f t="shared" si="220"/>
        <v>0</v>
      </c>
      <c r="L468" s="467">
        <f t="shared" si="220"/>
        <v>0</v>
      </c>
      <c r="M468" s="467">
        <f t="shared" si="220"/>
        <v>0</v>
      </c>
      <c r="N468" s="467">
        <f t="shared" si="220"/>
        <v>0</v>
      </c>
      <c r="O468" s="467">
        <f t="shared" si="220"/>
        <v>0</v>
      </c>
      <c r="P468" s="467">
        <f t="shared" si="220"/>
        <v>0</v>
      </c>
    </row>
    <row r="469" spans="2:16">
      <c r="B469" s="468" t="s">
        <v>96</v>
      </c>
      <c r="C469" s="469">
        <f t="shared" ref="C469:P469" si="221">C473+C477+C481+C485+C489+C493+C497</f>
        <v>0</v>
      </c>
      <c r="D469" s="469">
        <f t="shared" si="221"/>
        <v>0</v>
      </c>
      <c r="E469" s="469">
        <f t="shared" si="221"/>
        <v>0</v>
      </c>
      <c r="F469" s="469">
        <f t="shared" si="221"/>
        <v>0</v>
      </c>
      <c r="G469" s="469">
        <f t="shared" si="221"/>
        <v>0</v>
      </c>
      <c r="H469" s="469">
        <f t="shared" si="221"/>
        <v>0</v>
      </c>
      <c r="I469" s="469">
        <f t="shared" si="221"/>
        <v>0</v>
      </c>
      <c r="J469" s="469">
        <f t="shared" si="221"/>
        <v>0</v>
      </c>
      <c r="K469" s="470">
        <f t="shared" si="221"/>
        <v>0</v>
      </c>
      <c r="L469" s="470">
        <f t="shared" si="221"/>
        <v>0</v>
      </c>
      <c r="M469" s="470">
        <f t="shared" si="221"/>
        <v>0</v>
      </c>
      <c r="N469" s="470">
        <f t="shared" si="221"/>
        <v>0</v>
      </c>
      <c r="O469" s="470">
        <f t="shared" si="221"/>
        <v>0</v>
      </c>
      <c r="P469" s="470">
        <f t="shared" si="221"/>
        <v>0</v>
      </c>
    </row>
    <row r="470" spans="2:16" ht="3.9" customHeight="1"/>
    <row r="471" spans="2:16" ht="12" customHeight="1">
      <c r="B471" s="355" t="s">
        <v>94</v>
      </c>
      <c r="C471" s="356">
        <f t="shared" ref="C471:P471" si="222">SUM(C472:C473)</f>
        <v>0</v>
      </c>
      <c r="D471" s="356">
        <f t="shared" si="222"/>
        <v>0</v>
      </c>
      <c r="E471" s="356">
        <f t="shared" si="222"/>
        <v>0</v>
      </c>
      <c r="F471" s="356">
        <f t="shared" si="222"/>
        <v>0</v>
      </c>
      <c r="G471" s="356">
        <f t="shared" si="222"/>
        <v>0</v>
      </c>
      <c r="H471" s="356">
        <f t="shared" si="222"/>
        <v>0</v>
      </c>
      <c r="I471" s="356">
        <f t="shared" si="222"/>
        <v>0</v>
      </c>
      <c r="J471" s="356">
        <f t="shared" si="222"/>
        <v>0</v>
      </c>
      <c r="K471" s="356">
        <f t="shared" si="222"/>
        <v>0</v>
      </c>
      <c r="L471" s="356">
        <f t="shared" si="222"/>
        <v>0</v>
      </c>
      <c r="M471" s="356">
        <f t="shared" si="222"/>
        <v>0</v>
      </c>
      <c r="N471" s="356">
        <f t="shared" si="222"/>
        <v>0</v>
      </c>
      <c r="O471" s="356">
        <f t="shared" si="222"/>
        <v>0</v>
      </c>
      <c r="P471" s="356">
        <f t="shared" si="222"/>
        <v>0</v>
      </c>
    </row>
    <row r="472" spans="2:16" ht="12" customHeight="1">
      <c r="B472" s="357" t="s">
        <v>95</v>
      </c>
      <c r="C472" s="358" cm="1">
        <f t="array" ref="C472">SUMPRODUCT(ISNUMBER(MATCH(mod_st_zpr,$B$465,0))*('Koszty operacyjne'!$K$114:$X$114=Moduły!C$73)*ISNUMBER(MATCH(st_zpr_kw,tak,0)),st_zpr)</f>
        <v>0</v>
      </c>
      <c r="D472" s="358" cm="1">
        <f t="array" ref="D472">SUMPRODUCT(ISNUMBER(MATCH(mod_st_zpr,$B$465,0))*('Koszty operacyjne'!$K$114:$X$114=Moduły!D$73)*ISNUMBER(MATCH(st_zpr_kw,tak,0)),st_zpr)</f>
        <v>0</v>
      </c>
      <c r="E472" s="358" cm="1">
        <f t="array" ref="E472">SUMPRODUCT(ISNUMBER(MATCH(mod_st_zpr,$B$465,0))*('Koszty operacyjne'!$K$114:$X$114=Moduły!E$73)*ISNUMBER(MATCH(st_zpr_kw,tak,0)),st_zpr)</f>
        <v>0</v>
      </c>
      <c r="F472" s="358" cm="1">
        <f t="array" ref="F472">SUMPRODUCT(ISNUMBER(MATCH(mod_st_zpr,$B$465,0))*('Koszty operacyjne'!$K$114:$X$114=Moduły!F$73)*ISNUMBER(MATCH(st_zpr_kw,tak,0)),st_zpr)</f>
        <v>0</v>
      </c>
      <c r="G472" s="358" cm="1">
        <f t="array" ref="G472">SUMPRODUCT(ISNUMBER(MATCH(mod_st_zpr,$B$465,0))*('Koszty operacyjne'!$K$114:$X$114=Moduły!G$73)*ISNUMBER(MATCH(st_zpr_kw,tak,0)),st_zpr)</f>
        <v>0</v>
      </c>
      <c r="H472" s="358" cm="1">
        <f t="array" ref="H472">SUMPRODUCT(ISNUMBER(MATCH(mod_st_zpr,$B$465,0))*('Koszty operacyjne'!$K$114:$X$114=Moduły!H$73)*ISNUMBER(MATCH(st_zpr_kw,tak,0)),st_zpr)</f>
        <v>0</v>
      </c>
      <c r="I472" s="358" cm="1">
        <f t="array" ref="I472">SUMPRODUCT(ISNUMBER(MATCH(mod_st_zpr,$B$465,0))*('Koszty operacyjne'!$K$114:$X$114=Moduły!I$73)*ISNUMBER(MATCH(st_zpr_kw,tak,0)),st_zpr)</f>
        <v>0</v>
      </c>
      <c r="J472" s="358" cm="1">
        <f t="array" ref="J472">SUMPRODUCT(ISNUMBER(MATCH(mod_st_zpr,$B$465,0))*('Koszty operacyjne'!$K$114:$X$114=Moduły!J$73)*ISNUMBER(MATCH(st_zpr_kw,tak,0)),st_zpr)</f>
        <v>0</v>
      </c>
      <c r="K472" s="358" cm="1">
        <f t="array" ref="K472">SUMPRODUCT(ISNUMBER(MATCH(mod_st_zpr,$B$465,0))*('Koszty operacyjne'!$K$114:$X$114=Moduły!K$73)*ISNUMBER(MATCH(st_zpr_kw,tak,0)),st_zpr)</f>
        <v>0</v>
      </c>
      <c r="L472" s="358" cm="1">
        <f t="array" ref="L472">SUMPRODUCT(ISNUMBER(MATCH(mod_st_zpr,$B$465,0))*('Koszty operacyjne'!$K$114:$X$114=Moduły!L$73)*ISNUMBER(MATCH(st_zpr_kw,tak,0)),st_zpr)</f>
        <v>0</v>
      </c>
      <c r="M472" s="358" cm="1">
        <f t="array" ref="M472">SUMPRODUCT(ISNUMBER(MATCH(mod_st_zpr,$B$465,0))*('Koszty operacyjne'!$K$114:$X$114=Moduły!M$73)*ISNUMBER(MATCH(st_zpr_kw,tak,0)),st_zpr)</f>
        <v>0</v>
      </c>
      <c r="N472" s="358" cm="1">
        <f t="array" ref="N472">SUMPRODUCT(ISNUMBER(MATCH(mod_st_zpr,$B$465,0))*('Koszty operacyjne'!$K$114:$X$114=Moduły!N$73)*ISNUMBER(MATCH(st_zpr_kw,tak,0)),st_zpr)</f>
        <v>0</v>
      </c>
      <c r="O472" s="358" cm="1">
        <f t="array" ref="O472">SUMPRODUCT(ISNUMBER(MATCH(mod_st_zpr,$B$465,0))*('Koszty operacyjne'!$K$114:$X$114=Moduły!O$73)*ISNUMBER(MATCH(st_zpr_kw,tak,0)),st_zpr)</f>
        <v>0</v>
      </c>
      <c r="P472" s="358" cm="1">
        <f t="array" ref="P472">SUMPRODUCT(ISNUMBER(MATCH(mod_st_zpr,$B$465,0))*('Koszty operacyjne'!$K$114:$X$114=Moduły!P$73)*ISNUMBER(MATCH(st_zpr_kw,tak,0)),st_zpr)</f>
        <v>0</v>
      </c>
    </row>
    <row r="473" spans="2:16" ht="12" customHeight="1">
      <c r="B473" s="359" t="s">
        <v>96</v>
      </c>
      <c r="C473" s="360" cm="1">
        <f t="array" ref="C473">SUMPRODUCT(ISNUMBER(MATCH(mod_st_zpr,$B$465,0))*('Koszty operacyjne'!$K$114:$X$114=Moduły!C$73)*ISNUMBER(MATCH(st_zpr_kw,nie,0)),st_zpr)</f>
        <v>0</v>
      </c>
      <c r="D473" s="360" cm="1">
        <f t="array" ref="D473">SUMPRODUCT(ISNUMBER(MATCH(mod_st_zpr,$B$465,0))*('Koszty operacyjne'!$K$114:$X$114=Moduły!D$73)*ISNUMBER(MATCH(st_zpr_kw,nie,0)),st_zpr)</f>
        <v>0</v>
      </c>
      <c r="E473" s="360" cm="1">
        <f t="array" ref="E473">SUMPRODUCT(ISNUMBER(MATCH(mod_st_zpr,$B$465,0))*('Koszty operacyjne'!$K$114:$X$114=Moduły!E$73)*ISNUMBER(MATCH(st_zpr_kw,nie,0)),st_zpr)</f>
        <v>0</v>
      </c>
      <c r="F473" s="360" cm="1">
        <f t="array" ref="F473">SUMPRODUCT(ISNUMBER(MATCH(mod_st_zpr,$B$465,0))*('Koszty operacyjne'!$K$114:$X$114=Moduły!F$73)*ISNUMBER(MATCH(st_zpr_kw,nie,0)),st_zpr)</f>
        <v>0</v>
      </c>
      <c r="G473" s="360" cm="1">
        <f t="array" ref="G473">SUMPRODUCT(ISNUMBER(MATCH(mod_st_zpr,$B$465,0))*('Koszty operacyjne'!$K$114:$X$114=Moduły!G$73)*ISNUMBER(MATCH(st_zpr_kw,nie,0)),st_zpr)</f>
        <v>0</v>
      </c>
      <c r="H473" s="360" cm="1">
        <f t="array" ref="H473">SUMPRODUCT(ISNUMBER(MATCH(mod_st_zpr,$B$465,0))*('Koszty operacyjne'!$K$114:$X$114=Moduły!H$73)*ISNUMBER(MATCH(st_zpr_kw,nie,0)),st_zpr)</f>
        <v>0</v>
      </c>
      <c r="I473" s="360" cm="1">
        <f t="array" ref="I473">SUMPRODUCT(ISNUMBER(MATCH(mod_st_zpr,$B$465,0))*('Koszty operacyjne'!$K$114:$X$114=Moduły!I$73)*ISNUMBER(MATCH(st_zpr_kw,nie,0)),st_zpr)</f>
        <v>0</v>
      </c>
      <c r="J473" s="360" cm="1">
        <f t="array" ref="J473">SUMPRODUCT(ISNUMBER(MATCH(mod_st_zpr,$B$465,0))*('Koszty operacyjne'!$K$114:$X$114=Moduły!J$73)*ISNUMBER(MATCH(st_zpr_kw,nie,0)),st_zpr)</f>
        <v>0</v>
      </c>
      <c r="K473" s="361" cm="1">
        <f t="array" ref="K473">SUMPRODUCT(ISNUMBER(MATCH(mod_st_zpr,$B$465,0))*('Koszty operacyjne'!$K$114:$X$114=Moduły!K$73)*ISNUMBER(MATCH(st_zpr_kw,nie,0)),st_zpr)</f>
        <v>0</v>
      </c>
      <c r="L473" s="361" cm="1">
        <f t="array" ref="L473">SUMPRODUCT(ISNUMBER(MATCH(mod_st_zpr,$B$465,0))*('Koszty operacyjne'!$K$114:$X$114=Moduły!L$73)*ISNUMBER(MATCH(st_zpr_kw,nie,0)),st_zpr)</f>
        <v>0</v>
      </c>
      <c r="M473" s="361" cm="1">
        <f t="array" ref="M473">SUMPRODUCT(ISNUMBER(MATCH(mod_st_zpr,$B$465,0))*('Koszty operacyjne'!$K$114:$X$114=Moduły!M$73)*ISNUMBER(MATCH(st_zpr_kw,nie,0)),st_zpr)</f>
        <v>0</v>
      </c>
      <c r="N473" s="361" cm="1">
        <f t="array" ref="N473">SUMPRODUCT(ISNUMBER(MATCH(mod_st_zpr,$B$465,0))*('Koszty operacyjne'!$K$114:$X$114=Moduły!N$73)*ISNUMBER(MATCH(st_zpr_kw,nie,0)),st_zpr)</f>
        <v>0</v>
      </c>
      <c r="O473" s="361" cm="1">
        <f t="array" ref="O473">SUMPRODUCT(ISNUMBER(MATCH(mod_st_zpr,$B$465,0))*('Koszty operacyjne'!$K$114:$X$114=Moduły!O$73)*ISNUMBER(MATCH(st_zpr_kw,nie,0)),st_zpr)</f>
        <v>0</v>
      </c>
      <c r="P473" s="361" cm="1">
        <f t="array" ref="P473">SUMPRODUCT(ISNUMBER(MATCH(mod_st_zpr,$B$465,0))*('Koszty operacyjne'!$K$114:$X$114=Moduły!P$73)*ISNUMBER(MATCH(st_zpr_kw,nie,0)),st_zpr)</f>
        <v>0</v>
      </c>
    </row>
    <row r="474" spans="2:16" ht="3.9" customHeight="1">
      <c r="B474" s="362"/>
      <c r="C474" s="363"/>
      <c r="D474" s="363"/>
      <c r="E474" s="363"/>
      <c r="F474" s="363"/>
      <c r="G474" s="363"/>
      <c r="H474" s="363"/>
      <c r="I474" s="363"/>
      <c r="J474" s="363"/>
      <c r="K474" s="364"/>
      <c r="L474" s="364"/>
      <c r="M474" s="364"/>
      <c r="N474" s="364"/>
      <c r="O474" s="364"/>
      <c r="P474" s="364"/>
    </row>
    <row r="475" spans="2:16" ht="12" customHeight="1">
      <c r="B475" s="355" t="s">
        <v>97</v>
      </c>
      <c r="C475" s="356">
        <f t="shared" ref="C475:P475" si="223">SUM(C476:C477)</f>
        <v>0</v>
      </c>
      <c r="D475" s="356">
        <f t="shared" si="223"/>
        <v>0</v>
      </c>
      <c r="E475" s="356">
        <f t="shared" si="223"/>
        <v>0</v>
      </c>
      <c r="F475" s="356">
        <f t="shared" si="223"/>
        <v>0</v>
      </c>
      <c r="G475" s="356">
        <f t="shared" si="223"/>
        <v>0</v>
      </c>
      <c r="H475" s="356">
        <f t="shared" si="223"/>
        <v>0</v>
      </c>
      <c r="I475" s="356">
        <f t="shared" si="223"/>
        <v>0</v>
      </c>
      <c r="J475" s="356">
        <f t="shared" si="223"/>
        <v>0</v>
      </c>
      <c r="K475" s="356">
        <f t="shared" si="223"/>
        <v>0</v>
      </c>
      <c r="L475" s="356">
        <f t="shared" si="223"/>
        <v>0</v>
      </c>
      <c r="M475" s="356">
        <f t="shared" si="223"/>
        <v>0</v>
      </c>
      <c r="N475" s="356">
        <f t="shared" si="223"/>
        <v>0</v>
      </c>
      <c r="O475" s="356">
        <f t="shared" si="223"/>
        <v>0</v>
      </c>
      <c r="P475" s="356">
        <f t="shared" si="223"/>
        <v>0</v>
      </c>
    </row>
    <row r="476" spans="2:16" ht="12" customHeight="1">
      <c r="B476" s="357" t="s">
        <v>95</v>
      </c>
      <c r="C476" s="358" cm="1">
        <f t="array" ref="C476">SUMPRODUCT(ISNUMBER(MATCH(mod_st_wnp,$B$465,0))*('Koszty operacyjne'!$K$114:$X$114=Moduły!C$73)*ISNUMBER(MATCH(st_wnp_kw,tak,0)),st_wnp)</f>
        <v>0</v>
      </c>
      <c r="D476" s="358" cm="1">
        <f t="array" ref="D476">SUMPRODUCT(ISNUMBER(MATCH(mod_st_wnp,$B$465,0))*('Koszty operacyjne'!$K$114:$X$114=Moduły!D$73)*ISNUMBER(MATCH(st_wnp_kw,tak,0)),st_wnp)</f>
        <v>0</v>
      </c>
      <c r="E476" s="358" cm="1">
        <f t="array" ref="E476">SUMPRODUCT(ISNUMBER(MATCH(mod_st_wnp,$B$465,0))*('Koszty operacyjne'!$K$114:$X$114=Moduły!E$73)*ISNUMBER(MATCH(st_wnp_kw,tak,0)),st_wnp)</f>
        <v>0</v>
      </c>
      <c r="F476" s="358" cm="1">
        <f t="array" ref="F476">SUMPRODUCT(ISNUMBER(MATCH(mod_st_wnp,$B$465,0))*('Koszty operacyjne'!$K$114:$X$114=Moduły!F$73)*ISNUMBER(MATCH(st_wnp_kw,tak,0)),st_wnp)</f>
        <v>0</v>
      </c>
      <c r="G476" s="358" cm="1">
        <f t="array" ref="G476">SUMPRODUCT(ISNUMBER(MATCH(mod_st_wnp,$B$465,0))*('Koszty operacyjne'!$K$114:$X$114=Moduły!G$73)*ISNUMBER(MATCH(st_wnp_kw,tak,0)),st_wnp)</f>
        <v>0</v>
      </c>
      <c r="H476" s="358" cm="1">
        <f t="array" ref="H476">SUMPRODUCT(ISNUMBER(MATCH(mod_st_wnp,$B$465,0))*('Koszty operacyjne'!$K$114:$X$114=Moduły!H$73)*ISNUMBER(MATCH(st_wnp_kw,tak,0)),st_wnp)</f>
        <v>0</v>
      </c>
      <c r="I476" s="358" cm="1">
        <f t="array" ref="I476">SUMPRODUCT(ISNUMBER(MATCH(mod_st_wnp,$B$465,0))*('Koszty operacyjne'!$K$114:$X$114=Moduły!I$73)*ISNUMBER(MATCH(st_wnp_kw,tak,0)),st_wnp)</f>
        <v>0</v>
      </c>
      <c r="J476" s="358" cm="1">
        <f t="array" ref="J476">SUMPRODUCT(ISNUMBER(MATCH(mod_st_wnp,$B$465,0))*('Koszty operacyjne'!$K$114:$X$114=Moduły!J$73)*ISNUMBER(MATCH(st_wnp_kw,tak,0)),st_wnp)</f>
        <v>0</v>
      </c>
      <c r="K476" s="358" cm="1">
        <f t="array" ref="K476">SUMPRODUCT(ISNUMBER(MATCH(mod_st_wnp,$B$465,0))*('Koszty operacyjne'!$K$114:$X$114=Moduły!K$73)*ISNUMBER(MATCH(st_wnp_kw,tak,0)),st_wnp)</f>
        <v>0</v>
      </c>
      <c r="L476" s="358" cm="1">
        <f t="array" ref="L476">SUMPRODUCT(ISNUMBER(MATCH(mod_st_wnp,$B$465,0))*('Koszty operacyjne'!$K$114:$X$114=Moduły!L$73)*ISNUMBER(MATCH(st_wnp_kw,tak,0)),st_wnp)</f>
        <v>0</v>
      </c>
      <c r="M476" s="358" cm="1">
        <f t="array" ref="M476">SUMPRODUCT(ISNUMBER(MATCH(mod_st_wnp,$B$465,0))*('Koszty operacyjne'!$K$114:$X$114=Moduły!M$73)*ISNUMBER(MATCH(st_wnp_kw,tak,0)),st_wnp)</f>
        <v>0</v>
      </c>
      <c r="N476" s="358" cm="1">
        <f t="array" ref="N476">SUMPRODUCT(ISNUMBER(MATCH(mod_st_wnp,$B$465,0))*('Koszty operacyjne'!$K$114:$X$114=Moduły!N$73)*ISNUMBER(MATCH(st_wnp_kw,tak,0)),st_wnp)</f>
        <v>0</v>
      </c>
      <c r="O476" s="358" cm="1">
        <f t="array" ref="O476">SUMPRODUCT(ISNUMBER(MATCH(mod_st_wnp,$B$465,0))*('Koszty operacyjne'!$K$114:$X$114=Moduły!O$73)*ISNUMBER(MATCH(st_wnp_kw,tak,0)),st_wnp)</f>
        <v>0</v>
      </c>
      <c r="P476" s="358" cm="1">
        <f t="array" ref="P476">SUMPRODUCT(ISNUMBER(MATCH(mod_st_wnp,$B$465,0))*('Koszty operacyjne'!$K$114:$X$114=Moduły!P$73)*ISNUMBER(MATCH(st_wnp_kw,tak,0)),st_wnp)</f>
        <v>0</v>
      </c>
    </row>
    <row r="477" spans="2:16" ht="12" customHeight="1">
      <c r="B477" s="359" t="s">
        <v>96</v>
      </c>
      <c r="C477" s="360" cm="1">
        <f t="array" ref="C477">SUMPRODUCT(ISNUMBER(MATCH(mod_st_wnp,$B$465,0))*('Koszty operacyjne'!$K$114:$X$114=Moduły!C$73)*ISNUMBER(MATCH(st_wnp_kw,nie,0)),st_wnp)</f>
        <v>0</v>
      </c>
      <c r="D477" s="360" cm="1">
        <f t="array" ref="D477">SUMPRODUCT(ISNUMBER(MATCH(mod_st_wnp,$B$465,0))*('Koszty operacyjne'!$K$114:$X$114=Moduły!D$73)*ISNUMBER(MATCH(st_wnp_kw,nie,0)),st_wnp)</f>
        <v>0</v>
      </c>
      <c r="E477" s="360" cm="1">
        <f t="array" ref="E477">SUMPRODUCT(ISNUMBER(MATCH(mod_st_wnp,$B$465,0))*('Koszty operacyjne'!$K$114:$X$114=Moduły!E$73)*ISNUMBER(MATCH(st_wnp_kw,nie,0)),st_wnp)</f>
        <v>0</v>
      </c>
      <c r="F477" s="360" cm="1">
        <f t="array" ref="F477">SUMPRODUCT(ISNUMBER(MATCH(mod_st_wnp,$B$465,0))*('Koszty operacyjne'!$K$114:$X$114=Moduły!F$73)*ISNUMBER(MATCH(st_wnp_kw,nie,0)),st_wnp)</f>
        <v>0</v>
      </c>
      <c r="G477" s="360" cm="1">
        <f t="array" ref="G477">SUMPRODUCT(ISNUMBER(MATCH(mod_st_wnp,$B$465,0))*('Koszty operacyjne'!$K$114:$X$114=Moduły!G$73)*ISNUMBER(MATCH(st_wnp_kw,nie,0)),st_wnp)</f>
        <v>0</v>
      </c>
      <c r="H477" s="360" cm="1">
        <f t="array" ref="H477">SUMPRODUCT(ISNUMBER(MATCH(mod_st_wnp,$B$465,0))*('Koszty operacyjne'!$K$114:$X$114=Moduły!H$73)*ISNUMBER(MATCH(st_wnp_kw,nie,0)),st_wnp)</f>
        <v>0</v>
      </c>
      <c r="I477" s="360" cm="1">
        <f t="array" ref="I477">SUMPRODUCT(ISNUMBER(MATCH(mod_st_wnp,$B$465,0))*('Koszty operacyjne'!$K$114:$X$114=Moduły!I$73)*ISNUMBER(MATCH(st_wnp_kw,nie,0)),st_wnp)</f>
        <v>0</v>
      </c>
      <c r="J477" s="360" cm="1">
        <f t="array" ref="J477">SUMPRODUCT(ISNUMBER(MATCH(mod_st_wnp,$B$465,0))*('Koszty operacyjne'!$K$114:$X$114=Moduły!J$73)*ISNUMBER(MATCH(st_wnp_kw,nie,0)),st_wnp)</f>
        <v>0</v>
      </c>
      <c r="K477" s="361" cm="1">
        <f t="array" ref="K477">SUMPRODUCT(ISNUMBER(MATCH(mod_st_wnp,$B$465,0))*('Koszty operacyjne'!$K$114:$X$114=Moduły!K$73)*ISNUMBER(MATCH(st_wnp_kw,nie,0)),st_wnp)</f>
        <v>0</v>
      </c>
      <c r="L477" s="361" cm="1">
        <f t="array" ref="L477">SUMPRODUCT(ISNUMBER(MATCH(mod_st_wnp,$B$465,0))*('Koszty operacyjne'!$K$114:$X$114=Moduły!L$73)*ISNUMBER(MATCH(st_wnp_kw,nie,0)),st_wnp)</f>
        <v>0</v>
      </c>
      <c r="M477" s="361" cm="1">
        <f t="array" ref="M477">SUMPRODUCT(ISNUMBER(MATCH(mod_st_wnp,$B$465,0))*('Koszty operacyjne'!$K$114:$X$114=Moduły!M$73)*ISNUMBER(MATCH(st_wnp_kw,nie,0)),st_wnp)</f>
        <v>0</v>
      </c>
      <c r="N477" s="361" cm="1">
        <f t="array" ref="N477">SUMPRODUCT(ISNUMBER(MATCH(mod_st_wnp,$B$465,0))*('Koszty operacyjne'!$K$114:$X$114=Moduły!N$73)*ISNUMBER(MATCH(st_wnp_kw,nie,0)),st_wnp)</f>
        <v>0</v>
      </c>
      <c r="O477" s="361" cm="1">
        <f t="array" ref="O477">SUMPRODUCT(ISNUMBER(MATCH(mod_st_wnp,$B$465,0))*('Koszty operacyjne'!$K$114:$X$114=Moduły!O$73)*ISNUMBER(MATCH(st_wnp_kw,nie,0)),st_wnp)</f>
        <v>0</v>
      </c>
      <c r="P477" s="361" cm="1">
        <f t="array" ref="P477">SUMPRODUCT(ISNUMBER(MATCH(mod_st_wnp,$B$465,0))*('Koszty operacyjne'!$K$114:$X$114=Moduły!P$73)*ISNUMBER(MATCH(st_wnp_kw,nie,0)),st_wnp)</f>
        <v>0</v>
      </c>
    </row>
    <row r="478" spans="2:16" ht="3.9" customHeight="1">
      <c r="B478" s="8"/>
      <c r="C478" s="363"/>
      <c r="D478" s="363"/>
      <c r="E478" s="363"/>
      <c r="F478" s="363"/>
      <c r="G478" s="363"/>
      <c r="H478" s="363"/>
      <c r="I478" s="363"/>
      <c r="J478" s="363"/>
      <c r="K478" s="364"/>
      <c r="L478" s="364"/>
      <c r="M478" s="364"/>
      <c r="N478" s="364"/>
      <c r="O478" s="364"/>
      <c r="P478" s="364"/>
    </row>
    <row r="479" spans="2:16" ht="12" customHeight="1">
      <c r="B479" s="355" t="s">
        <v>98</v>
      </c>
      <c r="C479" s="356">
        <f t="shared" ref="C479:P479" si="224">SUM(C480:C481)</f>
        <v>0</v>
      </c>
      <c r="D479" s="356">
        <f t="shared" si="224"/>
        <v>0</v>
      </c>
      <c r="E479" s="356">
        <f t="shared" si="224"/>
        <v>0</v>
      </c>
      <c r="F479" s="356">
        <f t="shared" si="224"/>
        <v>0</v>
      </c>
      <c r="G479" s="356">
        <f t="shared" si="224"/>
        <v>0</v>
      </c>
      <c r="H479" s="356">
        <f t="shared" si="224"/>
        <v>0</v>
      </c>
      <c r="I479" s="356">
        <f t="shared" si="224"/>
        <v>0</v>
      </c>
      <c r="J479" s="356">
        <f t="shared" si="224"/>
        <v>0</v>
      </c>
      <c r="K479" s="356">
        <f t="shared" si="224"/>
        <v>0</v>
      </c>
      <c r="L479" s="356">
        <f t="shared" si="224"/>
        <v>0</v>
      </c>
      <c r="M479" s="356">
        <f t="shared" si="224"/>
        <v>0</v>
      </c>
      <c r="N479" s="356">
        <f t="shared" si="224"/>
        <v>0</v>
      </c>
      <c r="O479" s="356">
        <f t="shared" si="224"/>
        <v>0</v>
      </c>
      <c r="P479" s="356">
        <f t="shared" si="224"/>
        <v>0</v>
      </c>
    </row>
    <row r="480" spans="2:16" ht="12" customHeight="1">
      <c r="B480" s="357" t="s">
        <v>95</v>
      </c>
      <c r="C480" s="358" cm="1">
        <f t="array" ref="C480">SUMPRODUCT(ISNUMBER(MATCH(mod_st_gry,$B$465,0))*('Koszty operacyjne'!$K$114:$X$114=Moduły!C$73)*ISNUMBER(MATCH(st_gry_kw,tak,0)),st_gry)</f>
        <v>0</v>
      </c>
      <c r="D480" s="358" cm="1">
        <f t="array" ref="D480">SUMPRODUCT(ISNUMBER(MATCH(mod_st_gry,$B$465,0))*('Koszty operacyjne'!$K$114:$X$114=Moduły!D$73)*ISNUMBER(MATCH(st_gry_kw,tak,0)),st_gry)</f>
        <v>0</v>
      </c>
      <c r="E480" s="358" cm="1">
        <f t="array" ref="E480">SUMPRODUCT(ISNUMBER(MATCH(mod_st_gry,$B$465,0))*('Koszty operacyjne'!$K$114:$X$114=Moduły!E$73)*ISNUMBER(MATCH(st_gry_kw,tak,0)),st_gry)</f>
        <v>0</v>
      </c>
      <c r="F480" s="358" cm="1">
        <f t="array" ref="F480">SUMPRODUCT(ISNUMBER(MATCH(mod_st_gry,$B$465,0))*('Koszty operacyjne'!$K$114:$X$114=Moduły!F$73)*ISNUMBER(MATCH(st_gry_kw,tak,0)),st_gry)</f>
        <v>0</v>
      </c>
      <c r="G480" s="358" cm="1">
        <f t="array" ref="G480">SUMPRODUCT(ISNUMBER(MATCH(mod_st_gry,$B$465,0))*('Koszty operacyjne'!$K$114:$X$114=Moduły!G$73)*ISNUMBER(MATCH(st_gry_kw,tak,0)),st_gry)</f>
        <v>0</v>
      </c>
      <c r="H480" s="358" cm="1">
        <f t="array" ref="H480">SUMPRODUCT(ISNUMBER(MATCH(mod_st_gry,$B$465,0))*('Koszty operacyjne'!$K$114:$X$114=Moduły!H$73)*ISNUMBER(MATCH(st_gry_kw,tak,0)),st_gry)</f>
        <v>0</v>
      </c>
      <c r="I480" s="358" cm="1">
        <f t="array" ref="I480">SUMPRODUCT(ISNUMBER(MATCH(mod_st_gry,$B$465,0))*('Koszty operacyjne'!$K$114:$X$114=Moduły!I$73)*ISNUMBER(MATCH(st_gry_kw,tak,0)),st_gry)</f>
        <v>0</v>
      </c>
      <c r="J480" s="358" cm="1">
        <f t="array" ref="J480">SUMPRODUCT(ISNUMBER(MATCH(mod_st_gry,$B$465,0))*('Koszty operacyjne'!$K$114:$X$114=Moduły!J$73)*ISNUMBER(MATCH(st_gry_kw,tak,0)),st_gry)</f>
        <v>0</v>
      </c>
      <c r="K480" s="358" cm="1">
        <f t="array" ref="K480">SUMPRODUCT(ISNUMBER(MATCH(mod_st_gry,$B$465,0))*('Koszty operacyjne'!$K$114:$X$114=Moduły!K$73)*ISNUMBER(MATCH(st_gry_kw,tak,0)),st_gry)</f>
        <v>0</v>
      </c>
      <c r="L480" s="358" cm="1">
        <f t="array" ref="L480">SUMPRODUCT(ISNUMBER(MATCH(mod_st_gry,$B$465,0))*('Koszty operacyjne'!$K$114:$X$114=Moduły!L$73)*ISNUMBER(MATCH(st_gry_kw,tak,0)),st_gry)</f>
        <v>0</v>
      </c>
      <c r="M480" s="358" cm="1">
        <f t="array" ref="M480">SUMPRODUCT(ISNUMBER(MATCH(mod_st_gry,$B$465,0))*('Koszty operacyjne'!$K$114:$X$114=Moduły!M$73)*ISNUMBER(MATCH(st_gry_kw,tak,0)),st_gry)</f>
        <v>0</v>
      </c>
      <c r="N480" s="358" cm="1">
        <f t="array" ref="N480">SUMPRODUCT(ISNUMBER(MATCH(mod_st_gry,$B$465,0))*('Koszty operacyjne'!$K$114:$X$114=Moduły!N$73)*ISNUMBER(MATCH(st_gry_kw,tak,0)),st_gry)</f>
        <v>0</v>
      </c>
      <c r="O480" s="358" cm="1">
        <f t="array" ref="O480">SUMPRODUCT(ISNUMBER(MATCH(mod_st_gry,$B$465,0))*('Koszty operacyjne'!$K$114:$X$114=Moduły!O$73)*ISNUMBER(MATCH(st_gry_kw,tak,0)),st_gry)</f>
        <v>0</v>
      </c>
      <c r="P480" s="358" cm="1">
        <f t="array" ref="P480">SUMPRODUCT(ISNUMBER(MATCH(mod_st_gry,$B$465,0))*('Koszty operacyjne'!$K$114:$X$114=Moduły!P$73)*ISNUMBER(MATCH(st_gry_kw,tak,0)),st_gry)</f>
        <v>0</v>
      </c>
    </row>
    <row r="481" spans="2:16" ht="12" customHeight="1">
      <c r="B481" s="359" t="s">
        <v>96</v>
      </c>
      <c r="C481" s="360" cm="1">
        <f t="array" ref="C481">SUMPRODUCT(ISNUMBER(MATCH(mod_st_gry,$B$465,0))*('Koszty operacyjne'!$K$114:$X$114=Moduły!C$73)*ISNUMBER(MATCH(st_gry_kw,nie,0)),st_gry)</f>
        <v>0</v>
      </c>
      <c r="D481" s="360" cm="1">
        <f t="array" ref="D481">SUMPRODUCT(ISNUMBER(MATCH(mod_st_gry,$B$465,0))*('Koszty operacyjne'!$K$114:$X$114=Moduły!D$73)*ISNUMBER(MATCH(st_gry_kw,nie,0)),st_gry)</f>
        <v>0</v>
      </c>
      <c r="E481" s="360" cm="1">
        <f t="array" ref="E481">SUMPRODUCT(ISNUMBER(MATCH(mod_st_gry,$B$465,0))*('Koszty operacyjne'!$K$114:$X$114=Moduły!E$73)*ISNUMBER(MATCH(st_gry_kw,nie,0)),st_gry)</f>
        <v>0</v>
      </c>
      <c r="F481" s="360" cm="1">
        <f t="array" ref="F481">SUMPRODUCT(ISNUMBER(MATCH(mod_st_gry,$B$465,0))*('Koszty operacyjne'!$K$114:$X$114=Moduły!F$73)*ISNUMBER(MATCH(st_gry_kw,nie,0)),st_gry)</f>
        <v>0</v>
      </c>
      <c r="G481" s="360" cm="1">
        <f t="array" ref="G481">SUMPRODUCT(ISNUMBER(MATCH(mod_st_gry,$B$465,0))*('Koszty operacyjne'!$K$114:$X$114=Moduły!G$73)*ISNUMBER(MATCH(st_gry_kw,nie,0)),st_gry)</f>
        <v>0</v>
      </c>
      <c r="H481" s="360" cm="1">
        <f t="array" ref="H481">SUMPRODUCT(ISNUMBER(MATCH(mod_st_gry,$B$465,0))*('Koszty operacyjne'!$K$114:$X$114=Moduły!H$73)*ISNUMBER(MATCH(st_gry_kw,nie,0)),st_gry)</f>
        <v>0</v>
      </c>
      <c r="I481" s="360" cm="1">
        <f t="array" ref="I481">SUMPRODUCT(ISNUMBER(MATCH(mod_st_gry,$B$465,0))*('Koszty operacyjne'!$K$114:$X$114=Moduły!I$73)*ISNUMBER(MATCH(st_gry_kw,nie,0)),st_gry)</f>
        <v>0</v>
      </c>
      <c r="J481" s="360" cm="1">
        <f t="array" ref="J481">SUMPRODUCT(ISNUMBER(MATCH(mod_st_gry,$B$465,0))*('Koszty operacyjne'!$K$114:$X$114=Moduły!J$73)*ISNUMBER(MATCH(st_gry_kw,nie,0)),st_gry)</f>
        <v>0</v>
      </c>
      <c r="K481" s="361" cm="1">
        <f t="array" ref="K481">SUMPRODUCT(ISNUMBER(MATCH(mod_st_gry,$B$465,0))*('Koszty operacyjne'!$K$114:$X$114=Moduły!K$73)*ISNUMBER(MATCH(st_gry_kw,nie,0)),st_gry)</f>
        <v>0</v>
      </c>
      <c r="L481" s="361" cm="1">
        <f t="array" ref="L481">SUMPRODUCT(ISNUMBER(MATCH(mod_st_gry,$B$465,0))*('Koszty operacyjne'!$K$114:$X$114=Moduły!L$73)*ISNUMBER(MATCH(st_gry_kw,nie,0)),st_gry)</f>
        <v>0</v>
      </c>
      <c r="M481" s="361" cm="1">
        <f t="array" ref="M481">SUMPRODUCT(ISNUMBER(MATCH(mod_st_gry,$B$465,0))*('Koszty operacyjne'!$K$114:$X$114=Moduły!M$73)*ISNUMBER(MATCH(st_gry_kw,nie,0)),st_gry)</f>
        <v>0</v>
      </c>
      <c r="N481" s="361" cm="1">
        <f t="array" ref="N481">SUMPRODUCT(ISNUMBER(MATCH(mod_st_gry,$B$465,0))*('Koszty operacyjne'!$K$114:$X$114=Moduły!N$73)*ISNUMBER(MATCH(st_gry_kw,nie,0)),st_gry)</f>
        <v>0</v>
      </c>
      <c r="O481" s="361" cm="1">
        <f t="array" ref="O481">SUMPRODUCT(ISNUMBER(MATCH(mod_st_gry,$B$465,0))*('Koszty operacyjne'!$K$114:$X$114=Moduły!O$73)*ISNUMBER(MATCH(st_gry_kw,nie,0)),st_gry)</f>
        <v>0</v>
      </c>
      <c r="P481" s="361" cm="1">
        <f t="array" ref="P481">SUMPRODUCT(ISNUMBER(MATCH(mod_st_gry,$B$465,0))*('Koszty operacyjne'!$K$114:$X$114=Moduły!P$73)*ISNUMBER(MATCH(st_gry_kw,nie,0)),st_gry)</f>
        <v>0</v>
      </c>
    </row>
    <row r="482" spans="2:16" ht="3.9" customHeight="1">
      <c r="B482" s="8"/>
      <c r="C482" s="363"/>
      <c r="D482" s="363"/>
      <c r="E482" s="363"/>
      <c r="F482" s="363"/>
      <c r="G482" s="363"/>
      <c r="H482" s="363"/>
      <c r="I482" s="363"/>
      <c r="J482" s="363"/>
      <c r="K482" s="364"/>
      <c r="L482" s="364"/>
      <c r="M482" s="364"/>
      <c r="N482" s="364"/>
      <c r="O482" s="364"/>
      <c r="P482" s="364"/>
    </row>
    <row r="483" spans="2:16" ht="12" customHeight="1">
      <c r="B483" s="355" t="s">
        <v>99</v>
      </c>
      <c r="C483" s="356">
        <f t="shared" ref="C483:P483" si="225">SUM(C484:C485)</f>
        <v>0</v>
      </c>
      <c r="D483" s="356">
        <f t="shared" si="225"/>
        <v>0</v>
      </c>
      <c r="E483" s="356">
        <f t="shared" si="225"/>
        <v>0</v>
      </c>
      <c r="F483" s="356">
        <f t="shared" si="225"/>
        <v>0</v>
      </c>
      <c r="G483" s="356">
        <f t="shared" si="225"/>
        <v>0</v>
      </c>
      <c r="H483" s="356">
        <f t="shared" si="225"/>
        <v>0</v>
      </c>
      <c r="I483" s="356">
        <f t="shared" si="225"/>
        <v>0</v>
      </c>
      <c r="J483" s="356">
        <f t="shared" si="225"/>
        <v>0</v>
      </c>
      <c r="K483" s="356">
        <f t="shared" si="225"/>
        <v>0</v>
      </c>
      <c r="L483" s="356">
        <f t="shared" si="225"/>
        <v>0</v>
      </c>
      <c r="M483" s="356">
        <f t="shared" si="225"/>
        <v>0</v>
      </c>
      <c r="N483" s="356">
        <f t="shared" si="225"/>
        <v>0</v>
      </c>
      <c r="O483" s="356">
        <f t="shared" si="225"/>
        <v>0</v>
      </c>
      <c r="P483" s="356">
        <f t="shared" si="225"/>
        <v>0</v>
      </c>
    </row>
    <row r="484" spans="2:16" ht="12" customHeight="1">
      <c r="B484" s="357" t="s">
        <v>95</v>
      </c>
      <c r="C484" s="358" cm="1">
        <f t="array" ref="C484">SUMPRODUCT(ISNUMBER(MATCH(mod_st_bib,$B$465,0))*('Koszty operacyjne'!$K$114:$X$114=Moduły!C$73)*ISNUMBER(MATCH(st_bib_kw,tak,0)),st_bib)</f>
        <v>0</v>
      </c>
      <c r="D484" s="358" cm="1">
        <f t="array" ref="D484">SUMPRODUCT(ISNUMBER(MATCH(mod_st_bib,$B$465,0))*('Koszty operacyjne'!$K$114:$X$114=Moduły!D$73)*ISNUMBER(MATCH(st_bib_kw,tak,0)),st_bib)</f>
        <v>0</v>
      </c>
      <c r="E484" s="358" cm="1">
        <f t="array" ref="E484">SUMPRODUCT(ISNUMBER(MATCH(mod_st_bib,$B$465,0))*('Koszty operacyjne'!$K$114:$X$114=Moduły!E$73)*ISNUMBER(MATCH(st_bib_kw,tak,0)),st_bib)</f>
        <v>0</v>
      </c>
      <c r="F484" s="358" cm="1">
        <f t="array" ref="F484">SUMPRODUCT(ISNUMBER(MATCH(mod_st_bib,$B$465,0))*('Koszty operacyjne'!$K$114:$X$114=Moduły!F$73)*ISNUMBER(MATCH(st_bib_kw,tak,0)),st_bib)</f>
        <v>0</v>
      </c>
      <c r="G484" s="358" cm="1">
        <f t="array" ref="G484">SUMPRODUCT(ISNUMBER(MATCH(mod_st_bib,$B$465,0))*('Koszty operacyjne'!$K$114:$X$114=Moduły!G$73)*ISNUMBER(MATCH(st_bib_kw,tak,0)),st_bib)</f>
        <v>0</v>
      </c>
      <c r="H484" s="358" cm="1">
        <f t="array" ref="H484">SUMPRODUCT(ISNUMBER(MATCH(mod_st_bib,$B$465,0))*('Koszty operacyjne'!$K$114:$X$114=Moduły!H$73)*ISNUMBER(MATCH(st_bib_kw,tak,0)),st_bib)</f>
        <v>0</v>
      </c>
      <c r="I484" s="358" cm="1">
        <f t="array" ref="I484">SUMPRODUCT(ISNUMBER(MATCH(mod_st_bib,$B$465,0))*('Koszty operacyjne'!$K$114:$X$114=Moduły!I$73)*ISNUMBER(MATCH(st_bib_kw,tak,0)),st_bib)</f>
        <v>0</v>
      </c>
      <c r="J484" s="358" cm="1">
        <f t="array" ref="J484">SUMPRODUCT(ISNUMBER(MATCH(mod_st_bib,$B$465,0))*('Koszty operacyjne'!$K$114:$X$114=Moduły!J$73)*ISNUMBER(MATCH(st_bib_kw,tak,0)),st_bib)</f>
        <v>0</v>
      </c>
      <c r="K484" s="358" cm="1">
        <f t="array" ref="K484">SUMPRODUCT(ISNUMBER(MATCH(mod_st_bib,$B$465,0))*('Koszty operacyjne'!$K$114:$X$114=Moduły!K$73)*ISNUMBER(MATCH(st_bib_kw,tak,0)),st_bib)</f>
        <v>0</v>
      </c>
      <c r="L484" s="358" cm="1">
        <f t="array" ref="L484">SUMPRODUCT(ISNUMBER(MATCH(mod_st_bib,$B$465,0))*('Koszty operacyjne'!$K$114:$X$114=Moduły!L$73)*ISNUMBER(MATCH(st_bib_kw,tak,0)),st_bib)</f>
        <v>0</v>
      </c>
      <c r="M484" s="358" cm="1">
        <f t="array" ref="M484">SUMPRODUCT(ISNUMBER(MATCH(mod_st_bib,$B$465,0))*('Koszty operacyjne'!$K$114:$X$114=Moduły!M$73)*ISNUMBER(MATCH(st_bib_kw,tak,0)),st_bib)</f>
        <v>0</v>
      </c>
      <c r="N484" s="358" cm="1">
        <f t="array" ref="N484">SUMPRODUCT(ISNUMBER(MATCH(mod_st_bib,$B$465,0))*('Koszty operacyjne'!$K$114:$X$114=Moduły!N$73)*ISNUMBER(MATCH(st_bib_kw,tak,0)),st_bib)</f>
        <v>0</v>
      </c>
      <c r="O484" s="358" cm="1">
        <f t="array" ref="O484">SUMPRODUCT(ISNUMBER(MATCH(mod_st_bib,$B$465,0))*('Koszty operacyjne'!$K$114:$X$114=Moduły!O$73)*ISNUMBER(MATCH(st_bib_kw,tak,0)),st_bib)</f>
        <v>0</v>
      </c>
      <c r="P484" s="358" cm="1">
        <f t="array" ref="P484">SUMPRODUCT(ISNUMBER(MATCH(mod_st_bib,$B$465,0))*('Koszty operacyjne'!$K$114:$X$114=Moduły!P$73)*ISNUMBER(MATCH(st_bib_kw,tak,0)),st_bib)</f>
        <v>0</v>
      </c>
    </row>
    <row r="485" spans="2:16" ht="12" customHeight="1">
      <c r="B485" s="359" t="s">
        <v>96</v>
      </c>
      <c r="C485" s="360" cm="1">
        <f t="array" ref="C485">SUMPRODUCT(ISNUMBER(MATCH(mod_st_bib,$B$465,0))*('Koszty operacyjne'!$K$114:$X$114=Moduły!C$73)*ISNUMBER(MATCH(st_bib_kw,nie,0)),st_bib)</f>
        <v>0</v>
      </c>
      <c r="D485" s="360" cm="1">
        <f t="array" ref="D485">SUMPRODUCT(ISNUMBER(MATCH(mod_st_bib,$B$465,0))*('Koszty operacyjne'!$K$114:$X$114=Moduły!D$73)*ISNUMBER(MATCH(st_bib_kw,nie,0)),st_bib)</f>
        <v>0</v>
      </c>
      <c r="E485" s="360" cm="1">
        <f t="array" ref="E485">SUMPRODUCT(ISNUMBER(MATCH(mod_st_bib,$B$465,0))*('Koszty operacyjne'!$K$114:$X$114=Moduły!E$73)*ISNUMBER(MATCH(st_bib_kw,nie,0)),st_bib)</f>
        <v>0</v>
      </c>
      <c r="F485" s="360" cm="1">
        <f t="array" ref="F485">SUMPRODUCT(ISNUMBER(MATCH(mod_st_bib,$B$465,0))*('Koszty operacyjne'!$K$114:$X$114=Moduły!F$73)*ISNUMBER(MATCH(st_bib_kw,nie,0)),st_bib)</f>
        <v>0</v>
      </c>
      <c r="G485" s="360" cm="1">
        <f t="array" ref="G485">SUMPRODUCT(ISNUMBER(MATCH(mod_st_bib,$B$465,0))*('Koszty operacyjne'!$K$114:$X$114=Moduły!G$73)*ISNUMBER(MATCH(st_bib_kw,nie,0)),st_bib)</f>
        <v>0</v>
      </c>
      <c r="H485" s="360" cm="1">
        <f t="array" ref="H485">SUMPRODUCT(ISNUMBER(MATCH(mod_st_bib,$B$465,0))*('Koszty operacyjne'!$K$114:$X$114=Moduły!H$73)*ISNUMBER(MATCH(st_bib_kw,nie,0)),st_bib)</f>
        <v>0</v>
      </c>
      <c r="I485" s="360" cm="1">
        <f t="array" ref="I485">SUMPRODUCT(ISNUMBER(MATCH(mod_st_bib,$B$465,0))*('Koszty operacyjne'!$K$114:$X$114=Moduły!I$73)*ISNUMBER(MATCH(st_bib_kw,nie,0)),st_bib)</f>
        <v>0</v>
      </c>
      <c r="J485" s="360" cm="1">
        <f t="array" ref="J485">SUMPRODUCT(ISNUMBER(MATCH(mod_st_bib,$B$465,0))*('Koszty operacyjne'!$K$114:$X$114=Moduły!J$73)*ISNUMBER(MATCH(st_bib_kw,nie,0)),st_bib)</f>
        <v>0</v>
      </c>
      <c r="K485" s="361" cm="1">
        <f t="array" ref="K485">SUMPRODUCT(ISNUMBER(MATCH(mod_st_bib,$B$465,0))*('Koszty operacyjne'!$K$114:$X$114=Moduły!K$73)*ISNUMBER(MATCH(st_bib_kw,nie,0)),st_bib)</f>
        <v>0</v>
      </c>
      <c r="L485" s="361" cm="1">
        <f t="array" ref="L485">SUMPRODUCT(ISNUMBER(MATCH(mod_st_bib,$B$465,0))*('Koszty operacyjne'!$K$114:$X$114=Moduły!L$73)*ISNUMBER(MATCH(st_bib_kw,nie,0)),st_bib)</f>
        <v>0</v>
      </c>
      <c r="M485" s="361" cm="1">
        <f t="array" ref="M485">SUMPRODUCT(ISNUMBER(MATCH(mod_st_bib,$B$465,0))*('Koszty operacyjne'!$K$114:$X$114=Moduły!M$73)*ISNUMBER(MATCH(st_bib_kw,nie,0)),st_bib)</f>
        <v>0</v>
      </c>
      <c r="N485" s="361" cm="1">
        <f t="array" ref="N485">SUMPRODUCT(ISNUMBER(MATCH(mod_st_bib,$B$465,0))*('Koszty operacyjne'!$K$114:$X$114=Moduły!N$73)*ISNUMBER(MATCH(st_bib_kw,nie,0)),st_bib)</f>
        <v>0</v>
      </c>
      <c r="O485" s="361" cm="1">
        <f t="array" ref="O485">SUMPRODUCT(ISNUMBER(MATCH(mod_st_bib,$B$465,0))*('Koszty operacyjne'!$K$114:$X$114=Moduły!O$73)*ISNUMBER(MATCH(st_bib_kw,nie,0)),st_bib)</f>
        <v>0</v>
      </c>
      <c r="P485" s="361" cm="1">
        <f t="array" ref="P485">SUMPRODUCT(ISNUMBER(MATCH(mod_st_bib,$B$465,0))*('Koszty operacyjne'!$K$114:$X$114=Moduły!P$73)*ISNUMBER(MATCH(st_bib_kw,nie,0)),st_bib)</f>
        <v>0</v>
      </c>
    </row>
    <row r="486" spans="2:16" ht="3.9" customHeight="1">
      <c r="B486" s="8"/>
      <c r="C486" s="363"/>
      <c r="D486" s="363"/>
      <c r="E486" s="363"/>
      <c r="F486" s="363"/>
      <c r="G486" s="363"/>
      <c r="H486" s="363"/>
      <c r="I486" s="363"/>
      <c r="J486" s="363"/>
      <c r="K486" s="364"/>
      <c r="L486" s="364"/>
      <c r="M486" s="364"/>
      <c r="N486" s="364"/>
      <c r="O486" s="364"/>
      <c r="P486" s="364"/>
    </row>
    <row r="487" spans="2:16" ht="12" customHeight="1">
      <c r="B487" s="355" t="s">
        <v>100</v>
      </c>
      <c r="C487" s="356">
        <f t="shared" ref="C487:P487" si="226">SUM(C488:C489)</f>
        <v>0</v>
      </c>
      <c r="D487" s="356">
        <f t="shared" si="226"/>
        <v>0</v>
      </c>
      <c r="E487" s="356">
        <f t="shared" si="226"/>
        <v>0</v>
      </c>
      <c r="F487" s="356">
        <f t="shared" si="226"/>
        <v>0</v>
      </c>
      <c r="G487" s="356">
        <f t="shared" si="226"/>
        <v>0</v>
      </c>
      <c r="H487" s="356">
        <f t="shared" si="226"/>
        <v>0</v>
      </c>
      <c r="I487" s="356">
        <f t="shared" si="226"/>
        <v>0</v>
      </c>
      <c r="J487" s="356">
        <f t="shared" si="226"/>
        <v>0</v>
      </c>
      <c r="K487" s="356">
        <f t="shared" si="226"/>
        <v>0</v>
      </c>
      <c r="L487" s="356">
        <f t="shared" si="226"/>
        <v>0</v>
      </c>
      <c r="M487" s="356">
        <f t="shared" si="226"/>
        <v>0</v>
      </c>
      <c r="N487" s="356">
        <f t="shared" si="226"/>
        <v>0</v>
      </c>
      <c r="O487" s="356">
        <f t="shared" si="226"/>
        <v>0</v>
      </c>
      <c r="P487" s="356">
        <f t="shared" si="226"/>
        <v>0</v>
      </c>
    </row>
    <row r="488" spans="2:16" ht="12" customHeight="1">
      <c r="B488" s="357" t="s">
        <v>95</v>
      </c>
      <c r="C488" s="358" cm="1">
        <f t="array" ref="C488">SUMPRODUCT(ISNUMBER(MATCH(mod_st_utm,$B$465,0))*('Koszty operacyjne'!$K$114:$X$114=Moduły!C$73)*ISNUMBER(MATCH(st_utm_kw,tak,0)),st_utm)</f>
        <v>0</v>
      </c>
      <c r="D488" s="358" cm="1">
        <f t="array" ref="D488">SUMPRODUCT(ISNUMBER(MATCH(mod_st_utm,$B$465,0))*('Koszty operacyjne'!$K$114:$X$114=Moduły!D$73)*ISNUMBER(MATCH(st_utm_kw,tak,0)),st_utm)</f>
        <v>0</v>
      </c>
      <c r="E488" s="358" cm="1">
        <f t="array" ref="E488">SUMPRODUCT(ISNUMBER(MATCH(mod_st_utm,$B$465,0))*('Koszty operacyjne'!$K$114:$X$114=Moduły!E$73)*ISNUMBER(MATCH(st_utm_kw,tak,0)),st_utm)</f>
        <v>0</v>
      </c>
      <c r="F488" s="358" cm="1">
        <f t="array" ref="F488">SUMPRODUCT(ISNUMBER(MATCH(mod_st_utm,$B$465,0))*('Koszty operacyjne'!$K$114:$X$114=Moduły!F$73)*ISNUMBER(MATCH(st_utm_kw,tak,0)),st_utm)</f>
        <v>0</v>
      </c>
      <c r="G488" s="358" cm="1">
        <f t="array" ref="G488">SUMPRODUCT(ISNUMBER(MATCH(mod_st_utm,$B$465,0))*('Koszty operacyjne'!$K$114:$X$114=Moduły!G$73)*ISNUMBER(MATCH(st_utm_kw,tak,0)),st_utm)</f>
        <v>0</v>
      </c>
      <c r="H488" s="358" cm="1">
        <f t="array" ref="H488">SUMPRODUCT(ISNUMBER(MATCH(mod_st_utm,$B$465,0))*('Koszty operacyjne'!$K$114:$X$114=Moduły!H$73)*ISNUMBER(MATCH(st_utm_kw,tak,0)),st_utm)</f>
        <v>0</v>
      </c>
      <c r="I488" s="358" cm="1">
        <f t="array" ref="I488">SUMPRODUCT(ISNUMBER(MATCH(mod_st_utm,$B$465,0))*('Koszty operacyjne'!$K$114:$X$114=Moduły!I$73)*ISNUMBER(MATCH(st_utm_kw,tak,0)),st_utm)</f>
        <v>0</v>
      </c>
      <c r="J488" s="358" cm="1">
        <f t="array" ref="J488">SUMPRODUCT(ISNUMBER(MATCH(mod_st_utm,$B$465,0))*('Koszty operacyjne'!$K$114:$X$114=Moduły!J$73)*ISNUMBER(MATCH(st_utm_kw,tak,0)),st_utm)</f>
        <v>0</v>
      </c>
      <c r="K488" s="358" cm="1">
        <f t="array" ref="K488">SUMPRODUCT(ISNUMBER(MATCH(mod_st_utm,$B$465,0))*('Koszty operacyjne'!$K$114:$X$114=Moduły!K$73)*ISNUMBER(MATCH(st_utm_kw,tak,0)),st_utm)</f>
        <v>0</v>
      </c>
      <c r="L488" s="358" cm="1">
        <f t="array" ref="L488">SUMPRODUCT(ISNUMBER(MATCH(mod_st_utm,$B$465,0))*('Koszty operacyjne'!$K$114:$X$114=Moduły!L$73)*ISNUMBER(MATCH(st_utm_kw,tak,0)),st_utm)</f>
        <v>0</v>
      </c>
      <c r="M488" s="358" cm="1">
        <f t="array" ref="M488">SUMPRODUCT(ISNUMBER(MATCH(mod_st_utm,$B$465,0))*('Koszty operacyjne'!$K$114:$X$114=Moduły!M$73)*ISNUMBER(MATCH(st_utm_kw,tak,0)),st_utm)</f>
        <v>0</v>
      </c>
      <c r="N488" s="358" cm="1">
        <f t="array" ref="N488">SUMPRODUCT(ISNUMBER(MATCH(mod_st_utm,$B$465,0))*('Koszty operacyjne'!$K$114:$X$114=Moduły!N$73)*ISNUMBER(MATCH(st_utm_kw,tak,0)),st_utm)</f>
        <v>0</v>
      </c>
      <c r="O488" s="358" cm="1">
        <f t="array" ref="O488">SUMPRODUCT(ISNUMBER(MATCH(mod_st_utm,$B$465,0))*('Koszty operacyjne'!$K$114:$X$114=Moduły!O$73)*ISNUMBER(MATCH(st_utm_kw,tak,0)),st_utm)</f>
        <v>0</v>
      </c>
      <c r="P488" s="358" cm="1">
        <f t="array" ref="P488">SUMPRODUCT(ISNUMBER(MATCH(mod_st_utm,$B$465,0))*('Koszty operacyjne'!$K$114:$X$114=Moduły!P$73)*ISNUMBER(MATCH(st_utm_kw,tak,0)),st_utm)</f>
        <v>0</v>
      </c>
    </row>
    <row r="489" spans="2:16" ht="12" customHeight="1">
      <c r="B489" s="359" t="s">
        <v>96</v>
      </c>
      <c r="C489" s="360" cm="1">
        <f t="array" ref="C489">SUMPRODUCT(ISNUMBER(MATCH(mod_st_utm,$B$465,0))*('Koszty operacyjne'!$K$114:$X$114=Moduły!C$73)*ISNUMBER(MATCH(st_utm_kw,nie,0)),st_utm)</f>
        <v>0</v>
      </c>
      <c r="D489" s="360" cm="1">
        <f t="array" ref="D489">SUMPRODUCT(ISNUMBER(MATCH(mod_st_utm,$B$465,0))*('Koszty operacyjne'!$K$114:$X$114=Moduły!D$73)*ISNUMBER(MATCH(st_utm_kw,nie,0)),st_utm)</f>
        <v>0</v>
      </c>
      <c r="E489" s="360" cm="1">
        <f t="array" ref="E489">SUMPRODUCT(ISNUMBER(MATCH(mod_st_utm,$B$465,0))*('Koszty operacyjne'!$K$114:$X$114=Moduły!E$73)*ISNUMBER(MATCH(st_utm_kw,nie,0)),st_utm)</f>
        <v>0</v>
      </c>
      <c r="F489" s="360" cm="1">
        <f t="array" ref="F489">SUMPRODUCT(ISNUMBER(MATCH(mod_st_utm,$B$465,0))*('Koszty operacyjne'!$K$114:$X$114=Moduły!F$73)*ISNUMBER(MATCH(st_utm_kw,nie,0)),st_utm)</f>
        <v>0</v>
      </c>
      <c r="G489" s="360" cm="1">
        <f t="array" ref="G489">SUMPRODUCT(ISNUMBER(MATCH(mod_st_utm,$B$465,0))*('Koszty operacyjne'!$K$114:$X$114=Moduły!G$73)*ISNUMBER(MATCH(st_utm_kw,nie,0)),st_utm)</f>
        <v>0</v>
      </c>
      <c r="H489" s="360" cm="1">
        <f t="array" ref="H489">SUMPRODUCT(ISNUMBER(MATCH(mod_st_utm,$B$465,0))*('Koszty operacyjne'!$K$114:$X$114=Moduły!H$73)*ISNUMBER(MATCH(st_utm_kw,nie,0)),st_utm)</f>
        <v>0</v>
      </c>
      <c r="I489" s="360" cm="1">
        <f t="array" ref="I489">SUMPRODUCT(ISNUMBER(MATCH(mod_st_utm,$B$465,0))*('Koszty operacyjne'!$K$114:$X$114=Moduły!I$73)*ISNUMBER(MATCH(st_utm_kw,nie,0)),st_utm)</f>
        <v>0</v>
      </c>
      <c r="J489" s="360" cm="1">
        <f t="array" ref="J489">SUMPRODUCT(ISNUMBER(MATCH(mod_st_utm,$B$465,0))*('Koszty operacyjne'!$K$114:$X$114=Moduły!J$73)*ISNUMBER(MATCH(st_utm_kw,nie,0)),st_utm)</f>
        <v>0</v>
      </c>
      <c r="K489" s="361" cm="1">
        <f t="array" ref="K489">SUMPRODUCT(ISNUMBER(MATCH(mod_st_utm,$B$465,0))*('Koszty operacyjne'!$K$114:$X$114=Moduły!K$73)*ISNUMBER(MATCH(st_utm_kw,nie,0)),st_utm)</f>
        <v>0</v>
      </c>
      <c r="L489" s="361" cm="1">
        <f t="array" ref="L489">SUMPRODUCT(ISNUMBER(MATCH(mod_st_utm,$B$465,0))*('Koszty operacyjne'!$K$114:$X$114=Moduły!L$73)*ISNUMBER(MATCH(st_utm_kw,nie,0)),st_utm)</f>
        <v>0</v>
      </c>
      <c r="M489" s="361" cm="1">
        <f t="array" ref="M489">SUMPRODUCT(ISNUMBER(MATCH(mod_st_utm,$B$465,0))*('Koszty operacyjne'!$K$114:$X$114=Moduły!M$73)*ISNUMBER(MATCH(st_utm_kw,nie,0)),st_utm)</f>
        <v>0</v>
      </c>
      <c r="N489" s="361" cm="1">
        <f t="array" ref="N489">SUMPRODUCT(ISNUMBER(MATCH(mod_st_utm,$B$465,0))*('Koszty operacyjne'!$K$114:$X$114=Moduły!N$73)*ISNUMBER(MATCH(st_utm_kw,nie,0)),st_utm)</f>
        <v>0</v>
      </c>
      <c r="O489" s="361" cm="1">
        <f t="array" ref="O489">SUMPRODUCT(ISNUMBER(MATCH(mod_st_utm,$B$465,0))*('Koszty operacyjne'!$K$114:$X$114=Moduły!O$73)*ISNUMBER(MATCH(st_utm_kw,nie,0)),st_utm)</f>
        <v>0</v>
      </c>
      <c r="P489" s="361" cm="1">
        <f t="array" ref="P489">SUMPRODUCT(ISNUMBER(MATCH(mod_st_utm,$B$465,0))*('Koszty operacyjne'!$K$114:$X$114=Moduły!P$73)*ISNUMBER(MATCH(st_utm_kw,nie,0)),st_utm)</f>
        <v>0</v>
      </c>
    </row>
    <row r="490" spans="2:16" ht="3.9" customHeight="1">
      <c r="B490" s="8"/>
      <c r="C490" s="363"/>
      <c r="D490" s="363"/>
      <c r="E490" s="363"/>
      <c r="F490" s="363"/>
      <c r="G490" s="363"/>
      <c r="H490" s="363"/>
      <c r="I490" s="363"/>
      <c r="J490" s="363"/>
      <c r="K490" s="364"/>
      <c r="L490" s="364"/>
      <c r="M490" s="364"/>
      <c r="N490" s="364"/>
      <c r="O490" s="364"/>
      <c r="P490" s="364"/>
    </row>
    <row r="491" spans="2:16" ht="12" customHeight="1">
      <c r="B491" s="355" t="s">
        <v>101</v>
      </c>
      <c r="C491" s="356">
        <f t="shared" ref="C491:P491" si="227">SUM(C492:C493)</f>
        <v>0</v>
      </c>
      <c r="D491" s="356">
        <f t="shared" si="227"/>
        <v>0</v>
      </c>
      <c r="E491" s="356">
        <f t="shared" si="227"/>
        <v>0</v>
      </c>
      <c r="F491" s="356">
        <f t="shared" si="227"/>
        <v>0</v>
      </c>
      <c r="G491" s="356">
        <f t="shared" si="227"/>
        <v>0</v>
      </c>
      <c r="H491" s="356">
        <f t="shared" si="227"/>
        <v>0</v>
      </c>
      <c r="I491" s="356">
        <f t="shared" si="227"/>
        <v>0</v>
      </c>
      <c r="J491" s="356">
        <f t="shared" si="227"/>
        <v>0</v>
      </c>
      <c r="K491" s="356">
        <f t="shared" si="227"/>
        <v>0</v>
      </c>
      <c r="L491" s="356">
        <f t="shared" si="227"/>
        <v>0</v>
      </c>
      <c r="M491" s="356">
        <f t="shared" si="227"/>
        <v>0</v>
      </c>
      <c r="N491" s="356">
        <f t="shared" si="227"/>
        <v>0</v>
      </c>
      <c r="O491" s="356">
        <f t="shared" si="227"/>
        <v>0</v>
      </c>
      <c r="P491" s="356">
        <f t="shared" si="227"/>
        <v>0</v>
      </c>
    </row>
    <row r="492" spans="2:16" ht="12" customHeight="1">
      <c r="B492" s="357" t="s">
        <v>95</v>
      </c>
      <c r="C492" s="358" cm="1">
        <f t="array" ref="C492">SUMPRODUCT(ISNUMBER(MATCH(mod_st_stu,$B$465,0))*('Koszty operacyjne'!$K$114:$X$114=Moduły!C$73)*ISNUMBER(MATCH(st_stu_kw,tak,0)),st_stu)</f>
        <v>0</v>
      </c>
      <c r="D492" s="358" cm="1">
        <f t="array" ref="D492">SUMPRODUCT(ISNUMBER(MATCH(mod_st_stu,$B$465,0))*('Koszty operacyjne'!$K$114:$X$114=Moduły!D$73)*ISNUMBER(MATCH(st_stu_kw,tak,0)),st_stu)</f>
        <v>0</v>
      </c>
      <c r="E492" s="358" cm="1">
        <f t="array" ref="E492">SUMPRODUCT(ISNUMBER(MATCH(mod_st_stu,$B$465,0))*('Koszty operacyjne'!$K$114:$X$114=Moduły!E$73)*ISNUMBER(MATCH(st_stu_kw,tak,0)),st_stu)</f>
        <v>0</v>
      </c>
      <c r="F492" s="358" cm="1">
        <f t="array" ref="F492">SUMPRODUCT(ISNUMBER(MATCH(mod_st_stu,$B$465,0))*('Koszty operacyjne'!$K$114:$X$114=Moduły!F$73)*ISNUMBER(MATCH(st_stu_kw,tak,0)),st_stu)</f>
        <v>0</v>
      </c>
      <c r="G492" s="358" cm="1">
        <f t="array" ref="G492">SUMPRODUCT(ISNUMBER(MATCH(mod_st_stu,$B$465,0))*('Koszty operacyjne'!$K$114:$X$114=Moduły!G$73)*ISNUMBER(MATCH(st_stu_kw,tak,0)),st_stu)</f>
        <v>0</v>
      </c>
      <c r="H492" s="358" cm="1">
        <f t="array" ref="H492">SUMPRODUCT(ISNUMBER(MATCH(mod_st_stu,$B$465,0))*('Koszty operacyjne'!$K$114:$X$114=Moduły!H$73)*ISNUMBER(MATCH(st_stu_kw,tak,0)),st_stu)</f>
        <v>0</v>
      </c>
      <c r="I492" s="358" cm="1">
        <f t="array" ref="I492">SUMPRODUCT(ISNUMBER(MATCH(mod_st_stu,$B$465,0))*('Koszty operacyjne'!$K$114:$X$114=Moduły!I$73)*ISNUMBER(MATCH(st_stu_kw,tak,0)),st_stu)</f>
        <v>0</v>
      </c>
      <c r="J492" s="358" cm="1">
        <f t="array" ref="J492">SUMPRODUCT(ISNUMBER(MATCH(mod_st_stu,$B$465,0))*('Koszty operacyjne'!$K$114:$X$114=Moduły!J$73)*ISNUMBER(MATCH(st_stu_kw,tak,0)),st_stu)</f>
        <v>0</v>
      </c>
      <c r="K492" s="358" cm="1">
        <f t="array" ref="K492">SUMPRODUCT(ISNUMBER(MATCH(mod_st_stu,$B$465,0))*('Koszty operacyjne'!$K$114:$X$114=Moduły!K$73)*ISNUMBER(MATCH(st_stu_kw,tak,0)),st_stu)</f>
        <v>0</v>
      </c>
      <c r="L492" s="358" cm="1">
        <f t="array" ref="L492">SUMPRODUCT(ISNUMBER(MATCH(mod_st_stu,$B$465,0))*('Koszty operacyjne'!$K$114:$X$114=Moduły!L$73)*ISNUMBER(MATCH(st_stu_kw,tak,0)),st_stu)</f>
        <v>0</v>
      </c>
      <c r="M492" s="358" cm="1">
        <f t="array" ref="M492">SUMPRODUCT(ISNUMBER(MATCH(mod_st_stu,$B$465,0))*('Koszty operacyjne'!$K$114:$X$114=Moduły!M$73)*ISNUMBER(MATCH(st_stu_kw,tak,0)),st_stu)</f>
        <v>0</v>
      </c>
      <c r="N492" s="358" cm="1">
        <f t="array" ref="N492">SUMPRODUCT(ISNUMBER(MATCH(mod_st_stu,$B$465,0))*('Koszty operacyjne'!$K$114:$X$114=Moduły!N$73)*ISNUMBER(MATCH(st_stu_kw,tak,0)),st_stu)</f>
        <v>0</v>
      </c>
      <c r="O492" s="358" cm="1">
        <f t="array" ref="O492">SUMPRODUCT(ISNUMBER(MATCH(mod_st_stu,$B$465,0))*('Koszty operacyjne'!$K$114:$X$114=Moduły!O$73)*ISNUMBER(MATCH(st_stu_kw,tak,0)),st_stu)</f>
        <v>0</v>
      </c>
      <c r="P492" s="358" cm="1">
        <f t="array" ref="P492">SUMPRODUCT(ISNUMBER(MATCH(mod_st_stu,$B$465,0))*('Koszty operacyjne'!$K$114:$X$114=Moduły!P$73)*ISNUMBER(MATCH(st_stu_kw,tak,0)),st_stu)</f>
        <v>0</v>
      </c>
    </row>
    <row r="493" spans="2:16" ht="12" customHeight="1">
      <c r="B493" s="359" t="s">
        <v>96</v>
      </c>
      <c r="C493" s="360" cm="1">
        <f t="array" ref="C493">SUMPRODUCT(ISNUMBER(MATCH(mod_st_stu,$B$465,0))*('Koszty operacyjne'!$K$114:$X$114=Moduły!C$73)*ISNUMBER(MATCH(st_stu_kw,nie,0)),st_stu)</f>
        <v>0</v>
      </c>
      <c r="D493" s="360" cm="1">
        <f t="array" ref="D493">SUMPRODUCT(ISNUMBER(MATCH(mod_st_stu,$B$465,0))*('Koszty operacyjne'!$K$114:$X$114=Moduły!D$73)*ISNUMBER(MATCH(st_stu_kw,nie,0)),st_stu)</f>
        <v>0</v>
      </c>
      <c r="E493" s="360" cm="1">
        <f t="array" ref="E493">SUMPRODUCT(ISNUMBER(MATCH(mod_st_stu,$B$465,0))*('Koszty operacyjne'!$K$114:$X$114=Moduły!E$73)*ISNUMBER(MATCH(st_stu_kw,nie,0)),st_stu)</f>
        <v>0</v>
      </c>
      <c r="F493" s="360" cm="1">
        <f t="array" ref="F493">SUMPRODUCT(ISNUMBER(MATCH(mod_st_stu,$B$465,0))*('Koszty operacyjne'!$K$114:$X$114=Moduły!F$73)*ISNUMBER(MATCH(st_stu_kw,nie,0)),st_stu)</f>
        <v>0</v>
      </c>
      <c r="G493" s="360" cm="1">
        <f t="array" ref="G493">SUMPRODUCT(ISNUMBER(MATCH(mod_st_stu,$B$465,0))*('Koszty operacyjne'!$K$114:$X$114=Moduły!G$73)*ISNUMBER(MATCH(st_stu_kw,nie,0)),st_stu)</f>
        <v>0</v>
      </c>
      <c r="H493" s="360" cm="1">
        <f t="array" ref="H493">SUMPRODUCT(ISNUMBER(MATCH(mod_st_stu,$B$465,0))*('Koszty operacyjne'!$K$114:$X$114=Moduły!H$73)*ISNUMBER(MATCH(st_stu_kw,nie,0)),st_stu)</f>
        <v>0</v>
      </c>
      <c r="I493" s="360" cm="1">
        <f t="array" ref="I493">SUMPRODUCT(ISNUMBER(MATCH(mod_st_stu,$B$465,0))*('Koszty operacyjne'!$K$114:$X$114=Moduły!I$73)*ISNUMBER(MATCH(st_stu_kw,nie,0)),st_stu)</f>
        <v>0</v>
      </c>
      <c r="J493" s="360" cm="1">
        <f t="array" ref="J493">SUMPRODUCT(ISNUMBER(MATCH(mod_st_stu,$B$465,0))*('Koszty operacyjne'!$K$114:$X$114=Moduły!J$73)*ISNUMBER(MATCH(st_stu_kw,nie,0)),st_stu)</f>
        <v>0</v>
      </c>
      <c r="K493" s="361" cm="1">
        <f t="array" ref="K493">SUMPRODUCT(ISNUMBER(MATCH(mod_st_stu,$B$465,0))*('Koszty operacyjne'!$K$114:$X$114=Moduły!K$73)*ISNUMBER(MATCH(st_stu_kw,nie,0)),st_stu)</f>
        <v>0</v>
      </c>
      <c r="L493" s="361" cm="1">
        <f t="array" ref="L493">SUMPRODUCT(ISNUMBER(MATCH(mod_st_stu,$B$465,0))*('Koszty operacyjne'!$K$114:$X$114=Moduły!L$73)*ISNUMBER(MATCH(st_stu_kw,nie,0)),st_stu)</f>
        <v>0</v>
      </c>
      <c r="M493" s="361" cm="1">
        <f t="array" ref="M493">SUMPRODUCT(ISNUMBER(MATCH(mod_st_stu,$B$465,0))*('Koszty operacyjne'!$K$114:$X$114=Moduły!M$73)*ISNUMBER(MATCH(st_stu_kw,nie,0)),st_stu)</f>
        <v>0</v>
      </c>
      <c r="N493" s="361" cm="1">
        <f t="array" ref="N493">SUMPRODUCT(ISNUMBER(MATCH(mod_st_stu,$B$465,0))*('Koszty operacyjne'!$K$114:$X$114=Moduły!N$73)*ISNUMBER(MATCH(st_stu_kw,nie,0)),st_stu)</f>
        <v>0</v>
      </c>
      <c r="O493" s="361" cm="1">
        <f t="array" ref="O493">SUMPRODUCT(ISNUMBER(MATCH(mod_st_stu,$B$465,0))*('Koszty operacyjne'!$K$114:$X$114=Moduły!O$73)*ISNUMBER(MATCH(st_stu_kw,nie,0)),st_stu)</f>
        <v>0</v>
      </c>
      <c r="P493" s="361" cm="1">
        <f t="array" ref="P493">SUMPRODUCT(ISNUMBER(MATCH(mod_st_stu,$B$465,0))*('Koszty operacyjne'!$K$114:$X$114=Moduły!P$73)*ISNUMBER(MATCH(st_stu_kw,nie,0)),st_stu)</f>
        <v>0</v>
      </c>
    </row>
    <row r="494" spans="2:16" ht="3.9" customHeight="1">
      <c r="B494" s="8"/>
      <c r="C494" s="363"/>
      <c r="D494" s="363"/>
      <c r="E494" s="363"/>
      <c r="F494" s="363"/>
      <c r="G494" s="363"/>
      <c r="H494" s="363"/>
      <c r="I494" s="363"/>
      <c r="J494" s="363"/>
      <c r="K494" s="364"/>
      <c r="L494" s="364"/>
      <c r="M494" s="364"/>
      <c r="N494" s="364"/>
      <c r="O494" s="364"/>
      <c r="P494" s="364"/>
    </row>
    <row r="495" spans="2:16" ht="12" customHeight="1">
      <c r="B495" s="355" t="s">
        <v>102</v>
      </c>
      <c r="C495" s="356">
        <f t="shared" ref="C495:P495" si="228">SUM(C496:C497)</f>
        <v>0</v>
      </c>
      <c r="D495" s="356">
        <f t="shared" si="228"/>
        <v>0</v>
      </c>
      <c r="E495" s="356">
        <f t="shared" si="228"/>
        <v>0</v>
      </c>
      <c r="F495" s="356">
        <f t="shared" si="228"/>
        <v>0</v>
      </c>
      <c r="G495" s="356">
        <f t="shared" si="228"/>
        <v>0</v>
      </c>
      <c r="H495" s="356">
        <f t="shared" si="228"/>
        <v>0</v>
      </c>
      <c r="I495" s="356">
        <f t="shared" si="228"/>
        <v>0</v>
      </c>
      <c r="J495" s="356">
        <f t="shared" si="228"/>
        <v>0</v>
      </c>
      <c r="K495" s="356">
        <f t="shared" si="228"/>
        <v>0</v>
      </c>
      <c r="L495" s="356">
        <f t="shared" si="228"/>
        <v>0</v>
      </c>
      <c r="M495" s="356">
        <f t="shared" si="228"/>
        <v>0</v>
      </c>
      <c r="N495" s="356">
        <f t="shared" si="228"/>
        <v>0</v>
      </c>
      <c r="O495" s="356">
        <f t="shared" si="228"/>
        <v>0</v>
      </c>
      <c r="P495" s="356">
        <f t="shared" si="228"/>
        <v>0</v>
      </c>
    </row>
    <row r="496" spans="2:16" ht="12" customHeight="1">
      <c r="B496" s="357" t="s">
        <v>95</v>
      </c>
      <c r="C496" s="358" cm="1">
        <f t="array" ref="C496">SUMPRODUCT(ISNUMBER(MATCH(mod_st_ist,$B$465,0))*('Koszty operacyjne'!$K$114:$X$114=Moduły!C$73)*ISNUMBER(MATCH(st_ist_kw,tak,0)),st_ist)</f>
        <v>0</v>
      </c>
      <c r="D496" s="358" cm="1">
        <f t="array" ref="D496">SUMPRODUCT(ISNUMBER(MATCH(mod_st_ist,$B$465,0))*('Koszty operacyjne'!$K$114:$X$114=Moduły!D$73)*ISNUMBER(MATCH(st_ist_kw,tak,0)),st_ist)</f>
        <v>0</v>
      </c>
      <c r="E496" s="358" cm="1">
        <f t="array" ref="E496">SUMPRODUCT(ISNUMBER(MATCH(mod_st_ist,$B$465,0))*('Koszty operacyjne'!$K$114:$X$114=Moduły!E$73)*ISNUMBER(MATCH(st_ist_kw,tak,0)),st_ist)</f>
        <v>0</v>
      </c>
      <c r="F496" s="358" cm="1">
        <f t="array" ref="F496">SUMPRODUCT(ISNUMBER(MATCH(mod_st_ist,$B$465,0))*('Koszty operacyjne'!$K$114:$X$114=Moduły!F$73)*ISNUMBER(MATCH(st_ist_kw,tak,0)),st_ist)</f>
        <v>0</v>
      </c>
      <c r="G496" s="358" cm="1">
        <f t="array" ref="G496">SUMPRODUCT(ISNUMBER(MATCH(mod_st_ist,$B$465,0))*('Koszty operacyjne'!$K$114:$X$114=Moduły!G$73)*ISNUMBER(MATCH(st_ist_kw,tak,0)),st_ist)</f>
        <v>0</v>
      </c>
      <c r="H496" s="358" cm="1">
        <f t="array" ref="H496">SUMPRODUCT(ISNUMBER(MATCH(mod_st_ist,$B$465,0))*('Koszty operacyjne'!$K$114:$X$114=Moduły!H$73)*ISNUMBER(MATCH(st_ist_kw,tak,0)),st_ist)</f>
        <v>0</v>
      </c>
      <c r="I496" s="358" cm="1">
        <f t="array" ref="I496">SUMPRODUCT(ISNUMBER(MATCH(mod_st_ist,$B$465,0))*('Koszty operacyjne'!$K$114:$X$114=Moduły!I$73)*ISNUMBER(MATCH(st_ist_kw,tak,0)),st_ist)</f>
        <v>0</v>
      </c>
      <c r="J496" s="358" cm="1">
        <f t="array" ref="J496">SUMPRODUCT(ISNUMBER(MATCH(mod_st_ist,$B$465,0))*('Koszty operacyjne'!$K$114:$X$114=Moduły!J$73)*ISNUMBER(MATCH(st_ist_kw,tak,0)),st_ist)</f>
        <v>0</v>
      </c>
      <c r="K496" s="358" cm="1">
        <f t="array" ref="K496">SUMPRODUCT(ISNUMBER(MATCH(mod_st_ist,$B$465,0))*('Koszty operacyjne'!$K$114:$X$114=Moduły!K$73)*ISNUMBER(MATCH(st_ist_kw,tak,0)),st_ist)</f>
        <v>0</v>
      </c>
      <c r="L496" s="358" cm="1">
        <f t="array" ref="L496">SUMPRODUCT(ISNUMBER(MATCH(mod_st_ist,$B$465,0))*('Koszty operacyjne'!$K$114:$X$114=Moduły!L$73)*ISNUMBER(MATCH(st_ist_kw,tak,0)),st_ist)</f>
        <v>0</v>
      </c>
      <c r="M496" s="358" cm="1">
        <f t="array" ref="M496">SUMPRODUCT(ISNUMBER(MATCH(mod_st_ist,$B$465,0))*('Koszty operacyjne'!$K$114:$X$114=Moduły!M$73)*ISNUMBER(MATCH(st_ist_kw,tak,0)),st_ist)</f>
        <v>0</v>
      </c>
      <c r="N496" s="358" cm="1">
        <f t="array" ref="N496">SUMPRODUCT(ISNUMBER(MATCH(mod_st_ist,$B$465,0))*('Koszty operacyjne'!$K$114:$X$114=Moduły!N$73)*ISNUMBER(MATCH(st_ist_kw,tak,0)),st_ist)</f>
        <v>0</v>
      </c>
      <c r="O496" s="358" cm="1">
        <f t="array" ref="O496">SUMPRODUCT(ISNUMBER(MATCH(mod_st_ist,$B$465,0))*('Koszty operacyjne'!$K$114:$X$114=Moduły!O$73)*ISNUMBER(MATCH(st_ist_kw,tak,0)),st_ist)</f>
        <v>0</v>
      </c>
      <c r="P496" s="358" cm="1">
        <f t="array" ref="P496">SUMPRODUCT(ISNUMBER(MATCH(mod_st_ist,$B$465,0))*('Koszty operacyjne'!$K$114:$X$114=Moduły!P$73)*ISNUMBER(MATCH(st_ist_kw,tak,0)),st_ist)</f>
        <v>0</v>
      </c>
    </row>
    <row r="497" spans="2:16" ht="12" customHeight="1">
      <c r="B497" s="359" t="s">
        <v>96</v>
      </c>
      <c r="C497" s="360" cm="1">
        <f t="array" ref="C497">SUMPRODUCT(ISNUMBER(MATCH(mod_st_ist,$B$465,0))*('Koszty operacyjne'!$K$114:$X$114=Moduły!C$73)*ISNUMBER(MATCH(st_ist_kw,nie,0)),st_ist)</f>
        <v>0</v>
      </c>
      <c r="D497" s="360" cm="1">
        <f t="array" ref="D497">SUMPRODUCT(ISNUMBER(MATCH(mod_st_ist,$B$465,0))*('Koszty operacyjne'!$K$114:$X$114=Moduły!D$73)*ISNUMBER(MATCH(st_ist_kw,nie,0)),st_ist)</f>
        <v>0</v>
      </c>
      <c r="E497" s="360" cm="1">
        <f t="array" ref="E497">SUMPRODUCT(ISNUMBER(MATCH(mod_st_ist,$B$465,0))*('Koszty operacyjne'!$K$114:$X$114=Moduły!E$73)*ISNUMBER(MATCH(st_ist_kw,nie,0)),st_ist)</f>
        <v>0</v>
      </c>
      <c r="F497" s="360" cm="1">
        <f t="array" ref="F497">SUMPRODUCT(ISNUMBER(MATCH(mod_st_ist,$B$465,0))*('Koszty operacyjne'!$K$114:$X$114=Moduły!F$73)*ISNUMBER(MATCH(st_ist_kw,nie,0)),st_ist)</f>
        <v>0</v>
      </c>
      <c r="G497" s="360" cm="1">
        <f t="array" ref="G497">SUMPRODUCT(ISNUMBER(MATCH(mod_st_ist,$B$465,0))*('Koszty operacyjne'!$K$114:$X$114=Moduły!G$73)*ISNUMBER(MATCH(st_ist_kw,nie,0)),st_ist)</f>
        <v>0</v>
      </c>
      <c r="H497" s="360" cm="1">
        <f t="array" ref="H497">SUMPRODUCT(ISNUMBER(MATCH(mod_st_ist,$B$465,0))*('Koszty operacyjne'!$K$114:$X$114=Moduły!H$73)*ISNUMBER(MATCH(st_ist_kw,nie,0)),st_ist)</f>
        <v>0</v>
      </c>
      <c r="I497" s="360" cm="1">
        <f t="array" ref="I497">SUMPRODUCT(ISNUMBER(MATCH(mod_st_ist,$B$465,0))*('Koszty operacyjne'!$K$114:$X$114=Moduły!I$73)*ISNUMBER(MATCH(st_ist_kw,nie,0)),st_ist)</f>
        <v>0</v>
      </c>
      <c r="J497" s="360" cm="1">
        <f t="array" ref="J497">SUMPRODUCT(ISNUMBER(MATCH(mod_st_ist,$B$465,0))*('Koszty operacyjne'!$K$114:$X$114=Moduły!J$73)*ISNUMBER(MATCH(st_ist_kw,nie,0)),st_ist)</f>
        <v>0</v>
      </c>
      <c r="K497" s="361" cm="1">
        <f t="array" ref="K497">SUMPRODUCT(ISNUMBER(MATCH(mod_st_ist,$B$465,0))*('Koszty operacyjne'!$K$114:$X$114=Moduły!K$73)*ISNUMBER(MATCH(st_ist_kw,nie,0)),st_ist)</f>
        <v>0</v>
      </c>
      <c r="L497" s="361" cm="1">
        <f t="array" ref="L497">SUMPRODUCT(ISNUMBER(MATCH(mod_st_ist,$B$465,0))*('Koszty operacyjne'!$K$114:$X$114=Moduły!L$73)*ISNUMBER(MATCH(st_ist_kw,nie,0)),st_ist)</f>
        <v>0</v>
      </c>
      <c r="M497" s="361" cm="1">
        <f t="array" ref="M497">SUMPRODUCT(ISNUMBER(MATCH(mod_st_ist,$B$465,0))*('Koszty operacyjne'!$K$114:$X$114=Moduły!M$73)*ISNUMBER(MATCH(st_ist_kw,nie,0)),st_ist)</f>
        <v>0</v>
      </c>
      <c r="N497" s="361" cm="1">
        <f t="array" ref="N497">SUMPRODUCT(ISNUMBER(MATCH(mod_st_ist,$B$465,0))*('Koszty operacyjne'!$K$114:$X$114=Moduły!N$73)*ISNUMBER(MATCH(st_ist_kw,nie,0)),st_ist)</f>
        <v>0</v>
      </c>
      <c r="O497" s="361" cm="1">
        <f t="array" ref="O497">SUMPRODUCT(ISNUMBER(MATCH(mod_st_ist,$B$465,0))*('Koszty operacyjne'!$K$114:$X$114=Moduły!O$73)*ISNUMBER(MATCH(st_ist_kw,nie,0)),st_ist)</f>
        <v>0</v>
      </c>
      <c r="P497" s="361" cm="1">
        <f t="array" ref="P497">SUMPRODUCT(ISNUMBER(MATCH(mod_st_ist,$B$465,0))*('Koszty operacyjne'!$K$114:$X$114=Moduły!P$73)*ISNUMBER(MATCH(st_ist_kw,nie,0)),st_ist)</f>
        <v>0</v>
      </c>
    </row>
    <row r="498" spans="2:16" ht="12" customHeight="1"/>
    <row r="499" spans="2:16">
      <c r="B499" s="99" t="s">
        <v>104</v>
      </c>
      <c r="C499" s="98" cm="1">
        <f t="array" ref="C499">SUMPRODUCT(ISNUMBER(MATCH(mod_pp_ppu,$B$465,0))*('Koszty operacyjne'!$K$114:$X$114=Moduły!C$73),pp_ppu)+SUMPRODUCT(ISNUMBER(MATCH(mod_pp_ptim,$B$465,0))*('Koszty operacyjne'!$K$114:$X$114=Moduły!C$73),pp_ptim)</f>
        <v>0</v>
      </c>
      <c r="D499" s="98" cm="1">
        <f t="array" ref="D499">SUMPRODUCT(ISNUMBER(MATCH(mod_pp_ppu,$B$465,0))*('Koszty operacyjne'!$K$114:$X$114=Moduły!D$73),pp_ppu)+SUMPRODUCT(ISNUMBER(MATCH(mod_pp_ptim,$B$465,0))*('Koszty operacyjne'!$K$114:$X$114=Moduły!D$73),pp_ptim)</f>
        <v>0</v>
      </c>
      <c r="E499" s="98" cm="1">
        <f t="array" ref="E499">SUMPRODUCT(ISNUMBER(MATCH(mod_pp_ppu,$B$465,0))*('Koszty operacyjne'!$K$114:$X$114=Moduły!E$73),pp_ppu)+SUMPRODUCT(ISNUMBER(MATCH(mod_pp_ptim,$B$465,0))*('Koszty operacyjne'!$K$114:$X$114=Moduły!E$73),pp_ptim)</f>
        <v>0</v>
      </c>
      <c r="F499" s="98" cm="1">
        <f t="array" ref="F499">SUMPRODUCT(ISNUMBER(MATCH(mod_pp_ppu,$B$465,0))*('Koszty operacyjne'!$K$114:$X$114=Moduły!F$73),pp_ppu)+SUMPRODUCT(ISNUMBER(MATCH(mod_pp_ptim,$B$465,0))*('Koszty operacyjne'!$K$114:$X$114=Moduły!F$73),pp_ptim)</f>
        <v>0</v>
      </c>
      <c r="G499" s="98" cm="1">
        <f t="array" ref="G499">SUMPRODUCT(ISNUMBER(MATCH(mod_pp_ppu,$B$465,0))*('Koszty operacyjne'!$K$114:$X$114=Moduły!G$73),pp_ppu)+SUMPRODUCT(ISNUMBER(MATCH(mod_pp_ptim,$B$465,0))*('Koszty operacyjne'!$K$114:$X$114=Moduły!G$73),pp_ptim)</f>
        <v>0</v>
      </c>
      <c r="H499" s="98" cm="1">
        <f t="array" ref="H499">SUMPRODUCT(ISNUMBER(MATCH(mod_pp_ppu,$B$465,0))*('Koszty operacyjne'!$K$114:$X$114=Moduły!H$73),pp_ppu)+SUMPRODUCT(ISNUMBER(MATCH(mod_pp_ptim,$B$465,0))*('Koszty operacyjne'!$K$114:$X$114=Moduły!H$73),pp_ptim)</f>
        <v>0</v>
      </c>
      <c r="I499" s="98" cm="1">
        <f t="array" ref="I499">SUMPRODUCT(ISNUMBER(MATCH(mod_pp_ppu,$B$465,0))*('Koszty operacyjne'!$K$114:$X$114=Moduły!I$73),pp_ppu)+SUMPRODUCT(ISNUMBER(MATCH(mod_pp_ptim,$B$465,0))*('Koszty operacyjne'!$K$114:$X$114=Moduły!I$73),pp_ptim)</f>
        <v>0</v>
      </c>
      <c r="J499" s="98" cm="1">
        <f t="array" ref="J499">SUMPRODUCT(ISNUMBER(MATCH(mod_pp_ppu,$B$465,0))*('Koszty operacyjne'!$K$114:$X$114=Moduły!J$73),pp_ppu)+SUMPRODUCT(ISNUMBER(MATCH(mod_pp_ptim,$B$465,0))*('Koszty operacyjne'!$K$114:$X$114=Moduły!J$73),pp_ptim)</f>
        <v>0</v>
      </c>
      <c r="K499" s="98" cm="1">
        <f t="array" ref="K499">SUMPRODUCT(ISNUMBER(MATCH(mod_pp_ppu,$B$465,0))*('Koszty operacyjne'!$K$114:$X$114=Moduły!K$73),pp_ppu)+SUMPRODUCT(ISNUMBER(MATCH(mod_pp_ptim,$B$465,0))*('Koszty operacyjne'!$K$114:$X$114=Moduły!K$73),pp_ptim)</f>
        <v>0</v>
      </c>
      <c r="L499" s="98" cm="1">
        <f t="array" ref="L499">SUMPRODUCT(ISNUMBER(MATCH(mod_pp_ppu,$B$465,0))*('Koszty operacyjne'!$K$114:$X$114=Moduły!L$73),pp_ppu)+SUMPRODUCT(ISNUMBER(MATCH(mod_pp_ptim,$B$465,0))*('Koszty operacyjne'!$K$114:$X$114=Moduły!L$73),pp_ptim)</f>
        <v>0</v>
      </c>
      <c r="M499" s="98" cm="1">
        <f t="array" ref="M499">SUMPRODUCT(ISNUMBER(MATCH(mod_pp_ppu,$B$465,0))*('Koszty operacyjne'!$K$114:$X$114=Moduły!M$73),pp_ppu)+SUMPRODUCT(ISNUMBER(MATCH(mod_pp_ptim,$B$465,0))*('Koszty operacyjne'!$K$114:$X$114=Moduły!M$73),pp_ptim)</f>
        <v>0</v>
      </c>
      <c r="N499" s="98" cm="1">
        <f t="array" ref="N499">SUMPRODUCT(ISNUMBER(MATCH(mod_pp_ppu,$B$465,0))*('Koszty operacyjne'!$K$114:$X$114=Moduły!N$73),pp_ppu)+SUMPRODUCT(ISNUMBER(MATCH(mod_pp_ptim,$B$465,0))*('Koszty operacyjne'!$K$114:$X$114=Moduły!N$73),pp_ptim)</f>
        <v>0</v>
      </c>
      <c r="O499" s="98" cm="1">
        <f t="array" ref="O499">SUMPRODUCT(ISNUMBER(MATCH(mod_pp_ppu,$B$465,0))*('Koszty operacyjne'!$K$114:$X$114=Moduły!O$73),pp_ppu)+SUMPRODUCT(ISNUMBER(MATCH(mod_pp_ptim,$B$465,0))*('Koszty operacyjne'!$K$114:$X$114=Moduły!O$73),pp_ptim)</f>
        <v>0</v>
      </c>
      <c r="P499" s="98" cm="1">
        <f t="array" ref="P499">SUMPRODUCT(ISNUMBER(MATCH(mod_pp_ppu,$B$465,0))*('Koszty operacyjne'!$K$114:$X$114=Moduły!P$73),pp_ppu)+SUMPRODUCT(ISNUMBER(MATCH(mod_pp_ptim,$B$465,0))*('Koszty operacyjne'!$K$114:$X$114=Moduły!P$73),pp_ptim)</f>
        <v>0</v>
      </c>
    </row>
    <row r="500" spans="2:16" ht="3.9" customHeight="1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</row>
    <row r="501" spans="2:16">
      <c r="B501" s="99" t="s">
        <v>105</v>
      </c>
      <c r="C501" s="98">
        <f t="shared" ref="C501:L501" ca="1" si="229">SUM(C502:C509)</f>
        <v>0</v>
      </c>
      <c r="D501" s="98">
        <f t="shared" ca="1" si="229"/>
        <v>0</v>
      </c>
      <c r="E501" s="98">
        <f t="shared" ca="1" si="229"/>
        <v>0</v>
      </c>
      <c r="F501" s="98">
        <f t="shared" ca="1" si="229"/>
        <v>0</v>
      </c>
      <c r="G501" s="98">
        <f t="shared" ca="1" si="229"/>
        <v>0</v>
      </c>
      <c r="H501" s="98">
        <f t="shared" ca="1" si="229"/>
        <v>0</v>
      </c>
      <c r="I501" s="98">
        <f t="shared" ca="1" si="229"/>
        <v>0</v>
      </c>
      <c r="J501" s="98">
        <f t="shared" ca="1" si="229"/>
        <v>0</v>
      </c>
      <c r="K501" s="98">
        <f t="shared" ca="1" si="229"/>
        <v>0</v>
      </c>
      <c r="L501" s="98">
        <f t="shared" ca="1" si="229"/>
        <v>0</v>
      </c>
      <c r="M501" s="98">
        <f ca="1">SUM(M502:M509)</f>
        <v>0</v>
      </c>
      <c r="N501" s="98">
        <f ca="1">SUM(N502:N509)</f>
        <v>0</v>
      </c>
      <c r="O501" s="98">
        <f ca="1">SUM(O502:O509)</f>
        <v>0</v>
      </c>
      <c r="P501" s="98">
        <f ca="1">SUM(P502:P509)</f>
        <v>0</v>
      </c>
    </row>
    <row r="502" spans="2:16">
      <c r="B502" s="104" t="s">
        <v>106</v>
      </c>
      <c r="C502" s="103" cm="1">
        <f t="array" aca="1" ref="C502" ca="1">SUMPRODUCT(ISNUMBER(MATCH(mod_st_am,$B$465,0))*('Koszty operacyjne'!$K$114:$X$114=Moduły!C$73),st_am)</f>
        <v>0</v>
      </c>
      <c r="D502" s="103" cm="1">
        <f t="array" aca="1" ref="D502" ca="1">SUMPRODUCT(ISNUMBER(MATCH(mod_st_am,$B$465,0))*('Koszty operacyjne'!$K$114:$X$114=Moduły!D$73),st_am)</f>
        <v>0</v>
      </c>
      <c r="E502" s="103" cm="1">
        <f t="array" aca="1" ref="E502" ca="1">SUMPRODUCT(ISNUMBER(MATCH(mod_st_am,$B$465,0))*('Koszty operacyjne'!$K$114:$X$114=Moduły!E$73),st_am)</f>
        <v>0</v>
      </c>
      <c r="F502" s="103" cm="1">
        <f t="array" aca="1" ref="F502" ca="1">SUMPRODUCT(ISNUMBER(MATCH(mod_st_am,$B$465,0))*('Koszty operacyjne'!$K$114:$X$114=Moduły!F$73),st_am)</f>
        <v>0</v>
      </c>
      <c r="G502" s="103" cm="1">
        <f t="array" aca="1" ref="G502" ca="1">SUMPRODUCT(ISNUMBER(MATCH(mod_st_am,$B$465,0))*('Koszty operacyjne'!$K$114:$X$114=Moduły!G$73),st_am)</f>
        <v>0</v>
      </c>
      <c r="H502" s="103" cm="1">
        <f t="array" aca="1" ref="H502" ca="1">SUMPRODUCT(ISNUMBER(MATCH(mod_st_am,$B$465,0))*('Koszty operacyjne'!$K$114:$X$114=Moduły!H$73),st_am)</f>
        <v>0</v>
      </c>
      <c r="I502" s="103" cm="1">
        <f t="array" aca="1" ref="I502" ca="1">SUMPRODUCT(ISNUMBER(MATCH(mod_st_am,$B$465,0))*('Koszty operacyjne'!$K$114:$X$114=Moduły!I$73),st_am)</f>
        <v>0</v>
      </c>
      <c r="J502" s="103" cm="1">
        <f t="array" aca="1" ref="J502" ca="1">SUMPRODUCT(ISNUMBER(MATCH(mod_st_am,$B$465,0))*('Koszty operacyjne'!$K$114:$X$114=Moduły!J$73),st_am)</f>
        <v>0</v>
      </c>
      <c r="K502" s="103" cm="1">
        <f t="array" aca="1" ref="K502" ca="1">SUMPRODUCT(ISNUMBER(MATCH(mod_st_am,$B$465,0))*('Koszty operacyjne'!$K$114:$X$114=Moduły!K$73),st_am)</f>
        <v>0</v>
      </c>
      <c r="L502" s="103" cm="1">
        <f t="array" aca="1" ref="L502" ca="1">SUMPRODUCT(ISNUMBER(MATCH(mod_st_am,$B$465,0))*('Koszty operacyjne'!$K$114:$X$114=Moduły!L$73),st_am)</f>
        <v>0</v>
      </c>
      <c r="M502" s="103" cm="1">
        <f t="array" aca="1" ref="M502" ca="1">SUMPRODUCT(ISNUMBER(MATCH(mod_st_am,$B$465,0))*('Koszty operacyjne'!$K$114:$X$114=Moduły!M$73),st_am)</f>
        <v>0</v>
      </c>
      <c r="N502" s="103" cm="1">
        <f t="array" aca="1" ref="N502" ca="1">SUMPRODUCT(ISNUMBER(MATCH(mod_st_am,$B$465,0))*('Koszty operacyjne'!$K$114:$X$114=Moduły!N$73),st_am)</f>
        <v>0</v>
      </c>
      <c r="O502" s="103" cm="1">
        <f t="array" aca="1" ref="O502" ca="1">SUMPRODUCT(ISNUMBER(MATCH(mod_st_am,$B$465,0))*('Koszty operacyjne'!$K$114:$X$114=Moduły!O$73),st_am)</f>
        <v>0</v>
      </c>
      <c r="P502" s="103" cm="1">
        <f t="array" aca="1" ref="P502" ca="1">SUMPRODUCT(ISNUMBER(MATCH(mod_st_am,$B$465,0))*('Koszty operacyjne'!$K$114:$X$114=Moduły!P$73),st_am)</f>
        <v>0</v>
      </c>
    </row>
    <row r="503" spans="2:16">
      <c r="B503" s="37" t="s">
        <v>107</v>
      </c>
      <c r="C503" s="33" cm="1">
        <f t="array" ref="C503">SUMPRODUCT(ISNUMBER(MATCH(mod_ko_zme,$B$465,0))*('Koszty operacyjne'!$K$114:$X$114=Moduły!C$73),ko_zme)</f>
        <v>0</v>
      </c>
      <c r="D503" s="33" cm="1">
        <f t="array" ref="D503">SUMPRODUCT(ISNUMBER(MATCH(mod_ko_zme,$B$465,0))*('Koszty operacyjne'!$K$114:$X$114=Moduły!D$73),ko_zme)</f>
        <v>0</v>
      </c>
      <c r="E503" s="33" cm="1">
        <f t="array" ref="E503">SUMPRODUCT(ISNUMBER(MATCH(mod_ko_zme,$B$465,0))*('Koszty operacyjne'!$K$114:$X$114=Moduły!E$73),ko_zme)</f>
        <v>0</v>
      </c>
      <c r="F503" s="33" cm="1">
        <f t="array" ref="F503">SUMPRODUCT(ISNUMBER(MATCH(mod_ko_zme,$B$465,0))*('Koszty operacyjne'!$K$114:$X$114=Moduły!F$73),ko_zme)</f>
        <v>0</v>
      </c>
      <c r="G503" s="33" cm="1">
        <f t="array" ref="G503">SUMPRODUCT(ISNUMBER(MATCH(mod_ko_zme,$B$465,0))*('Koszty operacyjne'!$K$114:$X$114=Moduły!G$73),ko_zme)</f>
        <v>0</v>
      </c>
      <c r="H503" s="33" cm="1">
        <f t="array" ref="H503">SUMPRODUCT(ISNUMBER(MATCH(mod_ko_zme,$B$465,0))*('Koszty operacyjne'!$K$114:$X$114=Moduły!H$73),ko_zme)</f>
        <v>0</v>
      </c>
      <c r="I503" s="33" cm="1">
        <f t="array" ref="I503">SUMPRODUCT(ISNUMBER(MATCH(mod_ko_zme,$B$465,0))*('Koszty operacyjne'!$K$114:$X$114=Moduły!I$73),ko_zme)</f>
        <v>0</v>
      </c>
      <c r="J503" s="33" cm="1">
        <f t="array" ref="J503">SUMPRODUCT(ISNUMBER(MATCH(mod_ko_zme,$B$465,0))*('Koszty operacyjne'!$K$114:$X$114=Moduły!J$73),ko_zme)</f>
        <v>0</v>
      </c>
      <c r="K503" s="33" cm="1">
        <f t="array" ref="K503">SUMPRODUCT(ISNUMBER(MATCH(mod_ko_zme,$B$465,0))*('Koszty operacyjne'!$K$114:$X$114=Moduły!K$73),ko_zme)</f>
        <v>0</v>
      </c>
      <c r="L503" s="33" cm="1">
        <f t="array" ref="L503">SUMPRODUCT(ISNUMBER(MATCH(mod_ko_zme,$B$465,0))*('Koszty operacyjne'!$K$114:$X$114=Moduły!L$73),ko_zme)</f>
        <v>0</v>
      </c>
      <c r="M503" s="33" cm="1">
        <f t="array" ref="M503">SUMPRODUCT(ISNUMBER(MATCH(mod_ko_zme,$B$465,0))*('Koszty operacyjne'!$K$114:$X$114=Moduły!M$73),ko_zme)</f>
        <v>0</v>
      </c>
      <c r="N503" s="33" cm="1">
        <f t="array" ref="N503">SUMPRODUCT(ISNUMBER(MATCH(mod_ko_zme,$B$465,0))*('Koszty operacyjne'!$K$114:$X$114=Moduły!N$73),ko_zme)</f>
        <v>0</v>
      </c>
      <c r="O503" s="33" cm="1">
        <f t="array" ref="O503">SUMPRODUCT(ISNUMBER(MATCH(mod_ko_zme,$B$465,0))*('Koszty operacyjne'!$K$114:$X$114=Moduły!O$73),ko_zme)</f>
        <v>0</v>
      </c>
      <c r="P503" s="33" cm="1">
        <f t="array" ref="P503">SUMPRODUCT(ISNUMBER(MATCH(mod_ko_zme,$B$465,0))*('Koszty operacyjne'!$K$114:$X$114=Moduły!P$73),ko_zme)</f>
        <v>0</v>
      </c>
    </row>
    <row r="504" spans="2:16">
      <c r="B504" s="37" t="s">
        <v>108</v>
      </c>
      <c r="C504" s="33" cm="1">
        <f t="array" ref="C504">SUMPRODUCT(ISNUMBER(MATCH(mod_ko_uoe,$B$465,0))*('Koszty operacyjne'!$K$114:$X$114=Moduły!C$73),ko_uoe)</f>
        <v>0</v>
      </c>
      <c r="D504" s="33" cm="1">
        <f t="array" ref="D504">SUMPRODUCT(ISNUMBER(MATCH(mod_ko_uoe,$B$465,0))*('Koszty operacyjne'!$K$114:$X$114=Moduły!D$73),ko_uoe)</f>
        <v>0</v>
      </c>
      <c r="E504" s="33" cm="1">
        <f t="array" ref="E504">SUMPRODUCT(ISNUMBER(MATCH(mod_ko_uoe,$B$465,0))*('Koszty operacyjne'!$K$114:$X$114=Moduły!E$73),ko_uoe)</f>
        <v>0</v>
      </c>
      <c r="F504" s="33" cm="1">
        <f t="array" ref="F504">SUMPRODUCT(ISNUMBER(MATCH(mod_ko_uoe,$B$465,0))*('Koszty operacyjne'!$K$114:$X$114=Moduły!F$73),ko_uoe)</f>
        <v>0</v>
      </c>
      <c r="G504" s="33" cm="1">
        <f t="array" ref="G504">SUMPRODUCT(ISNUMBER(MATCH(mod_ko_uoe,$B$465,0))*('Koszty operacyjne'!$K$114:$X$114=Moduły!G$73),ko_uoe)</f>
        <v>0</v>
      </c>
      <c r="H504" s="33" cm="1">
        <f t="array" ref="H504">SUMPRODUCT(ISNUMBER(MATCH(mod_ko_uoe,$B$465,0))*('Koszty operacyjne'!$K$114:$X$114=Moduły!H$73),ko_uoe)</f>
        <v>0</v>
      </c>
      <c r="I504" s="33" cm="1">
        <f t="array" ref="I504">SUMPRODUCT(ISNUMBER(MATCH(mod_ko_uoe,$B$465,0))*('Koszty operacyjne'!$K$114:$X$114=Moduły!I$73),ko_uoe)</f>
        <v>0</v>
      </c>
      <c r="J504" s="33" cm="1">
        <f t="array" ref="J504">SUMPRODUCT(ISNUMBER(MATCH(mod_ko_uoe,$B$465,0))*('Koszty operacyjne'!$K$114:$X$114=Moduły!J$73),ko_uoe)</f>
        <v>0</v>
      </c>
      <c r="K504" s="33" cm="1">
        <f t="array" ref="K504">SUMPRODUCT(ISNUMBER(MATCH(mod_ko_uoe,$B$465,0))*('Koszty operacyjne'!$K$114:$X$114=Moduły!K$73),ko_uoe)</f>
        <v>0</v>
      </c>
      <c r="L504" s="33" cm="1">
        <f t="array" ref="L504">SUMPRODUCT(ISNUMBER(MATCH(mod_ko_uoe,$B$465,0))*('Koszty operacyjne'!$K$114:$X$114=Moduły!L$73),ko_uoe)</f>
        <v>0</v>
      </c>
      <c r="M504" s="33" cm="1">
        <f t="array" ref="M504">SUMPRODUCT(ISNUMBER(MATCH(mod_ko_uoe,$B$465,0))*('Koszty operacyjne'!$K$114:$X$114=Moduły!M$73),ko_uoe)</f>
        <v>0</v>
      </c>
      <c r="N504" s="33" cm="1">
        <f t="array" ref="N504">SUMPRODUCT(ISNUMBER(MATCH(mod_ko_uoe,$B$465,0))*('Koszty operacyjne'!$K$114:$X$114=Moduły!N$73),ko_uoe)</f>
        <v>0</v>
      </c>
      <c r="O504" s="33" cm="1">
        <f t="array" ref="O504">SUMPRODUCT(ISNUMBER(MATCH(mod_ko_uoe,$B$465,0))*('Koszty operacyjne'!$K$114:$X$114=Moduły!O$73),ko_uoe)</f>
        <v>0</v>
      </c>
      <c r="P504" s="33" cm="1">
        <f t="array" ref="P504">SUMPRODUCT(ISNUMBER(MATCH(mod_ko_uoe,$B$465,0))*('Koszty operacyjne'!$K$114:$X$114=Moduły!P$73),ko_uoe)</f>
        <v>0</v>
      </c>
    </row>
    <row r="505" spans="2:16">
      <c r="B505" s="37" t="s">
        <v>778</v>
      </c>
      <c r="C505" s="33" cm="1">
        <f t="array" ref="C505">SUMPRODUCT(ISNUMBER(MATCH(mod_ko_pio,$B$465,0))*('Koszty operacyjne'!$K$114:$X$114=Moduły!C$73),ko_pio)</f>
        <v>0</v>
      </c>
      <c r="D505" s="33" cm="1">
        <f t="array" ref="D505">SUMPRODUCT(ISNUMBER(MATCH(mod_ko_pio,$B$465,0))*('Koszty operacyjne'!$K$114:$X$114=Moduły!D$73),ko_pio)</f>
        <v>0</v>
      </c>
      <c r="E505" s="33" cm="1">
        <f t="array" ref="E505">SUMPRODUCT(ISNUMBER(MATCH(mod_ko_pio,$B$465,0))*('Koszty operacyjne'!$K$114:$X$114=Moduły!E$73),ko_pio)</f>
        <v>0</v>
      </c>
      <c r="F505" s="33" cm="1">
        <f t="array" ref="F505">SUMPRODUCT(ISNUMBER(MATCH(mod_ko_pio,$B$465,0))*('Koszty operacyjne'!$K$114:$X$114=Moduły!F$73),ko_pio)</f>
        <v>0</v>
      </c>
      <c r="G505" s="33" cm="1">
        <f t="array" ref="G505">SUMPRODUCT(ISNUMBER(MATCH(mod_ko_pio,$B$465,0))*('Koszty operacyjne'!$K$114:$X$114=Moduły!G$73),ko_pio)</f>
        <v>0</v>
      </c>
      <c r="H505" s="33" cm="1">
        <f t="array" ref="H505">SUMPRODUCT(ISNUMBER(MATCH(mod_ko_pio,$B$465,0))*('Koszty operacyjne'!$K$114:$X$114=Moduły!H$73),ko_pio)</f>
        <v>0</v>
      </c>
      <c r="I505" s="33" cm="1">
        <f t="array" ref="I505">SUMPRODUCT(ISNUMBER(MATCH(mod_ko_pio,$B$465,0))*('Koszty operacyjne'!$K$114:$X$114=Moduły!I$73),ko_pio)</f>
        <v>0</v>
      </c>
      <c r="J505" s="33" cm="1">
        <f t="array" ref="J505">SUMPRODUCT(ISNUMBER(MATCH(mod_ko_pio,$B$465,0))*('Koszty operacyjne'!$K$114:$X$114=Moduły!J$73),ko_pio)</f>
        <v>0</v>
      </c>
      <c r="K505" s="33" cm="1">
        <f t="array" ref="K505">SUMPRODUCT(ISNUMBER(MATCH(mod_ko_pio,$B$465,0))*('Koszty operacyjne'!$K$114:$X$114=Moduły!K$73),ko_pio)</f>
        <v>0</v>
      </c>
      <c r="L505" s="33" cm="1">
        <f t="array" ref="L505">SUMPRODUCT(ISNUMBER(MATCH(mod_ko_pio,$B$465,0))*('Koszty operacyjne'!$K$114:$X$114=Moduły!L$73),ko_pio)</f>
        <v>0</v>
      </c>
      <c r="M505" s="33" cm="1">
        <f t="array" ref="M505">SUMPRODUCT(ISNUMBER(MATCH(mod_ko_pio,$B$465,0))*('Koszty operacyjne'!$K$114:$X$114=Moduły!M$73),ko_pio)</f>
        <v>0</v>
      </c>
      <c r="N505" s="33" cm="1">
        <f t="array" ref="N505">SUMPRODUCT(ISNUMBER(MATCH(mod_ko_pio,$B$465,0))*('Koszty operacyjne'!$K$114:$X$114=Moduły!N$73),ko_pio)</f>
        <v>0</v>
      </c>
      <c r="O505" s="33" cm="1">
        <f t="array" ref="O505">SUMPRODUCT(ISNUMBER(MATCH(mod_ko_pio,$B$465,0))*('Koszty operacyjne'!$K$114:$X$114=Moduły!O$73),ko_pio)</f>
        <v>0</v>
      </c>
      <c r="P505" s="33" cm="1">
        <f t="array" ref="P505">SUMPRODUCT(ISNUMBER(MATCH(mod_ko_pio,$B$465,0))*('Koszty operacyjne'!$K$114:$X$114=Moduły!P$73),ko_pio)</f>
        <v>0</v>
      </c>
    </row>
    <row r="506" spans="2:16">
      <c r="B506" s="37" t="s">
        <v>109</v>
      </c>
      <c r="C506" s="33" cm="1">
        <f t="array" ref="C506">SUMPRODUCT(ISNUMBER(MATCH(mod_ko_wyn,$B$465,0))*('Koszty operacyjne'!$K$114:$X$114=Moduły!C$73),ko_wyn)</f>
        <v>0</v>
      </c>
      <c r="D506" s="33" cm="1">
        <f t="array" ref="D506">SUMPRODUCT(ISNUMBER(MATCH(mod_ko_wyn,$B$465,0))*('Koszty operacyjne'!$K$114:$X$114=Moduły!D$73),ko_wyn)</f>
        <v>0</v>
      </c>
      <c r="E506" s="33" cm="1">
        <f t="array" ref="E506">SUMPRODUCT(ISNUMBER(MATCH(mod_ko_wyn,$B$465,0))*('Koszty operacyjne'!$K$114:$X$114=Moduły!E$73),ko_wyn)</f>
        <v>0</v>
      </c>
      <c r="F506" s="33" cm="1">
        <f t="array" ref="F506">SUMPRODUCT(ISNUMBER(MATCH(mod_ko_wyn,$B$465,0))*('Koszty operacyjne'!$K$114:$X$114=Moduły!F$73),ko_wyn)</f>
        <v>0</v>
      </c>
      <c r="G506" s="33" cm="1">
        <f t="array" ref="G506">SUMPRODUCT(ISNUMBER(MATCH(mod_ko_wyn,$B$465,0))*('Koszty operacyjne'!$K$114:$X$114=Moduły!G$73),ko_wyn)</f>
        <v>0</v>
      </c>
      <c r="H506" s="33" cm="1">
        <f t="array" ref="H506">SUMPRODUCT(ISNUMBER(MATCH(mod_ko_wyn,$B$465,0))*('Koszty operacyjne'!$K$114:$X$114=Moduły!H$73),ko_wyn)</f>
        <v>0</v>
      </c>
      <c r="I506" s="33" cm="1">
        <f t="array" ref="I506">SUMPRODUCT(ISNUMBER(MATCH(mod_ko_wyn,$B$465,0))*('Koszty operacyjne'!$K$114:$X$114=Moduły!I$73),ko_wyn)</f>
        <v>0</v>
      </c>
      <c r="J506" s="33" cm="1">
        <f t="array" ref="J506">SUMPRODUCT(ISNUMBER(MATCH(mod_ko_wyn,$B$465,0))*('Koszty operacyjne'!$K$114:$X$114=Moduły!J$73),ko_wyn)</f>
        <v>0</v>
      </c>
      <c r="K506" s="33" cm="1">
        <f t="array" ref="K506">SUMPRODUCT(ISNUMBER(MATCH(mod_ko_wyn,$B$465,0))*('Koszty operacyjne'!$K$114:$X$114=Moduły!K$73),ko_wyn)</f>
        <v>0</v>
      </c>
      <c r="L506" s="33" cm="1">
        <f t="array" ref="L506">SUMPRODUCT(ISNUMBER(MATCH(mod_ko_wyn,$B$465,0))*('Koszty operacyjne'!$K$114:$X$114=Moduły!L$73),ko_wyn)</f>
        <v>0</v>
      </c>
      <c r="M506" s="33" cm="1">
        <f t="array" ref="M506">SUMPRODUCT(ISNUMBER(MATCH(mod_ko_wyn,$B$465,0))*('Koszty operacyjne'!$K$114:$X$114=Moduły!M$73),ko_wyn)</f>
        <v>0</v>
      </c>
      <c r="N506" s="33" cm="1">
        <f t="array" ref="N506">SUMPRODUCT(ISNUMBER(MATCH(mod_ko_wyn,$B$465,0))*('Koszty operacyjne'!$K$114:$X$114=Moduły!N$73),ko_wyn)</f>
        <v>0</v>
      </c>
      <c r="O506" s="33" cm="1">
        <f t="array" ref="O506">SUMPRODUCT(ISNUMBER(MATCH(mod_ko_wyn,$B$465,0))*('Koszty operacyjne'!$K$114:$X$114=Moduły!O$73),ko_wyn)</f>
        <v>0</v>
      </c>
      <c r="P506" s="33" cm="1">
        <f t="array" ref="P506">SUMPRODUCT(ISNUMBER(MATCH(mod_ko_wyn,$B$465,0))*('Koszty operacyjne'!$K$114:$X$114=Moduły!P$73),ko_wyn)</f>
        <v>0</v>
      </c>
    </row>
    <row r="507" spans="2:16">
      <c r="B507" s="37" t="s">
        <v>110</v>
      </c>
      <c r="C507" s="33" cm="1">
        <f t="array" ref="C507">SUMPRODUCT(ISNUMBER(MATCH(mod_ko_zus,$B$465,0))*('Koszty operacyjne'!$K$114:$X$114=Moduły!C$73),ko_zus)</f>
        <v>0</v>
      </c>
      <c r="D507" s="33" cm="1">
        <f t="array" ref="D507">SUMPRODUCT(ISNUMBER(MATCH(mod_ko_zus,$B$465,0))*('Koszty operacyjne'!$K$114:$X$114=Moduły!D$73),ko_zus)</f>
        <v>0</v>
      </c>
      <c r="E507" s="33" cm="1">
        <f t="array" ref="E507">SUMPRODUCT(ISNUMBER(MATCH(mod_ko_zus,$B$465,0))*('Koszty operacyjne'!$K$114:$X$114=Moduły!E$73),ko_zus)</f>
        <v>0</v>
      </c>
      <c r="F507" s="33" cm="1">
        <f t="array" ref="F507">SUMPRODUCT(ISNUMBER(MATCH(mod_ko_zus,$B$465,0))*('Koszty operacyjne'!$K$114:$X$114=Moduły!F$73),ko_zus)</f>
        <v>0</v>
      </c>
      <c r="G507" s="33" cm="1">
        <f t="array" ref="G507">SUMPRODUCT(ISNUMBER(MATCH(mod_ko_zus,$B$465,0))*('Koszty operacyjne'!$K$114:$X$114=Moduły!G$73),ko_zus)</f>
        <v>0</v>
      </c>
      <c r="H507" s="33" cm="1">
        <f t="array" ref="H507">SUMPRODUCT(ISNUMBER(MATCH(mod_ko_zus,$B$465,0))*('Koszty operacyjne'!$K$114:$X$114=Moduły!H$73),ko_zus)</f>
        <v>0</v>
      </c>
      <c r="I507" s="33" cm="1">
        <f t="array" ref="I507">SUMPRODUCT(ISNUMBER(MATCH(mod_ko_zus,$B$465,0))*('Koszty operacyjne'!$K$114:$X$114=Moduły!I$73),ko_zus)</f>
        <v>0</v>
      </c>
      <c r="J507" s="33" cm="1">
        <f t="array" ref="J507">SUMPRODUCT(ISNUMBER(MATCH(mod_ko_zus,$B$465,0))*('Koszty operacyjne'!$K$114:$X$114=Moduły!J$73),ko_zus)</f>
        <v>0</v>
      </c>
      <c r="K507" s="33" cm="1">
        <f t="array" ref="K507">SUMPRODUCT(ISNUMBER(MATCH(mod_ko_zus,$B$465,0))*('Koszty operacyjne'!$K$114:$X$114=Moduły!K$73),ko_zus)</f>
        <v>0</v>
      </c>
      <c r="L507" s="33" cm="1">
        <f t="array" ref="L507">SUMPRODUCT(ISNUMBER(MATCH(mod_ko_zus,$B$465,0))*('Koszty operacyjne'!$K$114:$X$114=Moduły!L$73),ko_zus)</f>
        <v>0</v>
      </c>
      <c r="M507" s="33" cm="1">
        <f t="array" ref="M507">SUMPRODUCT(ISNUMBER(MATCH(mod_ko_zus,$B$465,0))*('Koszty operacyjne'!$K$114:$X$114=Moduły!M$73),ko_zus)</f>
        <v>0</v>
      </c>
      <c r="N507" s="33" cm="1">
        <f t="array" ref="N507">SUMPRODUCT(ISNUMBER(MATCH(mod_ko_zus,$B$465,0))*('Koszty operacyjne'!$K$114:$X$114=Moduły!N$73),ko_zus)</f>
        <v>0</v>
      </c>
      <c r="O507" s="33" cm="1">
        <f t="array" ref="O507">SUMPRODUCT(ISNUMBER(MATCH(mod_ko_zus,$B$465,0))*('Koszty operacyjne'!$K$114:$X$114=Moduły!O$73),ko_zus)</f>
        <v>0</v>
      </c>
      <c r="P507" s="33" cm="1">
        <f t="array" ref="P507">SUMPRODUCT(ISNUMBER(MATCH(mod_ko_zus,$B$465,0))*('Koszty operacyjne'!$K$114:$X$114=Moduły!P$73),ko_zus)</f>
        <v>0</v>
      </c>
    </row>
    <row r="508" spans="2:16">
      <c r="B508" s="37" t="s">
        <v>111</v>
      </c>
      <c r="C508" s="33" cm="1">
        <f t="array" ref="C508">SUMPRODUCT(ISNUMBER(MATCH(mod_ko_pkr,$B$465,0))*('Koszty operacyjne'!$K$114:$X$114=Moduły!C$73),ko_pkr)</f>
        <v>0</v>
      </c>
      <c r="D508" s="33" cm="1">
        <f t="array" ref="D508">SUMPRODUCT(ISNUMBER(MATCH(mod_ko_pkr,$B$465,0))*('Koszty operacyjne'!$K$114:$X$114=Moduły!D$73),ko_pkr)</f>
        <v>0</v>
      </c>
      <c r="E508" s="33" cm="1">
        <f t="array" ref="E508">SUMPRODUCT(ISNUMBER(MATCH(mod_ko_pkr,$B$465,0))*('Koszty operacyjne'!$K$114:$X$114=Moduły!E$73),ko_pkr)</f>
        <v>0</v>
      </c>
      <c r="F508" s="33" cm="1">
        <f t="array" ref="F508">SUMPRODUCT(ISNUMBER(MATCH(mod_ko_pkr,$B$465,0))*('Koszty operacyjne'!$K$114:$X$114=Moduły!F$73),ko_pkr)</f>
        <v>0</v>
      </c>
      <c r="G508" s="33" cm="1">
        <f t="array" ref="G508">SUMPRODUCT(ISNUMBER(MATCH(mod_ko_pkr,$B$465,0))*('Koszty operacyjne'!$K$114:$X$114=Moduły!G$73),ko_pkr)</f>
        <v>0</v>
      </c>
      <c r="H508" s="33" cm="1">
        <f t="array" ref="H508">SUMPRODUCT(ISNUMBER(MATCH(mod_ko_pkr,$B$465,0))*('Koszty operacyjne'!$K$114:$X$114=Moduły!H$73),ko_pkr)</f>
        <v>0</v>
      </c>
      <c r="I508" s="33" cm="1">
        <f t="array" ref="I508">SUMPRODUCT(ISNUMBER(MATCH(mod_ko_pkr,$B$465,0))*('Koszty operacyjne'!$K$114:$X$114=Moduły!I$73),ko_pkr)</f>
        <v>0</v>
      </c>
      <c r="J508" s="33" cm="1">
        <f t="array" ref="J508">SUMPRODUCT(ISNUMBER(MATCH(mod_ko_pkr,$B$465,0))*('Koszty operacyjne'!$K$114:$X$114=Moduły!J$73),ko_pkr)</f>
        <v>0</v>
      </c>
      <c r="K508" s="33" cm="1">
        <f t="array" ref="K508">SUMPRODUCT(ISNUMBER(MATCH(mod_ko_pkr,$B$465,0))*('Koszty operacyjne'!$K$114:$X$114=Moduły!K$73),ko_pkr)</f>
        <v>0</v>
      </c>
      <c r="L508" s="33" cm="1">
        <f t="array" ref="L508">SUMPRODUCT(ISNUMBER(MATCH(mod_ko_pkr,$B$465,0))*('Koszty operacyjne'!$K$114:$X$114=Moduły!L$73),ko_pkr)</f>
        <v>0</v>
      </c>
      <c r="M508" s="33" cm="1">
        <f t="array" ref="M508">SUMPRODUCT(ISNUMBER(MATCH(mod_ko_pkr,$B$465,0))*('Koszty operacyjne'!$K$114:$X$114=Moduły!M$73),ko_pkr)</f>
        <v>0</v>
      </c>
      <c r="N508" s="33" cm="1">
        <f t="array" ref="N508">SUMPRODUCT(ISNUMBER(MATCH(mod_ko_pkr,$B$465,0))*('Koszty operacyjne'!$K$114:$X$114=Moduły!N$73),ko_pkr)</f>
        <v>0</v>
      </c>
      <c r="O508" s="33" cm="1">
        <f t="array" ref="O508">SUMPRODUCT(ISNUMBER(MATCH(mod_ko_pkr,$B$465,0))*('Koszty operacyjne'!$K$114:$X$114=Moduły!O$73),ko_pkr)</f>
        <v>0</v>
      </c>
      <c r="P508" s="33" cm="1">
        <f t="array" ref="P508">SUMPRODUCT(ISNUMBER(MATCH(mod_ko_pkr,$B$465,0))*('Koszty operacyjne'!$K$114:$X$114=Moduły!P$73),ko_pkr)</f>
        <v>0</v>
      </c>
    </row>
    <row r="509" spans="2:16">
      <c r="B509" s="37" t="s">
        <v>112</v>
      </c>
      <c r="C509" s="33" cm="1">
        <f t="array" ref="C509">SUMPRODUCT(ISNUMBER(MATCH(mod_pp_ptim_wstim,$B$465,0))*('Koszty operacyjne'!$K$114:$X$114=Moduły!C$73),pp_ptim_wstim)</f>
        <v>0</v>
      </c>
      <c r="D509" s="33" cm="1">
        <f t="array" ref="D509">SUMPRODUCT(ISNUMBER(MATCH(mod_pp_ptim_wstim,$B$465,0))*('Koszty operacyjne'!$K$114:$X$114=Moduły!D$73),pp_ptim_wstim)</f>
        <v>0</v>
      </c>
      <c r="E509" s="33" cm="1">
        <f t="array" ref="E509">SUMPRODUCT(ISNUMBER(MATCH(mod_pp_ptim_wstim,$B$465,0))*('Koszty operacyjne'!$K$114:$X$114=Moduły!E$73),pp_ptim_wstim)</f>
        <v>0</v>
      </c>
      <c r="F509" s="33" cm="1">
        <f t="array" ref="F509">SUMPRODUCT(ISNUMBER(MATCH(mod_pp_ptim_wstim,$B$465,0))*('Koszty operacyjne'!$K$114:$X$114=Moduły!F$73),pp_ptim_wstim)</f>
        <v>0</v>
      </c>
      <c r="G509" s="33" cm="1">
        <f t="array" ref="G509">SUMPRODUCT(ISNUMBER(MATCH(mod_pp_ptim_wstim,$B$465,0))*('Koszty operacyjne'!$K$114:$X$114=Moduły!G$73),pp_ptim_wstim)</f>
        <v>0</v>
      </c>
      <c r="H509" s="33" cm="1">
        <f t="array" ref="H509">SUMPRODUCT(ISNUMBER(MATCH(mod_pp_ptim_wstim,$B$465,0))*('Koszty operacyjne'!$K$114:$X$114=Moduły!H$73),pp_ptim_wstim)</f>
        <v>0</v>
      </c>
      <c r="I509" s="33" cm="1">
        <f t="array" ref="I509">SUMPRODUCT(ISNUMBER(MATCH(mod_pp_ptim_wstim,$B$465,0))*('Koszty operacyjne'!$K$114:$X$114=Moduły!I$73),pp_ptim_wstim)</f>
        <v>0</v>
      </c>
      <c r="J509" s="33" cm="1">
        <f t="array" ref="J509">SUMPRODUCT(ISNUMBER(MATCH(mod_pp_ptim_wstim,$B$465,0))*('Koszty operacyjne'!$K$114:$X$114=Moduły!J$73),pp_ptim_wstim)</f>
        <v>0</v>
      </c>
      <c r="K509" s="33" cm="1">
        <f t="array" ref="K509">SUMPRODUCT(ISNUMBER(MATCH(mod_pp_ptim_wstim,$B$465,0))*('Koszty operacyjne'!$K$114:$X$114=Moduły!K$73),pp_ptim_wstim)</f>
        <v>0</v>
      </c>
      <c r="L509" s="33" cm="1">
        <f t="array" ref="L509">SUMPRODUCT(ISNUMBER(MATCH(mod_pp_ptim_wstim,$B$465,0))*('Koszty operacyjne'!$K$114:$X$114=Moduły!L$73),pp_ptim_wstim)</f>
        <v>0</v>
      </c>
      <c r="M509" s="33" cm="1">
        <f t="array" ref="M509">SUMPRODUCT(ISNUMBER(MATCH(mod_pp_ptim_wstim,$B$465,0))*('Koszty operacyjne'!$K$114:$X$114=Moduły!M$73),pp_ptim_wstim)</f>
        <v>0</v>
      </c>
      <c r="N509" s="33" cm="1">
        <f t="array" ref="N509">SUMPRODUCT(ISNUMBER(MATCH(mod_pp_ptim_wstim,$B$465,0))*('Koszty operacyjne'!$K$114:$X$114=Moduły!N$73),pp_ptim_wstim)</f>
        <v>0</v>
      </c>
      <c r="O509" s="33" cm="1">
        <f t="array" ref="O509">SUMPRODUCT(ISNUMBER(MATCH(mod_pp_ptim_wstim,$B$465,0))*('Koszty operacyjne'!$K$114:$X$114=Moduły!O$73),pp_ptim_wstim)</f>
        <v>0</v>
      </c>
      <c r="P509" s="33" cm="1">
        <f t="array" ref="P509">SUMPRODUCT(ISNUMBER(MATCH(mod_pp_ptim_wstim,$B$465,0))*('Koszty operacyjne'!$K$114:$X$114=Moduły!P$73),pp_ptim_wstim)</f>
        <v>0</v>
      </c>
    </row>
    <row r="510" spans="2:16"/>
    <row r="511" spans="2:16" ht="14.4">
      <c r="B511" s="11" t="s">
        <v>51</v>
      </c>
    </row>
    <row r="512" spans="2:16" ht="14.4">
      <c r="B512" s="11"/>
    </row>
    <row r="513" spans="2:2" ht="14.4">
      <c r="B513" s="11"/>
    </row>
    <row r="514" spans="2:2" ht="14.4">
      <c r="B514" s="11"/>
    </row>
    <row r="515" spans="2:2" ht="14.4">
      <c r="B515" s="11"/>
    </row>
    <row r="516" spans="2:2" ht="14.4">
      <c r="B516" s="11"/>
    </row>
    <row r="517" spans="2:2" ht="14.4">
      <c r="B517" s="11"/>
    </row>
    <row r="518" spans="2:2" ht="14.4">
      <c r="B518" s="11"/>
    </row>
    <row r="519" spans="2:2" ht="14.4">
      <c r="B519" s="11"/>
    </row>
    <row r="520" spans="2:2" ht="14.4">
      <c r="B520" s="11"/>
    </row>
    <row r="521" spans="2:2" ht="14.4">
      <c r="B521" s="11"/>
    </row>
    <row r="522" spans="2:2" ht="14.4">
      <c r="B522" s="11"/>
    </row>
    <row r="523" spans="2:2" ht="14.4">
      <c r="B523" s="11"/>
    </row>
    <row r="524" spans="2:2" ht="14.4">
      <c r="B524" s="11"/>
    </row>
    <row r="525" spans="2:2" ht="14.4">
      <c r="B525" s="11"/>
    </row>
    <row r="526" spans="2:2" ht="14.4">
      <c r="B526" s="11"/>
    </row>
    <row r="527" spans="2:2" ht="14.4">
      <c r="B527" s="11"/>
    </row>
    <row r="528" spans="2:2" ht="14.4">
      <c r="B528" s="11"/>
    </row>
    <row r="529" spans="2:2" ht="14.4">
      <c r="B529" s="11"/>
    </row>
    <row r="530" spans="2:2" ht="14.4">
      <c r="B530" s="11"/>
    </row>
    <row r="531" spans="2:2" ht="14.4">
      <c r="B531" s="11"/>
    </row>
    <row r="532" spans="2:2" ht="14.4">
      <c r="B532" s="11"/>
    </row>
    <row r="533" spans="2:2" ht="14.4">
      <c r="B533" s="11"/>
    </row>
    <row r="534" spans="2:2" ht="14.4">
      <c r="B534" s="11"/>
    </row>
    <row r="535" spans="2:2" ht="14.4">
      <c r="B535" s="11"/>
    </row>
    <row r="536" spans="2:2" ht="14.4">
      <c r="B536" s="11"/>
    </row>
    <row r="537" spans="2:2" ht="14.4">
      <c r="B537" s="11"/>
    </row>
    <row r="538" spans="2:2" ht="14.4">
      <c r="B538" s="11"/>
    </row>
    <row r="539" spans="2:2" ht="14.4">
      <c r="B539" s="11"/>
    </row>
    <row r="540" spans="2:2"/>
    <row r="541" spans="2:2"/>
    <row r="542" spans="2:2"/>
    <row r="543" spans="2:2"/>
    <row r="544" spans="2:2"/>
    <row r="545" spans="2:7"/>
    <row r="546" spans="2:7"/>
    <row r="547" spans="2:7"/>
    <row r="548" spans="2:7"/>
    <row r="549" spans="2:7"/>
    <row r="550" spans="2:7"/>
    <row r="551" spans="2:7"/>
    <row r="555" spans="2:7" hidden="1">
      <c r="B555" s="21"/>
      <c r="C555" s="481"/>
      <c r="D555" s="481" t="str">
        <f>""</f>
        <v/>
      </c>
      <c r="E555" s="481" t="str">
        <f>""</f>
        <v/>
      </c>
      <c r="F555" s="481" t="str">
        <f>""</f>
        <v/>
      </c>
      <c r="G555" s="481"/>
    </row>
    <row r="556" spans="2:7" hidden="1">
      <c r="B556" s="21" t="s">
        <v>103</v>
      </c>
      <c r="C556" s="481" t="b">
        <v>0</v>
      </c>
      <c r="D556" s="481" t="str">
        <f>IF(C556=TRUE,B556,"")</f>
        <v/>
      </c>
      <c r="E556" s="481" cm="1">
        <f t="array" ref="E556">IFERROR(INDEX($D$556:$D$562,MATCH(0,IF($D$556:$D$562="",1,COUNTIF($E$555:E555,$D$556:$D$562)),0)),1111)</f>
        <v>1111</v>
      </c>
      <c r="F556" s="481">
        <f>COUNTA($E$556:$E$562)-COUNTIF($E$556:$E$562,"&gt;0")</f>
        <v>0</v>
      </c>
      <c r="G556" s="481" t="e" cm="1">
        <f t="array" aca="1" ref="G556" ca="1">OFFSET($E$556,,,$F$556)</f>
        <v>#REF!</v>
      </c>
    </row>
    <row r="557" spans="2:7" hidden="1">
      <c r="B557" s="21" t="s">
        <v>761</v>
      </c>
      <c r="C557" s="481" t="b">
        <v>0</v>
      </c>
      <c r="D557" s="481" t="str">
        <f t="shared" ref="D557:D562" si="230">IF(C557=TRUE,B557,"")</f>
        <v/>
      </c>
      <c r="E557" s="481" cm="1">
        <f t="array" ref="E557">IFERROR(INDEX($D$556:$D$562,MATCH(0,IF($D$556:$D$562="",1,COUNTIF($E$555:E556,$D$556:$D$562)),0)),1111)</f>
        <v>1111</v>
      </c>
      <c r="F557" s="481"/>
      <c r="G557" s="481"/>
    </row>
    <row r="558" spans="2:7" hidden="1">
      <c r="B558" s="21" t="s">
        <v>113</v>
      </c>
      <c r="C558" s="481" t="b">
        <v>0</v>
      </c>
      <c r="D558" s="481" t="str">
        <f t="shared" si="230"/>
        <v/>
      </c>
      <c r="E558" s="481" cm="1">
        <f t="array" ref="E558">IFERROR(INDEX($D$556:$D$562,MATCH(0,IF($D$556:$D$562="",1,COUNTIF($E$555:E557,$D$556:$D$562)),0)),1111)</f>
        <v>1111</v>
      </c>
      <c r="F558" s="481"/>
      <c r="G558" s="481"/>
    </row>
    <row r="559" spans="2:7" hidden="1">
      <c r="B559" s="21" t="s">
        <v>114</v>
      </c>
      <c r="C559" s="481" t="b">
        <v>0</v>
      </c>
      <c r="D559" s="481" t="str">
        <f t="shared" si="230"/>
        <v/>
      </c>
      <c r="E559" s="481" cm="1">
        <f t="array" ref="E559">IFERROR(INDEX($D$556:$D$562,MATCH(0,IF($D$556:$D$562="",1,COUNTIF($E$555:E558,$D$556:$D$562)),0)),1111)</f>
        <v>1111</v>
      </c>
      <c r="F559" s="481"/>
      <c r="G559" s="481"/>
    </row>
    <row r="560" spans="2:7" hidden="1">
      <c r="B560" s="21" t="s">
        <v>115</v>
      </c>
      <c r="C560" s="481" t="b">
        <v>0</v>
      </c>
      <c r="D560" s="481" t="str">
        <f t="shared" si="230"/>
        <v/>
      </c>
      <c r="E560" s="481" cm="1">
        <f t="array" ref="E560">IFERROR(INDEX($D$556:$D$562,MATCH(0,IF($D$556:$D$562="",1,COUNTIF($E$555:E559,$D$556:$D$562)),0)),1111)</f>
        <v>1111</v>
      </c>
      <c r="F560" s="481"/>
      <c r="G560" s="481"/>
    </row>
    <row r="561" spans="2:7" hidden="1">
      <c r="B561" s="21" t="s">
        <v>116</v>
      </c>
      <c r="C561" s="481" t="b">
        <v>0</v>
      </c>
      <c r="D561" s="481" t="str">
        <f t="shared" si="230"/>
        <v/>
      </c>
      <c r="E561" s="481" cm="1">
        <f t="array" ref="E561">IFERROR(INDEX($D$556:$D$562,MATCH(0,IF($D$556:$D$562="",1,COUNTIF($E$555:E560,$D$556:$D$562)),0)),1111)</f>
        <v>1111</v>
      </c>
      <c r="F561" s="481"/>
      <c r="G561" s="481"/>
    </row>
    <row r="562" spans="2:7" hidden="1">
      <c r="B562" s="21" t="s">
        <v>117</v>
      </c>
      <c r="C562" s="481" t="b">
        <v>0</v>
      </c>
      <c r="D562" s="481" t="str">
        <f t="shared" si="230"/>
        <v/>
      </c>
      <c r="E562" s="481" cm="1">
        <f t="array" ref="E562">IFERROR(INDEX($D$556:$D$562,MATCH(0,IF($D$556:$D$562="",1,COUNTIF($E$555:E561,$D$556:$D$562)),0)),1111)</f>
        <v>1111</v>
      </c>
      <c r="F562" s="481"/>
      <c r="G562" s="481"/>
    </row>
    <row r="564" spans="2:7" hidden="1">
      <c r="B564" s="21" t="s">
        <v>118</v>
      </c>
    </row>
    <row r="565" spans="2:7" hidden="1">
      <c r="B565" s="21" t="s">
        <v>119</v>
      </c>
    </row>
    <row r="567" spans="2:7" hidden="1">
      <c r="B567" s="21" t="s">
        <v>671</v>
      </c>
      <c r="D567" s="21" t="s">
        <v>671</v>
      </c>
    </row>
    <row r="568" spans="2:7" hidden="1">
      <c r="B568" s="21" t="s">
        <v>669</v>
      </c>
    </row>
    <row r="569" spans="2:7" hidden="1">
      <c r="B569" s="21" t="s">
        <v>670</v>
      </c>
    </row>
    <row r="572" spans="2:7" hidden="1">
      <c r="B572" s="1" t="b">
        <f>C54='Koszty operacyjne'!K605</f>
        <v>1</v>
      </c>
    </row>
    <row r="573" spans="2:7" hidden="1">
      <c r="B573" s="1" t="b">
        <f>C55='Koszty operacyjne'!K606</f>
        <v>1</v>
      </c>
    </row>
    <row r="574" spans="2:7" hidden="1">
      <c r="B574" s="1" t="b">
        <f>C56='Koszty operacyjne'!K607</f>
        <v>1</v>
      </c>
    </row>
    <row r="575" spans="2:7" hidden="1">
      <c r="B575" s="1" t="b">
        <f>C57='Koszty operacyjne'!K608</f>
        <v>1</v>
      </c>
    </row>
    <row r="576" spans="2:7" hidden="1">
      <c r="B576" s="1" t="b">
        <f>C58='Koszty operacyjne'!K609</f>
        <v>1</v>
      </c>
    </row>
    <row r="577" spans="2:2" hidden="1">
      <c r="B577" s="1" t="b">
        <f>C59='Koszty operacyjne'!K610</f>
        <v>1</v>
      </c>
    </row>
    <row r="578" spans="2:2" hidden="1">
      <c r="B578" s="1" t="b">
        <f>C60='Koszty operacyjne'!K611</f>
        <v>1</v>
      </c>
    </row>
    <row r="593" spans="3:10" hidden="1">
      <c r="C593" s="484" cm="1">
        <f t="array" aca="1" ref="C593" ca="1">SUMPRODUCT(ISNUMBER(MATCH(mod_dot,$B$73,0))*('Koszty operacyjne'!$K$114:$X$114=Moduły!C$73),mod_dot_st)</f>
        <v>0</v>
      </c>
      <c r="D593" s="484" cm="1">
        <f t="array" aca="1" ref="D593" ca="1">SUMPRODUCT(ISNUMBER(MATCH(mod_dot,$B$73,0))*('Koszty operacyjne'!$K$114:$X$114=Moduły!D$73),mod_dot_st)</f>
        <v>0</v>
      </c>
      <c r="E593" s="484" cm="1">
        <f t="array" aca="1" ref="E593" ca="1">SUMPRODUCT(ISNUMBER(MATCH(mod_dot,$B$73,0))*('Koszty operacyjne'!$K$114:$X$114=Moduły!E$73),mod_dot_st)</f>
        <v>0</v>
      </c>
      <c r="F593" s="484" cm="1">
        <f t="array" aca="1" ref="F593" ca="1">SUMPRODUCT(ISNUMBER(MATCH(mod_dot,$B$73,0))*('Koszty operacyjne'!$K$114:$X$114=Moduły!F$73),mod_dot_st)</f>
        <v>0</v>
      </c>
      <c r="G593" s="484" cm="1">
        <f t="array" aca="1" ref="G593" ca="1">SUMPRODUCT(ISNUMBER(MATCH(mod_dot,$B$73,0))*('Koszty operacyjne'!$K$114:$X$114=Moduły!G$73),mod_dot_st)</f>
        <v>0</v>
      </c>
      <c r="H593" s="484" cm="1">
        <f t="array" aca="1" ref="H593" ca="1">SUMPRODUCT(ISNUMBER(MATCH(mod_dot,$B$73,0))*('Koszty operacyjne'!$K$114:$X$114=Moduły!H$73),mod_dot_st)</f>
        <v>0</v>
      </c>
      <c r="I593" s="484" cm="1">
        <f t="array" aca="1" ref="I593" ca="1">SUMPRODUCT(ISNUMBER(MATCH(mod_dot,$B$73,0))*('Koszty operacyjne'!$K$114:$X$114=Moduły!I$73),mod_dot_st)</f>
        <v>0</v>
      </c>
      <c r="J593" s="484" cm="1">
        <f t="array" aca="1" ref="J593" ca="1">SUMPRODUCT(ISNUMBER(MATCH(mod_dot,$B$73,0))*('Koszty operacyjne'!$K$114:$X$114=Moduły!J$73),mod_dot_st)</f>
        <v>0</v>
      </c>
    </row>
    <row r="594" spans="3:10" hidden="1">
      <c r="C594" s="484" cm="1">
        <f t="array" ref="C594">SUMPRODUCT(ISNUMBER(MATCH(mod_dot_ko,$B$73,0))*('Koszty operacyjne'!$K$114:$X$114=Moduły!C$73),mod_dot_ko_war)</f>
        <v>0</v>
      </c>
      <c r="D594" s="484" cm="1">
        <f t="array" ref="D594">SUMPRODUCT(ISNUMBER(MATCH(mod_dot_ko,$B$73,0))*('Koszty operacyjne'!$K$114:$X$114=Moduły!D$73),mod_dot_ko_war)</f>
        <v>0</v>
      </c>
      <c r="E594" s="484" cm="1">
        <f t="array" ref="E594">SUMPRODUCT(ISNUMBER(MATCH(mod_dot_ko,$B$73,0))*('Koszty operacyjne'!$K$114:$X$114=Moduły!E$73),mod_dot_ko_war)</f>
        <v>0</v>
      </c>
      <c r="F594" s="484" cm="1">
        <f t="array" ref="F594">SUMPRODUCT(ISNUMBER(MATCH(mod_dot_ko,$B$73,0))*('Koszty operacyjne'!$K$114:$X$114=Moduły!F$73),mod_dot_ko_war)</f>
        <v>0</v>
      </c>
      <c r="G594" s="484" cm="1">
        <f t="array" ref="G594">SUMPRODUCT(ISNUMBER(MATCH(mod_dot_ko,$B$73,0))*('Koszty operacyjne'!$K$114:$X$114=Moduły!G$73),mod_dot_ko_war)</f>
        <v>0</v>
      </c>
      <c r="H594" s="484" cm="1">
        <f t="array" ref="H594">SUMPRODUCT(ISNUMBER(MATCH(mod_dot_ko,$B$73,0))*('Koszty operacyjne'!$K$114:$X$114=Moduły!H$73),mod_dot_ko_war)</f>
        <v>0</v>
      </c>
      <c r="I594" s="484" cm="1">
        <f t="array" ref="I594">SUMPRODUCT(ISNUMBER(MATCH(mod_dot_ko,$B$73,0))*('Koszty operacyjne'!$K$114:$X$114=Moduły!I$73),mod_dot_ko_war)</f>
        <v>0</v>
      </c>
      <c r="J594" s="484" cm="1">
        <f t="array" ref="J594">SUMPRODUCT(ISNUMBER(MATCH(mod_dot_ko,$B$73,0))*('Koszty operacyjne'!$K$114:$X$114=Moduły!J$73),mod_dot_ko_war)</f>
        <v>0</v>
      </c>
    </row>
    <row r="595" spans="3:10" hidden="1">
      <c r="C595" s="484" cm="1">
        <f t="array" ref="C595">SUMPRODUCT(ISNUMBER(MATCH(mod_dot_ko_br,$B$73,0))*('Koszty operacyjne'!$K$114:$X$114=Moduły!C$73),mod_dot_ko_br_war)</f>
        <v>0</v>
      </c>
      <c r="D595" s="484" cm="1">
        <f t="array" ref="D595">SUMPRODUCT(ISNUMBER(MATCH(mod_dot_ko_br,$B$73,0))*('Koszty operacyjne'!$K$114:$X$114=Moduły!D$73),mod_dot_ko_br_war)</f>
        <v>0</v>
      </c>
      <c r="E595" s="484" cm="1">
        <f t="array" ref="E595">SUMPRODUCT(ISNUMBER(MATCH(mod_dot_ko_br,$B$73,0))*('Koszty operacyjne'!$K$114:$X$114=Moduły!E$73),mod_dot_ko_br_war)</f>
        <v>0</v>
      </c>
      <c r="F595" s="484" cm="1">
        <f t="array" ref="F595">SUMPRODUCT(ISNUMBER(MATCH(mod_dot_ko_br,$B$73,0))*('Koszty operacyjne'!$K$114:$X$114=Moduły!F$73),mod_dot_ko_br_war)</f>
        <v>0</v>
      </c>
      <c r="G595" s="484" cm="1">
        <f t="array" ref="G595">SUMPRODUCT(ISNUMBER(MATCH(mod_dot_ko_br,$B$73,0))*('Koszty operacyjne'!$K$114:$X$114=Moduły!G$73),mod_dot_ko_br_war)</f>
        <v>0</v>
      </c>
      <c r="H595" s="484" cm="1">
        <f t="array" ref="H595">SUMPRODUCT(ISNUMBER(MATCH(mod_dot_ko_br,$B$73,0))*('Koszty operacyjne'!$K$114:$X$114=Moduły!H$73),mod_dot_ko_br_war)</f>
        <v>0</v>
      </c>
      <c r="I595" s="484" cm="1">
        <f t="array" ref="I595">SUMPRODUCT(ISNUMBER(MATCH(mod_dot_ko_br,$B$73,0))*('Koszty operacyjne'!$K$114:$X$114=Moduły!I$73),mod_dot_ko_br_war)</f>
        <v>0</v>
      </c>
      <c r="J595" s="484" cm="1">
        <f t="array" ref="J595">SUMPRODUCT(ISNUMBER(MATCH(mod_dot_ko_br,$B$73,0))*('Koszty operacyjne'!$K$114:$X$114=Moduły!J$73),mod_dot_ko_br_war)</f>
        <v>0</v>
      </c>
    </row>
    <row r="596" spans="3:10" hidden="1">
      <c r="C596" s="484" cm="1">
        <f t="array" aca="1" ref="C596" ca="1">SUMPRODUCT(ISNUMBER(MATCH(mod_dot_am,$B$73,0))*('Koszty operacyjne'!$K$114:$X$114=Moduły!C$73),mod_dot_am_war)</f>
        <v>0</v>
      </c>
      <c r="D596" s="484" cm="1">
        <f t="array" aca="1" ref="D596" ca="1">SUMPRODUCT(ISNUMBER(MATCH(mod_dot_am,$B$73,0))*('Koszty operacyjne'!$K$114:$X$114=Moduły!D$73),mod_dot_am_war)</f>
        <v>0</v>
      </c>
      <c r="E596" s="484" cm="1">
        <f t="array" aca="1" ref="E596" ca="1">SUMPRODUCT(ISNUMBER(MATCH(mod_dot_am,$B$73,0))*('Koszty operacyjne'!$K$114:$X$114=Moduły!E$73),mod_dot_am_war)</f>
        <v>0</v>
      </c>
      <c r="F596" s="484" cm="1">
        <f t="array" aca="1" ref="F596" ca="1">SUMPRODUCT(ISNUMBER(MATCH(mod_dot_am,$B$73,0))*('Koszty operacyjne'!$K$114:$X$114=Moduły!F$73),mod_dot_am_war)</f>
        <v>0</v>
      </c>
      <c r="G596" s="484" cm="1">
        <f t="array" aca="1" ref="G596" ca="1">SUMPRODUCT(ISNUMBER(MATCH(mod_dot_am,$B$73,0))*('Koszty operacyjne'!$K$114:$X$114=Moduły!G$73),mod_dot_am_war)</f>
        <v>0</v>
      </c>
      <c r="H596" s="484" cm="1">
        <f t="array" aca="1" ref="H596" ca="1">SUMPRODUCT(ISNUMBER(MATCH(mod_dot_am,$B$73,0))*('Koszty operacyjne'!$K$114:$X$114=Moduły!H$73),mod_dot_am_war)</f>
        <v>0</v>
      </c>
      <c r="I596" s="484" cm="1">
        <f t="array" aca="1" ref="I596" ca="1">SUMPRODUCT(ISNUMBER(MATCH(mod_dot_am,$B$73,0))*('Koszty operacyjne'!$K$114:$X$114=Moduły!I$73),mod_dot_am_war)</f>
        <v>0</v>
      </c>
      <c r="J596" s="484" cm="1">
        <f t="array" aca="1" ref="J596" ca="1">SUMPRODUCT(ISNUMBER(MATCH(mod_dot_am,$B$73,0))*('Koszty operacyjne'!$K$114:$X$114=Moduły!J$73),mod_dot_am_war)</f>
        <v>0</v>
      </c>
    </row>
  </sheetData>
  <sheetProtection algorithmName="SHA-512" hashValue="Gy3IsHnXNY+M/wDuYPwq0NYKaco+1VacMejJl6UyF1ADf5L2w4WZi14/+y+dy4HpSboofZuJBom0WjgQ5q+pwg==" saltValue="vJKiHlIV3yFLu5AyvDUF2Q==" spinCount="100000" sheet="1" objects="1" scenarios="1"/>
  <mergeCells count="1">
    <mergeCell ref="B2:F3"/>
  </mergeCells>
  <conditionalFormatting sqref="C151:P151">
    <cfRule type="cellIs" dxfId="357" priority="112" operator="lessThan">
      <formula>0</formula>
    </cfRule>
    <cfRule type="cellIs" dxfId="356" priority="113" operator="greaterThan">
      <formula>0</formula>
    </cfRule>
  </conditionalFormatting>
  <conditionalFormatting sqref="C149">
    <cfRule type="cellIs" dxfId="355" priority="110" operator="lessThan">
      <formula>0</formula>
    </cfRule>
    <cfRule type="cellIs" dxfId="354" priority="111" operator="greaterThan">
      <formula>0</formula>
    </cfRule>
  </conditionalFormatting>
  <conditionalFormatting sqref="D149:P149">
    <cfRule type="cellIs" dxfId="353" priority="108" operator="lessThan">
      <formula>0</formula>
    </cfRule>
    <cfRule type="cellIs" dxfId="352" priority="109" operator="greaterThan">
      <formula>0</formula>
    </cfRule>
  </conditionalFormatting>
  <conditionalFormatting sqref="C143:P143">
    <cfRule type="cellIs" dxfId="351" priority="106" operator="lessThan">
      <formula>0</formula>
    </cfRule>
    <cfRule type="cellIs" dxfId="350" priority="107" operator="greaterThan">
      <formula>0</formula>
    </cfRule>
  </conditionalFormatting>
  <conditionalFormatting sqref="C144:P144">
    <cfRule type="expression" dxfId="349" priority="100">
      <formula>C144=""</formula>
    </cfRule>
    <cfRule type="cellIs" dxfId="348" priority="104" operator="lessThan">
      <formula>0</formula>
    </cfRule>
    <cfRule type="cellIs" dxfId="347" priority="105" operator="greaterThan">
      <formula>0</formula>
    </cfRule>
  </conditionalFormatting>
  <conditionalFormatting sqref="C141:P141">
    <cfRule type="cellIs" dxfId="346" priority="101" operator="lessThan">
      <formula>0</formula>
    </cfRule>
    <cfRule type="cellIs" dxfId="345" priority="102" operator="greaterThan">
      <formula>0</formula>
    </cfRule>
  </conditionalFormatting>
  <conditionalFormatting sqref="C152:P152">
    <cfRule type="expression" dxfId="344" priority="96">
      <formula>C152=""</formula>
    </cfRule>
    <cfRule type="containsText" dxfId="343" priority="97" operator="containsText" text="n/d">
      <formula>NOT(ISERROR(SEARCH("n/d",C152)))</formula>
    </cfRule>
    <cfRule type="cellIs" dxfId="342" priority="98" operator="lessThan">
      <formula>0</formula>
    </cfRule>
    <cfRule type="cellIs" dxfId="341" priority="99" operator="greaterThan">
      <formula>0</formula>
    </cfRule>
  </conditionalFormatting>
  <conditionalFormatting sqref="C233:P233">
    <cfRule type="cellIs" dxfId="340" priority="94" operator="lessThan">
      <formula>0</formula>
    </cfRule>
    <cfRule type="cellIs" dxfId="339" priority="95" operator="greaterThan">
      <formula>0</formula>
    </cfRule>
  </conditionalFormatting>
  <conditionalFormatting sqref="C231">
    <cfRule type="cellIs" dxfId="338" priority="92" operator="lessThan">
      <formula>0</formula>
    </cfRule>
    <cfRule type="cellIs" dxfId="337" priority="93" operator="greaterThan">
      <formula>0</formula>
    </cfRule>
  </conditionalFormatting>
  <conditionalFormatting sqref="D231:P231">
    <cfRule type="cellIs" dxfId="336" priority="90" operator="lessThan">
      <formula>0</formula>
    </cfRule>
    <cfRule type="cellIs" dxfId="335" priority="91" operator="greaterThan">
      <formula>0</formula>
    </cfRule>
  </conditionalFormatting>
  <conditionalFormatting sqref="C225:P225">
    <cfRule type="cellIs" dxfId="334" priority="88" operator="lessThan">
      <formula>0</formula>
    </cfRule>
    <cfRule type="cellIs" dxfId="333" priority="89" operator="greaterThan">
      <formula>0</formula>
    </cfRule>
  </conditionalFormatting>
  <conditionalFormatting sqref="C226:P226">
    <cfRule type="expression" dxfId="332" priority="82">
      <formula>C226=""</formula>
    </cfRule>
    <cfRule type="containsText" dxfId="331" priority="85" operator="containsText" text="n/d">
      <formula>NOT(ISERROR(SEARCH("n/d",C226)))</formula>
    </cfRule>
    <cfRule type="cellIs" dxfId="330" priority="86" operator="lessThan">
      <formula>0</formula>
    </cfRule>
    <cfRule type="cellIs" dxfId="329" priority="87" operator="greaterThan">
      <formula>0</formula>
    </cfRule>
  </conditionalFormatting>
  <conditionalFormatting sqref="C223:P223">
    <cfRule type="cellIs" dxfId="328" priority="83" operator="lessThan">
      <formula>0</formula>
    </cfRule>
    <cfRule type="cellIs" dxfId="327" priority="84" operator="greaterThan">
      <formula>0</formula>
    </cfRule>
  </conditionalFormatting>
  <conditionalFormatting sqref="C234:P234">
    <cfRule type="expression" dxfId="326" priority="78">
      <formula>C234=""</formula>
    </cfRule>
    <cfRule type="containsText" dxfId="325" priority="79" operator="containsText" text="n/d">
      <formula>NOT(ISERROR(SEARCH("n/d",C234)))</formula>
    </cfRule>
    <cfRule type="cellIs" dxfId="324" priority="80" operator="lessThan">
      <formula>0</formula>
    </cfRule>
    <cfRule type="cellIs" dxfId="323" priority="81" operator="greaterThan">
      <formula>0</formula>
    </cfRule>
  </conditionalFormatting>
  <conditionalFormatting sqref="C135:P136">
    <cfRule type="expression" dxfId="322" priority="59">
      <formula>C135=0</formula>
    </cfRule>
  </conditionalFormatting>
  <conditionalFormatting sqref="C217:P218">
    <cfRule type="expression" dxfId="321" priority="58">
      <formula>C217=0</formula>
    </cfRule>
  </conditionalFormatting>
  <conditionalFormatting sqref="C271:P271">
    <cfRule type="cellIs" dxfId="320" priority="19" operator="lessThan">
      <formula>0</formula>
    </cfRule>
    <cfRule type="cellIs" dxfId="319" priority="20" operator="greaterThan">
      <formula>0</formula>
    </cfRule>
  </conditionalFormatting>
  <conditionalFormatting sqref="C269">
    <cfRule type="cellIs" dxfId="318" priority="17" operator="lessThan">
      <formula>0</formula>
    </cfRule>
    <cfRule type="cellIs" dxfId="317" priority="18" operator="greaterThan">
      <formula>0</formula>
    </cfRule>
  </conditionalFormatting>
  <conditionalFormatting sqref="D269:P269">
    <cfRule type="cellIs" dxfId="316" priority="15" operator="lessThan">
      <formula>0</formula>
    </cfRule>
    <cfRule type="cellIs" dxfId="315" priority="16" operator="greaterThan">
      <formula>0</formula>
    </cfRule>
  </conditionalFormatting>
  <conditionalFormatting sqref="C272:P272">
    <cfRule type="expression" dxfId="314" priority="11">
      <formula>C272=""</formula>
    </cfRule>
    <cfRule type="containsText" dxfId="313" priority="12" operator="containsText" text="n/d">
      <formula>NOT(ISERROR(SEARCH("n/d",C272)))</formula>
    </cfRule>
    <cfRule type="cellIs" dxfId="312" priority="13" operator="lessThan">
      <formula>0</formula>
    </cfRule>
    <cfRule type="cellIs" dxfId="311" priority="14" operator="greaterThan">
      <formula>0</formula>
    </cfRule>
  </conditionalFormatting>
  <conditionalFormatting sqref="C263:P263">
    <cfRule type="cellIs" dxfId="310" priority="9" operator="lessThan">
      <formula>0</formula>
    </cfRule>
    <cfRule type="cellIs" dxfId="309" priority="10" operator="greaterThan">
      <formula>0</formula>
    </cfRule>
  </conditionalFormatting>
  <conditionalFormatting sqref="C264:P264">
    <cfRule type="expression" dxfId="308" priority="3">
      <formula>C264=""</formula>
    </cfRule>
    <cfRule type="containsText" dxfId="307" priority="6" operator="containsText" text="n/d">
      <formula>NOT(ISERROR(SEARCH("n/d",C264)))</formula>
    </cfRule>
    <cfRule type="cellIs" dxfId="306" priority="7" operator="lessThan">
      <formula>0</formula>
    </cfRule>
    <cfRule type="cellIs" dxfId="305" priority="8" operator="greaterThan">
      <formula>0</formula>
    </cfRule>
  </conditionalFormatting>
  <conditionalFormatting sqref="C261:P261">
    <cfRule type="cellIs" dxfId="304" priority="4" operator="lessThan">
      <formula>0</formula>
    </cfRule>
    <cfRule type="cellIs" dxfId="303" priority="5" operator="greaterThan">
      <formula>0</formula>
    </cfRule>
  </conditionalFormatting>
  <conditionalFormatting sqref="C255:P255">
    <cfRule type="expression" dxfId="302" priority="2">
      <formula>C255=0</formula>
    </cfRule>
  </conditionalFormatting>
  <conditionalFormatting sqref="C256:P256">
    <cfRule type="expression" dxfId="301" priority="1">
      <formula>C256=0</formula>
    </cfRule>
  </conditionalFormatting>
  <conditionalFormatting sqref="C144:P144 C136:P136 C218:P218 C256:P256">
    <cfRule type="containsText" dxfId="300" priority="103" operator="containsText" text="n/d">
      <formula>NOT(ISERROR(SEARCH("n/d",C136)))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62" fitToHeight="0" orientation="landscape" r:id="rId1"/>
  <headerFooter>
    <oddHeader>&amp;A</oddHeader>
    <oddFooter>&amp;L&amp;F&amp;CStrona &amp;P z &amp;N&amp;RData i godzina wydruku: &amp;D &amp;T</oddFooter>
  </headerFooter>
  <rowBreaks count="9" manualBreakCount="9">
    <brk id="72" min="1" max="15" man="1"/>
    <brk id="154" min="1" max="15" man="1"/>
    <brk id="234" min="1" max="15" man="1"/>
    <brk id="276" min="1" max="15" man="1"/>
    <brk id="323" min="1" max="15" man="1"/>
    <brk id="370" min="1" max="15" man="1"/>
    <brk id="417" min="1" max="15" man="1"/>
    <brk id="464" min="1" max="15" man="1"/>
    <brk id="510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2" r:id="rId4" name="Group Box 4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99060</xdr:rowOff>
                  </from>
                  <to>
                    <xdr:col>8</xdr:col>
                    <xdr:colOff>45720</xdr:colOff>
                    <xdr:row>10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theme="9"/>
    <pageSetUpPr fitToPage="1"/>
  </sheetPr>
  <dimension ref="A1:Y494"/>
  <sheetViews>
    <sheetView showGridLines="0" workbookViewId="0"/>
  </sheetViews>
  <sheetFormatPr defaultColWidth="0" defaultRowHeight="12" zeroHeight="1"/>
  <cols>
    <col min="1" max="1" width="2.85546875" style="1" customWidth="1"/>
    <col min="2" max="2" width="77.140625" style="1" bestFit="1" customWidth="1"/>
    <col min="3" max="6" width="9.28515625" style="1" hidden="1" customWidth="1"/>
    <col min="7" max="24" width="12.85546875" style="1" customWidth="1"/>
    <col min="25" max="25" width="2.85546875" style="1" customWidth="1"/>
    <col min="26" max="16384" width="9.28515625" style="1" hidden="1"/>
  </cols>
  <sheetData>
    <row r="1" spans="2:24"/>
    <row r="2" spans="2:24" ht="12" customHeight="1">
      <c r="B2" s="543" t="str">
        <f>IF(ISBLANK(Firma),"Wstaw nazwę firmy w zakładce Dane Firmy",Firma)</f>
        <v>Wstaw nazwę firmy w zakładce Dane Firmy</v>
      </c>
      <c r="C2" s="543"/>
      <c r="D2" s="543"/>
      <c r="E2" s="543"/>
      <c r="F2" s="543"/>
      <c r="G2" s="543"/>
      <c r="H2"/>
      <c r="I2"/>
      <c r="J2"/>
      <c r="K2"/>
      <c r="L2"/>
      <c r="M2"/>
      <c r="N2"/>
    </row>
    <row r="3" spans="2:24" ht="12" customHeight="1">
      <c r="B3" s="544"/>
      <c r="C3" s="544"/>
      <c r="D3" s="544"/>
      <c r="E3" s="544"/>
      <c r="F3" s="544"/>
      <c r="G3" s="544"/>
      <c r="H3"/>
      <c r="I3"/>
      <c r="J3"/>
      <c r="K3"/>
      <c r="L3"/>
      <c r="M3"/>
      <c r="N3"/>
    </row>
    <row r="4" spans="2:24">
      <c r="H4"/>
      <c r="I4"/>
      <c r="J4"/>
      <c r="K4"/>
      <c r="L4"/>
      <c r="M4"/>
      <c r="N4"/>
    </row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4">
      <c r="B12" s="23" t="s">
        <v>265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 ht="14.4">
      <c r="B14" s="150" t="s">
        <v>517</v>
      </c>
    </row>
    <row r="15" spans="2:24">
      <c r="B15" s="96" t="s">
        <v>518</v>
      </c>
      <c r="C15" s="97" t="s">
        <v>519</v>
      </c>
      <c r="D15" s="97"/>
      <c r="E15" s="97"/>
      <c r="F15" s="97"/>
      <c r="G15" s="98">
        <f>SUM(G16:G19)</f>
        <v>0</v>
      </c>
      <c r="H15" s="98">
        <f t="shared" ref="H15:X15" si="1">SUM(H16:H19)</f>
        <v>0</v>
      </c>
      <c r="I15" s="98">
        <f t="shared" si="1"/>
        <v>0</v>
      </c>
      <c r="J15" s="98">
        <f t="shared" si="1"/>
        <v>0</v>
      </c>
      <c r="K15" s="98">
        <f t="shared" si="1"/>
        <v>0</v>
      </c>
      <c r="L15" s="98">
        <f t="shared" si="1"/>
        <v>0</v>
      </c>
      <c r="M15" s="98">
        <f t="shared" si="1"/>
        <v>0</v>
      </c>
      <c r="N15" s="98">
        <f t="shared" si="1"/>
        <v>0</v>
      </c>
      <c r="O15" s="98">
        <f t="shared" si="1"/>
        <v>0</v>
      </c>
      <c r="P15" s="98">
        <f t="shared" si="1"/>
        <v>0</v>
      </c>
      <c r="Q15" s="98">
        <f t="shared" si="1"/>
        <v>0</v>
      </c>
      <c r="R15" s="98">
        <f t="shared" si="1"/>
        <v>0</v>
      </c>
      <c r="S15" s="98">
        <f t="shared" si="1"/>
        <v>0</v>
      </c>
      <c r="T15" s="98">
        <f t="shared" si="1"/>
        <v>0</v>
      </c>
      <c r="U15" s="98">
        <f t="shared" si="1"/>
        <v>0</v>
      </c>
      <c r="V15" s="98">
        <f t="shared" si="1"/>
        <v>0</v>
      </c>
      <c r="W15" s="98">
        <f t="shared" si="1"/>
        <v>0</v>
      </c>
      <c r="X15" s="98">
        <f t="shared" si="1"/>
        <v>0</v>
      </c>
    </row>
    <row r="16" spans="2:24">
      <c r="B16" s="94" t="s">
        <v>520</v>
      </c>
      <c r="C16" s="19"/>
      <c r="D16" s="19"/>
      <c r="E16" s="19"/>
      <c r="F16" s="19"/>
      <c r="G16" s="95">
        <f>'Sprawozdania finansowe'!C152</f>
        <v>0</v>
      </c>
      <c r="H16" s="95">
        <f>'Sprawozdania finansowe'!D152</f>
        <v>0</v>
      </c>
      <c r="I16" s="95">
        <f>'Sprawozdania finansowe'!E152</f>
        <v>0</v>
      </c>
      <c r="J16" s="95">
        <f>IF(Rok_n="",0,'Sprawozdania finansowe'!F152)</f>
        <v>0</v>
      </c>
      <c r="K16" s="95">
        <f>Przychody!K114</f>
        <v>0</v>
      </c>
      <c r="L16" s="95">
        <f>Przychody!L114</f>
        <v>0</v>
      </c>
      <c r="M16" s="95">
        <f>Przychody!M114</f>
        <v>0</v>
      </c>
      <c r="N16" s="95">
        <f>Przychody!N114</f>
        <v>0</v>
      </c>
      <c r="O16" s="95">
        <f>Przychody!O114</f>
        <v>0</v>
      </c>
      <c r="P16" s="95">
        <f>Przychody!P114</f>
        <v>0</v>
      </c>
      <c r="Q16" s="95">
        <f>Przychody!Q114</f>
        <v>0</v>
      </c>
      <c r="R16" s="95">
        <f>Przychody!R114</f>
        <v>0</v>
      </c>
      <c r="S16" s="95">
        <f>Przychody!S114</f>
        <v>0</v>
      </c>
      <c r="T16" s="95">
        <f>Przychody!T114</f>
        <v>0</v>
      </c>
      <c r="U16" s="95">
        <f>Przychody!U114</f>
        <v>0</v>
      </c>
      <c r="V16" s="95">
        <f>Przychody!V114</f>
        <v>0</v>
      </c>
      <c r="W16" s="95">
        <f>Przychody!W114</f>
        <v>0</v>
      </c>
      <c r="X16" s="95">
        <f>Przychody!X114</f>
        <v>0</v>
      </c>
    </row>
    <row r="17" spans="2:24">
      <c r="B17" s="37" t="s">
        <v>521</v>
      </c>
      <c r="C17" s="52"/>
      <c r="D17" s="52"/>
      <c r="E17" s="52"/>
      <c r="F17" s="52"/>
      <c r="G17" s="33">
        <f>'Sprawozdania finansowe'!C153</f>
        <v>0</v>
      </c>
      <c r="H17" s="33">
        <f>'Sprawozdania finansowe'!D153</f>
        <v>0</v>
      </c>
      <c r="I17" s="33">
        <f>'Sprawozdania finansowe'!E153</f>
        <v>0</v>
      </c>
      <c r="J17" s="33">
        <f>IF(Rok_n="",0,'Sprawozdania finansowe'!F153)</f>
        <v>0</v>
      </c>
      <c r="K17" s="33">
        <f>Przychody!K115</f>
        <v>0</v>
      </c>
      <c r="L17" s="33">
        <f>Przychody!L115</f>
        <v>0</v>
      </c>
      <c r="M17" s="33">
        <f>Przychody!M115</f>
        <v>0</v>
      </c>
      <c r="N17" s="33">
        <f>Przychody!N115</f>
        <v>0</v>
      </c>
      <c r="O17" s="33">
        <f>Przychody!O115</f>
        <v>0</v>
      </c>
      <c r="P17" s="33">
        <f>Przychody!P115</f>
        <v>0</v>
      </c>
      <c r="Q17" s="33">
        <f>Przychody!Q115</f>
        <v>0</v>
      </c>
      <c r="R17" s="33">
        <f>Przychody!R115</f>
        <v>0</v>
      </c>
      <c r="S17" s="33">
        <f>Przychody!S115</f>
        <v>0</v>
      </c>
      <c r="T17" s="33">
        <f>Przychody!T115</f>
        <v>0</v>
      </c>
      <c r="U17" s="33">
        <f>Przychody!U115</f>
        <v>0</v>
      </c>
      <c r="V17" s="33">
        <f>Przychody!V115</f>
        <v>0</v>
      </c>
      <c r="W17" s="5">
        <f>Przychody!W115</f>
        <v>0</v>
      </c>
      <c r="X17" s="5">
        <f>Przychody!X115</f>
        <v>0</v>
      </c>
    </row>
    <row r="18" spans="2:24">
      <c r="B18" s="94" t="s">
        <v>522</v>
      </c>
      <c r="G18" s="5">
        <f>'Sprawozdania finansowe'!C154</f>
        <v>0</v>
      </c>
      <c r="H18" s="5">
        <f>'Sprawozdania finansowe'!D154</f>
        <v>0</v>
      </c>
      <c r="I18" s="5">
        <f>'Sprawozdania finansowe'!E154</f>
        <v>0</v>
      </c>
      <c r="J18" s="5">
        <f>IF(Rok_n="",0,'Sprawozdania finansowe'!F154)</f>
        <v>0</v>
      </c>
      <c r="K18" s="5">
        <f>Przychody!K116</f>
        <v>0</v>
      </c>
      <c r="L18" s="5">
        <f>Przychody!L116</f>
        <v>0</v>
      </c>
      <c r="M18" s="5">
        <f>Przychody!M116</f>
        <v>0</v>
      </c>
      <c r="N18" s="5">
        <f>Przychody!N116</f>
        <v>0</v>
      </c>
      <c r="O18" s="5">
        <f>Przychody!O116</f>
        <v>0</v>
      </c>
      <c r="P18" s="5">
        <f>Przychody!P116</f>
        <v>0</v>
      </c>
      <c r="Q18" s="5">
        <f>Przychody!Q116</f>
        <v>0</v>
      </c>
      <c r="R18" s="5">
        <f>Przychody!R116</f>
        <v>0</v>
      </c>
      <c r="S18" s="5">
        <f>Przychody!S116</f>
        <v>0</v>
      </c>
      <c r="T18" s="5">
        <f>Przychody!T116</f>
        <v>0</v>
      </c>
      <c r="U18" s="5">
        <f>Przychody!U116</f>
        <v>0</v>
      </c>
      <c r="V18" s="5">
        <f>Przychody!V116</f>
        <v>0</v>
      </c>
      <c r="W18" s="5">
        <f>Przychody!W116</f>
        <v>0</v>
      </c>
      <c r="X18" s="5">
        <f>Przychody!X116</f>
        <v>0</v>
      </c>
    </row>
    <row r="19" spans="2:24">
      <c r="B19" s="89" t="s">
        <v>523</v>
      </c>
      <c r="C19" s="90"/>
      <c r="D19" s="90"/>
      <c r="E19" s="90"/>
      <c r="F19" s="90"/>
      <c r="G19" s="91">
        <f>'Sprawozdania finansowe'!C155</f>
        <v>0</v>
      </c>
      <c r="H19" s="91">
        <f>'Sprawozdania finansowe'!D155</f>
        <v>0</v>
      </c>
      <c r="I19" s="91">
        <f>'Sprawozdania finansowe'!E155</f>
        <v>0</v>
      </c>
      <c r="J19" s="91">
        <f>IF(Rok_n="",0,'Sprawozdania finansowe'!F155)</f>
        <v>0</v>
      </c>
      <c r="K19" s="91">
        <f>Przychody!K117</f>
        <v>0</v>
      </c>
      <c r="L19" s="91">
        <f>Przychody!L117</f>
        <v>0</v>
      </c>
      <c r="M19" s="91">
        <f>Przychody!M117</f>
        <v>0</v>
      </c>
      <c r="N19" s="91">
        <f>Przychody!N117</f>
        <v>0</v>
      </c>
      <c r="O19" s="91">
        <f>Przychody!O117</f>
        <v>0</v>
      </c>
      <c r="P19" s="91">
        <f>Przychody!P117</f>
        <v>0</v>
      </c>
      <c r="Q19" s="91">
        <f>Przychody!Q117</f>
        <v>0</v>
      </c>
      <c r="R19" s="91">
        <f>Przychody!R117</f>
        <v>0</v>
      </c>
      <c r="S19" s="91">
        <f>Przychody!S117</f>
        <v>0</v>
      </c>
      <c r="T19" s="91">
        <f>Przychody!T117</f>
        <v>0</v>
      </c>
      <c r="U19" s="91">
        <f>Przychody!U117</f>
        <v>0</v>
      </c>
      <c r="V19" s="91">
        <f>Przychody!V117</f>
        <v>0</v>
      </c>
      <c r="W19" s="91">
        <f>Przychody!W117</f>
        <v>0</v>
      </c>
      <c r="X19" s="91">
        <f>Przychody!X117</f>
        <v>0</v>
      </c>
    </row>
    <row r="20" spans="2:24">
      <c r="B20" s="99" t="s">
        <v>226</v>
      </c>
      <c r="C20" s="97" t="s">
        <v>524</v>
      </c>
      <c r="D20" s="97"/>
      <c r="E20" s="97"/>
      <c r="F20" s="97"/>
      <c r="G20" s="98">
        <f>SUM(G21:G28)</f>
        <v>0</v>
      </c>
      <c r="H20" s="98">
        <f>SUM(H21:H28)</f>
        <v>0</v>
      </c>
      <c r="I20" s="98">
        <f>SUM(I21:I28)</f>
        <v>0</v>
      </c>
      <c r="J20" s="98">
        <f>SUM(J21:J28)</f>
        <v>0</v>
      </c>
      <c r="K20" s="98">
        <f t="shared" ref="K20:X20" ca="1" si="2">SUM(K21:K28)</f>
        <v>0</v>
      </c>
      <c r="L20" s="98">
        <f t="shared" ca="1" si="2"/>
        <v>0</v>
      </c>
      <c r="M20" s="98">
        <f t="shared" ca="1" si="2"/>
        <v>0</v>
      </c>
      <c r="N20" s="98">
        <f t="shared" ca="1" si="2"/>
        <v>0</v>
      </c>
      <c r="O20" s="98">
        <f t="shared" ca="1" si="2"/>
        <v>0</v>
      </c>
      <c r="P20" s="98">
        <f t="shared" ca="1" si="2"/>
        <v>0</v>
      </c>
      <c r="Q20" s="98">
        <f t="shared" ca="1" si="2"/>
        <v>0</v>
      </c>
      <c r="R20" s="98">
        <f t="shared" ca="1" si="2"/>
        <v>0</v>
      </c>
      <c r="S20" s="98">
        <f t="shared" ca="1" si="2"/>
        <v>0</v>
      </c>
      <c r="T20" s="98">
        <f t="shared" ca="1" si="2"/>
        <v>0</v>
      </c>
      <c r="U20" s="98">
        <f t="shared" ca="1" si="2"/>
        <v>0</v>
      </c>
      <c r="V20" s="98">
        <f t="shared" ca="1" si="2"/>
        <v>0</v>
      </c>
      <c r="W20" s="98">
        <f t="shared" ca="1" si="2"/>
        <v>0</v>
      </c>
      <c r="X20" s="98">
        <f t="shared" ca="1" si="2"/>
        <v>0</v>
      </c>
    </row>
    <row r="21" spans="2:24">
      <c r="B21" s="94" t="s">
        <v>525</v>
      </c>
      <c r="C21" s="19" t="s">
        <v>526</v>
      </c>
      <c r="D21" s="19"/>
      <c r="E21" s="19"/>
      <c r="F21" s="19"/>
      <c r="G21" s="95">
        <f>'Sprawozdania finansowe'!C157</f>
        <v>0</v>
      </c>
      <c r="H21" s="95">
        <f>'Sprawozdania finansowe'!D157</f>
        <v>0</v>
      </c>
      <c r="I21" s="95">
        <f>'Sprawozdania finansowe'!E157</f>
        <v>0</v>
      </c>
      <c r="J21" s="95">
        <f>IF(Rok_n="",0,'Sprawozdania finansowe'!F157)</f>
        <v>0</v>
      </c>
      <c r="K21" s="95">
        <f ca="1">'Środki trwałe'!K188</f>
        <v>0</v>
      </c>
      <c r="L21" s="95">
        <f ca="1">'Środki trwałe'!L188</f>
        <v>0</v>
      </c>
      <c r="M21" s="95">
        <f ca="1">'Środki trwałe'!M188</f>
        <v>0</v>
      </c>
      <c r="N21" s="95">
        <f ca="1">'Środki trwałe'!N188</f>
        <v>0</v>
      </c>
      <c r="O21" s="95">
        <f ca="1">'Środki trwałe'!O188</f>
        <v>0</v>
      </c>
      <c r="P21" s="95">
        <f ca="1">'Środki trwałe'!P188</f>
        <v>0</v>
      </c>
      <c r="Q21" s="95">
        <f ca="1">'Środki trwałe'!Q188</f>
        <v>0</v>
      </c>
      <c r="R21" s="95">
        <f ca="1">'Środki trwałe'!R188</f>
        <v>0</v>
      </c>
      <c r="S21" s="95">
        <f ca="1">'Środki trwałe'!S188</f>
        <v>0</v>
      </c>
      <c r="T21" s="95">
        <f ca="1">'Środki trwałe'!T188</f>
        <v>0</v>
      </c>
      <c r="U21" s="95">
        <f ca="1">'Środki trwałe'!U188</f>
        <v>0</v>
      </c>
      <c r="V21" s="95">
        <f ca="1">'Środki trwałe'!V188</f>
        <v>0</v>
      </c>
      <c r="W21" s="95">
        <f ca="1">'Środki trwałe'!W188</f>
        <v>0</v>
      </c>
      <c r="X21" s="95">
        <f ca="1">'Środki trwałe'!X188</f>
        <v>0</v>
      </c>
    </row>
    <row r="22" spans="2:24">
      <c r="B22" s="52" t="s">
        <v>527</v>
      </c>
      <c r="C22" s="52"/>
      <c r="D22" s="52"/>
      <c r="E22" s="52"/>
      <c r="F22" s="52"/>
      <c r="G22" s="33">
        <f>'Sprawozdania finansowe'!C158</f>
        <v>0</v>
      </c>
      <c r="H22" s="33">
        <f>'Sprawozdania finansowe'!D158</f>
        <v>0</v>
      </c>
      <c r="I22" s="33">
        <f>'Sprawozdania finansowe'!E158</f>
        <v>0</v>
      </c>
      <c r="J22" s="33">
        <f>IF(Rok_n="",0,'Sprawozdania finansowe'!F158)</f>
        <v>0</v>
      </c>
      <c r="K22" s="33">
        <f>'Koszty operacyjne'!K102</f>
        <v>0</v>
      </c>
      <c r="L22" s="33">
        <f>'Koszty operacyjne'!L102</f>
        <v>0</v>
      </c>
      <c r="M22" s="33">
        <f>'Koszty operacyjne'!M102</f>
        <v>0</v>
      </c>
      <c r="N22" s="33">
        <f>'Koszty operacyjne'!N102</f>
        <v>0</v>
      </c>
      <c r="O22" s="33">
        <f>'Koszty operacyjne'!O102</f>
        <v>0</v>
      </c>
      <c r="P22" s="33">
        <f>'Koszty operacyjne'!P102</f>
        <v>0</v>
      </c>
      <c r="Q22" s="33">
        <f>'Koszty operacyjne'!Q102</f>
        <v>0</v>
      </c>
      <c r="R22" s="33">
        <f>'Koszty operacyjne'!R102</f>
        <v>0</v>
      </c>
      <c r="S22" s="33">
        <f>'Koszty operacyjne'!S102</f>
        <v>0</v>
      </c>
      <c r="T22" s="33">
        <f>'Koszty operacyjne'!T102</f>
        <v>0</v>
      </c>
      <c r="U22" s="33">
        <f>'Koszty operacyjne'!U102</f>
        <v>0</v>
      </c>
      <c r="V22" s="33">
        <f>'Koszty operacyjne'!V102</f>
        <v>0</v>
      </c>
      <c r="W22" s="33">
        <f>'Koszty operacyjne'!W102</f>
        <v>0</v>
      </c>
      <c r="X22" s="33">
        <f>'Koszty operacyjne'!X102</f>
        <v>0</v>
      </c>
    </row>
    <row r="23" spans="2:24">
      <c r="B23" s="37" t="s">
        <v>528</v>
      </c>
      <c r="C23" s="52"/>
      <c r="D23" s="52"/>
      <c r="E23" s="52"/>
      <c r="F23" s="52"/>
      <c r="G23" s="33">
        <f>'Sprawozdania finansowe'!C159</f>
        <v>0</v>
      </c>
      <c r="H23" s="33">
        <f>'Sprawozdania finansowe'!D159</f>
        <v>0</v>
      </c>
      <c r="I23" s="33">
        <f>'Sprawozdania finansowe'!E159</f>
        <v>0</v>
      </c>
      <c r="J23" s="33">
        <f>IF(Rok_n="",0,'Sprawozdania finansowe'!F159)</f>
        <v>0</v>
      </c>
      <c r="K23" s="33">
        <f>'Koszty operacyjne'!K103</f>
        <v>0</v>
      </c>
      <c r="L23" s="33">
        <f>'Koszty operacyjne'!L103</f>
        <v>0</v>
      </c>
      <c r="M23" s="33">
        <f>'Koszty operacyjne'!M103</f>
        <v>0</v>
      </c>
      <c r="N23" s="33">
        <f>'Koszty operacyjne'!N103</f>
        <v>0</v>
      </c>
      <c r="O23" s="33">
        <f>'Koszty operacyjne'!O103</f>
        <v>0</v>
      </c>
      <c r="P23" s="33">
        <f>'Koszty operacyjne'!P103</f>
        <v>0</v>
      </c>
      <c r="Q23" s="33">
        <f>'Koszty operacyjne'!Q103</f>
        <v>0</v>
      </c>
      <c r="R23" s="33">
        <f>'Koszty operacyjne'!R103</f>
        <v>0</v>
      </c>
      <c r="S23" s="33">
        <f>'Koszty operacyjne'!S103</f>
        <v>0</v>
      </c>
      <c r="T23" s="33">
        <f>'Koszty operacyjne'!T103</f>
        <v>0</v>
      </c>
      <c r="U23" s="33">
        <f>'Koszty operacyjne'!U103</f>
        <v>0</v>
      </c>
      <c r="V23" s="33">
        <f>'Koszty operacyjne'!V103</f>
        <v>0</v>
      </c>
      <c r="W23" s="33">
        <f>'Koszty operacyjne'!W103</f>
        <v>0</v>
      </c>
      <c r="X23" s="33">
        <f>'Koszty operacyjne'!X103</f>
        <v>0</v>
      </c>
    </row>
    <row r="24" spans="2:24">
      <c r="B24" s="37" t="s">
        <v>529</v>
      </c>
      <c r="C24" s="52"/>
      <c r="D24" s="52"/>
      <c r="E24" s="52"/>
      <c r="F24" s="52"/>
      <c r="G24" s="33">
        <f>'Sprawozdania finansowe'!C160</f>
        <v>0</v>
      </c>
      <c r="H24" s="33">
        <f>'Sprawozdania finansowe'!D160</f>
        <v>0</v>
      </c>
      <c r="I24" s="33">
        <f>'Sprawozdania finansowe'!E160</f>
        <v>0</v>
      </c>
      <c r="J24" s="33">
        <f>IF(Rok_n="",0,'Sprawozdania finansowe'!F160)</f>
        <v>0</v>
      </c>
      <c r="K24" s="33">
        <f>'Koszty operacyjne'!K104</f>
        <v>0</v>
      </c>
      <c r="L24" s="33">
        <f>'Koszty operacyjne'!L104</f>
        <v>0</v>
      </c>
      <c r="M24" s="33">
        <f>'Koszty operacyjne'!M104</f>
        <v>0</v>
      </c>
      <c r="N24" s="33">
        <f>'Koszty operacyjne'!N104</f>
        <v>0</v>
      </c>
      <c r="O24" s="33">
        <f>'Koszty operacyjne'!O104</f>
        <v>0</v>
      </c>
      <c r="P24" s="33">
        <f>'Koszty operacyjne'!P104</f>
        <v>0</v>
      </c>
      <c r="Q24" s="33">
        <f>'Koszty operacyjne'!Q104</f>
        <v>0</v>
      </c>
      <c r="R24" s="33">
        <f>'Koszty operacyjne'!R104</f>
        <v>0</v>
      </c>
      <c r="S24" s="33">
        <f>'Koszty operacyjne'!S104</f>
        <v>0</v>
      </c>
      <c r="T24" s="33">
        <f>'Koszty operacyjne'!T104</f>
        <v>0</v>
      </c>
      <c r="U24" s="33">
        <f>'Koszty operacyjne'!U104</f>
        <v>0</v>
      </c>
      <c r="V24" s="33">
        <f>'Koszty operacyjne'!V104</f>
        <v>0</v>
      </c>
      <c r="W24" s="33">
        <f>'Koszty operacyjne'!W104</f>
        <v>0</v>
      </c>
      <c r="X24" s="33">
        <f>'Koszty operacyjne'!X104</f>
        <v>0</v>
      </c>
    </row>
    <row r="25" spans="2:24">
      <c r="B25" s="37" t="s">
        <v>530</v>
      </c>
      <c r="C25" s="52"/>
      <c r="D25" s="52"/>
      <c r="E25" s="52"/>
      <c r="F25" s="52"/>
      <c r="G25" s="33">
        <f>'Sprawozdania finansowe'!C162</f>
        <v>0</v>
      </c>
      <c r="H25" s="33">
        <f>'Sprawozdania finansowe'!D162</f>
        <v>0</v>
      </c>
      <c r="I25" s="33">
        <f>'Sprawozdania finansowe'!E162</f>
        <v>0</v>
      </c>
      <c r="J25" s="33">
        <f>IF(Rok_n="",0,'Sprawozdania finansowe'!F162)</f>
        <v>0</v>
      </c>
      <c r="K25" s="33">
        <f>'Koszty operacyjne'!K105</f>
        <v>0</v>
      </c>
      <c r="L25" s="33">
        <f>'Koszty operacyjne'!L105</f>
        <v>0</v>
      </c>
      <c r="M25" s="33">
        <f>'Koszty operacyjne'!M105</f>
        <v>0</v>
      </c>
      <c r="N25" s="33">
        <f>'Koszty operacyjne'!N105</f>
        <v>0</v>
      </c>
      <c r="O25" s="33">
        <f>'Koszty operacyjne'!O105</f>
        <v>0</v>
      </c>
      <c r="P25" s="33">
        <f>'Koszty operacyjne'!P105</f>
        <v>0</v>
      </c>
      <c r="Q25" s="33">
        <f>'Koszty operacyjne'!Q105</f>
        <v>0</v>
      </c>
      <c r="R25" s="33">
        <f>'Koszty operacyjne'!R105</f>
        <v>0</v>
      </c>
      <c r="S25" s="33">
        <f>'Koszty operacyjne'!S105</f>
        <v>0</v>
      </c>
      <c r="T25" s="33">
        <f>'Koszty operacyjne'!T105</f>
        <v>0</v>
      </c>
      <c r="U25" s="33">
        <f>'Koszty operacyjne'!U105</f>
        <v>0</v>
      </c>
      <c r="V25" s="33">
        <f>'Koszty operacyjne'!V105</f>
        <v>0</v>
      </c>
      <c r="W25" s="33">
        <f>'Koszty operacyjne'!W105</f>
        <v>0</v>
      </c>
      <c r="X25" s="33">
        <f>'Koszty operacyjne'!X105</f>
        <v>0</v>
      </c>
    </row>
    <row r="26" spans="2:24">
      <c r="B26" s="37" t="s">
        <v>531</v>
      </c>
      <c r="C26" s="52"/>
      <c r="D26" s="52"/>
      <c r="E26" s="52"/>
      <c r="F26" s="52"/>
      <c r="G26" s="33">
        <f>'Sprawozdania finansowe'!C163</f>
        <v>0</v>
      </c>
      <c r="H26" s="33">
        <f>'Sprawozdania finansowe'!D163</f>
        <v>0</v>
      </c>
      <c r="I26" s="33">
        <f>'Sprawozdania finansowe'!E163</f>
        <v>0</v>
      </c>
      <c r="J26" s="33">
        <f>IF(Rok_n="",0,'Sprawozdania finansowe'!F163)</f>
        <v>0</v>
      </c>
      <c r="K26" s="33">
        <f>'Koszty operacyjne'!K106</f>
        <v>0</v>
      </c>
      <c r="L26" s="33">
        <f>'Koszty operacyjne'!L106</f>
        <v>0</v>
      </c>
      <c r="M26" s="33">
        <f>'Koszty operacyjne'!M106</f>
        <v>0</v>
      </c>
      <c r="N26" s="33">
        <f>'Koszty operacyjne'!N106</f>
        <v>0</v>
      </c>
      <c r="O26" s="33">
        <f>'Koszty operacyjne'!O106</f>
        <v>0</v>
      </c>
      <c r="P26" s="33">
        <f>'Koszty operacyjne'!P106</f>
        <v>0</v>
      </c>
      <c r="Q26" s="33">
        <f>'Koszty operacyjne'!Q106</f>
        <v>0</v>
      </c>
      <c r="R26" s="33">
        <f>'Koszty operacyjne'!R106</f>
        <v>0</v>
      </c>
      <c r="S26" s="33">
        <f>'Koszty operacyjne'!S106</f>
        <v>0</v>
      </c>
      <c r="T26" s="33">
        <f>'Koszty operacyjne'!T106</f>
        <v>0</v>
      </c>
      <c r="U26" s="33">
        <f>'Koszty operacyjne'!U106</f>
        <v>0</v>
      </c>
      <c r="V26" s="33">
        <f>'Koszty operacyjne'!V106</f>
        <v>0</v>
      </c>
      <c r="W26" s="33">
        <f>'Koszty operacyjne'!W106</f>
        <v>0</v>
      </c>
      <c r="X26" s="33">
        <f>'Koszty operacyjne'!X106</f>
        <v>0</v>
      </c>
    </row>
    <row r="27" spans="2:24">
      <c r="B27" s="37" t="s">
        <v>532</v>
      </c>
      <c r="C27" s="52"/>
      <c r="D27" s="52"/>
      <c r="E27" s="52"/>
      <c r="F27" s="52"/>
      <c r="G27" s="33">
        <f>'Sprawozdania finansowe'!C164</f>
        <v>0</v>
      </c>
      <c r="H27" s="33">
        <f>'Sprawozdania finansowe'!D164</f>
        <v>0</v>
      </c>
      <c r="I27" s="33">
        <f>'Sprawozdania finansowe'!E164</f>
        <v>0</v>
      </c>
      <c r="J27" s="33">
        <f>IF(Rok_n="",0,'Sprawozdania finansowe'!F164)</f>
        <v>0</v>
      </c>
      <c r="K27" s="33">
        <f>'Koszty operacyjne'!K107</f>
        <v>0</v>
      </c>
      <c r="L27" s="33">
        <f>'Koszty operacyjne'!L107</f>
        <v>0</v>
      </c>
      <c r="M27" s="33">
        <f>'Koszty operacyjne'!M107</f>
        <v>0</v>
      </c>
      <c r="N27" s="33">
        <f>'Koszty operacyjne'!N107</f>
        <v>0</v>
      </c>
      <c r="O27" s="33">
        <f>'Koszty operacyjne'!O107</f>
        <v>0</v>
      </c>
      <c r="P27" s="33">
        <f>'Koszty operacyjne'!P107</f>
        <v>0</v>
      </c>
      <c r="Q27" s="33">
        <f>'Koszty operacyjne'!Q107</f>
        <v>0</v>
      </c>
      <c r="R27" s="33">
        <f>'Koszty operacyjne'!R107</f>
        <v>0</v>
      </c>
      <c r="S27" s="33">
        <f>'Koszty operacyjne'!S107</f>
        <v>0</v>
      </c>
      <c r="T27" s="33">
        <f>'Koszty operacyjne'!T107</f>
        <v>0</v>
      </c>
      <c r="U27" s="33">
        <f>'Koszty operacyjne'!U107</f>
        <v>0</v>
      </c>
      <c r="V27" s="33">
        <f>'Koszty operacyjne'!V107</f>
        <v>0</v>
      </c>
      <c r="W27" s="33">
        <f>'Koszty operacyjne'!W107</f>
        <v>0</v>
      </c>
      <c r="X27" s="33">
        <f>'Koszty operacyjne'!X107</f>
        <v>0</v>
      </c>
    </row>
    <row r="28" spans="2:24">
      <c r="B28" s="89" t="s">
        <v>533</v>
      </c>
      <c r="C28" s="90"/>
      <c r="D28" s="90"/>
      <c r="E28" s="90"/>
      <c r="F28" s="90"/>
      <c r="G28" s="91">
        <f>'Sprawozdania finansowe'!C165</f>
        <v>0</v>
      </c>
      <c r="H28" s="91">
        <f>'Sprawozdania finansowe'!D165</f>
        <v>0</v>
      </c>
      <c r="I28" s="91">
        <f>'Sprawozdania finansowe'!E165</f>
        <v>0</v>
      </c>
      <c r="J28" s="91">
        <f>IF(Rok_n="",0,'Sprawozdania finansowe'!F165)</f>
        <v>0</v>
      </c>
      <c r="K28" s="91">
        <f>'Koszty operacyjne'!K108</f>
        <v>0</v>
      </c>
      <c r="L28" s="91">
        <f>'Koszty operacyjne'!L108</f>
        <v>0</v>
      </c>
      <c r="M28" s="91">
        <f>'Koszty operacyjne'!M108</f>
        <v>0</v>
      </c>
      <c r="N28" s="91">
        <f>'Koszty operacyjne'!N108</f>
        <v>0</v>
      </c>
      <c r="O28" s="91">
        <f>'Koszty operacyjne'!O108</f>
        <v>0</v>
      </c>
      <c r="P28" s="91">
        <f>'Koszty operacyjne'!P108</f>
        <v>0</v>
      </c>
      <c r="Q28" s="91">
        <f>'Koszty operacyjne'!Q108</f>
        <v>0</v>
      </c>
      <c r="R28" s="91">
        <f>'Koszty operacyjne'!R108</f>
        <v>0</v>
      </c>
      <c r="S28" s="91">
        <f>'Koszty operacyjne'!S108</f>
        <v>0</v>
      </c>
      <c r="T28" s="91">
        <f>'Koszty operacyjne'!T108</f>
        <v>0</v>
      </c>
      <c r="U28" s="91">
        <f>'Koszty operacyjne'!U108</f>
        <v>0</v>
      </c>
      <c r="V28" s="91">
        <f>'Koszty operacyjne'!V108</f>
        <v>0</v>
      </c>
      <c r="W28" s="91">
        <f>'Koszty operacyjne'!W108</f>
        <v>0</v>
      </c>
      <c r="X28" s="91">
        <f>'Koszty operacyjne'!X108</f>
        <v>0</v>
      </c>
    </row>
    <row r="29" spans="2:24">
      <c r="B29" s="99" t="s">
        <v>534</v>
      </c>
      <c r="C29" s="97"/>
      <c r="D29" s="97"/>
      <c r="E29" s="97"/>
      <c r="F29" s="97"/>
      <c r="G29" s="98">
        <f>G15-G20</f>
        <v>0</v>
      </c>
      <c r="H29" s="98">
        <f>H15-H20</f>
        <v>0</v>
      </c>
      <c r="I29" s="98">
        <f>I15-I20</f>
        <v>0</v>
      </c>
      <c r="J29" s="98">
        <f>J15-J20</f>
        <v>0</v>
      </c>
      <c r="K29" s="98">
        <f t="shared" ref="K29:X29" ca="1" si="3">K15-K20</f>
        <v>0</v>
      </c>
      <c r="L29" s="98">
        <f t="shared" ca="1" si="3"/>
        <v>0</v>
      </c>
      <c r="M29" s="98">
        <f t="shared" ca="1" si="3"/>
        <v>0</v>
      </c>
      <c r="N29" s="98">
        <f t="shared" ca="1" si="3"/>
        <v>0</v>
      </c>
      <c r="O29" s="98">
        <f t="shared" ca="1" si="3"/>
        <v>0</v>
      </c>
      <c r="P29" s="98">
        <f t="shared" ca="1" si="3"/>
        <v>0</v>
      </c>
      <c r="Q29" s="98">
        <f t="shared" ca="1" si="3"/>
        <v>0</v>
      </c>
      <c r="R29" s="98">
        <f t="shared" ca="1" si="3"/>
        <v>0</v>
      </c>
      <c r="S29" s="98">
        <f t="shared" ca="1" si="3"/>
        <v>0</v>
      </c>
      <c r="T29" s="98">
        <f t="shared" ca="1" si="3"/>
        <v>0</v>
      </c>
      <c r="U29" s="98">
        <f t="shared" ca="1" si="3"/>
        <v>0</v>
      </c>
      <c r="V29" s="98">
        <f t="shared" ca="1" si="3"/>
        <v>0</v>
      </c>
      <c r="W29" s="98">
        <f t="shared" ca="1" si="3"/>
        <v>0</v>
      </c>
      <c r="X29" s="98">
        <f t="shared" ca="1" si="3"/>
        <v>0</v>
      </c>
    </row>
    <row r="30" spans="2:24">
      <c r="B30" s="17" t="s">
        <v>237</v>
      </c>
      <c r="C30" s="19"/>
      <c r="D30" s="19"/>
      <c r="E30" s="19"/>
      <c r="F30" s="19"/>
      <c r="G30" s="18">
        <f>'Sprawozdania finansowe'!C167</f>
        <v>0</v>
      </c>
      <c r="H30" s="18">
        <f>'Sprawozdania finansowe'!D167</f>
        <v>0</v>
      </c>
      <c r="I30" s="18">
        <f>'Sprawozdania finansowe'!E167</f>
        <v>0</v>
      </c>
      <c r="J30" s="18">
        <f>IF(Rok_n="",0,'Sprawozdania finansowe'!F167)</f>
        <v>0</v>
      </c>
      <c r="K30" s="18">
        <f>Przychody!K120</f>
        <v>0</v>
      </c>
      <c r="L30" s="18">
        <f>Przychody!L120</f>
        <v>0</v>
      </c>
      <c r="M30" s="18">
        <f>Przychody!M120</f>
        <v>0</v>
      </c>
      <c r="N30" s="18">
        <f>Przychody!N120</f>
        <v>0</v>
      </c>
      <c r="O30" s="18">
        <f>Przychody!O120</f>
        <v>0</v>
      </c>
      <c r="P30" s="18">
        <f>Przychody!P120</f>
        <v>0</v>
      </c>
      <c r="Q30" s="18">
        <f>Przychody!Q120</f>
        <v>0</v>
      </c>
      <c r="R30" s="18">
        <f>Przychody!R120</f>
        <v>0</v>
      </c>
      <c r="S30" s="18">
        <f>Przychody!S120</f>
        <v>0</v>
      </c>
      <c r="T30" s="18">
        <f>Przychody!T120</f>
        <v>0</v>
      </c>
      <c r="U30" s="18">
        <f>Przychody!U120</f>
        <v>0</v>
      </c>
      <c r="V30" s="18">
        <f>Przychody!V120</f>
        <v>0</v>
      </c>
      <c r="W30" s="18">
        <f>Przychody!W120</f>
        <v>0</v>
      </c>
      <c r="X30" s="18">
        <f>Przychody!X120</f>
        <v>0</v>
      </c>
    </row>
    <row r="31" spans="2:24">
      <c r="B31" s="37" t="s">
        <v>535</v>
      </c>
      <c r="C31" s="52"/>
      <c r="D31" s="52"/>
      <c r="E31" s="52"/>
      <c r="F31" s="52"/>
      <c r="G31" s="33">
        <f>'Sprawozdania finansowe'!C169</f>
        <v>0</v>
      </c>
      <c r="H31" s="33">
        <f>'Sprawozdania finansowe'!D169</f>
        <v>0</v>
      </c>
      <c r="I31" s="33">
        <f>'Sprawozdania finansowe'!E169</f>
        <v>0</v>
      </c>
      <c r="J31" s="33">
        <f>IF(Rok_n="",0,'Sprawozdania finansowe'!F169)</f>
        <v>0</v>
      </c>
      <c r="K31" s="33">
        <f>Przychody!K100</f>
        <v>0</v>
      </c>
      <c r="L31" s="33">
        <f>Przychody!L100</f>
        <v>0</v>
      </c>
      <c r="M31" s="33">
        <f>Przychody!M100</f>
        <v>0</v>
      </c>
      <c r="N31" s="33">
        <f>Przychody!N100</f>
        <v>0</v>
      </c>
      <c r="O31" s="33">
        <f>Przychody!O100</f>
        <v>0</v>
      </c>
      <c r="P31" s="33">
        <f>Przychody!P100</f>
        <v>0</v>
      </c>
      <c r="Q31" s="33">
        <f>Przychody!Q100</f>
        <v>0</v>
      </c>
      <c r="R31" s="33">
        <f>Przychody!R100</f>
        <v>0</v>
      </c>
      <c r="S31" s="33">
        <f>Przychody!S100</f>
        <v>0</v>
      </c>
      <c r="T31" s="33">
        <f>Przychody!T100</f>
        <v>0</v>
      </c>
      <c r="U31" s="33">
        <f>Przychody!U100</f>
        <v>0</v>
      </c>
      <c r="V31" s="33">
        <f>Przychody!V100</f>
        <v>0</v>
      </c>
      <c r="W31" s="33">
        <f>Przychody!W100</f>
        <v>0</v>
      </c>
      <c r="X31" s="33">
        <f>Przychody!X100</f>
        <v>0</v>
      </c>
    </row>
    <row r="32" spans="2:24">
      <c r="B32" s="92" t="s">
        <v>241</v>
      </c>
      <c r="C32" s="90"/>
      <c r="D32" s="90"/>
      <c r="E32" s="90"/>
      <c r="F32" s="90"/>
      <c r="G32" s="93">
        <f>'Sprawozdania finansowe'!C171</f>
        <v>0</v>
      </c>
      <c r="H32" s="93">
        <f>'Sprawozdania finansowe'!D171</f>
        <v>0</v>
      </c>
      <c r="I32" s="93">
        <f>'Sprawozdania finansowe'!E171</f>
        <v>0</v>
      </c>
      <c r="J32" s="93">
        <f>IF(Rok_n="",0,'Sprawozdania finansowe'!F171)</f>
        <v>0</v>
      </c>
      <c r="K32" s="93">
        <f>'Koszty operacyjne'!K110</f>
        <v>0</v>
      </c>
      <c r="L32" s="93">
        <f>'Koszty operacyjne'!L110</f>
        <v>0</v>
      </c>
      <c r="M32" s="93">
        <f>'Koszty operacyjne'!M110</f>
        <v>0</v>
      </c>
      <c r="N32" s="93">
        <f>'Koszty operacyjne'!N110</f>
        <v>0</v>
      </c>
      <c r="O32" s="93">
        <f>'Koszty operacyjne'!O110</f>
        <v>0</v>
      </c>
      <c r="P32" s="93">
        <f>'Koszty operacyjne'!P110</f>
        <v>0</v>
      </c>
      <c r="Q32" s="93">
        <f>'Koszty operacyjne'!Q110</f>
        <v>0</v>
      </c>
      <c r="R32" s="93">
        <f>'Koszty operacyjne'!R110</f>
        <v>0</v>
      </c>
      <c r="S32" s="93">
        <f>'Koszty operacyjne'!S110</f>
        <v>0</v>
      </c>
      <c r="T32" s="93">
        <f>'Koszty operacyjne'!T110</f>
        <v>0</v>
      </c>
      <c r="U32" s="93">
        <f>'Koszty operacyjne'!U110</f>
        <v>0</v>
      </c>
      <c r="V32" s="93">
        <f>'Koszty operacyjne'!V110</f>
        <v>0</v>
      </c>
      <c r="W32" s="93">
        <f>'Koszty operacyjne'!W110</f>
        <v>0</v>
      </c>
      <c r="X32" s="93">
        <f>'Koszty operacyjne'!X110</f>
        <v>0</v>
      </c>
    </row>
    <row r="33" spans="2:24">
      <c r="B33" s="99" t="s">
        <v>536</v>
      </c>
      <c r="C33" s="97" t="s">
        <v>537</v>
      </c>
      <c r="D33" s="97"/>
      <c r="E33" s="97"/>
      <c r="F33" s="97"/>
      <c r="G33" s="98">
        <f>G29+G30-G32</f>
        <v>0</v>
      </c>
      <c r="H33" s="98">
        <f>H29+H30-H32</f>
        <v>0</v>
      </c>
      <c r="I33" s="98">
        <f>I29+I30-I32</f>
        <v>0</v>
      </c>
      <c r="J33" s="98">
        <f>J29+J30-J32</f>
        <v>0</v>
      </c>
      <c r="K33" s="98">
        <f t="shared" ref="K33:X33" ca="1" si="4">K29+K30-K32</f>
        <v>0</v>
      </c>
      <c r="L33" s="98">
        <f t="shared" ca="1" si="4"/>
        <v>0</v>
      </c>
      <c r="M33" s="98">
        <f t="shared" ca="1" si="4"/>
        <v>0</v>
      </c>
      <c r="N33" s="98">
        <f t="shared" ca="1" si="4"/>
        <v>0</v>
      </c>
      <c r="O33" s="98">
        <f t="shared" ca="1" si="4"/>
        <v>0</v>
      </c>
      <c r="P33" s="98">
        <f t="shared" ca="1" si="4"/>
        <v>0</v>
      </c>
      <c r="Q33" s="98">
        <f t="shared" ca="1" si="4"/>
        <v>0</v>
      </c>
      <c r="R33" s="98">
        <f t="shared" ca="1" si="4"/>
        <v>0</v>
      </c>
      <c r="S33" s="98">
        <f t="shared" ca="1" si="4"/>
        <v>0</v>
      </c>
      <c r="T33" s="98">
        <f t="shared" ca="1" si="4"/>
        <v>0</v>
      </c>
      <c r="U33" s="98">
        <f t="shared" ca="1" si="4"/>
        <v>0</v>
      </c>
      <c r="V33" s="98">
        <f t="shared" ca="1" si="4"/>
        <v>0</v>
      </c>
      <c r="W33" s="98">
        <f t="shared" ca="1" si="4"/>
        <v>0</v>
      </c>
      <c r="X33" s="98">
        <f t="shared" ca="1" si="4"/>
        <v>0</v>
      </c>
    </row>
    <row r="34" spans="2:24">
      <c r="B34" s="17" t="s">
        <v>246</v>
      </c>
      <c r="C34" s="19"/>
      <c r="D34" s="19"/>
      <c r="E34" s="19"/>
      <c r="F34" s="19"/>
      <c r="G34" s="18">
        <f>'Sprawozdania finansowe'!C176</f>
        <v>0</v>
      </c>
      <c r="H34" s="18">
        <f>'Sprawozdania finansowe'!D176</f>
        <v>0</v>
      </c>
      <c r="I34" s="18">
        <f>'Sprawozdania finansowe'!E176</f>
        <v>0</v>
      </c>
      <c r="J34" s="18">
        <f>IF(Rok_n="",0,'Sprawozdania finansowe'!F176)</f>
        <v>0</v>
      </c>
      <c r="K34" s="18">
        <f>Przychody!K121</f>
        <v>0</v>
      </c>
      <c r="L34" s="18">
        <f ca="1">Przychody!L121</f>
        <v>0</v>
      </c>
      <c r="M34" s="18">
        <f ca="1">Przychody!M121</f>
        <v>0</v>
      </c>
      <c r="N34" s="18">
        <f ca="1">Przychody!N121</f>
        <v>0</v>
      </c>
      <c r="O34" s="18">
        <f ca="1">Przychody!O121</f>
        <v>0</v>
      </c>
      <c r="P34" s="18">
        <f ca="1">Przychody!P121</f>
        <v>0</v>
      </c>
      <c r="Q34" s="18">
        <f ca="1">Przychody!Q121</f>
        <v>0</v>
      </c>
      <c r="R34" s="18">
        <f ca="1">Przychody!R121</f>
        <v>0</v>
      </c>
      <c r="S34" s="18">
        <f ca="1">Przychody!S121</f>
        <v>0</v>
      </c>
      <c r="T34" s="18">
        <f ca="1">Przychody!T121</f>
        <v>0</v>
      </c>
      <c r="U34" s="18">
        <f ca="1">Przychody!U121</f>
        <v>0</v>
      </c>
      <c r="V34" s="18">
        <f ca="1">Przychody!V121</f>
        <v>0</v>
      </c>
      <c r="W34" s="18">
        <f ca="1">Przychody!W121</f>
        <v>0</v>
      </c>
      <c r="X34" s="18">
        <f ca="1">Przychody!X121</f>
        <v>0</v>
      </c>
    </row>
    <row r="35" spans="2:24">
      <c r="B35" s="88" t="s">
        <v>252</v>
      </c>
      <c r="C35" s="52"/>
      <c r="D35" s="52"/>
      <c r="E35" s="52"/>
      <c r="F35" s="52"/>
      <c r="G35" s="87">
        <f>'Sprawozdania finansowe'!C184</f>
        <v>0</v>
      </c>
      <c r="H35" s="87">
        <f>'Sprawozdania finansowe'!D184</f>
        <v>0</v>
      </c>
      <c r="I35" s="87">
        <f>'Sprawozdania finansowe'!E184</f>
        <v>0</v>
      </c>
      <c r="J35" s="87">
        <f>IF(Rok_n="",0,'Sprawozdania finansowe'!F184)</f>
        <v>0</v>
      </c>
      <c r="K35" s="87">
        <f>ROUND('Koszty operacyjne'!K111,0)</f>
        <v>0</v>
      </c>
      <c r="L35" s="87">
        <f>ROUND('Koszty operacyjne'!L111,0)</f>
        <v>0</v>
      </c>
      <c r="M35" s="87">
        <f>ROUND('Koszty operacyjne'!M111,0)</f>
        <v>0</v>
      </c>
      <c r="N35" s="87">
        <f>ROUND('Koszty operacyjne'!N111,0)</f>
        <v>0</v>
      </c>
      <c r="O35" s="87">
        <f>ROUND('Koszty operacyjne'!O111,0)</f>
        <v>0</v>
      </c>
      <c r="P35" s="87">
        <f>ROUND('Koszty operacyjne'!P111,0)</f>
        <v>0</v>
      </c>
      <c r="Q35" s="87">
        <f>ROUND('Koszty operacyjne'!Q111,0)</f>
        <v>0</v>
      </c>
      <c r="R35" s="87">
        <f>ROUND('Koszty operacyjne'!R111,0)</f>
        <v>0</v>
      </c>
      <c r="S35" s="87">
        <f>ROUND('Koszty operacyjne'!S111,0)</f>
        <v>0</v>
      </c>
      <c r="T35" s="87">
        <f>ROUND('Koszty operacyjne'!T111,0)</f>
        <v>0</v>
      </c>
      <c r="U35" s="87">
        <f>ROUND('Koszty operacyjne'!U111,0)</f>
        <v>0</v>
      </c>
      <c r="V35" s="87">
        <f>ROUND('Koszty operacyjne'!V111,0)</f>
        <v>0</v>
      </c>
      <c r="W35" s="87">
        <f>ROUND('Koszty operacyjne'!W111,0)</f>
        <v>0</v>
      </c>
      <c r="X35" s="87">
        <f>ROUND('Koszty operacyjne'!X111,0)</f>
        <v>0</v>
      </c>
    </row>
    <row r="36" spans="2:24">
      <c r="B36" s="89" t="s">
        <v>538</v>
      </c>
      <c r="C36" s="90" t="s">
        <v>539</v>
      </c>
      <c r="D36" s="90"/>
      <c r="E36" s="90"/>
      <c r="F36" s="90"/>
      <c r="G36" s="91">
        <f>'Sprawozdania finansowe'!C185</f>
        <v>0</v>
      </c>
      <c r="H36" s="91">
        <f>'Sprawozdania finansowe'!D185</f>
        <v>0</v>
      </c>
      <c r="I36" s="91">
        <f>'Sprawozdania finansowe'!E185</f>
        <v>0</v>
      </c>
      <c r="J36" s="91">
        <f>IF(Rok_n="",0,'Sprawozdania finansowe'!F185)</f>
        <v>0</v>
      </c>
      <c r="K36" s="91">
        <f>ROUND('Koszty operacyjne'!K92,0)</f>
        <v>0</v>
      </c>
      <c r="L36" s="91">
        <f>ROUND('Koszty operacyjne'!L92,0)</f>
        <v>0</v>
      </c>
      <c r="M36" s="91">
        <f>ROUND('Koszty operacyjne'!M92,0)</f>
        <v>0</v>
      </c>
      <c r="N36" s="91">
        <f>ROUND('Koszty operacyjne'!N92,0)</f>
        <v>0</v>
      </c>
      <c r="O36" s="91">
        <f>ROUND('Koszty operacyjne'!O92,0)</f>
        <v>0</v>
      </c>
      <c r="P36" s="91">
        <f>ROUND('Koszty operacyjne'!P92,0)</f>
        <v>0</v>
      </c>
      <c r="Q36" s="91">
        <f>ROUND('Koszty operacyjne'!Q92,0)</f>
        <v>0</v>
      </c>
      <c r="R36" s="91">
        <f>ROUND('Koszty operacyjne'!R92,0)</f>
        <v>0</v>
      </c>
      <c r="S36" s="91">
        <f>ROUND('Koszty operacyjne'!S92,0)</f>
        <v>0</v>
      </c>
      <c r="T36" s="91">
        <f>ROUND('Koszty operacyjne'!T92,0)</f>
        <v>0</v>
      </c>
      <c r="U36" s="91">
        <f>ROUND('Koszty operacyjne'!U92,0)</f>
        <v>0</v>
      </c>
      <c r="V36" s="91">
        <f>ROUND('Koszty operacyjne'!V92,0)</f>
        <v>0</v>
      </c>
      <c r="W36" s="91">
        <f>ROUND('Koszty operacyjne'!W92,0)</f>
        <v>0</v>
      </c>
      <c r="X36" s="91">
        <f>ROUND('Koszty operacyjne'!X92,0)</f>
        <v>0</v>
      </c>
    </row>
    <row r="37" spans="2:24">
      <c r="B37" s="99" t="s">
        <v>540</v>
      </c>
      <c r="C37" s="97"/>
      <c r="D37" s="97"/>
      <c r="E37" s="97"/>
      <c r="F37" s="97"/>
      <c r="G37" s="98">
        <f>G33+G34-G35</f>
        <v>0</v>
      </c>
      <c r="H37" s="98">
        <f>H33+H34-H35</f>
        <v>0</v>
      </c>
      <c r="I37" s="98">
        <f>I33+I34-I35</f>
        <v>0</v>
      </c>
      <c r="J37" s="98">
        <f>J33+J34-J35</f>
        <v>0</v>
      </c>
      <c r="K37" s="98">
        <f t="shared" ref="K37:X37" ca="1" si="5">K33+K34-K35</f>
        <v>0</v>
      </c>
      <c r="L37" s="98">
        <f t="shared" ca="1" si="5"/>
        <v>0</v>
      </c>
      <c r="M37" s="98">
        <f t="shared" ca="1" si="5"/>
        <v>0</v>
      </c>
      <c r="N37" s="98">
        <f t="shared" ca="1" si="5"/>
        <v>0</v>
      </c>
      <c r="O37" s="98">
        <f t="shared" ca="1" si="5"/>
        <v>0</v>
      </c>
      <c r="P37" s="98">
        <f t="shared" ca="1" si="5"/>
        <v>0</v>
      </c>
      <c r="Q37" s="98">
        <f t="shared" ca="1" si="5"/>
        <v>0</v>
      </c>
      <c r="R37" s="98">
        <f t="shared" ca="1" si="5"/>
        <v>0</v>
      </c>
      <c r="S37" s="98">
        <f t="shared" ca="1" si="5"/>
        <v>0</v>
      </c>
      <c r="T37" s="98">
        <f t="shared" ca="1" si="5"/>
        <v>0</v>
      </c>
      <c r="U37" s="98">
        <f t="shared" ca="1" si="5"/>
        <v>0</v>
      </c>
      <c r="V37" s="98">
        <f t="shared" ca="1" si="5"/>
        <v>0</v>
      </c>
      <c r="W37" s="98">
        <f t="shared" ca="1" si="5"/>
        <v>0</v>
      </c>
      <c r="X37" s="98">
        <f t="shared" ca="1" si="5"/>
        <v>0</v>
      </c>
    </row>
    <row r="38" spans="2:24">
      <c r="B38" s="7" t="s">
        <v>541</v>
      </c>
      <c r="G38" s="13">
        <f>'Sprawozdania finansowe'!C191</f>
        <v>0</v>
      </c>
      <c r="H38" s="13">
        <f>'Sprawozdania finansowe'!D191</f>
        <v>0</v>
      </c>
      <c r="I38" s="13">
        <f>'Sprawozdania finansowe'!E191</f>
        <v>0</v>
      </c>
      <c r="J38" s="13">
        <f>IF(Rok_n="",0,'Sprawozdania finansowe'!F191)</f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</row>
    <row r="39" spans="2:24">
      <c r="B39" s="99" t="s">
        <v>542</v>
      </c>
      <c r="C39" s="97"/>
      <c r="D39" s="97"/>
      <c r="E39" s="97"/>
      <c r="F39" s="97"/>
      <c r="G39" s="98">
        <f>G37+G38</f>
        <v>0</v>
      </c>
      <c r="H39" s="98">
        <f t="shared" ref="H39:X39" si="6">H37+H38</f>
        <v>0</v>
      </c>
      <c r="I39" s="98">
        <f t="shared" si="6"/>
        <v>0</v>
      </c>
      <c r="J39" s="98">
        <f t="shared" si="6"/>
        <v>0</v>
      </c>
      <c r="K39" s="98">
        <f t="shared" ca="1" si="6"/>
        <v>0</v>
      </c>
      <c r="L39" s="98">
        <f t="shared" ca="1" si="6"/>
        <v>0</v>
      </c>
      <c r="M39" s="98">
        <f t="shared" ca="1" si="6"/>
        <v>0</v>
      </c>
      <c r="N39" s="98">
        <f t="shared" ca="1" si="6"/>
        <v>0</v>
      </c>
      <c r="O39" s="98">
        <f t="shared" ca="1" si="6"/>
        <v>0</v>
      </c>
      <c r="P39" s="98">
        <f t="shared" ca="1" si="6"/>
        <v>0</v>
      </c>
      <c r="Q39" s="98">
        <f t="shared" ca="1" si="6"/>
        <v>0</v>
      </c>
      <c r="R39" s="98">
        <f t="shared" ca="1" si="6"/>
        <v>0</v>
      </c>
      <c r="S39" s="98">
        <f t="shared" ca="1" si="6"/>
        <v>0</v>
      </c>
      <c r="T39" s="98">
        <f t="shared" ca="1" si="6"/>
        <v>0</v>
      </c>
      <c r="U39" s="98">
        <f t="shared" ca="1" si="6"/>
        <v>0</v>
      </c>
      <c r="V39" s="98">
        <f t="shared" ca="1" si="6"/>
        <v>0</v>
      </c>
      <c r="W39" s="98">
        <f t="shared" ca="1" si="6"/>
        <v>0</v>
      </c>
      <c r="X39" s="98">
        <f t="shared" ca="1" si="6"/>
        <v>0</v>
      </c>
    </row>
    <row r="40" spans="2:24">
      <c r="B40" s="17" t="s">
        <v>262</v>
      </c>
      <c r="C40" s="19"/>
      <c r="D40" s="19" t="s">
        <v>543</v>
      </c>
      <c r="E40" s="19"/>
      <c r="F40" s="19"/>
      <c r="G40" s="18">
        <f>'Sprawozdania finansowe'!C195</f>
        <v>0</v>
      </c>
      <c r="H40" s="18">
        <f>'Sprawozdania finansowe'!D195</f>
        <v>0</v>
      </c>
      <c r="I40" s="18">
        <f>'Sprawozdania finansowe'!E195</f>
        <v>0</v>
      </c>
      <c r="J40" s="18">
        <f>IF(Rok_n="",0,'Sprawozdania finansowe'!F195)</f>
        <v>0</v>
      </c>
      <c r="K40" s="18">
        <f t="shared" ref="K40:X40" ca="1" si="7">IF(K39&lt;=0,0,ROUND(K39*CIT,0))</f>
        <v>0</v>
      </c>
      <c r="L40" s="18">
        <f t="shared" ca="1" si="7"/>
        <v>0</v>
      </c>
      <c r="M40" s="18">
        <f t="shared" ca="1" si="7"/>
        <v>0</v>
      </c>
      <c r="N40" s="18">
        <f t="shared" ca="1" si="7"/>
        <v>0</v>
      </c>
      <c r="O40" s="18">
        <f t="shared" ca="1" si="7"/>
        <v>0</v>
      </c>
      <c r="P40" s="18">
        <f t="shared" ca="1" si="7"/>
        <v>0</v>
      </c>
      <c r="Q40" s="18">
        <f t="shared" ca="1" si="7"/>
        <v>0</v>
      </c>
      <c r="R40" s="18">
        <f t="shared" ca="1" si="7"/>
        <v>0</v>
      </c>
      <c r="S40" s="18">
        <f t="shared" ca="1" si="7"/>
        <v>0</v>
      </c>
      <c r="T40" s="18">
        <f t="shared" ca="1" si="7"/>
        <v>0</v>
      </c>
      <c r="U40" s="18">
        <f t="shared" ca="1" si="7"/>
        <v>0</v>
      </c>
      <c r="V40" s="18">
        <f t="shared" ca="1" si="7"/>
        <v>0</v>
      </c>
      <c r="W40" s="18">
        <f t="shared" ca="1" si="7"/>
        <v>0</v>
      </c>
      <c r="X40" s="18">
        <f t="shared" ca="1" si="7"/>
        <v>0</v>
      </c>
    </row>
    <row r="41" spans="2:24">
      <c r="B41" s="92" t="s">
        <v>544</v>
      </c>
      <c r="C41" s="90"/>
      <c r="D41" s="90" t="s">
        <v>543</v>
      </c>
      <c r="E41" s="90"/>
      <c r="F41" s="90"/>
      <c r="G41" s="93">
        <f>'Sprawozdania finansowe'!C196</f>
        <v>0</v>
      </c>
      <c r="H41" s="93">
        <f>'Sprawozdania finansowe'!D196</f>
        <v>0</v>
      </c>
      <c r="I41" s="93">
        <f>'Sprawozdania finansowe'!E196</f>
        <v>0</v>
      </c>
      <c r="J41" s="93">
        <f>IF(Rok_n="",0,'Sprawozdania finansowe'!F196)</f>
        <v>0</v>
      </c>
      <c r="K41" s="93">
        <v>0</v>
      </c>
      <c r="L41" s="93">
        <v>0</v>
      </c>
      <c r="M41" s="93">
        <v>0</v>
      </c>
      <c r="N41" s="93">
        <v>0</v>
      </c>
      <c r="O41" s="93">
        <v>0</v>
      </c>
      <c r="P41" s="93">
        <v>0</v>
      </c>
      <c r="Q41" s="93">
        <v>0</v>
      </c>
      <c r="R41" s="93">
        <v>0</v>
      </c>
      <c r="S41" s="93">
        <v>0</v>
      </c>
      <c r="T41" s="93">
        <v>0</v>
      </c>
      <c r="U41" s="93">
        <v>0</v>
      </c>
      <c r="V41" s="93">
        <v>0</v>
      </c>
      <c r="W41" s="93">
        <v>0</v>
      </c>
      <c r="X41" s="93">
        <v>0</v>
      </c>
    </row>
    <row r="42" spans="2:24">
      <c r="B42" s="99" t="s">
        <v>545</v>
      </c>
      <c r="C42" s="97"/>
      <c r="D42" s="97"/>
      <c r="E42" s="97"/>
      <c r="F42" s="97"/>
      <c r="G42" s="98">
        <f t="shared" ref="G42:M42" si="8">G39-G40-G41</f>
        <v>0</v>
      </c>
      <c r="H42" s="98">
        <f t="shared" si="8"/>
        <v>0</v>
      </c>
      <c r="I42" s="98">
        <f t="shared" si="8"/>
        <v>0</v>
      </c>
      <c r="J42" s="98">
        <f t="shared" si="8"/>
        <v>0</v>
      </c>
      <c r="K42" s="98">
        <f t="shared" ca="1" si="8"/>
        <v>0</v>
      </c>
      <c r="L42" s="98">
        <f t="shared" ca="1" si="8"/>
        <v>0</v>
      </c>
      <c r="M42" s="98">
        <f t="shared" ca="1" si="8"/>
        <v>0</v>
      </c>
      <c r="N42" s="98">
        <f t="shared" ref="N42:X42" ca="1" si="9">N39-N40-N41</f>
        <v>0</v>
      </c>
      <c r="O42" s="98">
        <f t="shared" ca="1" si="9"/>
        <v>0</v>
      </c>
      <c r="P42" s="98">
        <f t="shared" ca="1" si="9"/>
        <v>0</v>
      </c>
      <c r="Q42" s="98">
        <f t="shared" ca="1" si="9"/>
        <v>0</v>
      </c>
      <c r="R42" s="98">
        <f t="shared" ca="1" si="9"/>
        <v>0</v>
      </c>
      <c r="S42" s="98">
        <f t="shared" ca="1" si="9"/>
        <v>0</v>
      </c>
      <c r="T42" s="98">
        <f t="shared" ca="1" si="9"/>
        <v>0</v>
      </c>
      <c r="U42" s="98">
        <f t="shared" ca="1" si="9"/>
        <v>0</v>
      </c>
      <c r="V42" s="98">
        <f t="shared" ca="1" si="9"/>
        <v>0</v>
      </c>
      <c r="W42" s="98">
        <f t="shared" ca="1" si="9"/>
        <v>0</v>
      </c>
      <c r="X42" s="98">
        <f t="shared" ca="1" si="9"/>
        <v>0</v>
      </c>
    </row>
    <row r="43" spans="2:24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14.4">
      <c r="B45" s="150" t="s">
        <v>546</v>
      </c>
      <c r="G45" s="101"/>
      <c r="H45" s="101"/>
      <c r="I45" s="101"/>
      <c r="J45" s="108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ht="13.8">
      <c r="B46" s="148" t="s">
        <v>547</v>
      </c>
      <c r="C46" s="218"/>
      <c r="D46" s="218"/>
      <c r="E46" s="218"/>
      <c r="F46" s="218"/>
      <c r="G46" s="213">
        <f t="shared" ref="G46:X46" ca="1" si="10">LataProjekcji</f>
        <v>0</v>
      </c>
      <c r="H46" s="213">
        <f t="shared" ca="1" si="10"/>
        <v>0</v>
      </c>
      <c r="I46" s="213">
        <f t="shared" ca="1" si="10"/>
        <v>0</v>
      </c>
      <c r="J46" s="214" t="str">
        <f t="shared" si="10"/>
        <v/>
      </c>
      <c r="K46" s="213" t="str">
        <f t="shared" si="10"/>
        <v>Uzupełnij dane</v>
      </c>
      <c r="L46" s="213" t="str">
        <f t="shared" si="10"/>
        <v/>
      </c>
      <c r="M46" s="213" t="str">
        <f t="shared" si="10"/>
        <v/>
      </c>
      <c r="N46" s="213" t="str">
        <f t="shared" si="10"/>
        <v/>
      </c>
      <c r="O46" s="213" t="str">
        <f t="shared" si="10"/>
        <v/>
      </c>
      <c r="P46" s="213" t="str">
        <f t="shared" si="10"/>
        <v/>
      </c>
      <c r="Q46" s="213" t="str">
        <f t="shared" si="10"/>
        <v/>
      </c>
      <c r="R46" s="213" t="str">
        <f t="shared" si="10"/>
        <v/>
      </c>
      <c r="S46" s="213" t="str">
        <f t="shared" si="10"/>
        <v/>
      </c>
      <c r="T46" s="213" t="str">
        <f t="shared" si="10"/>
        <v/>
      </c>
      <c r="U46" s="213" t="str">
        <f t="shared" si="10"/>
        <v/>
      </c>
      <c r="V46" s="213" t="str">
        <f t="shared" si="10"/>
        <v/>
      </c>
      <c r="W46" s="213" t="str">
        <f t="shared" si="10"/>
        <v/>
      </c>
      <c r="X46" s="213" t="str">
        <f t="shared" si="10"/>
        <v/>
      </c>
    </row>
    <row r="47" spans="2:24">
      <c r="B47" s="99" t="s">
        <v>121</v>
      </c>
      <c r="C47" s="97"/>
      <c r="D47" s="97"/>
      <c r="E47" s="97"/>
      <c r="F47" s="97"/>
      <c r="G47" s="98">
        <f>ROUND(G48+G53+G62+G63+G64,0)</f>
        <v>0</v>
      </c>
      <c r="H47" s="98">
        <f t="shared" ref="H47:X47" si="11">ROUND(H48+H53+H62+H63+H64,0)</f>
        <v>0</v>
      </c>
      <c r="I47" s="98">
        <f t="shared" si="11"/>
        <v>0</v>
      </c>
      <c r="J47" s="98">
        <f t="shared" si="11"/>
        <v>0</v>
      </c>
      <c r="K47" s="98">
        <f t="shared" ca="1" si="11"/>
        <v>0</v>
      </c>
      <c r="L47" s="98">
        <f t="shared" ca="1" si="11"/>
        <v>0</v>
      </c>
      <c r="M47" s="98">
        <f t="shared" ca="1" si="11"/>
        <v>0</v>
      </c>
      <c r="N47" s="98">
        <f t="shared" ca="1" si="11"/>
        <v>0</v>
      </c>
      <c r="O47" s="98">
        <f t="shared" ca="1" si="11"/>
        <v>0</v>
      </c>
      <c r="P47" s="98">
        <f t="shared" ca="1" si="11"/>
        <v>0</v>
      </c>
      <c r="Q47" s="98">
        <f t="shared" ca="1" si="11"/>
        <v>0</v>
      </c>
      <c r="R47" s="98">
        <f t="shared" ca="1" si="11"/>
        <v>0</v>
      </c>
      <c r="S47" s="98">
        <f t="shared" ca="1" si="11"/>
        <v>0</v>
      </c>
      <c r="T47" s="98">
        <f t="shared" ca="1" si="11"/>
        <v>0</v>
      </c>
      <c r="U47" s="98">
        <f t="shared" ca="1" si="11"/>
        <v>0</v>
      </c>
      <c r="V47" s="98">
        <f t="shared" ca="1" si="11"/>
        <v>0</v>
      </c>
      <c r="W47" s="98">
        <f t="shared" ca="1" si="11"/>
        <v>0</v>
      </c>
      <c r="X47" s="98">
        <f t="shared" ca="1" si="11"/>
        <v>0</v>
      </c>
    </row>
    <row r="48" spans="2:24">
      <c r="B48" s="104" t="s">
        <v>548</v>
      </c>
      <c r="C48" s="102"/>
      <c r="D48" s="102"/>
      <c r="E48" s="102"/>
      <c r="F48" s="102"/>
      <c r="G48" s="103">
        <f>SUM(G49:G52)</f>
        <v>0</v>
      </c>
      <c r="H48" s="103">
        <f>SUM(H49:H52)</f>
        <v>0</v>
      </c>
      <c r="I48" s="103">
        <f>SUM(I49:I52)</f>
        <v>0</v>
      </c>
      <c r="J48" s="103">
        <f>SUM(J49:J52)</f>
        <v>0</v>
      </c>
      <c r="K48" s="103">
        <f ca="1">SUM(K49:K52)</f>
        <v>0</v>
      </c>
      <c r="L48" s="103">
        <f t="shared" ref="L48:X48" ca="1" si="12">SUM(L49:L52)</f>
        <v>0</v>
      </c>
      <c r="M48" s="103">
        <f t="shared" ca="1" si="12"/>
        <v>0</v>
      </c>
      <c r="N48" s="103">
        <f t="shared" ca="1" si="12"/>
        <v>0</v>
      </c>
      <c r="O48" s="103">
        <f t="shared" ca="1" si="12"/>
        <v>0</v>
      </c>
      <c r="P48" s="103">
        <f t="shared" ca="1" si="12"/>
        <v>0</v>
      </c>
      <c r="Q48" s="103">
        <f t="shared" ca="1" si="12"/>
        <v>0</v>
      </c>
      <c r="R48" s="103">
        <f t="shared" ca="1" si="12"/>
        <v>0</v>
      </c>
      <c r="S48" s="103">
        <f t="shared" ca="1" si="12"/>
        <v>0</v>
      </c>
      <c r="T48" s="103">
        <f t="shared" ca="1" si="12"/>
        <v>0</v>
      </c>
      <c r="U48" s="103">
        <f t="shared" ca="1" si="12"/>
        <v>0</v>
      </c>
      <c r="V48" s="103">
        <f t="shared" ca="1" si="12"/>
        <v>0</v>
      </c>
      <c r="W48" s="103">
        <f t="shared" ca="1" si="12"/>
        <v>0</v>
      </c>
      <c r="X48" s="103">
        <f t="shared" ca="1" si="12"/>
        <v>0</v>
      </c>
    </row>
    <row r="49" spans="2:24">
      <c r="B49" s="39" t="s">
        <v>549</v>
      </c>
      <c r="C49" s="40"/>
      <c r="D49" s="40"/>
      <c r="E49" s="40"/>
      <c r="F49" s="40"/>
      <c r="G49" s="41">
        <f>'Sprawozdania finansowe'!C15</f>
        <v>0</v>
      </c>
      <c r="H49" s="41">
        <f>'Sprawozdania finansowe'!D15</f>
        <v>0</v>
      </c>
      <c r="I49" s="41">
        <f>'Sprawozdania finansowe'!E15</f>
        <v>0</v>
      </c>
      <c r="J49" s="41">
        <f>IF(Rok_n="",0,'Sprawozdania finansowe'!F15)</f>
        <v>0</v>
      </c>
      <c r="K49" s="41">
        <f ca="1">'Środki trwałe'!K176</f>
        <v>0</v>
      </c>
      <c r="L49" s="41">
        <f ca="1">'Środki trwałe'!L176</f>
        <v>0</v>
      </c>
      <c r="M49" s="41">
        <f ca="1">'Środki trwałe'!M176</f>
        <v>0</v>
      </c>
      <c r="N49" s="41">
        <f ca="1">'Środki trwałe'!N176</f>
        <v>0</v>
      </c>
      <c r="O49" s="41">
        <f ca="1">'Środki trwałe'!O176</f>
        <v>0</v>
      </c>
      <c r="P49" s="41">
        <f ca="1">'Środki trwałe'!P176</f>
        <v>0</v>
      </c>
      <c r="Q49" s="41">
        <f ca="1">'Środki trwałe'!Q176</f>
        <v>0</v>
      </c>
      <c r="R49" s="41">
        <f ca="1">'Środki trwałe'!R176</f>
        <v>0</v>
      </c>
      <c r="S49" s="41">
        <f ca="1">'Środki trwałe'!S176</f>
        <v>0</v>
      </c>
      <c r="T49" s="41">
        <f ca="1">'Środki trwałe'!T176</f>
        <v>0</v>
      </c>
      <c r="U49" s="41">
        <f ca="1">'Środki trwałe'!U176</f>
        <v>0</v>
      </c>
      <c r="V49" s="41">
        <f ca="1">'Środki trwałe'!V176</f>
        <v>0</v>
      </c>
      <c r="W49" s="41">
        <f ca="1">'Środki trwałe'!W176</f>
        <v>0</v>
      </c>
      <c r="X49" s="41">
        <f ca="1">'Środki trwałe'!X176</f>
        <v>0</v>
      </c>
    </row>
    <row r="50" spans="2:24">
      <c r="B50" s="39" t="s">
        <v>550</v>
      </c>
      <c r="C50" s="40"/>
      <c r="D50" s="40"/>
      <c r="E50" s="40"/>
      <c r="F50" s="40"/>
      <c r="G50" s="41">
        <f>'Sprawozdania finansowe'!C16</f>
        <v>0</v>
      </c>
      <c r="H50" s="41">
        <f>'Sprawozdania finansowe'!D16</f>
        <v>0</v>
      </c>
      <c r="I50" s="41">
        <f>'Sprawozdania finansowe'!E16</f>
        <v>0</v>
      </c>
      <c r="J50" s="41">
        <f>IF(Rok_n="",0,'Sprawozdania finansowe'!F16)</f>
        <v>0</v>
      </c>
      <c r="K50" s="41">
        <f ca="1">'Środki trwałe'!K177</f>
        <v>0</v>
      </c>
      <c r="L50" s="41">
        <f ca="1">'Środki trwałe'!L177</f>
        <v>0</v>
      </c>
      <c r="M50" s="41">
        <f ca="1">'Środki trwałe'!M177</f>
        <v>0</v>
      </c>
      <c r="N50" s="41">
        <f ca="1">'Środki trwałe'!N177</f>
        <v>0</v>
      </c>
      <c r="O50" s="41">
        <f ca="1">'Środki trwałe'!O177</f>
        <v>0</v>
      </c>
      <c r="P50" s="41">
        <f ca="1">'Środki trwałe'!P177</f>
        <v>0</v>
      </c>
      <c r="Q50" s="41">
        <f ca="1">'Środki trwałe'!Q177</f>
        <v>0</v>
      </c>
      <c r="R50" s="41">
        <f ca="1">'Środki trwałe'!R177</f>
        <v>0</v>
      </c>
      <c r="S50" s="41">
        <f ca="1">'Środki trwałe'!S177</f>
        <v>0</v>
      </c>
      <c r="T50" s="41">
        <f ca="1">'Środki trwałe'!T177</f>
        <v>0</v>
      </c>
      <c r="U50" s="41">
        <f ca="1">'Środki trwałe'!U177</f>
        <v>0</v>
      </c>
      <c r="V50" s="41">
        <f ca="1">'Środki trwałe'!V177</f>
        <v>0</v>
      </c>
      <c r="W50" s="41">
        <f ca="1">'Środki trwałe'!W177</f>
        <v>0</v>
      </c>
      <c r="X50" s="41">
        <f ca="1">'Środki trwałe'!X177</f>
        <v>0</v>
      </c>
    </row>
    <row r="51" spans="2:24">
      <c r="B51" s="39" t="s">
        <v>551</v>
      </c>
      <c r="C51" s="40"/>
      <c r="D51" s="40"/>
      <c r="E51" s="40"/>
      <c r="F51" s="40"/>
      <c r="G51" s="41">
        <f>'Sprawozdania finansowe'!C17</f>
        <v>0</v>
      </c>
      <c r="H51" s="41">
        <f>'Sprawozdania finansowe'!D17</f>
        <v>0</v>
      </c>
      <c r="I51" s="41">
        <f>'Sprawozdania finansowe'!E17</f>
        <v>0</v>
      </c>
      <c r="J51" s="41">
        <f>IF(Rok_n="",0,'Sprawozdania finansowe'!F17)</f>
        <v>0</v>
      </c>
      <c r="K51" s="41">
        <f ca="1">'Środki trwałe'!K178</f>
        <v>0</v>
      </c>
      <c r="L51" s="41">
        <f ca="1">'Środki trwałe'!L178</f>
        <v>0</v>
      </c>
      <c r="M51" s="41">
        <f ca="1">'Środki trwałe'!M178</f>
        <v>0</v>
      </c>
      <c r="N51" s="41">
        <f ca="1">'Środki trwałe'!N178</f>
        <v>0</v>
      </c>
      <c r="O51" s="41">
        <f ca="1">'Środki trwałe'!O178</f>
        <v>0</v>
      </c>
      <c r="P51" s="41">
        <f ca="1">'Środki trwałe'!P178</f>
        <v>0</v>
      </c>
      <c r="Q51" s="41">
        <f ca="1">'Środki trwałe'!Q178</f>
        <v>0</v>
      </c>
      <c r="R51" s="41">
        <f ca="1">'Środki trwałe'!R178</f>
        <v>0</v>
      </c>
      <c r="S51" s="41">
        <f ca="1">'Środki trwałe'!S178</f>
        <v>0</v>
      </c>
      <c r="T51" s="41">
        <f ca="1">'Środki trwałe'!T178</f>
        <v>0</v>
      </c>
      <c r="U51" s="41">
        <f ca="1">'Środki trwałe'!U178</f>
        <v>0</v>
      </c>
      <c r="V51" s="41">
        <f ca="1">'Środki trwałe'!V178</f>
        <v>0</v>
      </c>
      <c r="W51" s="41">
        <f ca="1">'Środki trwałe'!W178</f>
        <v>0</v>
      </c>
      <c r="X51" s="41">
        <f ca="1">'Środki trwałe'!X178</f>
        <v>0</v>
      </c>
    </row>
    <row r="52" spans="2:24">
      <c r="B52" s="39" t="s">
        <v>552</v>
      </c>
      <c r="C52" s="40"/>
      <c r="D52" s="40"/>
      <c r="E52" s="40"/>
      <c r="F52" s="40"/>
      <c r="G52" s="41">
        <f>'Sprawozdania finansowe'!C18</f>
        <v>0</v>
      </c>
      <c r="H52" s="41">
        <f>'Sprawozdania finansowe'!D18</f>
        <v>0</v>
      </c>
      <c r="I52" s="41">
        <f>'Sprawozdania finansowe'!E18</f>
        <v>0</v>
      </c>
      <c r="J52" s="41">
        <f>IF(Rok_n="",0,'Sprawozdania finansowe'!F18)</f>
        <v>0</v>
      </c>
      <c r="K52" s="41">
        <f>'Środki trwałe'!K179</f>
        <v>0</v>
      </c>
      <c r="L52" s="41">
        <f>'Środki trwałe'!L179</f>
        <v>0</v>
      </c>
      <c r="M52" s="41">
        <f>'Środki trwałe'!M179</f>
        <v>0</v>
      </c>
      <c r="N52" s="41">
        <f>'Środki trwałe'!N179</f>
        <v>0</v>
      </c>
      <c r="O52" s="41">
        <f>'Środki trwałe'!O179</f>
        <v>0</v>
      </c>
      <c r="P52" s="41">
        <f>'Środki trwałe'!P179</f>
        <v>0</v>
      </c>
      <c r="Q52" s="41">
        <f>'Środki trwałe'!Q179</f>
        <v>0</v>
      </c>
      <c r="R52" s="41">
        <f>'Środki trwałe'!R179</f>
        <v>0</v>
      </c>
      <c r="S52" s="41">
        <f>'Środki trwałe'!S179</f>
        <v>0</v>
      </c>
      <c r="T52" s="41">
        <f>'Środki trwałe'!T179</f>
        <v>0</v>
      </c>
      <c r="U52" s="41">
        <f>'Środki trwałe'!U179</f>
        <v>0</v>
      </c>
      <c r="V52" s="41">
        <f>'Środki trwałe'!V179</f>
        <v>0</v>
      </c>
      <c r="W52" s="41">
        <f>'Środki trwałe'!W179</f>
        <v>0</v>
      </c>
      <c r="X52" s="41">
        <f>'Środki trwałe'!X179</f>
        <v>0</v>
      </c>
    </row>
    <row r="53" spans="2:24">
      <c r="B53" s="37" t="s">
        <v>553</v>
      </c>
      <c r="C53" s="52"/>
      <c r="D53" s="52"/>
      <c r="E53" s="52"/>
      <c r="F53" s="52"/>
      <c r="G53" s="33">
        <f>SUM(G54+G60+G61)</f>
        <v>0</v>
      </c>
      <c r="H53" s="33">
        <f>SUM(H54+H60+H61)</f>
        <v>0</v>
      </c>
      <c r="I53" s="33">
        <f>SUM(I54+I60+I61)</f>
        <v>0</v>
      </c>
      <c r="J53" s="33">
        <f>SUM(J54+J60+J61)</f>
        <v>0</v>
      </c>
      <c r="K53" s="33">
        <f t="shared" ref="K53:X53" ca="1" si="13">SUM(K54+K60+K61)</f>
        <v>0</v>
      </c>
      <c r="L53" s="33">
        <f t="shared" ca="1" si="13"/>
        <v>0</v>
      </c>
      <c r="M53" s="33">
        <f t="shared" ca="1" si="13"/>
        <v>0</v>
      </c>
      <c r="N53" s="33">
        <f t="shared" ca="1" si="13"/>
        <v>0</v>
      </c>
      <c r="O53" s="33">
        <f t="shared" ca="1" si="13"/>
        <v>0</v>
      </c>
      <c r="P53" s="33">
        <f t="shared" ca="1" si="13"/>
        <v>0</v>
      </c>
      <c r="Q53" s="33">
        <f t="shared" ca="1" si="13"/>
        <v>0</v>
      </c>
      <c r="R53" s="33">
        <f t="shared" ca="1" si="13"/>
        <v>0</v>
      </c>
      <c r="S53" s="33">
        <f t="shared" ca="1" si="13"/>
        <v>0</v>
      </c>
      <c r="T53" s="33">
        <f t="shared" ca="1" si="13"/>
        <v>0</v>
      </c>
      <c r="U53" s="33">
        <f t="shared" ca="1" si="13"/>
        <v>0</v>
      </c>
      <c r="V53" s="33">
        <f t="shared" ca="1" si="13"/>
        <v>0</v>
      </c>
      <c r="W53" s="33">
        <f t="shared" ca="1" si="13"/>
        <v>0</v>
      </c>
      <c r="X53" s="33">
        <f t="shared" ca="1" si="13"/>
        <v>0</v>
      </c>
    </row>
    <row r="54" spans="2:24">
      <c r="B54" s="39" t="s">
        <v>554</v>
      </c>
      <c r="C54" s="40"/>
      <c r="D54" s="40"/>
      <c r="E54" s="40"/>
      <c r="F54" s="40"/>
      <c r="G54" s="41">
        <f>SUM(G55:G59)</f>
        <v>0</v>
      </c>
      <c r="H54" s="41">
        <f>SUM(H55:H59)</f>
        <v>0</v>
      </c>
      <c r="I54" s="41">
        <f>SUM(I55:I59)</f>
        <v>0</v>
      </c>
      <c r="J54" s="41">
        <f>SUM(J55:J59)</f>
        <v>0</v>
      </c>
      <c r="K54" s="41">
        <f t="shared" ref="K54:X54" ca="1" si="14">SUM(K55:K59)</f>
        <v>0</v>
      </c>
      <c r="L54" s="41">
        <f t="shared" ca="1" si="14"/>
        <v>0</v>
      </c>
      <c r="M54" s="41">
        <f t="shared" ca="1" si="14"/>
        <v>0</v>
      </c>
      <c r="N54" s="41">
        <f t="shared" ca="1" si="14"/>
        <v>0</v>
      </c>
      <c r="O54" s="41">
        <f t="shared" ca="1" si="14"/>
        <v>0</v>
      </c>
      <c r="P54" s="41">
        <f t="shared" ca="1" si="14"/>
        <v>0</v>
      </c>
      <c r="Q54" s="41">
        <f t="shared" ca="1" si="14"/>
        <v>0</v>
      </c>
      <c r="R54" s="41">
        <f t="shared" ca="1" si="14"/>
        <v>0</v>
      </c>
      <c r="S54" s="41">
        <f t="shared" ca="1" si="14"/>
        <v>0</v>
      </c>
      <c r="T54" s="41">
        <f t="shared" ca="1" si="14"/>
        <v>0</v>
      </c>
      <c r="U54" s="41">
        <f t="shared" ca="1" si="14"/>
        <v>0</v>
      </c>
      <c r="V54" s="41">
        <f t="shared" ca="1" si="14"/>
        <v>0</v>
      </c>
      <c r="W54" s="41">
        <f t="shared" ca="1" si="14"/>
        <v>0</v>
      </c>
      <c r="X54" s="41">
        <f t="shared" ca="1" si="14"/>
        <v>0</v>
      </c>
    </row>
    <row r="55" spans="2:24">
      <c r="B55" s="8" t="s">
        <v>555</v>
      </c>
      <c r="G55" s="5">
        <f>'Sprawozdania finansowe'!C21</f>
        <v>0</v>
      </c>
      <c r="H55" s="5">
        <f>'Sprawozdania finansowe'!D21</f>
        <v>0</v>
      </c>
      <c r="I55" s="5">
        <f>'Sprawozdania finansowe'!E21</f>
        <v>0</v>
      </c>
      <c r="J55" s="5">
        <f>IF(Rok_n="",0,'Sprawozdania finansowe'!F21)</f>
        <v>0</v>
      </c>
      <c r="K55" s="5">
        <f ca="1">'Środki trwałe'!K181</f>
        <v>0</v>
      </c>
      <c r="L55" s="5">
        <f ca="1">'Środki trwałe'!L181</f>
        <v>0</v>
      </c>
      <c r="M55" s="5">
        <f ca="1">'Środki trwałe'!M181</f>
        <v>0</v>
      </c>
      <c r="N55" s="5">
        <f ca="1">'Środki trwałe'!N181</f>
        <v>0</v>
      </c>
      <c r="O55" s="5">
        <f ca="1">'Środki trwałe'!O181</f>
        <v>0</v>
      </c>
      <c r="P55" s="5">
        <f ca="1">'Środki trwałe'!P181</f>
        <v>0</v>
      </c>
      <c r="Q55" s="5">
        <f ca="1">'Środki trwałe'!Q181</f>
        <v>0</v>
      </c>
      <c r="R55" s="5">
        <f ca="1">'Środki trwałe'!R181</f>
        <v>0</v>
      </c>
      <c r="S55" s="5">
        <f ca="1">'Środki trwałe'!S181</f>
        <v>0</v>
      </c>
      <c r="T55" s="5">
        <f ca="1">'Środki trwałe'!T181</f>
        <v>0</v>
      </c>
      <c r="U55" s="5">
        <f ca="1">'Środki trwałe'!U181</f>
        <v>0</v>
      </c>
      <c r="V55" s="5">
        <f ca="1">'Środki trwałe'!V181</f>
        <v>0</v>
      </c>
      <c r="W55" s="5">
        <f ca="1">'Środki trwałe'!W181</f>
        <v>0</v>
      </c>
      <c r="X55" s="5">
        <f ca="1">'Środki trwałe'!X181</f>
        <v>0</v>
      </c>
    </row>
    <row r="56" spans="2:24">
      <c r="B56" s="8" t="s">
        <v>401</v>
      </c>
      <c r="G56" s="5">
        <f>'Sprawozdania finansowe'!C22</f>
        <v>0</v>
      </c>
      <c r="H56" s="5">
        <f>'Sprawozdania finansowe'!D22</f>
        <v>0</v>
      </c>
      <c r="I56" s="5">
        <f>'Sprawozdania finansowe'!E22</f>
        <v>0</v>
      </c>
      <c r="J56" s="5">
        <f>IF(Rok_n="",0,'Sprawozdania finansowe'!F22)</f>
        <v>0</v>
      </c>
      <c r="K56" s="5">
        <f ca="1">'Środki trwałe'!K182</f>
        <v>0</v>
      </c>
      <c r="L56" s="5">
        <f ca="1">'Środki trwałe'!L182</f>
        <v>0</v>
      </c>
      <c r="M56" s="5">
        <f ca="1">'Środki trwałe'!M182</f>
        <v>0</v>
      </c>
      <c r="N56" s="5">
        <f ca="1">'Środki trwałe'!N182</f>
        <v>0</v>
      </c>
      <c r="O56" s="5">
        <f ca="1">'Środki trwałe'!O182</f>
        <v>0</v>
      </c>
      <c r="P56" s="5">
        <f ca="1">'Środki trwałe'!P182</f>
        <v>0</v>
      </c>
      <c r="Q56" s="5">
        <f ca="1">'Środki trwałe'!Q182</f>
        <v>0</v>
      </c>
      <c r="R56" s="5">
        <f ca="1">'Środki trwałe'!R182</f>
        <v>0</v>
      </c>
      <c r="S56" s="5">
        <f ca="1">'Środki trwałe'!S182</f>
        <v>0</v>
      </c>
      <c r="T56" s="5">
        <f ca="1">'Środki trwałe'!T182</f>
        <v>0</v>
      </c>
      <c r="U56" s="5">
        <f ca="1">'Środki trwałe'!U182</f>
        <v>0</v>
      </c>
      <c r="V56" s="5">
        <f ca="1">'Środki trwałe'!V182</f>
        <v>0</v>
      </c>
      <c r="W56" s="5">
        <f ca="1">'Środki trwałe'!W182</f>
        <v>0</v>
      </c>
      <c r="X56" s="5">
        <f ca="1">'Środki trwałe'!X182</f>
        <v>0</v>
      </c>
    </row>
    <row r="57" spans="2:24">
      <c r="B57" s="8" t="s">
        <v>402</v>
      </c>
      <c r="G57" s="5">
        <f>'Sprawozdania finansowe'!C23</f>
        <v>0</v>
      </c>
      <c r="H57" s="5">
        <f>'Sprawozdania finansowe'!D23</f>
        <v>0</v>
      </c>
      <c r="I57" s="5">
        <f>'Sprawozdania finansowe'!E23</f>
        <v>0</v>
      </c>
      <c r="J57" s="5">
        <f>IF(Rok_n="",0,'Sprawozdania finansowe'!F23)</f>
        <v>0</v>
      </c>
      <c r="K57" s="5">
        <f ca="1">'Środki trwałe'!K183</f>
        <v>0</v>
      </c>
      <c r="L57" s="5">
        <f ca="1">'Środki trwałe'!L183</f>
        <v>0</v>
      </c>
      <c r="M57" s="5">
        <f ca="1">'Środki trwałe'!M183</f>
        <v>0</v>
      </c>
      <c r="N57" s="5">
        <f ca="1">'Środki trwałe'!N183</f>
        <v>0</v>
      </c>
      <c r="O57" s="5">
        <f ca="1">'Środki trwałe'!O183</f>
        <v>0</v>
      </c>
      <c r="P57" s="5">
        <f ca="1">'Środki trwałe'!P183</f>
        <v>0</v>
      </c>
      <c r="Q57" s="5">
        <f ca="1">'Środki trwałe'!Q183</f>
        <v>0</v>
      </c>
      <c r="R57" s="5">
        <f ca="1">'Środki trwałe'!R183</f>
        <v>0</v>
      </c>
      <c r="S57" s="5">
        <f ca="1">'Środki trwałe'!S183</f>
        <v>0</v>
      </c>
      <c r="T57" s="5">
        <f ca="1">'Środki trwałe'!T183</f>
        <v>0</v>
      </c>
      <c r="U57" s="5">
        <f ca="1">'Środki trwałe'!U183</f>
        <v>0</v>
      </c>
      <c r="V57" s="5">
        <f ca="1">'Środki trwałe'!V183</f>
        <v>0</v>
      </c>
      <c r="W57" s="5">
        <f ca="1">'Środki trwałe'!W183</f>
        <v>0</v>
      </c>
      <c r="X57" s="5">
        <f ca="1">'Środki trwałe'!X183</f>
        <v>0</v>
      </c>
    </row>
    <row r="58" spans="2:24">
      <c r="B58" s="8" t="s">
        <v>403</v>
      </c>
      <c r="G58" s="5">
        <f>'Sprawozdania finansowe'!C24</f>
        <v>0</v>
      </c>
      <c r="H58" s="5">
        <f>'Sprawozdania finansowe'!D24</f>
        <v>0</v>
      </c>
      <c r="I58" s="5">
        <f>'Sprawozdania finansowe'!E24</f>
        <v>0</v>
      </c>
      <c r="J58" s="5">
        <f>IF(Rok_n="",0,'Sprawozdania finansowe'!F24)</f>
        <v>0</v>
      </c>
      <c r="K58" s="5">
        <f ca="1">'Środki trwałe'!K184</f>
        <v>0</v>
      </c>
      <c r="L58" s="5">
        <f ca="1">'Środki trwałe'!L184</f>
        <v>0</v>
      </c>
      <c r="M58" s="5">
        <f ca="1">'Środki trwałe'!M184</f>
        <v>0</v>
      </c>
      <c r="N58" s="5">
        <f ca="1">'Środki trwałe'!N184</f>
        <v>0</v>
      </c>
      <c r="O58" s="5">
        <f ca="1">'Środki trwałe'!O184</f>
        <v>0</v>
      </c>
      <c r="P58" s="5">
        <f ca="1">'Środki trwałe'!P184</f>
        <v>0</v>
      </c>
      <c r="Q58" s="5">
        <f ca="1">'Środki trwałe'!Q184</f>
        <v>0</v>
      </c>
      <c r="R58" s="5">
        <f ca="1">'Środki trwałe'!R184</f>
        <v>0</v>
      </c>
      <c r="S58" s="5">
        <f ca="1">'Środki trwałe'!S184</f>
        <v>0</v>
      </c>
      <c r="T58" s="5">
        <f ca="1">'Środki trwałe'!T184</f>
        <v>0</v>
      </c>
      <c r="U58" s="5">
        <f ca="1">'Środki trwałe'!U184</f>
        <v>0</v>
      </c>
      <c r="V58" s="5">
        <f ca="1">'Środki trwałe'!V184</f>
        <v>0</v>
      </c>
      <c r="W58" s="5">
        <f ca="1">'Środki trwałe'!W184</f>
        <v>0</v>
      </c>
      <c r="X58" s="5">
        <f ca="1">'Środki trwałe'!X184</f>
        <v>0</v>
      </c>
    </row>
    <row r="59" spans="2:24">
      <c r="B59" s="8" t="s">
        <v>404</v>
      </c>
      <c r="G59" s="5">
        <f>'Sprawozdania finansowe'!C25</f>
        <v>0</v>
      </c>
      <c r="H59" s="5">
        <f>'Sprawozdania finansowe'!D25</f>
        <v>0</v>
      </c>
      <c r="I59" s="5">
        <f>'Sprawozdania finansowe'!E25</f>
        <v>0</v>
      </c>
      <c r="J59" s="5">
        <f>IF(Rok_n="",0,'Sprawozdania finansowe'!F25)</f>
        <v>0</v>
      </c>
      <c r="K59" s="5">
        <f ca="1">'Środki trwałe'!K185</f>
        <v>0</v>
      </c>
      <c r="L59" s="5">
        <f ca="1">'Środki trwałe'!L185</f>
        <v>0</v>
      </c>
      <c r="M59" s="5">
        <f ca="1">'Środki trwałe'!M185</f>
        <v>0</v>
      </c>
      <c r="N59" s="5">
        <f ca="1">'Środki trwałe'!N185</f>
        <v>0</v>
      </c>
      <c r="O59" s="5">
        <f ca="1">'Środki trwałe'!O185</f>
        <v>0</v>
      </c>
      <c r="P59" s="5">
        <f ca="1">'Środki trwałe'!P185</f>
        <v>0</v>
      </c>
      <c r="Q59" s="5">
        <f ca="1">'Środki trwałe'!Q185</f>
        <v>0</v>
      </c>
      <c r="R59" s="5">
        <f ca="1">'Środki trwałe'!R185</f>
        <v>0</v>
      </c>
      <c r="S59" s="5">
        <f ca="1">'Środki trwałe'!S185</f>
        <v>0</v>
      </c>
      <c r="T59" s="5">
        <f ca="1">'Środki trwałe'!T185</f>
        <v>0</v>
      </c>
      <c r="U59" s="5">
        <f ca="1">'Środki trwałe'!U185</f>
        <v>0</v>
      </c>
      <c r="V59" s="5">
        <f ca="1">'Środki trwałe'!V185</f>
        <v>0</v>
      </c>
      <c r="W59" s="5">
        <f ca="1">'Środki trwałe'!W185</f>
        <v>0</v>
      </c>
      <c r="X59" s="5">
        <f ca="1">'Środki trwałe'!X185</f>
        <v>0</v>
      </c>
    </row>
    <row r="60" spans="2:24">
      <c r="B60" s="39" t="s">
        <v>556</v>
      </c>
      <c r="C60" s="40"/>
      <c r="D60" s="40"/>
      <c r="E60" s="40"/>
      <c r="F60" s="40"/>
      <c r="G60" s="41">
        <f>'Sprawozdania finansowe'!C26</f>
        <v>0</v>
      </c>
      <c r="H60" s="41">
        <f>'Sprawozdania finansowe'!D26</f>
        <v>0</v>
      </c>
      <c r="I60" s="41">
        <f>'Sprawozdania finansowe'!E26</f>
        <v>0</v>
      </c>
      <c r="J60" s="41">
        <f>IF(Rok_n="",0,'Sprawozdania finansowe'!F26)</f>
        <v>0</v>
      </c>
      <c r="K60" s="41">
        <f>'Środki trwałe'!K186</f>
        <v>0</v>
      </c>
      <c r="L60" s="41">
        <f>'Środki trwałe'!L186</f>
        <v>0</v>
      </c>
      <c r="M60" s="41">
        <f>'Środki trwałe'!M186</f>
        <v>0</v>
      </c>
      <c r="N60" s="41">
        <f>'Środki trwałe'!N186</f>
        <v>0</v>
      </c>
      <c r="O60" s="41">
        <f>'Środki trwałe'!O186</f>
        <v>0</v>
      </c>
      <c r="P60" s="41">
        <f>'Środki trwałe'!P186</f>
        <v>0</v>
      </c>
      <c r="Q60" s="41">
        <f>'Środki trwałe'!Q186</f>
        <v>0</v>
      </c>
      <c r="R60" s="41">
        <f>'Środki trwałe'!R186</f>
        <v>0</v>
      </c>
      <c r="S60" s="41">
        <f>'Środki trwałe'!S186</f>
        <v>0</v>
      </c>
      <c r="T60" s="41">
        <f>'Środki trwałe'!T186</f>
        <v>0</v>
      </c>
      <c r="U60" s="41">
        <f>'Środki trwałe'!U186</f>
        <v>0</v>
      </c>
      <c r="V60" s="41">
        <f>'Środki trwałe'!V186</f>
        <v>0</v>
      </c>
      <c r="W60" s="41">
        <f>'Środki trwałe'!W186</f>
        <v>0</v>
      </c>
      <c r="X60" s="41">
        <f>'Środki trwałe'!X186</f>
        <v>0</v>
      </c>
    </row>
    <row r="61" spans="2:24">
      <c r="B61" s="39" t="s">
        <v>557</v>
      </c>
      <c r="C61" s="40"/>
      <c r="D61" s="40"/>
      <c r="E61" s="40"/>
      <c r="F61" s="40"/>
      <c r="G61" s="41">
        <f>'Sprawozdania finansowe'!C27</f>
        <v>0</v>
      </c>
      <c r="H61" s="41">
        <f>'Sprawozdania finansowe'!D27</f>
        <v>0</v>
      </c>
      <c r="I61" s="41">
        <f>'Sprawozdania finansowe'!E27</f>
        <v>0</v>
      </c>
      <c r="J61" s="41">
        <f>IF(Rok_n="",0,'Sprawozdania finansowe'!F27)</f>
        <v>0</v>
      </c>
      <c r="K61" s="5">
        <f>0</f>
        <v>0</v>
      </c>
      <c r="L61" s="5">
        <f>0</f>
        <v>0</v>
      </c>
      <c r="M61" s="5">
        <f>0</f>
        <v>0</v>
      </c>
      <c r="N61" s="5">
        <f>0</f>
        <v>0</v>
      </c>
      <c r="O61" s="5">
        <f>0</f>
        <v>0</v>
      </c>
      <c r="P61" s="5">
        <f>0</f>
        <v>0</v>
      </c>
      <c r="Q61" s="5">
        <f>0</f>
        <v>0</v>
      </c>
      <c r="R61" s="5">
        <f>0</f>
        <v>0</v>
      </c>
      <c r="S61" s="5">
        <f>0</f>
        <v>0</v>
      </c>
      <c r="T61" s="5">
        <f>0</f>
        <v>0</v>
      </c>
      <c r="U61" s="5">
        <f>0</f>
        <v>0</v>
      </c>
      <c r="V61" s="5">
        <f>0</f>
        <v>0</v>
      </c>
      <c r="W61" s="5">
        <f>0</f>
        <v>0</v>
      </c>
      <c r="X61" s="5">
        <f>0</f>
        <v>0</v>
      </c>
    </row>
    <row r="62" spans="2:24">
      <c r="B62" s="37" t="s">
        <v>558</v>
      </c>
      <c r="C62" s="52"/>
      <c r="D62" s="52"/>
      <c r="E62" s="52"/>
      <c r="F62" s="52"/>
      <c r="G62" s="33">
        <f>'Sprawozdania finansowe'!C28</f>
        <v>0</v>
      </c>
      <c r="H62" s="33">
        <f>'Sprawozdania finansowe'!D28</f>
        <v>0</v>
      </c>
      <c r="I62" s="33">
        <f>'Sprawozdania finansowe'!E28</f>
        <v>0</v>
      </c>
      <c r="J62" s="33">
        <f>IF(Rok_n="",0,'Sprawozdania finansowe'!F28)</f>
        <v>0</v>
      </c>
      <c r="K62" s="509"/>
      <c r="L62" s="509"/>
      <c r="M62" s="509"/>
      <c r="N62" s="509"/>
      <c r="O62" s="509"/>
      <c r="P62" s="509"/>
      <c r="Q62" s="509"/>
      <c r="R62" s="509"/>
      <c r="S62" s="509"/>
      <c r="T62" s="509"/>
      <c r="U62" s="509"/>
      <c r="V62" s="509"/>
      <c r="W62" s="509"/>
      <c r="X62" s="509"/>
    </row>
    <row r="63" spans="2:24">
      <c r="B63" s="37" t="s">
        <v>559</v>
      </c>
      <c r="C63" s="52"/>
      <c r="D63" s="52"/>
      <c r="E63" s="52"/>
      <c r="F63" s="52"/>
      <c r="G63" s="33">
        <f>'Sprawozdania finansowe'!C31</f>
        <v>0</v>
      </c>
      <c r="H63" s="33">
        <f>'Sprawozdania finansowe'!D31</f>
        <v>0</v>
      </c>
      <c r="I63" s="33">
        <f>'Sprawozdania finansowe'!E31</f>
        <v>0</v>
      </c>
      <c r="J63" s="33">
        <f>IF(Rok_n="",0,'Sprawozdania finansowe'!F31)</f>
        <v>0</v>
      </c>
      <c r="K63" s="509"/>
      <c r="L63" s="509"/>
      <c r="M63" s="509"/>
      <c r="N63" s="509"/>
      <c r="O63" s="509"/>
      <c r="P63" s="509"/>
      <c r="Q63" s="509"/>
      <c r="R63" s="509"/>
      <c r="S63" s="509"/>
      <c r="T63" s="509"/>
      <c r="U63" s="509"/>
      <c r="V63" s="509"/>
      <c r="W63" s="509"/>
      <c r="X63" s="509"/>
    </row>
    <row r="64" spans="2:24">
      <c r="B64" s="105" t="s">
        <v>560</v>
      </c>
      <c r="C64" s="106"/>
      <c r="D64" s="106"/>
      <c r="E64" s="106"/>
      <c r="F64" s="106"/>
      <c r="G64" s="107">
        <f>'Sprawozdania finansowe'!C46</f>
        <v>0</v>
      </c>
      <c r="H64" s="107">
        <f>'Sprawozdania finansowe'!D46</f>
        <v>0</v>
      </c>
      <c r="I64" s="107">
        <f>'Sprawozdania finansowe'!E46</f>
        <v>0</v>
      </c>
      <c r="J64" s="107">
        <f>IF(Rok_n="",0,'Sprawozdania finansowe'!F46)</f>
        <v>0</v>
      </c>
      <c r="K64" s="509"/>
      <c r="L64" s="509"/>
      <c r="M64" s="509"/>
      <c r="N64" s="509"/>
      <c r="O64" s="509"/>
      <c r="P64" s="509"/>
      <c r="Q64" s="509"/>
      <c r="R64" s="509"/>
      <c r="S64" s="509"/>
      <c r="T64" s="509"/>
      <c r="U64" s="509"/>
      <c r="V64" s="509"/>
      <c r="W64" s="509"/>
      <c r="X64" s="509"/>
    </row>
    <row r="65" spans="2:24">
      <c r="B65" s="99" t="s">
        <v>153</v>
      </c>
      <c r="C65" s="97" t="s">
        <v>561</v>
      </c>
      <c r="D65" s="97"/>
      <c r="E65" s="97"/>
      <c r="F65" s="97"/>
      <c r="G65" s="98">
        <f>ROUND(G66+G67+G69+G72,0)</f>
        <v>0</v>
      </c>
      <c r="H65" s="98">
        <f t="shared" ref="H65:X65" si="15">ROUND(H66+H67+H69+H72,0)</f>
        <v>0</v>
      </c>
      <c r="I65" s="98">
        <f t="shared" si="15"/>
        <v>0</v>
      </c>
      <c r="J65" s="98">
        <f t="shared" si="15"/>
        <v>0</v>
      </c>
      <c r="K65" s="98">
        <f t="shared" ca="1" si="15"/>
        <v>0</v>
      </c>
      <c r="L65" s="98">
        <f t="shared" ca="1" si="15"/>
        <v>0</v>
      </c>
      <c r="M65" s="98">
        <f t="shared" ca="1" si="15"/>
        <v>0</v>
      </c>
      <c r="N65" s="98">
        <f t="shared" ca="1" si="15"/>
        <v>0</v>
      </c>
      <c r="O65" s="98">
        <f t="shared" ca="1" si="15"/>
        <v>0</v>
      </c>
      <c r="P65" s="98">
        <f t="shared" ca="1" si="15"/>
        <v>0</v>
      </c>
      <c r="Q65" s="98">
        <f t="shared" ca="1" si="15"/>
        <v>0</v>
      </c>
      <c r="R65" s="98">
        <f t="shared" ca="1" si="15"/>
        <v>0</v>
      </c>
      <c r="S65" s="98">
        <f t="shared" ca="1" si="15"/>
        <v>0</v>
      </c>
      <c r="T65" s="98">
        <f t="shared" ca="1" si="15"/>
        <v>0</v>
      </c>
      <c r="U65" s="98">
        <f t="shared" ca="1" si="15"/>
        <v>0</v>
      </c>
      <c r="V65" s="98">
        <f t="shared" ca="1" si="15"/>
        <v>0</v>
      </c>
      <c r="W65" s="98">
        <f t="shared" ca="1" si="15"/>
        <v>0</v>
      </c>
      <c r="X65" s="98">
        <f t="shared" ca="1" si="15"/>
        <v>0</v>
      </c>
    </row>
    <row r="66" spans="2:24">
      <c r="B66" s="104" t="s">
        <v>562</v>
      </c>
      <c r="C66" s="102" t="s">
        <v>563</v>
      </c>
      <c r="D66" s="102"/>
      <c r="E66" s="102"/>
      <c r="F66" s="102"/>
      <c r="G66" s="103">
        <f>'Sprawozdania finansowe'!C50</f>
        <v>0</v>
      </c>
      <c r="H66" s="103">
        <f>'Sprawozdania finansowe'!D50</f>
        <v>0</v>
      </c>
      <c r="I66" s="103">
        <f>'Sprawozdania finansowe'!E50</f>
        <v>0</v>
      </c>
      <c r="J66" s="103">
        <f>IF(Rok_n="",0,'Sprawozdania finansowe'!F50)</f>
        <v>0</v>
      </c>
      <c r="K66" s="103">
        <f ca="1">'Kapitał pracujący'!K26</f>
        <v>0</v>
      </c>
      <c r="L66" s="103">
        <f ca="1">'Kapitał pracujący'!L26</f>
        <v>0</v>
      </c>
      <c r="M66" s="103">
        <f ca="1">'Kapitał pracujący'!M26</f>
        <v>0</v>
      </c>
      <c r="N66" s="103">
        <f ca="1">'Kapitał pracujący'!N26</f>
        <v>0</v>
      </c>
      <c r="O66" s="103">
        <f ca="1">'Kapitał pracujący'!O26</f>
        <v>0</v>
      </c>
      <c r="P66" s="103">
        <f ca="1">'Kapitał pracujący'!P26</f>
        <v>0</v>
      </c>
      <c r="Q66" s="103">
        <f ca="1">'Kapitał pracujący'!Q26</f>
        <v>0</v>
      </c>
      <c r="R66" s="103">
        <f ca="1">'Kapitał pracujący'!R26</f>
        <v>0</v>
      </c>
      <c r="S66" s="103">
        <f ca="1">'Kapitał pracujący'!S26</f>
        <v>0</v>
      </c>
      <c r="T66" s="103">
        <f ca="1">'Kapitał pracujący'!T26</f>
        <v>0</v>
      </c>
      <c r="U66" s="103">
        <f ca="1">'Kapitał pracujący'!U26</f>
        <v>0</v>
      </c>
      <c r="V66" s="103">
        <f ca="1">'Kapitał pracujący'!V26</f>
        <v>0</v>
      </c>
      <c r="W66" s="103">
        <f ca="1">'Kapitał pracujący'!W26</f>
        <v>0</v>
      </c>
      <c r="X66" s="103">
        <f ca="1">'Kapitał pracujący'!X26</f>
        <v>0</v>
      </c>
    </row>
    <row r="67" spans="2:24">
      <c r="B67" s="37" t="s">
        <v>564</v>
      </c>
      <c r="C67" s="52"/>
      <c r="D67" s="52"/>
      <c r="E67" s="52"/>
      <c r="F67" s="52"/>
      <c r="G67" s="33">
        <f>'Sprawozdania finansowe'!C56</f>
        <v>0</v>
      </c>
      <c r="H67" s="33">
        <f>'Sprawozdania finansowe'!D56</f>
        <v>0</v>
      </c>
      <c r="I67" s="33">
        <f>'Sprawozdania finansowe'!E56</f>
        <v>0</v>
      </c>
      <c r="J67" s="33">
        <f>IF(Rok_n="",0,'Sprawozdania finansowe'!F56)</f>
        <v>0</v>
      </c>
      <c r="K67" s="33">
        <f ca="1">K68</f>
        <v>0</v>
      </c>
      <c r="L67" s="33">
        <f t="shared" ref="L67:X67" ca="1" si="16">L68</f>
        <v>0</v>
      </c>
      <c r="M67" s="33">
        <f t="shared" ca="1" si="16"/>
        <v>0</v>
      </c>
      <c r="N67" s="33">
        <f t="shared" ca="1" si="16"/>
        <v>0</v>
      </c>
      <c r="O67" s="33">
        <f t="shared" ca="1" si="16"/>
        <v>0</v>
      </c>
      <c r="P67" s="33">
        <f t="shared" ca="1" si="16"/>
        <v>0</v>
      </c>
      <c r="Q67" s="33">
        <f t="shared" ca="1" si="16"/>
        <v>0</v>
      </c>
      <c r="R67" s="33">
        <f t="shared" ca="1" si="16"/>
        <v>0</v>
      </c>
      <c r="S67" s="33">
        <f t="shared" ca="1" si="16"/>
        <v>0</v>
      </c>
      <c r="T67" s="33">
        <f t="shared" ca="1" si="16"/>
        <v>0</v>
      </c>
      <c r="U67" s="33">
        <f t="shared" ca="1" si="16"/>
        <v>0</v>
      </c>
      <c r="V67" s="33">
        <f t="shared" ca="1" si="16"/>
        <v>0</v>
      </c>
      <c r="W67" s="33">
        <f t="shared" ca="1" si="16"/>
        <v>0</v>
      </c>
      <c r="X67" s="33">
        <f t="shared" ca="1" si="16"/>
        <v>0</v>
      </c>
    </row>
    <row r="68" spans="2:24">
      <c r="B68" s="39" t="s">
        <v>565</v>
      </c>
      <c r="C68" s="1" t="s">
        <v>566</v>
      </c>
      <c r="G68" s="508">
        <f>'Sprawozdania finansowe'!C58+'Sprawozdania finansowe'!C63</f>
        <v>0</v>
      </c>
      <c r="H68" s="508">
        <f>'Sprawozdania finansowe'!D58+'Sprawozdania finansowe'!D63</f>
        <v>0</v>
      </c>
      <c r="I68" s="508">
        <f>'Sprawozdania finansowe'!E58+'Sprawozdania finansowe'!E63</f>
        <v>0</v>
      </c>
      <c r="J68" s="508">
        <f>IF(Rok_n="",0,'Sprawozdania finansowe'!F58+'Sprawozdania finansowe'!F63)</f>
        <v>0</v>
      </c>
      <c r="K68" s="41">
        <f ca="1">'Kapitał pracujący'!K41</f>
        <v>0</v>
      </c>
      <c r="L68" s="41">
        <f ca="1">'Kapitał pracujący'!L41</f>
        <v>0</v>
      </c>
      <c r="M68" s="41">
        <f ca="1">'Kapitał pracujący'!M41</f>
        <v>0</v>
      </c>
      <c r="N68" s="41">
        <f ca="1">'Kapitał pracujący'!N41</f>
        <v>0</v>
      </c>
      <c r="O68" s="41">
        <f ca="1">'Kapitał pracujący'!O41</f>
        <v>0</v>
      </c>
      <c r="P68" s="41">
        <f ca="1">'Kapitał pracujący'!P41</f>
        <v>0</v>
      </c>
      <c r="Q68" s="41">
        <f ca="1">'Kapitał pracujący'!Q41</f>
        <v>0</v>
      </c>
      <c r="R68" s="41">
        <f ca="1">'Kapitał pracujący'!R41</f>
        <v>0</v>
      </c>
      <c r="S68" s="41">
        <f ca="1">'Kapitał pracujący'!S41</f>
        <v>0</v>
      </c>
      <c r="T68" s="41">
        <f ca="1">'Kapitał pracujący'!T41</f>
        <v>0</v>
      </c>
      <c r="U68" s="41">
        <f ca="1">'Kapitał pracujący'!U41</f>
        <v>0</v>
      </c>
      <c r="V68" s="41">
        <f ca="1">'Kapitał pracujący'!V41</f>
        <v>0</v>
      </c>
      <c r="W68" s="41">
        <f ca="1">'Kapitał pracujący'!W41</f>
        <v>0</v>
      </c>
      <c r="X68" s="41">
        <f ca="1">'Kapitał pracujący'!X41</f>
        <v>0</v>
      </c>
    </row>
    <row r="69" spans="2:24">
      <c r="B69" s="37" t="s">
        <v>567</v>
      </c>
      <c r="C69" s="52"/>
      <c r="D69" s="52"/>
      <c r="E69" s="52"/>
      <c r="F69" s="52"/>
      <c r="G69" s="33">
        <f>G70+G71</f>
        <v>0</v>
      </c>
      <c r="H69" s="33">
        <f>H70+H71</f>
        <v>0</v>
      </c>
      <c r="I69" s="33">
        <f>I70+I71</f>
        <v>0</v>
      </c>
      <c r="J69" s="33">
        <f>J70+J71</f>
        <v>0</v>
      </c>
      <c r="K69" s="33">
        <f t="shared" ref="K69:X69" ca="1" si="17">K70+K71</f>
        <v>0</v>
      </c>
      <c r="L69" s="33">
        <f t="shared" ca="1" si="17"/>
        <v>0</v>
      </c>
      <c r="M69" s="33">
        <f t="shared" ca="1" si="17"/>
        <v>0</v>
      </c>
      <c r="N69" s="33">
        <f t="shared" ca="1" si="17"/>
        <v>0</v>
      </c>
      <c r="O69" s="33">
        <f t="shared" ca="1" si="17"/>
        <v>0</v>
      </c>
      <c r="P69" s="33">
        <f t="shared" ca="1" si="17"/>
        <v>0</v>
      </c>
      <c r="Q69" s="33">
        <f t="shared" ca="1" si="17"/>
        <v>0</v>
      </c>
      <c r="R69" s="33">
        <f t="shared" ca="1" si="17"/>
        <v>0</v>
      </c>
      <c r="S69" s="33">
        <f t="shared" ca="1" si="17"/>
        <v>0</v>
      </c>
      <c r="T69" s="33">
        <f t="shared" ca="1" si="17"/>
        <v>0</v>
      </c>
      <c r="U69" s="33">
        <f t="shared" ca="1" si="17"/>
        <v>0</v>
      </c>
      <c r="V69" s="33">
        <f t="shared" ca="1" si="17"/>
        <v>0</v>
      </c>
      <c r="W69" s="33">
        <f t="shared" ca="1" si="17"/>
        <v>0</v>
      </c>
      <c r="X69" s="33">
        <f t="shared" ca="1" si="17"/>
        <v>0</v>
      </c>
    </row>
    <row r="70" spans="2:24">
      <c r="B70" s="39" t="s">
        <v>568</v>
      </c>
      <c r="C70" s="40"/>
      <c r="D70" s="40"/>
      <c r="E70" s="40"/>
      <c r="F70" s="40"/>
      <c r="G70" s="41">
        <f>'Sprawozdania finansowe'!C81</f>
        <v>0</v>
      </c>
      <c r="H70" s="41">
        <f>'Sprawozdania finansowe'!D81</f>
        <v>0</v>
      </c>
      <c r="I70" s="41">
        <f>'Sprawozdania finansowe'!E81</f>
        <v>0</v>
      </c>
      <c r="J70" s="41">
        <f>IF(Rok_n="",0,'Sprawozdania finansowe'!F81)</f>
        <v>0</v>
      </c>
      <c r="K70" s="41">
        <f t="shared" ref="K70:X70" ca="1" si="18">K123-K71</f>
        <v>0</v>
      </c>
      <c r="L70" s="41">
        <f t="shared" ca="1" si="18"/>
        <v>0</v>
      </c>
      <c r="M70" s="41">
        <f t="shared" ca="1" si="18"/>
        <v>0</v>
      </c>
      <c r="N70" s="41">
        <f t="shared" ca="1" si="18"/>
        <v>0</v>
      </c>
      <c r="O70" s="41">
        <f t="shared" ca="1" si="18"/>
        <v>0</v>
      </c>
      <c r="P70" s="41">
        <f t="shared" ca="1" si="18"/>
        <v>0</v>
      </c>
      <c r="Q70" s="41">
        <f t="shared" ca="1" si="18"/>
        <v>0</v>
      </c>
      <c r="R70" s="41">
        <f t="shared" ca="1" si="18"/>
        <v>0</v>
      </c>
      <c r="S70" s="41">
        <f t="shared" ca="1" si="18"/>
        <v>0</v>
      </c>
      <c r="T70" s="41">
        <f t="shared" ca="1" si="18"/>
        <v>0</v>
      </c>
      <c r="U70" s="41">
        <f t="shared" ca="1" si="18"/>
        <v>0</v>
      </c>
      <c r="V70" s="41">
        <f t="shared" ca="1" si="18"/>
        <v>0</v>
      </c>
      <c r="W70" s="41">
        <f t="shared" ca="1" si="18"/>
        <v>0</v>
      </c>
      <c r="X70" s="41">
        <f t="shared" ca="1" si="18"/>
        <v>0</v>
      </c>
    </row>
    <row r="71" spans="2:24">
      <c r="B71" s="39" t="s">
        <v>569</v>
      </c>
      <c r="C71" s="40"/>
      <c r="D71" s="40"/>
      <c r="E71" s="40"/>
      <c r="F71" s="40"/>
      <c r="G71" s="41">
        <f>'Sprawozdania finansowe'!C69-'Sprawozdania finansowe'!C81</f>
        <v>0</v>
      </c>
      <c r="H71" s="41">
        <f>'Sprawozdania finansowe'!D69-'Sprawozdania finansowe'!D81</f>
        <v>0</v>
      </c>
      <c r="I71" s="41">
        <f>'Sprawozdania finansowe'!E69-'Sprawozdania finansowe'!E81</f>
        <v>0</v>
      </c>
      <c r="J71" s="41">
        <f>IF(Rok_n="",0,'Sprawozdania finansowe'!F69-'Sprawozdania finansowe'!F81)</f>
        <v>0</v>
      </c>
      <c r="K71" s="41">
        <f>Finansowanie!K37</f>
        <v>0</v>
      </c>
      <c r="L71" s="41">
        <f>Finansowanie!L37</f>
        <v>0</v>
      </c>
      <c r="M71" s="41">
        <f>Finansowanie!M37</f>
        <v>0</v>
      </c>
      <c r="N71" s="41">
        <f>Finansowanie!N37</f>
        <v>0</v>
      </c>
      <c r="O71" s="41">
        <f>Finansowanie!O37</f>
        <v>0</v>
      </c>
      <c r="P71" s="41">
        <f>Finansowanie!P37</f>
        <v>0</v>
      </c>
      <c r="Q71" s="41">
        <f>Finansowanie!Q37</f>
        <v>0</v>
      </c>
      <c r="R71" s="41">
        <f>Finansowanie!R37</f>
        <v>0</v>
      </c>
      <c r="S71" s="41">
        <f>Finansowanie!S37</f>
        <v>0</v>
      </c>
      <c r="T71" s="41">
        <f>Finansowanie!T37</f>
        <v>0</v>
      </c>
      <c r="U71" s="41">
        <f>Finansowanie!U37</f>
        <v>0</v>
      </c>
      <c r="V71" s="41">
        <f>Finansowanie!V37</f>
        <v>0</v>
      </c>
      <c r="W71" s="41">
        <f>Finansowanie!W37</f>
        <v>0</v>
      </c>
      <c r="X71" s="41">
        <f>Finansowanie!X37</f>
        <v>0</v>
      </c>
    </row>
    <row r="72" spans="2:24">
      <c r="B72" s="106" t="s">
        <v>178</v>
      </c>
      <c r="C72" s="106"/>
      <c r="D72" s="106"/>
      <c r="E72" s="106"/>
      <c r="F72" s="106"/>
      <c r="G72" s="107">
        <f>'Sprawozdania finansowe'!C86</f>
        <v>0</v>
      </c>
      <c r="H72" s="107">
        <f>'Sprawozdania finansowe'!D86</f>
        <v>0</v>
      </c>
      <c r="I72" s="107">
        <f>'Sprawozdania finansowe'!E86</f>
        <v>0</v>
      </c>
      <c r="J72" s="107">
        <f>IF(Rok_n="",0,'Sprawozdania finansowe'!F86)</f>
        <v>0</v>
      </c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</row>
    <row r="73" spans="2:24">
      <c r="B73" s="99" t="s">
        <v>179</v>
      </c>
      <c r="C73" s="97"/>
      <c r="D73" s="97"/>
      <c r="E73" s="97"/>
      <c r="F73" s="97"/>
      <c r="G73" s="98">
        <f>ROUND(G65+G47,0)</f>
        <v>0</v>
      </c>
      <c r="H73" s="98">
        <f t="shared" ref="H73:X73" si="19">ROUND(H65+H47,0)</f>
        <v>0</v>
      </c>
      <c r="I73" s="98">
        <f t="shared" si="19"/>
        <v>0</v>
      </c>
      <c r="J73" s="98">
        <f t="shared" si="19"/>
        <v>0</v>
      </c>
      <c r="K73" s="98">
        <f t="shared" ca="1" si="19"/>
        <v>0</v>
      </c>
      <c r="L73" s="98">
        <f t="shared" ca="1" si="19"/>
        <v>0</v>
      </c>
      <c r="M73" s="98">
        <f t="shared" ca="1" si="19"/>
        <v>0</v>
      </c>
      <c r="N73" s="98">
        <f t="shared" ca="1" si="19"/>
        <v>0</v>
      </c>
      <c r="O73" s="98">
        <f t="shared" ca="1" si="19"/>
        <v>0</v>
      </c>
      <c r="P73" s="98">
        <f t="shared" ca="1" si="19"/>
        <v>0</v>
      </c>
      <c r="Q73" s="98">
        <f t="shared" ca="1" si="19"/>
        <v>0</v>
      </c>
      <c r="R73" s="98">
        <f t="shared" ca="1" si="19"/>
        <v>0</v>
      </c>
      <c r="S73" s="98">
        <f t="shared" ca="1" si="19"/>
        <v>0</v>
      </c>
      <c r="T73" s="98">
        <f t="shared" ca="1" si="19"/>
        <v>0</v>
      </c>
      <c r="U73" s="98">
        <f t="shared" ca="1" si="19"/>
        <v>0</v>
      </c>
      <c r="V73" s="98">
        <f t="shared" ca="1" si="19"/>
        <v>0</v>
      </c>
      <c r="W73" s="98">
        <f t="shared" ca="1" si="19"/>
        <v>0</v>
      </c>
      <c r="X73" s="98">
        <f t="shared" ca="1" si="19"/>
        <v>0</v>
      </c>
    </row>
    <row r="74" spans="2:24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ht="13.8">
      <c r="B75" s="148" t="s">
        <v>570</v>
      </c>
      <c r="C75" s="149"/>
      <c r="D75" s="149"/>
      <c r="E75" s="149"/>
      <c r="F75" s="149"/>
      <c r="G75" s="213">
        <f t="shared" ref="G75:X75" ca="1" si="20">LataProjekcji</f>
        <v>0</v>
      </c>
      <c r="H75" s="213">
        <f t="shared" ca="1" si="20"/>
        <v>0</v>
      </c>
      <c r="I75" s="213">
        <f t="shared" ca="1" si="20"/>
        <v>0</v>
      </c>
      <c r="J75" s="214" t="str">
        <f t="shared" si="20"/>
        <v/>
      </c>
      <c r="K75" s="213" t="str">
        <f t="shared" si="20"/>
        <v>Uzupełnij dane</v>
      </c>
      <c r="L75" s="213" t="str">
        <f t="shared" si="20"/>
        <v/>
      </c>
      <c r="M75" s="213" t="str">
        <f t="shared" si="20"/>
        <v/>
      </c>
      <c r="N75" s="213" t="str">
        <f t="shared" si="20"/>
        <v/>
      </c>
      <c r="O75" s="213" t="str">
        <f t="shared" si="20"/>
        <v/>
      </c>
      <c r="P75" s="213" t="str">
        <f t="shared" si="20"/>
        <v/>
      </c>
      <c r="Q75" s="213" t="str">
        <f t="shared" si="20"/>
        <v/>
      </c>
      <c r="R75" s="213" t="str">
        <f t="shared" si="20"/>
        <v/>
      </c>
      <c r="S75" s="213" t="str">
        <f t="shared" si="20"/>
        <v/>
      </c>
      <c r="T75" s="213" t="str">
        <f t="shared" si="20"/>
        <v/>
      </c>
      <c r="U75" s="213" t="str">
        <f t="shared" si="20"/>
        <v/>
      </c>
      <c r="V75" s="213" t="str">
        <f t="shared" si="20"/>
        <v/>
      </c>
      <c r="W75" s="213" t="str">
        <f t="shared" si="20"/>
        <v/>
      </c>
      <c r="X75" s="213" t="str">
        <f t="shared" si="20"/>
        <v/>
      </c>
    </row>
    <row r="76" spans="2:24">
      <c r="B76" s="99" t="s">
        <v>571</v>
      </c>
      <c r="C76" s="97" t="s">
        <v>572</v>
      </c>
      <c r="D76" s="97"/>
      <c r="E76" s="97"/>
      <c r="F76" s="97"/>
      <c r="G76" s="98">
        <f>ROUND(SUM(G77:G81),0)</f>
        <v>0</v>
      </c>
      <c r="H76" s="98">
        <f t="shared" ref="H76:X76" si="21">ROUND(SUM(H77:H81),0)</f>
        <v>0</v>
      </c>
      <c r="I76" s="98">
        <f t="shared" si="21"/>
        <v>0</v>
      </c>
      <c r="J76" s="98">
        <f t="shared" si="21"/>
        <v>0</v>
      </c>
      <c r="K76" s="98">
        <f t="shared" ca="1" si="21"/>
        <v>0</v>
      </c>
      <c r="L76" s="98">
        <f t="shared" ca="1" si="21"/>
        <v>0</v>
      </c>
      <c r="M76" s="98">
        <f t="shared" ca="1" si="21"/>
        <v>0</v>
      </c>
      <c r="N76" s="98">
        <f t="shared" ca="1" si="21"/>
        <v>0</v>
      </c>
      <c r="O76" s="98">
        <f t="shared" ca="1" si="21"/>
        <v>0</v>
      </c>
      <c r="P76" s="98">
        <f t="shared" ca="1" si="21"/>
        <v>0</v>
      </c>
      <c r="Q76" s="98">
        <f t="shared" ca="1" si="21"/>
        <v>0</v>
      </c>
      <c r="R76" s="98">
        <f t="shared" ca="1" si="21"/>
        <v>0</v>
      </c>
      <c r="S76" s="98">
        <f t="shared" ca="1" si="21"/>
        <v>0</v>
      </c>
      <c r="T76" s="98">
        <f t="shared" ca="1" si="21"/>
        <v>0</v>
      </c>
      <c r="U76" s="98">
        <f t="shared" ca="1" si="21"/>
        <v>0</v>
      </c>
      <c r="V76" s="98">
        <f t="shared" ca="1" si="21"/>
        <v>0</v>
      </c>
      <c r="W76" s="98">
        <f t="shared" ca="1" si="21"/>
        <v>0</v>
      </c>
      <c r="X76" s="98">
        <f t="shared" ca="1" si="21"/>
        <v>0</v>
      </c>
    </row>
    <row r="77" spans="2:24">
      <c r="B77" s="104" t="s">
        <v>573</v>
      </c>
      <c r="C77" s="102"/>
      <c r="D77" s="102"/>
      <c r="E77" s="102"/>
      <c r="F77" s="102"/>
      <c r="G77" s="103">
        <f>'Sprawozdania finansowe'!C95</f>
        <v>0</v>
      </c>
      <c r="H77" s="103">
        <f>'Sprawozdania finansowe'!D95</f>
        <v>0</v>
      </c>
      <c r="I77" s="103">
        <f>'Sprawozdania finansowe'!E95</f>
        <v>0</v>
      </c>
      <c r="J77" s="103">
        <f>IF(Rok_n="",0,'Sprawozdania finansowe'!F95)</f>
        <v>0</v>
      </c>
      <c r="K77" s="103">
        <f>Finansowanie!K17</f>
        <v>0</v>
      </c>
      <c r="L77" s="103">
        <f>Finansowanie!L17</f>
        <v>0</v>
      </c>
      <c r="M77" s="103">
        <f>Finansowanie!M17</f>
        <v>0</v>
      </c>
      <c r="N77" s="103">
        <f>Finansowanie!N17</f>
        <v>0</v>
      </c>
      <c r="O77" s="103">
        <f>Finansowanie!O17</f>
        <v>0</v>
      </c>
      <c r="P77" s="103">
        <f>Finansowanie!P17</f>
        <v>0</v>
      </c>
      <c r="Q77" s="103">
        <f>Finansowanie!Q17</f>
        <v>0</v>
      </c>
      <c r="R77" s="103">
        <f>Finansowanie!R17</f>
        <v>0</v>
      </c>
      <c r="S77" s="103">
        <f>Finansowanie!S17</f>
        <v>0</v>
      </c>
      <c r="T77" s="103">
        <f>Finansowanie!T17</f>
        <v>0</v>
      </c>
      <c r="U77" s="103">
        <f>Finansowanie!U17</f>
        <v>0</v>
      </c>
      <c r="V77" s="103">
        <f>Finansowanie!V17</f>
        <v>0</v>
      </c>
      <c r="W77" s="103">
        <f>Finansowanie!W17</f>
        <v>0</v>
      </c>
      <c r="X77" s="103">
        <f>Finansowanie!X17</f>
        <v>0</v>
      </c>
    </row>
    <row r="78" spans="2:24">
      <c r="B78" s="289" t="s">
        <v>574</v>
      </c>
      <c r="C78" s="188"/>
      <c r="D78" s="188"/>
      <c r="E78" s="188"/>
      <c r="F78" s="188"/>
      <c r="G78" s="290"/>
      <c r="H78" s="290"/>
      <c r="I78" s="290"/>
      <c r="J78" s="290"/>
      <c r="K78" s="290">
        <f>-Finansowanie!K79</f>
        <v>0</v>
      </c>
      <c r="L78" s="290">
        <f ca="1">-Finansowanie!L79</f>
        <v>0</v>
      </c>
      <c r="M78" s="290">
        <f ca="1">-Finansowanie!M79</f>
        <v>0</v>
      </c>
      <c r="N78" s="290">
        <f ca="1">-Finansowanie!N79</f>
        <v>0</v>
      </c>
      <c r="O78" s="290">
        <f ca="1">-Finansowanie!O79</f>
        <v>0</v>
      </c>
      <c r="P78" s="290">
        <f ca="1">-Finansowanie!P79</f>
        <v>0</v>
      </c>
      <c r="Q78" s="290">
        <f ca="1">-Finansowanie!Q79</f>
        <v>0</v>
      </c>
      <c r="R78" s="290">
        <f ca="1">-Finansowanie!R79</f>
        <v>0</v>
      </c>
      <c r="S78" s="290">
        <f ca="1">-Finansowanie!S79</f>
        <v>0</v>
      </c>
      <c r="T78" s="290">
        <f ca="1">-Finansowanie!T79</f>
        <v>0</v>
      </c>
      <c r="U78" s="290">
        <f ca="1">-Finansowanie!U79</f>
        <v>0</v>
      </c>
      <c r="V78" s="290">
        <f ca="1">-Finansowanie!V79</f>
        <v>0</v>
      </c>
      <c r="W78" s="290">
        <f ca="1">-Finansowanie!W79</f>
        <v>0</v>
      </c>
      <c r="X78" s="290">
        <f ca="1">-Finansowanie!X79</f>
        <v>0</v>
      </c>
    </row>
    <row r="79" spans="2:24">
      <c r="B79" s="37" t="s">
        <v>575</v>
      </c>
      <c r="C79" s="52"/>
      <c r="D79" s="52"/>
      <c r="E79" s="52"/>
      <c r="F79" s="52"/>
      <c r="G79" s="33">
        <f>'Sprawozdania finansowe'!C96+'Sprawozdania finansowe'!C97+'Sprawozdania finansowe'!C98+'Sprawozdania finansowe'!C99+'Sprawozdania finansowe'!C100+'Sprawozdania finansowe'!C103</f>
        <v>0</v>
      </c>
      <c r="H79" s="33">
        <f>'Sprawozdania finansowe'!D96+'Sprawozdania finansowe'!D97+'Sprawozdania finansowe'!D98+'Sprawozdania finansowe'!D99+'Sprawozdania finansowe'!D100+'Sprawozdania finansowe'!D103</f>
        <v>0</v>
      </c>
      <c r="I79" s="33">
        <f>'Sprawozdania finansowe'!E96+'Sprawozdania finansowe'!E97+'Sprawozdania finansowe'!E98+'Sprawozdania finansowe'!E99+'Sprawozdania finansowe'!E100+'Sprawozdania finansowe'!E103</f>
        <v>0</v>
      </c>
      <c r="J79" s="33">
        <f>IF(Rok_n="",0,'Sprawozdania finansowe'!F96+'Sprawozdania finansowe'!F97+'Sprawozdania finansowe'!F98+'Sprawozdania finansowe'!F99+'Sprawozdania finansowe'!F100+'Sprawozdania finansowe'!F103)</f>
        <v>0</v>
      </c>
      <c r="K79" s="33">
        <f>IF(Rok_n="",I79,J79)</f>
        <v>0</v>
      </c>
      <c r="L79" s="33">
        <f t="shared" ref="L79:X79" si="22">K79</f>
        <v>0</v>
      </c>
      <c r="M79" s="33">
        <f t="shared" si="22"/>
        <v>0</v>
      </c>
      <c r="N79" s="33">
        <f t="shared" si="22"/>
        <v>0</v>
      </c>
      <c r="O79" s="33">
        <f t="shared" si="22"/>
        <v>0</v>
      </c>
      <c r="P79" s="33">
        <f t="shared" si="22"/>
        <v>0</v>
      </c>
      <c r="Q79" s="33">
        <f t="shared" si="22"/>
        <v>0</v>
      </c>
      <c r="R79" s="33">
        <f t="shared" si="22"/>
        <v>0</v>
      </c>
      <c r="S79" s="33">
        <f t="shared" si="22"/>
        <v>0</v>
      </c>
      <c r="T79" s="33">
        <f t="shared" si="22"/>
        <v>0</v>
      </c>
      <c r="U79" s="33">
        <f t="shared" si="22"/>
        <v>0</v>
      </c>
      <c r="V79" s="33">
        <f t="shared" si="22"/>
        <v>0</v>
      </c>
      <c r="W79" s="33">
        <f t="shared" si="22"/>
        <v>0</v>
      </c>
      <c r="X79" s="33">
        <f t="shared" si="22"/>
        <v>0</v>
      </c>
    </row>
    <row r="80" spans="2:24">
      <c r="B80" s="37" t="s">
        <v>576</v>
      </c>
      <c r="C80" s="52"/>
      <c r="D80" s="52"/>
      <c r="E80" s="52"/>
      <c r="F80" s="52"/>
      <c r="G80" s="33">
        <f>'Sprawozdania finansowe'!C101</f>
        <v>0</v>
      </c>
      <c r="H80" s="33">
        <f>'Sprawozdania finansowe'!D101</f>
        <v>0</v>
      </c>
      <c r="I80" s="33">
        <f>'Sprawozdania finansowe'!E101</f>
        <v>0</v>
      </c>
      <c r="J80" s="33">
        <f>IF(Rok_n="",0,'Sprawozdania finansowe'!F101)</f>
        <v>0</v>
      </c>
      <c r="K80" s="33">
        <f>Finansowanie!K23</f>
        <v>0</v>
      </c>
      <c r="L80" s="33">
        <f ca="1">Finansowanie!L23</f>
        <v>0</v>
      </c>
      <c r="M80" s="33">
        <f ca="1">Finansowanie!M23</f>
        <v>0</v>
      </c>
      <c r="N80" s="33">
        <f ca="1">Finansowanie!N23</f>
        <v>0</v>
      </c>
      <c r="O80" s="33">
        <f ca="1">Finansowanie!O23</f>
        <v>0</v>
      </c>
      <c r="P80" s="33">
        <f ca="1">Finansowanie!P23</f>
        <v>0</v>
      </c>
      <c r="Q80" s="33">
        <f ca="1">Finansowanie!Q23</f>
        <v>0</v>
      </c>
      <c r="R80" s="33">
        <f ca="1">Finansowanie!R23</f>
        <v>0</v>
      </c>
      <c r="S80" s="33">
        <f ca="1">Finansowanie!S23</f>
        <v>0</v>
      </c>
      <c r="T80" s="33">
        <f ca="1">Finansowanie!T23</f>
        <v>0</v>
      </c>
      <c r="U80" s="33">
        <f ca="1">Finansowanie!U23</f>
        <v>0</v>
      </c>
      <c r="V80" s="33">
        <f ca="1">Finansowanie!V23</f>
        <v>0</v>
      </c>
      <c r="W80" s="33">
        <f ca="1">Finansowanie!W23</f>
        <v>0</v>
      </c>
      <c r="X80" s="33">
        <f ca="1">Finansowanie!X23</f>
        <v>0</v>
      </c>
    </row>
    <row r="81" spans="2:25">
      <c r="B81" s="105" t="s">
        <v>577</v>
      </c>
      <c r="C81" s="106"/>
      <c r="D81" s="106"/>
      <c r="E81" s="106"/>
      <c r="F81" s="106"/>
      <c r="G81" s="107">
        <f>G42</f>
        <v>0</v>
      </c>
      <c r="H81" s="107">
        <f>H42</f>
        <v>0</v>
      </c>
      <c r="I81" s="107">
        <f>I42</f>
        <v>0</v>
      </c>
      <c r="J81" s="107">
        <f>J42</f>
        <v>0</v>
      </c>
      <c r="K81" s="107">
        <f ca="1">K42</f>
        <v>0</v>
      </c>
      <c r="L81" s="107">
        <f t="shared" ref="L81:X81" ca="1" si="23">L42</f>
        <v>0</v>
      </c>
      <c r="M81" s="107">
        <f t="shared" ca="1" si="23"/>
        <v>0</v>
      </c>
      <c r="N81" s="107">
        <f t="shared" ca="1" si="23"/>
        <v>0</v>
      </c>
      <c r="O81" s="107">
        <f t="shared" ca="1" si="23"/>
        <v>0</v>
      </c>
      <c r="P81" s="107">
        <f t="shared" ca="1" si="23"/>
        <v>0</v>
      </c>
      <c r="Q81" s="107">
        <f t="shared" ca="1" si="23"/>
        <v>0</v>
      </c>
      <c r="R81" s="107">
        <f t="shared" ca="1" si="23"/>
        <v>0</v>
      </c>
      <c r="S81" s="107">
        <f t="shared" ca="1" si="23"/>
        <v>0</v>
      </c>
      <c r="T81" s="107">
        <f t="shared" ca="1" si="23"/>
        <v>0</v>
      </c>
      <c r="U81" s="107">
        <f t="shared" ca="1" si="23"/>
        <v>0</v>
      </c>
      <c r="V81" s="107">
        <f t="shared" ca="1" si="23"/>
        <v>0</v>
      </c>
      <c r="W81" s="107">
        <f t="shared" ca="1" si="23"/>
        <v>0</v>
      </c>
      <c r="X81" s="107">
        <f t="shared" ca="1" si="23"/>
        <v>0</v>
      </c>
    </row>
    <row r="82" spans="2:25">
      <c r="B82" s="99" t="s">
        <v>578</v>
      </c>
      <c r="C82" s="97" t="s">
        <v>579</v>
      </c>
      <c r="D82" s="97"/>
      <c r="E82" s="97"/>
      <c r="F82" s="97"/>
      <c r="G82" s="98">
        <f>ROUND(G83+G84+G87+G91,0)</f>
        <v>0</v>
      </c>
      <c r="H82" s="98">
        <f t="shared" ref="H82:X82" si="24">ROUND(H83+H84+H87+H91,0)</f>
        <v>0</v>
      </c>
      <c r="I82" s="98">
        <f t="shared" si="24"/>
        <v>0</v>
      </c>
      <c r="J82" s="98">
        <f t="shared" si="24"/>
        <v>0</v>
      </c>
      <c r="K82" s="98">
        <f t="shared" ca="1" si="24"/>
        <v>0</v>
      </c>
      <c r="L82" s="98">
        <f t="shared" ca="1" si="24"/>
        <v>0</v>
      </c>
      <c r="M82" s="98">
        <f t="shared" ca="1" si="24"/>
        <v>0</v>
      </c>
      <c r="N82" s="98">
        <f t="shared" ca="1" si="24"/>
        <v>0</v>
      </c>
      <c r="O82" s="98">
        <f t="shared" ca="1" si="24"/>
        <v>0</v>
      </c>
      <c r="P82" s="98">
        <f t="shared" ca="1" si="24"/>
        <v>0</v>
      </c>
      <c r="Q82" s="98">
        <f t="shared" ca="1" si="24"/>
        <v>0</v>
      </c>
      <c r="R82" s="98">
        <f t="shared" ca="1" si="24"/>
        <v>0</v>
      </c>
      <c r="S82" s="98">
        <f t="shared" ca="1" si="24"/>
        <v>0</v>
      </c>
      <c r="T82" s="98">
        <f t="shared" ca="1" si="24"/>
        <v>0</v>
      </c>
      <c r="U82" s="98">
        <f t="shared" ca="1" si="24"/>
        <v>0</v>
      </c>
      <c r="V82" s="98">
        <f t="shared" ca="1" si="24"/>
        <v>0</v>
      </c>
      <c r="W82" s="98">
        <f t="shared" ca="1" si="24"/>
        <v>0</v>
      </c>
      <c r="X82" s="98">
        <f t="shared" ca="1" si="24"/>
        <v>0</v>
      </c>
    </row>
    <row r="83" spans="2:25">
      <c r="B83" s="8" t="s">
        <v>580</v>
      </c>
      <c r="G83" s="5">
        <f>'Sprawozdania finansowe'!C105</f>
        <v>0</v>
      </c>
      <c r="H83" s="5">
        <f>'Sprawozdania finansowe'!D105</f>
        <v>0</v>
      </c>
      <c r="I83" s="5">
        <f>'Sprawozdania finansowe'!E105</f>
        <v>0</v>
      </c>
      <c r="J83" s="5">
        <f>IF(Rok_n="",0,'Sprawozdania finansowe'!F105)</f>
        <v>0</v>
      </c>
      <c r="K83" s="509"/>
      <c r="L83" s="509"/>
      <c r="M83" s="509"/>
      <c r="N83" s="509"/>
      <c r="O83" s="509"/>
      <c r="P83" s="509"/>
      <c r="Q83" s="509"/>
      <c r="R83" s="509"/>
      <c r="S83" s="509"/>
      <c r="T83" s="509"/>
      <c r="U83" s="509"/>
      <c r="V83" s="509"/>
      <c r="W83" s="509"/>
      <c r="X83" s="509"/>
    </row>
    <row r="84" spans="2:25">
      <c r="B84" s="37" t="s">
        <v>581</v>
      </c>
      <c r="C84" s="52"/>
      <c r="D84" s="52"/>
      <c r="E84" s="52"/>
      <c r="F84" s="52"/>
      <c r="G84" s="33">
        <f>SUM(G85:G86)</f>
        <v>0</v>
      </c>
      <c r="H84" s="33">
        <f>SUM(H85:H86)</f>
        <v>0</v>
      </c>
      <c r="I84" s="33">
        <f>SUM(I85:I86)</f>
        <v>0</v>
      </c>
      <c r="J84" s="33">
        <f>SUM(J85:J86)</f>
        <v>0</v>
      </c>
      <c r="K84" s="33">
        <f t="shared" ref="K84:X84" si="25">SUM(K85:K86)</f>
        <v>0</v>
      </c>
      <c r="L84" s="33">
        <f t="shared" si="25"/>
        <v>0</v>
      </c>
      <c r="M84" s="33">
        <f t="shared" si="25"/>
        <v>0</v>
      </c>
      <c r="N84" s="33">
        <f t="shared" si="25"/>
        <v>0</v>
      </c>
      <c r="O84" s="33">
        <f t="shared" si="25"/>
        <v>0</v>
      </c>
      <c r="P84" s="33">
        <f t="shared" si="25"/>
        <v>0</v>
      </c>
      <c r="Q84" s="33">
        <f t="shared" si="25"/>
        <v>0</v>
      </c>
      <c r="R84" s="33">
        <f t="shared" si="25"/>
        <v>0</v>
      </c>
      <c r="S84" s="33">
        <f t="shared" si="25"/>
        <v>0</v>
      </c>
      <c r="T84" s="33">
        <f t="shared" si="25"/>
        <v>0</v>
      </c>
      <c r="U84" s="33">
        <f t="shared" si="25"/>
        <v>0</v>
      </c>
      <c r="V84" s="33">
        <f t="shared" si="25"/>
        <v>0</v>
      </c>
      <c r="W84" s="33">
        <f t="shared" si="25"/>
        <v>0</v>
      </c>
      <c r="X84" s="33">
        <f t="shared" si="25"/>
        <v>0</v>
      </c>
    </row>
    <row r="85" spans="2:25">
      <c r="B85" s="39" t="s">
        <v>582</v>
      </c>
      <c r="C85" s="40"/>
      <c r="D85" s="40"/>
      <c r="E85" s="40"/>
      <c r="F85" s="40"/>
      <c r="G85" s="478">
        <f>'Sprawozdania finansowe'!C116</f>
        <v>0</v>
      </c>
      <c r="H85" s="478">
        <f>'Sprawozdania finansowe'!D116</f>
        <v>0</v>
      </c>
      <c r="I85" s="478">
        <f>'Sprawozdania finansowe'!E116</f>
        <v>0</v>
      </c>
      <c r="J85" s="478">
        <f>IF(Rok_n="",0,'Sprawozdania finansowe'!F116)</f>
        <v>0</v>
      </c>
      <c r="K85" s="478">
        <f>IF((Finansowanie!K46+Finansowanie!K55-Finansowanie!L44-Finansowanie!L53)&lt;0,0,Finansowanie!K46+Finansowanie!K55-Finansowanie!L44-Finansowanie!L53)</f>
        <v>0</v>
      </c>
      <c r="L85" s="478">
        <f>IF((Finansowanie!L46+Finansowanie!L55-Finansowanie!M44-Finansowanie!M53)&lt;0,0,Finansowanie!L46+Finansowanie!L55-Finansowanie!M44-Finansowanie!M53)</f>
        <v>0</v>
      </c>
      <c r="M85" s="478">
        <f>IF((Finansowanie!M46+Finansowanie!M55-Finansowanie!N44-Finansowanie!N53)&lt;0,0,Finansowanie!M46+Finansowanie!M55-Finansowanie!N44-Finansowanie!N53)</f>
        <v>0</v>
      </c>
      <c r="N85" s="478">
        <f>IF((Finansowanie!N46+Finansowanie!N55-Finansowanie!O44-Finansowanie!O53)&lt;0,0,Finansowanie!N46+Finansowanie!N55-Finansowanie!O44-Finansowanie!O53)</f>
        <v>0</v>
      </c>
      <c r="O85" s="478">
        <f>IF((Finansowanie!O46+Finansowanie!O55-Finansowanie!P44-Finansowanie!P53)&lt;0,0,Finansowanie!O46+Finansowanie!O55-Finansowanie!P44-Finansowanie!P53)</f>
        <v>0</v>
      </c>
      <c r="P85" s="478">
        <f>IF((Finansowanie!P46+Finansowanie!P55-Finansowanie!Q44-Finansowanie!Q53)&lt;0,0,Finansowanie!P46+Finansowanie!P55-Finansowanie!Q44-Finansowanie!Q53)</f>
        <v>0</v>
      </c>
      <c r="Q85" s="478">
        <f>IF((Finansowanie!Q46+Finansowanie!Q55-Finansowanie!R44-Finansowanie!R53)&lt;0,0,Finansowanie!Q46+Finansowanie!Q55-Finansowanie!R44-Finansowanie!R53)</f>
        <v>0</v>
      </c>
      <c r="R85" s="478">
        <f>IF((Finansowanie!R46+Finansowanie!R55-Finansowanie!S44-Finansowanie!S53)&lt;0,0,Finansowanie!R46+Finansowanie!R55-Finansowanie!S44-Finansowanie!S53)</f>
        <v>0</v>
      </c>
      <c r="S85" s="478">
        <f>IF((Finansowanie!S46+Finansowanie!S55-Finansowanie!T44-Finansowanie!T53)&lt;0,0,Finansowanie!S46+Finansowanie!S55-Finansowanie!T44-Finansowanie!T53)</f>
        <v>0</v>
      </c>
      <c r="T85" s="478">
        <f>IF((Finansowanie!T46+Finansowanie!T55-Finansowanie!U44-Finansowanie!U53)&lt;0,0,Finansowanie!T46+Finansowanie!T55-Finansowanie!U44-Finansowanie!U53)</f>
        <v>0</v>
      </c>
      <c r="U85" s="478">
        <f>IF((Finansowanie!U46+Finansowanie!U55-Finansowanie!V44-Finansowanie!V53)&lt;0,0,Finansowanie!U46+Finansowanie!U55-Finansowanie!V44-Finansowanie!V53)</f>
        <v>0</v>
      </c>
      <c r="V85" s="478">
        <f>IF((Finansowanie!V46+Finansowanie!V55-Finansowanie!W44-Finansowanie!W53)&lt;0,0,Finansowanie!V46+Finansowanie!V55-Finansowanie!W44-Finansowanie!W53)</f>
        <v>0</v>
      </c>
      <c r="W85" s="478">
        <f>IF((Finansowanie!W46+Finansowanie!W55-Finansowanie!X44-Finansowanie!X53)&lt;0,0,Finansowanie!W46+Finansowanie!W55-Finansowanie!X44-Finansowanie!X53)</f>
        <v>0</v>
      </c>
      <c r="X85" s="478">
        <f>IF((Finansowanie!X46+Finansowanie!X55-Finansowanie!Y44-Finansowanie!Y53)&lt;0,0,Finansowanie!X46+Finansowanie!X55-Finansowanie!Y44-Finansowanie!Y53)</f>
        <v>0</v>
      </c>
    </row>
    <row r="86" spans="2:25">
      <c r="B86" s="39" t="s">
        <v>583</v>
      </c>
      <c r="C86" s="40"/>
      <c r="D86" s="40"/>
      <c r="E86" s="40"/>
      <c r="F86" s="40"/>
      <c r="G86" s="290">
        <f>'Sprawozdania finansowe'!C113-'Sprawozdania finansowe'!C116</f>
        <v>0</v>
      </c>
      <c r="H86" s="290">
        <f>'Sprawozdania finansowe'!D113-'Sprawozdania finansowe'!D116</f>
        <v>0</v>
      </c>
      <c r="I86" s="290">
        <f>'Sprawozdania finansowe'!E113-'Sprawozdania finansowe'!E116</f>
        <v>0</v>
      </c>
      <c r="J86" s="290">
        <f>IF(Rok_n="",0,'Sprawozdania finansowe'!F113-'Sprawozdania finansowe'!F116)</f>
        <v>0</v>
      </c>
      <c r="K86" s="510"/>
      <c r="L86" s="510"/>
      <c r="M86" s="510"/>
      <c r="N86" s="510"/>
      <c r="O86" s="510"/>
      <c r="P86" s="510"/>
      <c r="Q86" s="510"/>
      <c r="R86" s="510"/>
      <c r="S86" s="510"/>
      <c r="T86" s="510"/>
      <c r="U86" s="510"/>
      <c r="V86" s="510"/>
      <c r="W86" s="510"/>
      <c r="X86" s="510"/>
    </row>
    <row r="87" spans="2:25">
      <c r="B87" s="37" t="s">
        <v>584</v>
      </c>
      <c r="C87" s="52"/>
      <c r="D87" s="52"/>
      <c r="E87" s="52"/>
      <c r="F87" s="52"/>
      <c r="G87" s="33">
        <f>'Sprawozdania finansowe'!C120</f>
        <v>0</v>
      </c>
      <c r="H87" s="33">
        <f>'Sprawozdania finansowe'!D120</f>
        <v>0</v>
      </c>
      <c r="I87" s="33">
        <f>'Sprawozdania finansowe'!E120</f>
        <v>0</v>
      </c>
      <c r="J87" s="33">
        <f>IF(Rok_n="",0,'Sprawozdania finansowe'!F120)</f>
        <v>0</v>
      </c>
      <c r="K87" s="33">
        <f t="shared" ref="K87:X87" ca="1" si="26">SUM(K88:K90)</f>
        <v>0</v>
      </c>
      <c r="L87" s="33">
        <f t="shared" ca="1" si="26"/>
        <v>0</v>
      </c>
      <c r="M87" s="33">
        <f t="shared" ca="1" si="26"/>
        <v>0</v>
      </c>
      <c r="N87" s="33">
        <f t="shared" ca="1" si="26"/>
        <v>0</v>
      </c>
      <c r="O87" s="33">
        <f t="shared" ca="1" si="26"/>
        <v>0</v>
      </c>
      <c r="P87" s="33">
        <f t="shared" ca="1" si="26"/>
        <v>0</v>
      </c>
      <c r="Q87" s="33">
        <f t="shared" ca="1" si="26"/>
        <v>0</v>
      </c>
      <c r="R87" s="33">
        <f t="shared" ca="1" si="26"/>
        <v>0</v>
      </c>
      <c r="S87" s="33">
        <f t="shared" ca="1" si="26"/>
        <v>0</v>
      </c>
      <c r="T87" s="33">
        <f t="shared" ca="1" si="26"/>
        <v>0</v>
      </c>
      <c r="U87" s="33">
        <f t="shared" ca="1" si="26"/>
        <v>0</v>
      </c>
      <c r="V87" s="33">
        <f t="shared" ca="1" si="26"/>
        <v>0</v>
      </c>
      <c r="W87" s="33">
        <f t="shared" ca="1" si="26"/>
        <v>0</v>
      </c>
      <c r="X87" s="33">
        <f t="shared" ca="1" si="26"/>
        <v>0</v>
      </c>
    </row>
    <row r="88" spans="2:25">
      <c r="B88" s="476" t="s">
        <v>585</v>
      </c>
      <c r="C88" s="477" t="s">
        <v>586</v>
      </c>
      <c r="D88" s="477"/>
      <c r="E88" s="477"/>
      <c r="F88" s="477"/>
      <c r="G88" s="478">
        <f>'Sprawozdania finansowe'!C122+'Sprawozdania finansowe'!C130</f>
        <v>0</v>
      </c>
      <c r="H88" s="478">
        <f>'Sprawozdania finansowe'!D122+'Sprawozdania finansowe'!D130</f>
        <v>0</v>
      </c>
      <c r="I88" s="478">
        <f>'Sprawozdania finansowe'!E122+'Sprawozdania finansowe'!E130</f>
        <v>0</v>
      </c>
      <c r="J88" s="478">
        <f>IF(Rok_n="",0,'Sprawozdania finansowe'!F122+'Sprawozdania finansowe'!F130)</f>
        <v>0</v>
      </c>
      <c r="K88" s="478">
        <f ca="1">'Kapitał pracujący'!K56</f>
        <v>0</v>
      </c>
      <c r="L88" s="478">
        <f ca="1">'Kapitał pracujący'!L56</f>
        <v>0</v>
      </c>
      <c r="M88" s="478">
        <f ca="1">'Kapitał pracujący'!M56</f>
        <v>0</v>
      </c>
      <c r="N88" s="478">
        <f ca="1">'Kapitał pracujący'!N56</f>
        <v>0</v>
      </c>
      <c r="O88" s="478">
        <f ca="1">'Kapitał pracujący'!O56</f>
        <v>0</v>
      </c>
      <c r="P88" s="478">
        <f ca="1">'Kapitał pracujący'!P56</f>
        <v>0</v>
      </c>
      <c r="Q88" s="478">
        <f ca="1">'Kapitał pracujący'!Q56</f>
        <v>0</v>
      </c>
      <c r="R88" s="478">
        <f ca="1">'Kapitał pracujący'!R56</f>
        <v>0</v>
      </c>
      <c r="S88" s="478">
        <f ca="1">'Kapitał pracujący'!S56</f>
        <v>0</v>
      </c>
      <c r="T88" s="478">
        <f ca="1">'Kapitał pracujący'!T56</f>
        <v>0</v>
      </c>
      <c r="U88" s="478">
        <f ca="1">'Kapitał pracujący'!U56</f>
        <v>0</v>
      </c>
      <c r="V88" s="478">
        <f ca="1">'Kapitał pracujący'!V56</f>
        <v>0</v>
      </c>
      <c r="W88" s="478">
        <f ca="1">'Kapitał pracujący'!W56</f>
        <v>0</v>
      </c>
      <c r="X88" s="478">
        <f ca="1">'Kapitał pracujący'!X56</f>
        <v>0</v>
      </c>
    </row>
    <row r="89" spans="2:25">
      <c r="B89" s="39" t="s">
        <v>587</v>
      </c>
      <c r="C89" s="40"/>
      <c r="D89" s="40"/>
      <c r="E89" s="40"/>
      <c r="F89" s="40"/>
      <c r="G89" s="41">
        <f>'Sprawozdania finansowe'!C127</f>
        <v>0</v>
      </c>
      <c r="H89" s="41">
        <f>'Sprawozdania finansowe'!D127</f>
        <v>0</v>
      </c>
      <c r="I89" s="41">
        <f>'Sprawozdania finansowe'!E127</f>
        <v>0</v>
      </c>
      <c r="J89" s="41">
        <f>IF(Rok_n="",0,'Sprawozdania finansowe'!F127)</f>
        <v>0</v>
      </c>
      <c r="K89" s="41">
        <f>IF(Finansowanie!K64&lt;0,0,Finansowanie!K64)</f>
        <v>0</v>
      </c>
      <c r="L89" s="41">
        <f>IF(Finansowanie!L64&lt;0,0,Finansowanie!L64)</f>
        <v>0</v>
      </c>
      <c r="M89" s="41">
        <f>IF(Finansowanie!M64&lt;0,0,Finansowanie!M64)</f>
        <v>0</v>
      </c>
      <c r="N89" s="41">
        <f>IF(Finansowanie!N64&lt;0,0,Finansowanie!N64)</f>
        <v>0</v>
      </c>
      <c r="O89" s="41">
        <f>IF(Finansowanie!O64&lt;0,0,Finansowanie!O64)</f>
        <v>0</v>
      </c>
      <c r="P89" s="41">
        <f>IF(Finansowanie!P64&lt;0,0,Finansowanie!P64)</f>
        <v>0</v>
      </c>
      <c r="Q89" s="41">
        <f>IF(Finansowanie!Q64&lt;0,0,Finansowanie!Q64)</f>
        <v>0</v>
      </c>
      <c r="R89" s="41">
        <f>IF(Finansowanie!R64&lt;0,0,Finansowanie!R64)</f>
        <v>0</v>
      </c>
      <c r="S89" s="41">
        <f>IF(Finansowanie!S64&lt;0,0,Finansowanie!S64)</f>
        <v>0</v>
      </c>
      <c r="T89" s="41">
        <f>IF(Finansowanie!T64&lt;0,0,Finansowanie!T64)</f>
        <v>0</v>
      </c>
      <c r="U89" s="41">
        <f>IF(Finansowanie!U64&lt;0,0,Finansowanie!U64)</f>
        <v>0</v>
      </c>
      <c r="V89" s="41">
        <f>IF(Finansowanie!V64&lt;0,0,Finansowanie!V64)</f>
        <v>0</v>
      </c>
      <c r="W89" s="41">
        <f>IF(Finansowanie!W64&lt;0,0,Finansowanie!W64)</f>
        <v>0</v>
      </c>
      <c r="X89" s="41">
        <f>IF(Finansowanie!X64&lt;0,0,Finansowanie!X64)</f>
        <v>0</v>
      </c>
    </row>
    <row r="90" spans="2:25">
      <c r="B90" s="289" t="s">
        <v>588</v>
      </c>
      <c r="C90" s="188"/>
      <c r="D90" s="188"/>
      <c r="E90" s="188"/>
      <c r="F90" s="188"/>
      <c r="G90" s="290">
        <f>'Sprawozdania finansowe'!C120-G88-G89</f>
        <v>0</v>
      </c>
      <c r="H90" s="290">
        <f>'Sprawozdania finansowe'!D120-H88-H89</f>
        <v>0</v>
      </c>
      <c r="I90" s="290">
        <f>'Sprawozdania finansowe'!E120-I88-I89</f>
        <v>0</v>
      </c>
      <c r="J90" s="290">
        <f>IF(Rok_n="",0,'Sprawozdania finansowe'!F120-J88-J89)</f>
        <v>0</v>
      </c>
      <c r="K90" s="510"/>
      <c r="L90" s="510"/>
      <c r="M90" s="510"/>
      <c r="N90" s="510"/>
      <c r="O90" s="510"/>
      <c r="P90" s="510"/>
      <c r="Q90" s="510"/>
      <c r="R90" s="510"/>
      <c r="S90" s="510"/>
      <c r="T90" s="510"/>
      <c r="U90" s="510"/>
      <c r="V90" s="510"/>
      <c r="W90" s="510"/>
      <c r="X90" s="510"/>
    </row>
    <row r="91" spans="2:25">
      <c r="B91" s="37" t="s">
        <v>589</v>
      </c>
      <c r="C91" s="52"/>
      <c r="D91" s="52"/>
      <c r="E91" s="52"/>
      <c r="F91" s="52"/>
      <c r="G91" s="33">
        <f>G92+G93</f>
        <v>0</v>
      </c>
      <c r="H91" s="33">
        <f>H92+H93</f>
        <v>0</v>
      </c>
      <c r="I91" s="33">
        <f>I92+I93</f>
        <v>0</v>
      </c>
      <c r="J91" s="33">
        <f>J92+J93</f>
        <v>0</v>
      </c>
      <c r="K91" s="33">
        <f t="shared" ref="K91:X91" si="27">K92+K93</f>
        <v>0</v>
      </c>
      <c r="L91" s="33">
        <f t="shared" si="27"/>
        <v>0</v>
      </c>
      <c r="M91" s="33">
        <f t="shared" si="27"/>
        <v>0</v>
      </c>
      <c r="N91" s="33">
        <f t="shared" si="27"/>
        <v>0</v>
      </c>
      <c r="O91" s="33">
        <f t="shared" si="27"/>
        <v>0</v>
      </c>
      <c r="P91" s="33">
        <f t="shared" si="27"/>
        <v>0</v>
      </c>
      <c r="Q91" s="33">
        <f t="shared" si="27"/>
        <v>0</v>
      </c>
      <c r="R91" s="33">
        <f t="shared" si="27"/>
        <v>0</v>
      </c>
      <c r="S91" s="33">
        <f t="shared" si="27"/>
        <v>0</v>
      </c>
      <c r="T91" s="33">
        <f t="shared" si="27"/>
        <v>0</v>
      </c>
      <c r="U91" s="33">
        <f t="shared" si="27"/>
        <v>0</v>
      </c>
      <c r="V91" s="33">
        <f t="shared" si="27"/>
        <v>0</v>
      </c>
      <c r="W91" s="33">
        <f t="shared" si="27"/>
        <v>0</v>
      </c>
      <c r="X91" s="33">
        <f t="shared" si="27"/>
        <v>0</v>
      </c>
    </row>
    <row r="92" spans="2:25">
      <c r="B92" s="39" t="s">
        <v>590</v>
      </c>
      <c r="C92" s="40"/>
      <c r="D92" s="40"/>
      <c r="E92" s="40"/>
      <c r="F92" s="40"/>
      <c r="G92" s="478">
        <f>'Sprawozdania finansowe'!C141</f>
        <v>0</v>
      </c>
      <c r="H92" s="478">
        <f>'Sprawozdania finansowe'!D141</f>
        <v>0</v>
      </c>
      <c r="I92" s="478">
        <f>'Sprawozdania finansowe'!E141</f>
        <v>0</v>
      </c>
      <c r="J92" s="478">
        <f>IF(Rok_n="",0,'Sprawozdania finansowe'!F141)</f>
        <v>0</v>
      </c>
      <c r="K92" s="478">
        <f>'Rozliczenie dotacji'!K22</f>
        <v>0</v>
      </c>
      <c r="L92" s="478">
        <f>'Rozliczenie dotacji'!L22</f>
        <v>0</v>
      </c>
      <c r="M92" s="478">
        <f>'Rozliczenie dotacji'!M22</f>
        <v>0</v>
      </c>
      <c r="N92" s="478">
        <f>'Rozliczenie dotacji'!N22</f>
        <v>0</v>
      </c>
      <c r="O92" s="478">
        <f>'Rozliczenie dotacji'!O22</f>
        <v>0</v>
      </c>
      <c r="P92" s="478">
        <f>'Rozliczenie dotacji'!P22</f>
        <v>0</v>
      </c>
      <c r="Q92" s="478">
        <f>'Rozliczenie dotacji'!Q22</f>
        <v>0</v>
      </c>
      <c r="R92" s="478">
        <f>'Rozliczenie dotacji'!R22</f>
        <v>0</v>
      </c>
      <c r="S92" s="478">
        <f>'Rozliczenie dotacji'!S22</f>
        <v>0</v>
      </c>
      <c r="T92" s="478">
        <f>'Rozliczenie dotacji'!T22</f>
        <v>0</v>
      </c>
      <c r="U92" s="478">
        <f>'Rozliczenie dotacji'!U22</f>
        <v>0</v>
      </c>
      <c r="V92" s="478">
        <f>'Rozliczenie dotacji'!V22</f>
        <v>0</v>
      </c>
      <c r="W92" s="478">
        <f>'Rozliczenie dotacji'!W22</f>
        <v>0</v>
      </c>
      <c r="X92" s="478">
        <f>'Rozliczenie dotacji'!X22</f>
        <v>0</v>
      </c>
    </row>
    <row r="93" spans="2:25">
      <c r="B93" s="39" t="s">
        <v>583</v>
      </c>
      <c r="C93" s="40"/>
      <c r="D93" s="40"/>
      <c r="E93" s="40"/>
      <c r="F93" s="40"/>
      <c r="G93" s="479">
        <f>'Sprawozdania finansowe'!C140</f>
        <v>0</v>
      </c>
      <c r="H93" s="479">
        <f>'Sprawozdania finansowe'!D140</f>
        <v>0</v>
      </c>
      <c r="I93" s="479">
        <f>'Sprawozdania finansowe'!E140</f>
        <v>0</v>
      </c>
      <c r="J93" s="479">
        <f>IF(Rok_n="",0,'Sprawozdania finansowe'!F140)</f>
        <v>0</v>
      </c>
      <c r="K93" s="511"/>
      <c r="L93" s="511"/>
      <c r="M93" s="511"/>
      <c r="N93" s="511"/>
      <c r="O93" s="511"/>
      <c r="P93" s="511"/>
      <c r="Q93" s="511"/>
      <c r="R93" s="511"/>
      <c r="S93" s="511"/>
      <c r="T93" s="511"/>
      <c r="U93" s="511"/>
      <c r="V93" s="511"/>
      <c r="W93" s="511"/>
      <c r="X93" s="511"/>
    </row>
    <row r="94" spans="2:25">
      <c r="B94" s="99" t="s">
        <v>218</v>
      </c>
      <c r="C94" s="97"/>
      <c r="D94" s="97"/>
      <c r="E94" s="97"/>
      <c r="F94" s="97"/>
      <c r="G94" s="98">
        <f>ROUND(G82+G76,0)</f>
        <v>0</v>
      </c>
      <c r="H94" s="98">
        <f t="shared" ref="H94:X94" si="28">ROUND(H82+H76,0)</f>
        <v>0</v>
      </c>
      <c r="I94" s="98">
        <f t="shared" si="28"/>
        <v>0</v>
      </c>
      <c r="J94" s="98">
        <f t="shared" si="28"/>
        <v>0</v>
      </c>
      <c r="K94" s="98">
        <f t="shared" ca="1" si="28"/>
        <v>0</v>
      </c>
      <c r="L94" s="98">
        <f t="shared" ca="1" si="28"/>
        <v>0</v>
      </c>
      <c r="M94" s="98">
        <f t="shared" ca="1" si="28"/>
        <v>0</v>
      </c>
      <c r="N94" s="98">
        <f t="shared" ca="1" si="28"/>
        <v>0</v>
      </c>
      <c r="O94" s="98">
        <f t="shared" ca="1" si="28"/>
        <v>0</v>
      </c>
      <c r="P94" s="98">
        <f t="shared" ca="1" si="28"/>
        <v>0</v>
      </c>
      <c r="Q94" s="98">
        <f t="shared" ca="1" si="28"/>
        <v>0</v>
      </c>
      <c r="R94" s="98">
        <f t="shared" ca="1" si="28"/>
        <v>0</v>
      </c>
      <c r="S94" s="98">
        <f t="shared" ca="1" si="28"/>
        <v>0</v>
      </c>
      <c r="T94" s="98">
        <f t="shared" ca="1" si="28"/>
        <v>0</v>
      </c>
      <c r="U94" s="98">
        <f t="shared" ca="1" si="28"/>
        <v>0</v>
      </c>
      <c r="V94" s="98">
        <f t="shared" ca="1" si="28"/>
        <v>0</v>
      </c>
      <c r="W94" s="98">
        <f t="shared" ca="1" si="28"/>
        <v>0</v>
      </c>
      <c r="X94" s="98">
        <f t="shared" ca="1" si="28"/>
        <v>0</v>
      </c>
    </row>
    <row r="95" spans="2:25">
      <c r="B95" s="109" t="s">
        <v>591</v>
      </c>
      <c r="C95" s="109"/>
      <c r="D95" s="109"/>
      <c r="E95" s="109"/>
      <c r="F95" s="109"/>
      <c r="G95" s="109" t="b">
        <f t="shared" ref="G95:X95" si="29">G94=G73</f>
        <v>1</v>
      </c>
      <c r="H95" s="109" t="b">
        <f t="shared" si="29"/>
        <v>1</v>
      </c>
      <c r="I95" s="109" t="b">
        <f t="shared" si="29"/>
        <v>1</v>
      </c>
      <c r="J95" s="109" t="b">
        <f t="shared" si="29"/>
        <v>1</v>
      </c>
      <c r="K95" s="109" t="b">
        <f t="shared" ca="1" si="29"/>
        <v>1</v>
      </c>
      <c r="L95" s="109" t="b">
        <f t="shared" ca="1" si="29"/>
        <v>1</v>
      </c>
      <c r="M95" s="109" t="b">
        <f t="shared" ca="1" si="29"/>
        <v>1</v>
      </c>
      <c r="N95" s="109" t="b">
        <f t="shared" ca="1" si="29"/>
        <v>1</v>
      </c>
      <c r="O95" s="109" t="b">
        <f t="shared" ca="1" si="29"/>
        <v>1</v>
      </c>
      <c r="P95" s="109" t="b">
        <f t="shared" ca="1" si="29"/>
        <v>1</v>
      </c>
      <c r="Q95" s="109" t="b">
        <f t="shared" ca="1" si="29"/>
        <v>1</v>
      </c>
      <c r="R95" s="109" t="b">
        <f t="shared" ca="1" si="29"/>
        <v>1</v>
      </c>
      <c r="S95" s="109" t="b">
        <f t="shared" ca="1" si="29"/>
        <v>1</v>
      </c>
      <c r="T95" s="109" t="b">
        <f t="shared" ca="1" si="29"/>
        <v>1</v>
      </c>
      <c r="U95" s="109" t="b">
        <f t="shared" ca="1" si="29"/>
        <v>1</v>
      </c>
      <c r="V95" s="109" t="b">
        <f t="shared" ca="1" si="29"/>
        <v>1</v>
      </c>
      <c r="W95" s="109" t="b">
        <f t="shared" ca="1" si="29"/>
        <v>1</v>
      </c>
      <c r="X95" s="109" t="b">
        <f t="shared" ca="1" si="29"/>
        <v>1</v>
      </c>
      <c r="Y95" s="42"/>
    </row>
    <row r="96" spans="2:25">
      <c r="B96" s="53"/>
      <c r="C96" s="53"/>
      <c r="D96" s="53"/>
      <c r="E96" s="53"/>
      <c r="F96" s="53"/>
      <c r="G96" s="110">
        <f>G73-G94</f>
        <v>0</v>
      </c>
      <c r="H96" s="110">
        <f>H73-H94</f>
        <v>0</v>
      </c>
      <c r="I96" s="110">
        <f>I73-I94</f>
        <v>0</v>
      </c>
      <c r="J96" s="110">
        <f>J73-J94</f>
        <v>0</v>
      </c>
      <c r="K96" s="110">
        <f t="shared" ref="K96:X96" ca="1" si="30">K73-K94</f>
        <v>0</v>
      </c>
      <c r="L96" s="110">
        <f t="shared" ca="1" si="30"/>
        <v>0</v>
      </c>
      <c r="M96" s="110">
        <f t="shared" ca="1" si="30"/>
        <v>0</v>
      </c>
      <c r="N96" s="110">
        <f t="shared" ca="1" si="30"/>
        <v>0</v>
      </c>
      <c r="O96" s="110">
        <f t="shared" ca="1" si="30"/>
        <v>0</v>
      </c>
      <c r="P96" s="110">
        <f t="shared" ca="1" si="30"/>
        <v>0</v>
      </c>
      <c r="Q96" s="110">
        <f t="shared" ca="1" si="30"/>
        <v>0</v>
      </c>
      <c r="R96" s="110">
        <f t="shared" ca="1" si="30"/>
        <v>0</v>
      </c>
      <c r="S96" s="110">
        <f t="shared" ca="1" si="30"/>
        <v>0</v>
      </c>
      <c r="T96" s="110">
        <f t="shared" ca="1" si="30"/>
        <v>0</v>
      </c>
      <c r="U96" s="110">
        <f t="shared" ca="1" si="30"/>
        <v>0</v>
      </c>
      <c r="V96" s="110">
        <f t="shared" ca="1" si="30"/>
        <v>0</v>
      </c>
      <c r="W96" s="110">
        <f t="shared" ca="1" si="30"/>
        <v>0</v>
      </c>
      <c r="X96" s="110">
        <f t="shared" ca="1" si="30"/>
        <v>0</v>
      </c>
    </row>
    <row r="97" spans="2:24">
      <c r="L97" s="5"/>
    </row>
    <row r="98" spans="2:24" ht="14.4">
      <c r="B98" s="150" t="s">
        <v>592</v>
      </c>
      <c r="G98" s="215">
        <f t="shared" ref="G98:X98" ca="1" si="31">LataProjekcji</f>
        <v>0</v>
      </c>
      <c r="H98" s="215">
        <f t="shared" ca="1" si="31"/>
        <v>0</v>
      </c>
      <c r="I98" s="215">
        <f t="shared" ca="1" si="31"/>
        <v>0</v>
      </c>
      <c r="J98" s="216" t="str">
        <f t="shared" si="31"/>
        <v/>
      </c>
      <c r="K98" s="215" t="str">
        <f t="shared" si="31"/>
        <v>Uzupełnij dane</v>
      </c>
      <c r="L98" s="215" t="str">
        <f t="shared" si="31"/>
        <v/>
      </c>
      <c r="M98" s="215" t="str">
        <f t="shared" si="31"/>
        <v/>
      </c>
      <c r="N98" s="215" t="str">
        <f t="shared" si="31"/>
        <v/>
      </c>
      <c r="O98" s="215" t="str">
        <f t="shared" si="31"/>
        <v/>
      </c>
      <c r="P98" s="215" t="str">
        <f t="shared" si="31"/>
        <v/>
      </c>
      <c r="Q98" s="215" t="str">
        <f t="shared" si="31"/>
        <v/>
      </c>
      <c r="R98" s="215" t="str">
        <f t="shared" si="31"/>
        <v/>
      </c>
      <c r="S98" s="215" t="str">
        <f t="shared" si="31"/>
        <v/>
      </c>
      <c r="T98" s="215" t="str">
        <f t="shared" si="31"/>
        <v/>
      </c>
      <c r="U98" s="215" t="str">
        <f t="shared" si="31"/>
        <v/>
      </c>
      <c r="V98" s="215" t="str">
        <f t="shared" si="31"/>
        <v/>
      </c>
      <c r="W98" s="215" t="str">
        <f t="shared" si="31"/>
        <v/>
      </c>
      <c r="X98" s="215" t="str">
        <f t="shared" si="31"/>
        <v/>
      </c>
    </row>
    <row r="99" spans="2:24">
      <c r="B99" s="96" t="s">
        <v>593</v>
      </c>
      <c r="C99" s="97"/>
      <c r="D99" s="97"/>
      <c r="E99" s="97"/>
      <c r="F99" s="97"/>
      <c r="G99" s="98">
        <f>ROUND(SUM(G100:G106),0)</f>
        <v>0</v>
      </c>
      <c r="H99" s="98">
        <f>ROUND(SUM(H100:H106),0)</f>
        <v>0</v>
      </c>
      <c r="I99" s="98">
        <f>ROUND(SUM(I100:I106),0)</f>
        <v>0</v>
      </c>
      <c r="J99" s="98">
        <f>ROUND(SUM(J100:J106),0)</f>
        <v>0</v>
      </c>
      <c r="K99" s="98">
        <f ca="1">ROUND(SUM(K100:K106),0)</f>
        <v>0</v>
      </c>
      <c r="L99" s="98">
        <f t="shared" ref="L99:X99" ca="1" si="32">ROUND(SUM(L100:L106),0)</f>
        <v>0</v>
      </c>
      <c r="M99" s="98">
        <f t="shared" ca="1" si="32"/>
        <v>0</v>
      </c>
      <c r="N99" s="98">
        <f t="shared" ca="1" si="32"/>
        <v>0</v>
      </c>
      <c r="O99" s="98">
        <f t="shared" ca="1" si="32"/>
        <v>0</v>
      </c>
      <c r="P99" s="98">
        <f t="shared" ca="1" si="32"/>
        <v>0</v>
      </c>
      <c r="Q99" s="98">
        <f t="shared" ca="1" si="32"/>
        <v>0</v>
      </c>
      <c r="R99" s="98">
        <f t="shared" ca="1" si="32"/>
        <v>0</v>
      </c>
      <c r="S99" s="98">
        <f t="shared" ca="1" si="32"/>
        <v>0</v>
      </c>
      <c r="T99" s="98">
        <f t="shared" ca="1" si="32"/>
        <v>0</v>
      </c>
      <c r="U99" s="98">
        <f t="shared" ca="1" si="32"/>
        <v>0</v>
      </c>
      <c r="V99" s="98">
        <f t="shared" ca="1" si="32"/>
        <v>0</v>
      </c>
      <c r="W99" s="98">
        <f t="shared" ca="1" si="32"/>
        <v>0</v>
      </c>
      <c r="X99" s="98">
        <f t="shared" ca="1" si="32"/>
        <v>0</v>
      </c>
    </row>
    <row r="100" spans="2:24">
      <c r="B100" s="94" t="s">
        <v>594</v>
      </c>
      <c r="C100" s="19"/>
      <c r="D100" s="19"/>
      <c r="E100" s="19"/>
      <c r="F100" s="19"/>
      <c r="G100" s="95">
        <f t="shared" ref="G100:X100" si="33">G42</f>
        <v>0</v>
      </c>
      <c r="H100" s="95">
        <f t="shared" si="33"/>
        <v>0</v>
      </c>
      <c r="I100" s="95">
        <f t="shared" si="33"/>
        <v>0</v>
      </c>
      <c r="J100" s="95">
        <f>IF(Rok_n="",0,J42)</f>
        <v>0</v>
      </c>
      <c r="K100" s="95">
        <f t="shared" ca="1" si="33"/>
        <v>0</v>
      </c>
      <c r="L100" s="95">
        <f t="shared" ca="1" si="33"/>
        <v>0</v>
      </c>
      <c r="M100" s="95">
        <f t="shared" ca="1" si="33"/>
        <v>0</v>
      </c>
      <c r="N100" s="95">
        <f t="shared" ca="1" si="33"/>
        <v>0</v>
      </c>
      <c r="O100" s="95">
        <f t="shared" ca="1" si="33"/>
        <v>0</v>
      </c>
      <c r="P100" s="95">
        <f t="shared" ca="1" si="33"/>
        <v>0</v>
      </c>
      <c r="Q100" s="95">
        <f t="shared" ca="1" si="33"/>
        <v>0</v>
      </c>
      <c r="R100" s="95">
        <f t="shared" ca="1" si="33"/>
        <v>0</v>
      </c>
      <c r="S100" s="95">
        <f t="shared" ca="1" si="33"/>
        <v>0</v>
      </c>
      <c r="T100" s="95">
        <f t="shared" ca="1" si="33"/>
        <v>0</v>
      </c>
      <c r="U100" s="95">
        <f t="shared" ca="1" si="33"/>
        <v>0</v>
      </c>
      <c r="V100" s="95">
        <f t="shared" ca="1" si="33"/>
        <v>0</v>
      </c>
      <c r="W100" s="95">
        <f t="shared" ca="1" si="33"/>
        <v>0</v>
      </c>
      <c r="X100" s="95">
        <f t="shared" ca="1" si="33"/>
        <v>0</v>
      </c>
    </row>
    <row r="101" spans="2:24">
      <c r="B101" s="37" t="s">
        <v>595</v>
      </c>
      <c r="C101" s="52"/>
      <c r="D101" s="52"/>
      <c r="E101" s="52"/>
      <c r="F101" s="52"/>
      <c r="G101" s="33">
        <f t="shared" ref="G101:X101" si="34">G21</f>
        <v>0</v>
      </c>
      <c r="H101" s="33">
        <f t="shared" si="34"/>
        <v>0</v>
      </c>
      <c r="I101" s="33">
        <f t="shared" si="34"/>
        <v>0</v>
      </c>
      <c r="J101" s="33">
        <f>IF(Rok_n="",0,J21)</f>
        <v>0</v>
      </c>
      <c r="K101" s="33">
        <f t="shared" ca="1" si="34"/>
        <v>0</v>
      </c>
      <c r="L101" s="33">
        <f t="shared" ca="1" si="34"/>
        <v>0</v>
      </c>
      <c r="M101" s="33">
        <f t="shared" ca="1" si="34"/>
        <v>0</v>
      </c>
      <c r="N101" s="33">
        <f t="shared" ca="1" si="34"/>
        <v>0</v>
      </c>
      <c r="O101" s="33">
        <f t="shared" ca="1" si="34"/>
        <v>0</v>
      </c>
      <c r="P101" s="33">
        <f t="shared" ca="1" si="34"/>
        <v>0</v>
      </c>
      <c r="Q101" s="33">
        <f t="shared" ca="1" si="34"/>
        <v>0</v>
      </c>
      <c r="R101" s="33">
        <f t="shared" ca="1" si="34"/>
        <v>0</v>
      </c>
      <c r="S101" s="33">
        <f t="shared" ca="1" si="34"/>
        <v>0</v>
      </c>
      <c r="T101" s="33">
        <f t="shared" ca="1" si="34"/>
        <v>0</v>
      </c>
      <c r="U101" s="33">
        <f t="shared" ca="1" si="34"/>
        <v>0</v>
      </c>
      <c r="V101" s="33">
        <f t="shared" ca="1" si="34"/>
        <v>0</v>
      </c>
      <c r="W101" s="33">
        <f t="shared" ca="1" si="34"/>
        <v>0</v>
      </c>
      <c r="X101" s="33">
        <f t="shared" ca="1" si="34"/>
        <v>0</v>
      </c>
    </row>
    <row r="102" spans="2:24">
      <c r="B102" s="37" t="s">
        <v>596</v>
      </c>
      <c r="C102" s="52"/>
      <c r="D102" s="52"/>
      <c r="E102" s="52"/>
      <c r="F102" s="52"/>
      <c r="G102" s="33">
        <f>E66-G66</f>
        <v>0</v>
      </c>
      <c r="H102" s="33">
        <f t="shared" ref="H102:X102" si="35">G66-H66</f>
        <v>0</v>
      </c>
      <c r="I102" s="33">
        <f t="shared" si="35"/>
        <v>0</v>
      </c>
      <c r="J102" s="33">
        <f>IF(Rok_n="",0,I66-J66)</f>
        <v>0</v>
      </c>
      <c r="K102" s="33">
        <f ca="1">IF(Założenia!$J$32=12,J66-K66,I66-K66)</f>
        <v>0</v>
      </c>
      <c r="L102" s="33">
        <f t="shared" ca="1" si="35"/>
        <v>0</v>
      </c>
      <c r="M102" s="33">
        <f t="shared" ca="1" si="35"/>
        <v>0</v>
      </c>
      <c r="N102" s="33">
        <f t="shared" ca="1" si="35"/>
        <v>0</v>
      </c>
      <c r="O102" s="33">
        <f t="shared" ca="1" si="35"/>
        <v>0</v>
      </c>
      <c r="P102" s="33">
        <f t="shared" ca="1" si="35"/>
        <v>0</v>
      </c>
      <c r="Q102" s="33">
        <f t="shared" ca="1" si="35"/>
        <v>0</v>
      </c>
      <c r="R102" s="33">
        <f t="shared" ca="1" si="35"/>
        <v>0</v>
      </c>
      <c r="S102" s="33">
        <f t="shared" ca="1" si="35"/>
        <v>0</v>
      </c>
      <c r="T102" s="33">
        <f t="shared" ca="1" si="35"/>
        <v>0</v>
      </c>
      <c r="U102" s="33">
        <f t="shared" ca="1" si="35"/>
        <v>0</v>
      </c>
      <c r="V102" s="33">
        <f t="shared" ca="1" si="35"/>
        <v>0</v>
      </c>
      <c r="W102" s="33">
        <f t="shared" ca="1" si="35"/>
        <v>0</v>
      </c>
      <c r="X102" s="33">
        <f t="shared" ca="1" si="35"/>
        <v>0</v>
      </c>
    </row>
    <row r="103" spans="2:24">
      <c r="B103" s="37" t="s">
        <v>597</v>
      </c>
      <c r="C103" s="52"/>
      <c r="D103" s="52"/>
      <c r="E103" s="52"/>
      <c r="F103" s="52"/>
      <c r="G103" s="33">
        <f>E67-G67</f>
        <v>0</v>
      </c>
      <c r="H103" s="33">
        <f t="shared" ref="H103:X103" si="36">G67-H67</f>
        <v>0</v>
      </c>
      <c r="I103" s="33">
        <f t="shared" si="36"/>
        <v>0</v>
      </c>
      <c r="J103" s="33">
        <f>IF(Rok_n="",0,I67-J67)</f>
        <v>0</v>
      </c>
      <c r="K103" s="33">
        <f ca="1">IF(Założenia!$J$32=12,J67-K67,I67-K67)</f>
        <v>0</v>
      </c>
      <c r="L103" s="33">
        <f t="shared" ca="1" si="36"/>
        <v>0</v>
      </c>
      <c r="M103" s="33">
        <f t="shared" ca="1" si="36"/>
        <v>0</v>
      </c>
      <c r="N103" s="33">
        <f t="shared" ca="1" si="36"/>
        <v>0</v>
      </c>
      <c r="O103" s="33">
        <f t="shared" ca="1" si="36"/>
        <v>0</v>
      </c>
      <c r="P103" s="33">
        <f t="shared" ca="1" si="36"/>
        <v>0</v>
      </c>
      <c r="Q103" s="33">
        <f t="shared" ca="1" si="36"/>
        <v>0</v>
      </c>
      <c r="R103" s="33">
        <f t="shared" ca="1" si="36"/>
        <v>0</v>
      </c>
      <c r="S103" s="33">
        <f t="shared" ca="1" si="36"/>
        <v>0</v>
      </c>
      <c r="T103" s="33">
        <f t="shared" ca="1" si="36"/>
        <v>0</v>
      </c>
      <c r="U103" s="33">
        <f t="shared" ca="1" si="36"/>
        <v>0</v>
      </c>
      <c r="V103" s="33">
        <f t="shared" ca="1" si="36"/>
        <v>0</v>
      </c>
      <c r="W103" s="33">
        <f t="shared" ca="1" si="36"/>
        <v>0</v>
      </c>
      <c r="X103" s="33">
        <f t="shared" ca="1" si="36"/>
        <v>0</v>
      </c>
    </row>
    <row r="104" spans="2:24">
      <c r="B104" s="37" t="s">
        <v>598</v>
      </c>
      <c r="C104" s="52"/>
      <c r="D104" s="52"/>
      <c r="E104" s="52"/>
      <c r="F104" s="52"/>
      <c r="G104" s="33">
        <f>(G87-E87)-(G89-E89)</f>
        <v>0</v>
      </c>
      <c r="H104" s="33">
        <f>(H87-G87)-(H89-G89)</f>
        <v>0</v>
      </c>
      <c r="I104" s="33">
        <f>(I87-H87)-(I89-H89)</f>
        <v>0</v>
      </c>
      <c r="J104" s="33">
        <f>IF(Rok_n="",0,(J87-I87)-(J89-I89))</f>
        <v>0</v>
      </c>
      <c r="K104" s="33">
        <f ca="1">IF(Założenia!$J$32=12,(K87-J87)-(K89-J89),(K87-I87)-(K89-I89))</f>
        <v>0</v>
      </c>
      <c r="L104" s="33">
        <f ca="1">(L87-K87)-(L89-K89)</f>
        <v>0</v>
      </c>
      <c r="M104" s="33">
        <f t="shared" ref="M104:X104" ca="1" si="37">(M87-L87)-(M89-L89)</f>
        <v>0</v>
      </c>
      <c r="N104" s="33">
        <f t="shared" ca="1" si="37"/>
        <v>0</v>
      </c>
      <c r="O104" s="33">
        <f t="shared" ca="1" si="37"/>
        <v>0</v>
      </c>
      <c r="P104" s="33">
        <f t="shared" ca="1" si="37"/>
        <v>0</v>
      </c>
      <c r="Q104" s="33">
        <f t="shared" ca="1" si="37"/>
        <v>0</v>
      </c>
      <c r="R104" s="33">
        <f t="shared" ca="1" si="37"/>
        <v>0</v>
      </c>
      <c r="S104" s="33">
        <f t="shared" ca="1" si="37"/>
        <v>0</v>
      </c>
      <c r="T104" s="33">
        <f t="shared" ca="1" si="37"/>
        <v>0</v>
      </c>
      <c r="U104" s="33">
        <f t="shared" ca="1" si="37"/>
        <v>0</v>
      </c>
      <c r="V104" s="33">
        <f t="shared" ca="1" si="37"/>
        <v>0</v>
      </c>
      <c r="W104" s="33">
        <f t="shared" ca="1" si="37"/>
        <v>0</v>
      </c>
      <c r="X104" s="33">
        <f t="shared" ca="1" si="37"/>
        <v>0</v>
      </c>
    </row>
    <row r="105" spans="2:24">
      <c r="B105" s="37" t="s">
        <v>599</v>
      </c>
      <c r="C105" s="52"/>
      <c r="D105" s="52"/>
      <c r="E105" s="52"/>
      <c r="F105" s="52"/>
      <c r="G105" s="33">
        <f>(E64-G64)+(E72-G72)+(G91-E91)-G117</f>
        <v>0</v>
      </c>
      <c r="H105" s="33">
        <f>(G64-H64)+(G72-H72)+(H91-G91)-H117</f>
        <v>0</v>
      </c>
      <c r="I105" s="33">
        <f>(H64-I64)+(H72-I72)+(I91-H91)-I117</f>
        <v>0</v>
      </c>
      <c r="J105" s="33">
        <f>IF(Rok_n="",0,(I64-J64)+(I72-J72)+(J91-I91)-J117)</f>
        <v>0</v>
      </c>
      <c r="K105" s="33">
        <f>IF(Założenia!$J$32=12,(J64-K64)+(J72-K72)+(K91-J91)-K117,(I64-K64)+(I72-K72)+(K91-I91)-K117)</f>
        <v>0</v>
      </c>
      <c r="L105" s="33">
        <f t="shared" ref="L105:X105" si="38">(K64-L64)+(K72-L72)+(L91-K91)-L117</f>
        <v>0</v>
      </c>
      <c r="M105" s="33">
        <f t="shared" si="38"/>
        <v>0</v>
      </c>
      <c r="N105" s="33">
        <f t="shared" si="38"/>
        <v>0</v>
      </c>
      <c r="O105" s="33">
        <f t="shared" si="38"/>
        <v>0</v>
      </c>
      <c r="P105" s="33">
        <f t="shared" si="38"/>
        <v>0</v>
      </c>
      <c r="Q105" s="33">
        <f t="shared" si="38"/>
        <v>0</v>
      </c>
      <c r="R105" s="33">
        <f t="shared" si="38"/>
        <v>0</v>
      </c>
      <c r="S105" s="33">
        <f t="shared" si="38"/>
        <v>0</v>
      </c>
      <c r="T105" s="33">
        <f t="shared" si="38"/>
        <v>0</v>
      </c>
      <c r="U105" s="33">
        <f t="shared" si="38"/>
        <v>0</v>
      </c>
      <c r="V105" s="33">
        <f t="shared" si="38"/>
        <v>0</v>
      </c>
      <c r="W105" s="33">
        <f t="shared" si="38"/>
        <v>0</v>
      </c>
      <c r="X105" s="33">
        <f t="shared" si="38"/>
        <v>0</v>
      </c>
    </row>
    <row r="106" spans="2:24">
      <c r="B106" s="37" t="s">
        <v>600</v>
      </c>
      <c r="C106" s="52"/>
      <c r="D106" s="52"/>
      <c r="E106" s="52"/>
      <c r="F106" s="52"/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</row>
    <row r="107" spans="2:24"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>
      <c r="B108" s="96" t="s">
        <v>601</v>
      </c>
      <c r="C108" s="97"/>
      <c r="D108" s="97"/>
      <c r="E108" s="97"/>
      <c r="F108" s="97"/>
      <c r="G108" s="98">
        <f>ROUND(SUM(G109:G110),0)</f>
        <v>0</v>
      </c>
      <c r="H108" s="98">
        <f>ROUND(SUM(H109:H110),0)</f>
        <v>0</v>
      </c>
      <c r="I108" s="98">
        <f>ROUND(SUM(I109:I110),0)</f>
        <v>0</v>
      </c>
      <c r="J108" s="98">
        <f>ROUND(SUM(J109:J110),0)</f>
        <v>0</v>
      </c>
      <c r="K108" s="98">
        <f ca="1">ROUND(SUM(K109:K110),0)</f>
        <v>0</v>
      </c>
      <c r="L108" s="98">
        <f t="shared" ref="L108:X108" ca="1" si="39">ROUND(SUM(L109:L110),0)</f>
        <v>0</v>
      </c>
      <c r="M108" s="98">
        <f t="shared" ca="1" si="39"/>
        <v>0</v>
      </c>
      <c r="N108" s="98">
        <f t="shared" ca="1" si="39"/>
        <v>0</v>
      </c>
      <c r="O108" s="98">
        <f t="shared" ca="1" si="39"/>
        <v>0</v>
      </c>
      <c r="P108" s="98">
        <f t="shared" ca="1" si="39"/>
        <v>0</v>
      </c>
      <c r="Q108" s="98">
        <f t="shared" ca="1" si="39"/>
        <v>0</v>
      </c>
      <c r="R108" s="98">
        <f t="shared" ca="1" si="39"/>
        <v>0</v>
      </c>
      <c r="S108" s="98">
        <f t="shared" ca="1" si="39"/>
        <v>0</v>
      </c>
      <c r="T108" s="98">
        <f t="shared" ca="1" si="39"/>
        <v>0</v>
      </c>
      <c r="U108" s="98">
        <f t="shared" ca="1" si="39"/>
        <v>0</v>
      </c>
      <c r="V108" s="98">
        <f t="shared" ca="1" si="39"/>
        <v>0</v>
      </c>
      <c r="W108" s="98">
        <f t="shared" ca="1" si="39"/>
        <v>0</v>
      </c>
      <c r="X108" s="98">
        <f t="shared" ca="1" si="39"/>
        <v>0</v>
      </c>
    </row>
    <row r="109" spans="2:24">
      <c r="B109" s="94" t="s">
        <v>602</v>
      </c>
      <c r="C109" s="19"/>
      <c r="D109" s="19"/>
      <c r="E109" s="19"/>
      <c r="F109" s="19"/>
      <c r="G109" s="95">
        <f>(E48+E53)-(G48+G53)-G21</f>
        <v>0</v>
      </c>
      <c r="H109" s="95">
        <f>(G48+G53)-(H48+H53)-H21</f>
        <v>0</v>
      </c>
      <c r="I109" s="95">
        <f>(H48+H53)-(I48+I53)-I21</f>
        <v>0</v>
      </c>
      <c r="J109" s="95">
        <f>IF(Rok_n="",0,(I48+I53)-(J48+J53)-J21)</f>
        <v>0</v>
      </c>
      <c r="K109" s="95">
        <f ca="1">IF(Założenia!$J$32=12,(J48+J53)-(K48+K53)-K21,(I48+I53)-(K48+K53)-K21)</f>
        <v>0</v>
      </c>
      <c r="L109" s="95">
        <f ca="1">(K48+K53)-(L48+L53)-L21</f>
        <v>0</v>
      </c>
      <c r="M109" s="95">
        <f t="shared" ref="M109:X109" ca="1" si="40">(L48+L53)-(M48+M53)-M21</f>
        <v>0</v>
      </c>
      <c r="N109" s="95">
        <f t="shared" ca="1" si="40"/>
        <v>0</v>
      </c>
      <c r="O109" s="95">
        <f t="shared" ca="1" si="40"/>
        <v>0</v>
      </c>
      <c r="P109" s="95">
        <f t="shared" ca="1" si="40"/>
        <v>0</v>
      </c>
      <c r="Q109" s="95">
        <f t="shared" ca="1" si="40"/>
        <v>0</v>
      </c>
      <c r="R109" s="95">
        <f t="shared" ca="1" si="40"/>
        <v>0</v>
      </c>
      <c r="S109" s="95">
        <f t="shared" ca="1" si="40"/>
        <v>0</v>
      </c>
      <c r="T109" s="95">
        <f t="shared" ca="1" si="40"/>
        <v>0</v>
      </c>
      <c r="U109" s="95">
        <f t="shared" ca="1" si="40"/>
        <v>0</v>
      </c>
      <c r="V109" s="95">
        <f t="shared" ca="1" si="40"/>
        <v>0</v>
      </c>
      <c r="W109" s="95">
        <f t="shared" ca="1" si="40"/>
        <v>0</v>
      </c>
      <c r="X109" s="95">
        <f t="shared" ca="1" si="40"/>
        <v>0</v>
      </c>
    </row>
    <row r="110" spans="2:24">
      <c r="B110" s="37" t="s">
        <v>603</v>
      </c>
      <c r="C110" s="52"/>
      <c r="D110" s="52"/>
      <c r="E110" s="52"/>
      <c r="F110" s="52"/>
      <c r="G110" s="33">
        <f>(E62+E63)-(G62+G63)</f>
        <v>0</v>
      </c>
      <c r="H110" s="33">
        <f>(G62+G63)-(H62+H63)</f>
        <v>0</v>
      </c>
      <c r="I110" s="33">
        <f>(H62+H63)-(I62+I63)</f>
        <v>0</v>
      </c>
      <c r="J110" s="33">
        <f>IF(Rok_n="",0,(I62+I63)-(J62+J63))</f>
        <v>0</v>
      </c>
      <c r="K110" s="33">
        <f>IF(Założenia!$J$32=12,(J62+J63)-(K62+K63),(I62+I63)-(K62+K63))</f>
        <v>0</v>
      </c>
      <c r="L110" s="33">
        <f>(K62+K63)-(L62+L63)</f>
        <v>0</v>
      </c>
      <c r="M110" s="33">
        <f t="shared" ref="M110:X110" si="41">(L62+L63)-(M62+M63)</f>
        <v>0</v>
      </c>
      <c r="N110" s="33">
        <f t="shared" si="41"/>
        <v>0</v>
      </c>
      <c r="O110" s="33">
        <f t="shared" si="41"/>
        <v>0</v>
      </c>
      <c r="P110" s="33">
        <f t="shared" si="41"/>
        <v>0</v>
      </c>
      <c r="Q110" s="33">
        <f t="shared" si="41"/>
        <v>0</v>
      </c>
      <c r="R110" s="33">
        <f t="shared" si="41"/>
        <v>0</v>
      </c>
      <c r="S110" s="33">
        <f t="shared" si="41"/>
        <v>0</v>
      </c>
      <c r="T110" s="33">
        <f t="shared" si="41"/>
        <v>0</v>
      </c>
      <c r="U110" s="33">
        <f t="shared" si="41"/>
        <v>0</v>
      </c>
      <c r="V110" s="33">
        <f t="shared" si="41"/>
        <v>0</v>
      </c>
      <c r="W110" s="33">
        <f t="shared" si="41"/>
        <v>0</v>
      </c>
      <c r="X110" s="33">
        <f t="shared" si="41"/>
        <v>0</v>
      </c>
    </row>
    <row r="111" spans="2:24"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>
      <c r="B112" s="96" t="s">
        <v>604</v>
      </c>
      <c r="C112" s="97"/>
      <c r="D112" s="97"/>
      <c r="E112" s="97"/>
      <c r="F112" s="97"/>
      <c r="G112" s="98">
        <f>ROUND(G118+G117+G116+G115+G114+G113,0)</f>
        <v>0</v>
      </c>
      <c r="H112" s="98">
        <f>ROUND(H118+H117+H116+H115+H114+H113,0)</f>
        <v>0</v>
      </c>
      <c r="I112" s="98">
        <f>ROUND(I118+I117+I116+I115+I114+I113,0)</f>
        <v>0</v>
      </c>
      <c r="J112" s="98">
        <f>ROUND(J118+J117+J116+J115+J114+J113,0)</f>
        <v>0</v>
      </c>
      <c r="K112" s="98">
        <f>ROUND(K118+K117+K116+K115+K114+K113+K119,0)</f>
        <v>0</v>
      </c>
      <c r="L112" s="98">
        <f t="shared" ref="L112:X112" si="42">ROUND(L118+L117+L116+L115+L114+L113+L119,0)</f>
        <v>0</v>
      </c>
      <c r="M112" s="98">
        <f t="shared" si="42"/>
        <v>0</v>
      </c>
      <c r="N112" s="98">
        <f t="shared" si="42"/>
        <v>0</v>
      </c>
      <c r="O112" s="98">
        <f t="shared" si="42"/>
        <v>0</v>
      </c>
      <c r="P112" s="98">
        <f t="shared" si="42"/>
        <v>0</v>
      </c>
      <c r="Q112" s="98">
        <f t="shared" si="42"/>
        <v>0</v>
      </c>
      <c r="R112" s="98">
        <f t="shared" si="42"/>
        <v>0</v>
      </c>
      <c r="S112" s="98">
        <f t="shared" si="42"/>
        <v>0</v>
      </c>
      <c r="T112" s="98">
        <f t="shared" si="42"/>
        <v>0</v>
      </c>
      <c r="U112" s="98">
        <f t="shared" si="42"/>
        <v>0</v>
      </c>
      <c r="V112" s="98">
        <f t="shared" si="42"/>
        <v>0</v>
      </c>
      <c r="W112" s="98">
        <f t="shared" si="42"/>
        <v>0</v>
      </c>
      <c r="X112" s="98">
        <f t="shared" si="42"/>
        <v>0</v>
      </c>
    </row>
    <row r="113" spans="2:24">
      <c r="B113" s="94" t="s">
        <v>605</v>
      </c>
      <c r="C113" s="19"/>
      <c r="D113" s="19"/>
      <c r="E113" s="19"/>
      <c r="F113" s="19"/>
      <c r="G113" s="95">
        <f>(G89-E89)</f>
        <v>0</v>
      </c>
      <c r="H113" s="95">
        <f>(H89-G89)</f>
        <v>0</v>
      </c>
      <c r="I113" s="95">
        <f>(I89-H89)</f>
        <v>0</v>
      </c>
      <c r="J113" s="95">
        <f>IF(Rok_n="",0,(J89-I89))</f>
        <v>0</v>
      </c>
      <c r="K113" s="95">
        <f>IF(Założenia!$J$32=12,(K89-J89),(K89-I89))</f>
        <v>0</v>
      </c>
      <c r="L113" s="95">
        <f>(L89-K89)</f>
        <v>0</v>
      </c>
      <c r="M113" s="95">
        <f t="shared" ref="M113:X113" si="43">(M89-L89)</f>
        <v>0</v>
      </c>
      <c r="N113" s="95">
        <f t="shared" si="43"/>
        <v>0</v>
      </c>
      <c r="O113" s="95">
        <f t="shared" si="43"/>
        <v>0</v>
      </c>
      <c r="P113" s="95">
        <f t="shared" si="43"/>
        <v>0</v>
      </c>
      <c r="Q113" s="95">
        <f t="shared" si="43"/>
        <v>0</v>
      </c>
      <c r="R113" s="95">
        <f t="shared" si="43"/>
        <v>0</v>
      </c>
      <c r="S113" s="95">
        <f t="shared" si="43"/>
        <v>0</v>
      </c>
      <c r="T113" s="95">
        <f t="shared" si="43"/>
        <v>0</v>
      </c>
      <c r="U113" s="95">
        <f t="shared" si="43"/>
        <v>0</v>
      </c>
      <c r="V113" s="95">
        <f t="shared" si="43"/>
        <v>0</v>
      </c>
      <c r="W113" s="95">
        <f t="shared" si="43"/>
        <v>0</v>
      </c>
      <c r="X113" s="95">
        <f t="shared" si="43"/>
        <v>0</v>
      </c>
    </row>
    <row r="114" spans="2:24">
      <c r="B114" s="37" t="s">
        <v>606</v>
      </c>
      <c r="C114" s="52"/>
      <c r="D114" s="52"/>
      <c r="E114" s="52"/>
      <c r="F114" s="52"/>
      <c r="G114" s="33">
        <f>G85</f>
        <v>0</v>
      </c>
      <c r="H114" s="33">
        <f>H85-G85</f>
        <v>0</v>
      </c>
      <c r="I114" s="33">
        <f>I85-H85</f>
        <v>0</v>
      </c>
      <c r="J114" s="33">
        <f>IF(Rok_n="",0,J85-I85)</f>
        <v>0</v>
      </c>
      <c r="K114" s="95">
        <f>IF(Założenia!$J$32=12,K85-J85,K85-I85)</f>
        <v>0</v>
      </c>
      <c r="L114" s="33">
        <f t="shared" ref="L114:X114" si="44">L85-K85</f>
        <v>0</v>
      </c>
      <c r="M114" s="33">
        <f t="shared" si="44"/>
        <v>0</v>
      </c>
      <c r="N114" s="33">
        <f t="shared" si="44"/>
        <v>0</v>
      </c>
      <c r="O114" s="33">
        <f t="shared" si="44"/>
        <v>0</v>
      </c>
      <c r="P114" s="33">
        <f t="shared" si="44"/>
        <v>0</v>
      </c>
      <c r="Q114" s="33">
        <f t="shared" si="44"/>
        <v>0</v>
      </c>
      <c r="R114" s="33">
        <f t="shared" si="44"/>
        <v>0</v>
      </c>
      <c r="S114" s="33">
        <f t="shared" si="44"/>
        <v>0</v>
      </c>
      <c r="T114" s="33">
        <f t="shared" si="44"/>
        <v>0</v>
      </c>
      <c r="U114" s="33">
        <f t="shared" si="44"/>
        <v>0</v>
      </c>
      <c r="V114" s="33">
        <f t="shared" si="44"/>
        <v>0</v>
      </c>
      <c r="W114" s="33">
        <f t="shared" si="44"/>
        <v>0</v>
      </c>
      <c r="X114" s="33">
        <f t="shared" si="44"/>
        <v>0</v>
      </c>
    </row>
    <row r="115" spans="2:24">
      <c r="B115" s="37" t="s">
        <v>607</v>
      </c>
      <c r="C115" s="52"/>
      <c r="D115" s="52"/>
      <c r="E115" s="52"/>
      <c r="F115" s="52"/>
      <c r="G115" s="33"/>
      <c r="H115" s="33">
        <f>IF((SUM('Sprawozdania finansowe'!D95:D101,'Sprawozdania finansowe'!D103)-SUM('Sprawozdania finansowe'!C95:C103))&lt;0,(SUM('Sprawozdania finansowe'!D95:D101,'Sprawozdania finansowe'!D103)-SUM('Sprawozdania finansowe'!C95:C103)),0)</f>
        <v>0</v>
      </c>
      <c r="I115" s="33">
        <f>IF((SUM('Sprawozdania finansowe'!E95:E101,'Sprawozdania finansowe'!E103)-SUM('Sprawozdania finansowe'!D95:D103))&lt;0,(SUM('Sprawozdania finansowe'!E95:E101,'Sprawozdania finansowe'!E103)-SUM('Sprawozdania finansowe'!D95:D103)),0)</f>
        <v>0</v>
      </c>
      <c r="J115" s="33">
        <f>IF(Rok_n="",0,IF((SUM('Sprawozdania finansowe'!F95:F101,'Sprawozdania finansowe'!F103)-SUM('Sprawozdania finansowe'!E95:E103))&lt;0,(SUM('Sprawozdania finansowe'!F95:F101,'Sprawozdania finansowe'!F103)-SUM('Sprawozdania finansowe'!E95:E103)),0))</f>
        <v>0</v>
      </c>
      <c r="K115" s="264">
        <f>IF(Rok_n="",-Finansowanie!K22,IF(Założenia!J32=12,-Finansowanie!K22,J115-Finansowanie!K22))</f>
        <v>0</v>
      </c>
      <c r="L115" s="33">
        <f>-Finansowanie!L22</f>
        <v>0</v>
      </c>
      <c r="M115" s="33">
        <f>-Finansowanie!M22</f>
        <v>0</v>
      </c>
      <c r="N115" s="33">
        <f>-Finansowanie!N22</f>
        <v>0</v>
      </c>
      <c r="O115" s="33">
        <f>-Finansowanie!O22</f>
        <v>0</v>
      </c>
      <c r="P115" s="33">
        <f>-Finansowanie!P22</f>
        <v>0</v>
      </c>
      <c r="Q115" s="33">
        <f>-Finansowanie!Q22</f>
        <v>0</v>
      </c>
      <c r="R115" s="33">
        <f>-Finansowanie!R22</f>
        <v>0</v>
      </c>
      <c r="S115" s="33">
        <f>-Finansowanie!S22</f>
        <v>0</v>
      </c>
      <c r="T115" s="33">
        <f>-Finansowanie!T22</f>
        <v>0</v>
      </c>
      <c r="U115" s="33">
        <f>-Finansowanie!U22</f>
        <v>0</v>
      </c>
      <c r="V115" s="33">
        <f>-Finansowanie!V22</f>
        <v>0</v>
      </c>
      <c r="W115" s="33">
        <f>-Finansowanie!W22</f>
        <v>0</v>
      </c>
      <c r="X115" s="33">
        <f>-Finansowanie!X22</f>
        <v>0</v>
      </c>
    </row>
    <row r="116" spans="2:24">
      <c r="B116" s="37" t="s">
        <v>608</v>
      </c>
      <c r="C116" s="52"/>
      <c r="D116" s="52"/>
      <c r="E116" s="52"/>
      <c r="F116" s="52"/>
      <c r="G116" s="33">
        <f>IF((SUM('Sprawozdania finansowe'!C95:C101,'Sprawozdania finansowe'!C103)-SUM('Sprawozdania finansowe'!B95:B103))&gt;0,(SUM('Sprawozdania finansowe'!C95:C101,'Sprawozdania finansowe'!C103)-SUM('Sprawozdania finansowe'!B95:B103)),0)</f>
        <v>0</v>
      </c>
      <c r="H116" s="33">
        <f>IF((SUM('Sprawozdania finansowe'!D95:D101,'Sprawozdania finansowe'!D103)-SUM('Sprawozdania finansowe'!C95:C103))&gt;0,(SUM('Sprawozdania finansowe'!D95:D101,'Sprawozdania finansowe'!D103)-SUM('Sprawozdania finansowe'!C95:C103)),0)</f>
        <v>0</v>
      </c>
      <c r="I116" s="33">
        <f>IF((SUM('Sprawozdania finansowe'!E95:E101,'Sprawozdania finansowe'!E103)-SUM('Sprawozdania finansowe'!D95:D103))&gt;0,(SUM('Sprawozdania finansowe'!E95:E101,'Sprawozdania finansowe'!E103)-SUM('Sprawozdania finansowe'!D95:D103)),0)</f>
        <v>0</v>
      </c>
      <c r="J116" s="33">
        <f>IF(Rok_n="",0,IF(Założenia!J32&lt;=12,IF((SUM('Sprawozdania finansowe'!F95:F101,'Sprawozdania finansowe'!F103)-SUM('Sprawozdania finansowe'!E95:E103))&gt;0,(SUM('Sprawozdania finansowe'!F95:F101,'Sprawozdania finansowe'!F103)-SUM('Sprawozdania finansowe'!E95:E103)),0),0))</f>
        <v>0</v>
      </c>
      <c r="K116" s="33">
        <f>IF(Rok_n="",Finansowanie!K16,IF(Założenia!$J$32=12,Finansowanie!K16,J116+Finansowanie!K16))</f>
        <v>0</v>
      </c>
      <c r="L116" s="33">
        <f>Finansowanie!L16</f>
        <v>0</v>
      </c>
      <c r="M116" s="33">
        <f>Finansowanie!M16</f>
        <v>0</v>
      </c>
      <c r="N116" s="33">
        <f>Finansowanie!N16</f>
        <v>0</v>
      </c>
      <c r="O116" s="33">
        <f>Finansowanie!O16</f>
        <v>0</v>
      </c>
      <c r="P116" s="33">
        <f>Finansowanie!P16</f>
        <v>0</v>
      </c>
      <c r="Q116" s="33">
        <f>Finansowanie!Q16</f>
        <v>0</v>
      </c>
      <c r="R116" s="33">
        <f>Finansowanie!R16</f>
        <v>0</v>
      </c>
      <c r="S116" s="33">
        <f>Finansowanie!S16</f>
        <v>0</v>
      </c>
      <c r="T116" s="33">
        <f>Finansowanie!T16</f>
        <v>0</v>
      </c>
      <c r="U116" s="33">
        <f>Finansowanie!U16</f>
        <v>0</v>
      </c>
      <c r="V116" s="33">
        <f>Finansowanie!V16</f>
        <v>0</v>
      </c>
      <c r="W116" s="33">
        <f>Finansowanie!W16</f>
        <v>0</v>
      </c>
      <c r="X116" s="33">
        <f>Finansowanie!X16</f>
        <v>0</v>
      </c>
    </row>
    <row r="117" spans="2:24">
      <c r="B117" s="37" t="s">
        <v>609</v>
      </c>
      <c r="C117" s="52"/>
      <c r="D117" s="52"/>
      <c r="E117" s="52"/>
      <c r="F117" s="52"/>
      <c r="G117" s="33"/>
      <c r="H117" s="33"/>
      <c r="I117" s="33"/>
      <c r="J117" s="33"/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</row>
    <row r="118" spans="2:24">
      <c r="B118" s="37" t="s">
        <v>610</v>
      </c>
      <c r="C118" s="52"/>
      <c r="D118" s="52"/>
      <c r="E118" s="52"/>
      <c r="F118" s="52"/>
      <c r="G118" s="33">
        <f>(G83-E83)+(G84-E84)-(G85-E85)</f>
        <v>0</v>
      </c>
      <c r="H118" s="33">
        <f>(H83-G83)+(H84-G84)-(H85-G85)</f>
        <v>0</v>
      </c>
      <c r="I118" s="33">
        <f>(I83-H83)+(I84-H84)-(I85-H85)</f>
        <v>0</v>
      </c>
      <c r="J118" s="33">
        <f>IF(Rok_n="",0,(J83-I83)+(J84-I84)-(J85-I85))</f>
        <v>0</v>
      </c>
      <c r="K118" s="33">
        <f>IF(Założenia!$J$32=12,(K83-J83)+(K84-J84)-(K85-J85),(K83-I83)+(K84-I84)-(K85-I85))</f>
        <v>0</v>
      </c>
      <c r="L118" s="33">
        <f t="shared" ref="L118:X118" si="45">(L83-K83)+(L84-K84)-(L85-K85)</f>
        <v>0</v>
      </c>
      <c r="M118" s="33">
        <f t="shared" si="45"/>
        <v>0</v>
      </c>
      <c r="N118" s="33">
        <f t="shared" si="45"/>
        <v>0</v>
      </c>
      <c r="O118" s="33">
        <f t="shared" si="45"/>
        <v>0</v>
      </c>
      <c r="P118" s="33">
        <f t="shared" si="45"/>
        <v>0</v>
      </c>
      <c r="Q118" s="33">
        <f t="shared" si="45"/>
        <v>0</v>
      </c>
      <c r="R118" s="33">
        <f t="shared" si="45"/>
        <v>0</v>
      </c>
      <c r="S118" s="33">
        <f t="shared" si="45"/>
        <v>0</v>
      </c>
      <c r="T118" s="33">
        <f t="shared" si="45"/>
        <v>0</v>
      </c>
      <c r="U118" s="33">
        <f t="shared" si="45"/>
        <v>0</v>
      </c>
      <c r="V118" s="33">
        <f t="shared" si="45"/>
        <v>0</v>
      </c>
      <c r="W118" s="33">
        <f t="shared" si="45"/>
        <v>0</v>
      </c>
      <c r="X118" s="33">
        <f t="shared" si="45"/>
        <v>0</v>
      </c>
    </row>
    <row r="119" spans="2:24">
      <c r="B119" s="37" t="s">
        <v>611</v>
      </c>
      <c r="C119" s="253"/>
      <c r="D119" s="253"/>
      <c r="E119" s="253"/>
      <c r="F119" s="253"/>
      <c r="G119" s="33"/>
      <c r="H119" s="33"/>
      <c r="I119" s="33"/>
      <c r="J119" s="33"/>
      <c r="K119" s="33">
        <f>-Finansowanie!K78</f>
        <v>0</v>
      </c>
      <c r="L119" s="33">
        <f>-Finansowanie!L78</f>
        <v>0</v>
      </c>
      <c r="M119" s="33">
        <f>-Finansowanie!M78</f>
        <v>0</v>
      </c>
      <c r="N119" s="33">
        <f>-Finansowanie!N78</f>
        <v>0</v>
      </c>
      <c r="O119" s="33">
        <f>-Finansowanie!O78</f>
        <v>0</v>
      </c>
      <c r="P119" s="33">
        <f>-Finansowanie!P78</f>
        <v>0</v>
      </c>
      <c r="Q119" s="33">
        <f>-Finansowanie!Q78</f>
        <v>0</v>
      </c>
      <c r="R119" s="33">
        <f>-Finansowanie!R78</f>
        <v>0</v>
      </c>
      <c r="S119" s="33">
        <f>-Finansowanie!S78</f>
        <v>0</v>
      </c>
      <c r="T119" s="33">
        <f>-Finansowanie!T78</f>
        <v>0</v>
      </c>
      <c r="U119" s="33">
        <f>-Finansowanie!U78</f>
        <v>0</v>
      </c>
      <c r="V119" s="33">
        <f>-Finansowanie!V78</f>
        <v>0</v>
      </c>
      <c r="W119" s="33">
        <f>-Finansowanie!W78</f>
        <v>0</v>
      </c>
      <c r="X119" s="33">
        <f>-Finansowanie!X78</f>
        <v>0</v>
      </c>
    </row>
    <row r="120" spans="2:24"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>
      <c r="B121" s="99" t="s">
        <v>612</v>
      </c>
      <c r="C121" s="99"/>
      <c r="D121" s="99"/>
      <c r="E121" s="99"/>
      <c r="F121" s="99"/>
      <c r="G121" s="98">
        <f>ROUND(G99+G108+G112,0)</f>
        <v>0</v>
      </c>
      <c r="H121" s="98">
        <f t="shared" ref="H121:X121" si="46">ROUND(H99+H108+H112,0)</f>
        <v>0</v>
      </c>
      <c r="I121" s="98">
        <f t="shared" si="46"/>
        <v>0</v>
      </c>
      <c r="J121" s="98">
        <f t="shared" si="46"/>
        <v>0</v>
      </c>
      <c r="K121" s="98">
        <f t="shared" ca="1" si="46"/>
        <v>0</v>
      </c>
      <c r="L121" s="98">
        <f t="shared" ca="1" si="46"/>
        <v>0</v>
      </c>
      <c r="M121" s="98">
        <f t="shared" ca="1" si="46"/>
        <v>0</v>
      </c>
      <c r="N121" s="98">
        <f t="shared" ca="1" si="46"/>
        <v>0</v>
      </c>
      <c r="O121" s="98">
        <f t="shared" ca="1" si="46"/>
        <v>0</v>
      </c>
      <c r="P121" s="98">
        <f t="shared" ca="1" si="46"/>
        <v>0</v>
      </c>
      <c r="Q121" s="98">
        <f t="shared" ca="1" si="46"/>
        <v>0</v>
      </c>
      <c r="R121" s="98">
        <f t="shared" ca="1" si="46"/>
        <v>0</v>
      </c>
      <c r="S121" s="98">
        <f t="shared" ca="1" si="46"/>
        <v>0</v>
      </c>
      <c r="T121" s="98">
        <f t="shared" ca="1" si="46"/>
        <v>0</v>
      </c>
      <c r="U121" s="98">
        <f t="shared" ca="1" si="46"/>
        <v>0</v>
      </c>
      <c r="V121" s="98">
        <f t="shared" ca="1" si="46"/>
        <v>0</v>
      </c>
      <c r="W121" s="98">
        <f t="shared" ca="1" si="46"/>
        <v>0</v>
      </c>
      <c r="X121" s="98">
        <f t="shared" ca="1" si="46"/>
        <v>0</v>
      </c>
    </row>
    <row r="122" spans="2:24">
      <c r="B122" s="7" t="s">
        <v>613</v>
      </c>
      <c r="C122" s="7"/>
      <c r="D122" s="7"/>
      <c r="E122" s="7"/>
      <c r="F122" s="7"/>
      <c r="G122" s="13"/>
      <c r="H122" s="13">
        <f>G123</f>
        <v>0</v>
      </c>
      <c r="I122" s="13">
        <f t="shared" ref="I122:X122" si="47">H123</f>
        <v>0</v>
      </c>
      <c r="J122" s="13">
        <f>IF(Rok_n="",0,I123)</f>
        <v>0</v>
      </c>
      <c r="K122" s="13">
        <f>IF(Rok_n="",I123,IF(Założenia!$J$32=12,'Ocena kondycji finansowej'!J123,'Ocena kondycji finansowej'!I123))</f>
        <v>0</v>
      </c>
      <c r="L122" s="13">
        <f t="shared" ca="1" si="47"/>
        <v>0</v>
      </c>
      <c r="M122" s="13">
        <f t="shared" ca="1" si="47"/>
        <v>0</v>
      </c>
      <c r="N122" s="13">
        <f t="shared" ca="1" si="47"/>
        <v>0</v>
      </c>
      <c r="O122" s="13">
        <f t="shared" ca="1" si="47"/>
        <v>0</v>
      </c>
      <c r="P122" s="13">
        <f t="shared" ca="1" si="47"/>
        <v>0</v>
      </c>
      <c r="Q122" s="13">
        <f t="shared" ca="1" si="47"/>
        <v>0</v>
      </c>
      <c r="R122" s="13">
        <f t="shared" ca="1" si="47"/>
        <v>0</v>
      </c>
      <c r="S122" s="13">
        <f t="shared" ca="1" si="47"/>
        <v>0</v>
      </c>
      <c r="T122" s="13">
        <f t="shared" ca="1" si="47"/>
        <v>0</v>
      </c>
      <c r="U122" s="13">
        <f t="shared" ca="1" si="47"/>
        <v>0</v>
      </c>
      <c r="V122" s="13">
        <f t="shared" ca="1" si="47"/>
        <v>0</v>
      </c>
      <c r="W122" s="13">
        <f t="shared" ca="1" si="47"/>
        <v>0</v>
      </c>
      <c r="X122" s="13">
        <f t="shared" ca="1" si="47"/>
        <v>0</v>
      </c>
    </row>
    <row r="123" spans="2:24">
      <c r="B123" s="99" t="s">
        <v>614</v>
      </c>
      <c r="C123" s="99"/>
      <c r="D123" s="99"/>
      <c r="E123" s="99"/>
      <c r="F123" s="99"/>
      <c r="G123" s="98">
        <f>ROUND(G121+G122,0)</f>
        <v>0</v>
      </c>
      <c r="H123" s="98">
        <f t="shared" ref="H123:X123" si="48">ROUND(H121+H122,0)</f>
        <v>0</v>
      </c>
      <c r="I123" s="98">
        <f t="shared" si="48"/>
        <v>0</v>
      </c>
      <c r="J123" s="98">
        <f t="shared" si="48"/>
        <v>0</v>
      </c>
      <c r="K123" s="98">
        <f t="shared" ca="1" si="48"/>
        <v>0</v>
      </c>
      <c r="L123" s="98">
        <f t="shared" ca="1" si="48"/>
        <v>0</v>
      </c>
      <c r="M123" s="98">
        <f t="shared" ca="1" si="48"/>
        <v>0</v>
      </c>
      <c r="N123" s="98">
        <f t="shared" ca="1" si="48"/>
        <v>0</v>
      </c>
      <c r="O123" s="98">
        <f t="shared" ca="1" si="48"/>
        <v>0</v>
      </c>
      <c r="P123" s="98">
        <f t="shared" ca="1" si="48"/>
        <v>0</v>
      </c>
      <c r="Q123" s="98">
        <f t="shared" ca="1" si="48"/>
        <v>0</v>
      </c>
      <c r="R123" s="98">
        <f t="shared" ca="1" si="48"/>
        <v>0</v>
      </c>
      <c r="S123" s="98">
        <f t="shared" ca="1" si="48"/>
        <v>0</v>
      </c>
      <c r="T123" s="98">
        <f t="shared" ca="1" si="48"/>
        <v>0</v>
      </c>
      <c r="U123" s="98">
        <f t="shared" ca="1" si="48"/>
        <v>0</v>
      </c>
      <c r="V123" s="98">
        <f t="shared" ca="1" si="48"/>
        <v>0</v>
      </c>
      <c r="W123" s="98">
        <f t="shared" ca="1" si="48"/>
        <v>0</v>
      </c>
      <c r="X123" s="98">
        <f t="shared" ca="1" si="48"/>
        <v>0</v>
      </c>
    </row>
    <row r="124" spans="2:24">
      <c r="G124" s="109" t="b">
        <f t="shared" ref="G124:X124" si="49">G123=G69</f>
        <v>1</v>
      </c>
      <c r="H124" s="109" t="b">
        <f t="shared" si="49"/>
        <v>1</v>
      </c>
      <c r="I124" s="109" t="b">
        <f t="shared" si="49"/>
        <v>1</v>
      </c>
      <c r="J124" s="109" t="b">
        <f t="shared" si="49"/>
        <v>1</v>
      </c>
      <c r="K124" s="109" t="b">
        <f t="shared" ca="1" si="49"/>
        <v>1</v>
      </c>
      <c r="L124" s="109" t="b">
        <f t="shared" ca="1" si="49"/>
        <v>1</v>
      </c>
      <c r="M124" s="109" t="b">
        <f t="shared" ca="1" si="49"/>
        <v>1</v>
      </c>
      <c r="N124" s="109" t="b">
        <f t="shared" ca="1" si="49"/>
        <v>1</v>
      </c>
      <c r="O124" s="109" t="b">
        <f t="shared" ca="1" si="49"/>
        <v>1</v>
      </c>
      <c r="P124" s="109" t="b">
        <f t="shared" ca="1" si="49"/>
        <v>1</v>
      </c>
      <c r="Q124" s="109" t="b">
        <f t="shared" ca="1" si="49"/>
        <v>1</v>
      </c>
      <c r="R124" s="109" t="b">
        <f t="shared" ca="1" si="49"/>
        <v>1</v>
      </c>
      <c r="S124" s="109" t="b">
        <f t="shared" ca="1" si="49"/>
        <v>1</v>
      </c>
      <c r="T124" s="109" t="b">
        <f t="shared" ca="1" si="49"/>
        <v>1</v>
      </c>
      <c r="U124" s="109" t="b">
        <f t="shared" ca="1" si="49"/>
        <v>1</v>
      </c>
      <c r="V124" s="109" t="b">
        <f t="shared" ca="1" si="49"/>
        <v>1</v>
      </c>
      <c r="W124" s="109" t="b">
        <f t="shared" ca="1" si="49"/>
        <v>1</v>
      </c>
      <c r="X124" s="109" t="b">
        <f t="shared" ca="1" si="49"/>
        <v>1</v>
      </c>
    </row>
    <row r="125" spans="2:24">
      <c r="G125" s="110">
        <f t="shared" ref="G125:X125" si="50">G123-G69</f>
        <v>0</v>
      </c>
      <c r="H125" s="110">
        <f t="shared" si="50"/>
        <v>0</v>
      </c>
      <c r="I125" s="110">
        <f t="shared" si="50"/>
        <v>0</v>
      </c>
      <c r="J125" s="110">
        <f t="shared" si="50"/>
        <v>0</v>
      </c>
      <c r="K125" s="110">
        <f t="shared" ca="1" si="50"/>
        <v>0</v>
      </c>
      <c r="L125" s="110">
        <f t="shared" ca="1" si="50"/>
        <v>0</v>
      </c>
      <c r="M125" s="110">
        <f t="shared" ca="1" si="50"/>
        <v>0</v>
      </c>
      <c r="N125" s="110">
        <f t="shared" ca="1" si="50"/>
        <v>0</v>
      </c>
      <c r="O125" s="110">
        <f t="shared" ca="1" si="50"/>
        <v>0</v>
      </c>
      <c r="P125" s="110">
        <f t="shared" ca="1" si="50"/>
        <v>0</v>
      </c>
      <c r="Q125" s="110">
        <f t="shared" ca="1" si="50"/>
        <v>0</v>
      </c>
      <c r="R125" s="110">
        <f t="shared" ca="1" si="50"/>
        <v>0</v>
      </c>
      <c r="S125" s="110">
        <f t="shared" ca="1" si="50"/>
        <v>0</v>
      </c>
      <c r="T125" s="110">
        <f t="shared" ca="1" si="50"/>
        <v>0</v>
      </c>
      <c r="U125" s="110">
        <f t="shared" ca="1" si="50"/>
        <v>0</v>
      </c>
      <c r="V125" s="110">
        <f t="shared" ca="1" si="50"/>
        <v>0</v>
      </c>
      <c r="W125" s="110">
        <f t="shared" ca="1" si="50"/>
        <v>0</v>
      </c>
      <c r="X125" s="110">
        <f t="shared" ca="1" si="50"/>
        <v>0</v>
      </c>
    </row>
    <row r="126" spans="2:24">
      <c r="G126" s="5"/>
      <c r="H126" s="5"/>
      <c r="I126" s="5"/>
      <c r="J126" s="5"/>
      <c r="K126" s="110"/>
    </row>
    <row r="127" spans="2:24" ht="14.4">
      <c r="B127" s="150" t="s">
        <v>615</v>
      </c>
      <c r="C127" s="217"/>
      <c r="D127" s="217"/>
      <c r="E127" s="217"/>
      <c r="F127" s="217"/>
      <c r="G127" s="215">
        <f t="shared" ref="G127:X127" ca="1" si="51">LataProjekcji</f>
        <v>0</v>
      </c>
      <c r="H127" s="215">
        <f t="shared" ca="1" si="51"/>
        <v>0</v>
      </c>
      <c r="I127" s="215">
        <f t="shared" ca="1" si="51"/>
        <v>0</v>
      </c>
      <c r="J127" s="216" t="str">
        <f t="shared" si="51"/>
        <v/>
      </c>
      <c r="K127" s="215" t="str">
        <f t="shared" si="51"/>
        <v>Uzupełnij dane</v>
      </c>
      <c r="L127" s="215" t="str">
        <f t="shared" si="51"/>
        <v/>
      </c>
      <c r="M127" s="215" t="str">
        <f t="shared" si="51"/>
        <v/>
      </c>
      <c r="N127" s="215" t="str">
        <f t="shared" si="51"/>
        <v/>
      </c>
      <c r="O127" s="215" t="str">
        <f t="shared" si="51"/>
        <v/>
      </c>
      <c r="P127" s="215" t="str">
        <f t="shared" si="51"/>
        <v/>
      </c>
      <c r="Q127" s="215" t="str">
        <f t="shared" si="51"/>
        <v/>
      </c>
      <c r="R127" s="215" t="str">
        <f t="shared" si="51"/>
        <v/>
      </c>
      <c r="S127" s="215" t="str">
        <f t="shared" si="51"/>
        <v/>
      </c>
      <c r="T127" s="215" t="str">
        <f t="shared" si="51"/>
        <v/>
      </c>
      <c r="U127" s="215" t="str">
        <f t="shared" si="51"/>
        <v/>
      </c>
      <c r="V127" s="215" t="str">
        <f t="shared" si="51"/>
        <v/>
      </c>
      <c r="W127" s="215" t="str">
        <f t="shared" si="51"/>
        <v/>
      </c>
      <c r="X127" s="215" t="str">
        <f t="shared" si="51"/>
        <v/>
      </c>
    </row>
    <row r="128" spans="2:24">
      <c r="H128" s="5"/>
      <c r="V128" s="3"/>
      <c r="W128" s="3"/>
      <c r="X128" s="3"/>
    </row>
    <row r="129" spans="2:24">
      <c r="B129" s="29" t="s">
        <v>616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2:24">
      <c r="B130" s="94" t="s">
        <v>617</v>
      </c>
      <c r="C130" s="19" t="s">
        <v>618</v>
      </c>
      <c r="D130" s="19" t="s">
        <v>619</v>
      </c>
      <c r="E130" s="19"/>
      <c r="F130" s="19"/>
      <c r="G130" s="169" t="str">
        <f t="shared" ref="G130:X130" si="52">IFERROR(ROUND((G29/G15),4),"bd.")</f>
        <v>bd.</v>
      </c>
      <c r="H130" s="169" t="str">
        <f t="shared" si="52"/>
        <v>bd.</v>
      </c>
      <c r="I130" s="169" t="str">
        <f t="shared" si="52"/>
        <v>bd.</v>
      </c>
      <c r="J130" s="169" t="str">
        <f t="shared" si="52"/>
        <v>bd.</v>
      </c>
      <c r="K130" s="169" t="str">
        <f t="shared" ca="1" si="52"/>
        <v>bd.</v>
      </c>
      <c r="L130" s="169" t="str">
        <f t="shared" ca="1" si="52"/>
        <v>bd.</v>
      </c>
      <c r="M130" s="169" t="str">
        <f t="shared" ca="1" si="52"/>
        <v>bd.</v>
      </c>
      <c r="N130" s="169" t="str">
        <f t="shared" ca="1" si="52"/>
        <v>bd.</v>
      </c>
      <c r="O130" s="169" t="str">
        <f t="shared" ca="1" si="52"/>
        <v>bd.</v>
      </c>
      <c r="P130" s="169" t="str">
        <f t="shared" ca="1" si="52"/>
        <v>bd.</v>
      </c>
      <c r="Q130" s="169" t="str">
        <f t="shared" ca="1" si="52"/>
        <v>bd.</v>
      </c>
      <c r="R130" s="169" t="str">
        <f t="shared" ca="1" si="52"/>
        <v>bd.</v>
      </c>
      <c r="S130" s="169" t="str">
        <f t="shared" ca="1" si="52"/>
        <v>bd.</v>
      </c>
      <c r="T130" s="169" t="str">
        <f t="shared" ca="1" si="52"/>
        <v>bd.</v>
      </c>
      <c r="U130" s="169" t="str">
        <f t="shared" ca="1" si="52"/>
        <v>bd.</v>
      </c>
      <c r="V130" s="169" t="str">
        <f t="shared" ca="1" si="52"/>
        <v>bd.</v>
      </c>
      <c r="W130" s="169" t="str">
        <f t="shared" ca="1" si="52"/>
        <v>bd.</v>
      </c>
      <c r="X130" s="169" t="str">
        <f t="shared" ca="1" si="52"/>
        <v>bd.</v>
      </c>
    </row>
    <row r="131" spans="2:24">
      <c r="B131" s="37" t="s">
        <v>620</v>
      </c>
      <c r="C131" s="52" t="s">
        <v>621</v>
      </c>
      <c r="D131" s="52" t="s">
        <v>619</v>
      </c>
      <c r="E131" s="52"/>
      <c r="F131" s="52"/>
      <c r="G131" s="168" t="str">
        <f t="shared" ref="G131:X131" si="53">IFERROR(ROUND((G42/G15),4),"bd.")</f>
        <v>bd.</v>
      </c>
      <c r="H131" s="168" t="str">
        <f t="shared" si="53"/>
        <v>bd.</v>
      </c>
      <c r="I131" s="168" t="str">
        <f t="shared" si="53"/>
        <v>bd.</v>
      </c>
      <c r="J131" s="168" t="str">
        <f t="shared" si="53"/>
        <v>bd.</v>
      </c>
      <c r="K131" s="168" t="str">
        <f t="shared" ca="1" si="53"/>
        <v>bd.</v>
      </c>
      <c r="L131" s="168" t="str">
        <f t="shared" ca="1" si="53"/>
        <v>bd.</v>
      </c>
      <c r="M131" s="168" t="str">
        <f t="shared" ca="1" si="53"/>
        <v>bd.</v>
      </c>
      <c r="N131" s="168" t="str">
        <f t="shared" ca="1" si="53"/>
        <v>bd.</v>
      </c>
      <c r="O131" s="168" t="str">
        <f t="shared" ca="1" si="53"/>
        <v>bd.</v>
      </c>
      <c r="P131" s="168" t="str">
        <f t="shared" ca="1" si="53"/>
        <v>bd.</v>
      </c>
      <c r="Q131" s="168" t="str">
        <f t="shared" ca="1" si="53"/>
        <v>bd.</v>
      </c>
      <c r="R131" s="168" t="str">
        <f t="shared" ca="1" si="53"/>
        <v>bd.</v>
      </c>
      <c r="S131" s="168" t="str">
        <f t="shared" ca="1" si="53"/>
        <v>bd.</v>
      </c>
      <c r="T131" s="168" t="str">
        <f t="shared" ca="1" si="53"/>
        <v>bd.</v>
      </c>
      <c r="U131" s="168" t="str">
        <f t="shared" ca="1" si="53"/>
        <v>bd.</v>
      </c>
      <c r="V131" s="168" t="str">
        <f t="shared" ca="1" si="53"/>
        <v>bd.</v>
      </c>
      <c r="W131" s="168" t="str">
        <f t="shared" ca="1" si="53"/>
        <v>bd.</v>
      </c>
      <c r="X131" s="168" t="str">
        <f t="shared" ca="1" si="53"/>
        <v>bd.</v>
      </c>
    </row>
    <row r="132" spans="2:24">
      <c r="B132" s="37" t="s">
        <v>622</v>
      </c>
      <c r="C132" s="52" t="s">
        <v>623</v>
      </c>
      <c r="D132" s="52" t="s">
        <v>624</v>
      </c>
      <c r="E132" s="52"/>
      <c r="F132" s="52"/>
      <c r="G132" s="168" t="str">
        <f t="shared" ref="G132:X132" si="54">IFERROR(ROUND((G42/G73),4),"bd.")</f>
        <v>bd.</v>
      </c>
      <c r="H132" s="168" t="str">
        <f t="shared" si="54"/>
        <v>bd.</v>
      </c>
      <c r="I132" s="168" t="str">
        <f t="shared" si="54"/>
        <v>bd.</v>
      </c>
      <c r="J132" s="168" t="str">
        <f t="shared" si="54"/>
        <v>bd.</v>
      </c>
      <c r="K132" s="168" t="str">
        <f t="shared" ca="1" si="54"/>
        <v>bd.</v>
      </c>
      <c r="L132" s="168" t="str">
        <f t="shared" ca="1" si="54"/>
        <v>bd.</v>
      </c>
      <c r="M132" s="168" t="str">
        <f t="shared" ca="1" si="54"/>
        <v>bd.</v>
      </c>
      <c r="N132" s="168" t="str">
        <f t="shared" ca="1" si="54"/>
        <v>bd.</v>
      </c>
      <c r="O132" s="168" t="str">
        <f t="shared" ca="1" si="54"/>
        <v>bd.</v>
      </c>
      <c r="P132" s="168" t="str">
        <f t="shared" ca="1" si="54"/>
        <v>bd.</v>
      </c>
      <c r="Q132" s="168" t="str">
        <f t="shared" ca="1" si="54"/>
        <v>bd.</v>
      </c>
      <c r="R132" s="168" t="str">
        <f t="shared" ca="1" si="54"/>
        <v>bd.</v>
      </c>
      <c r="S132" s="168" t="str">
        <f t="shared" ca="1" si="54"/>
        <v>bd.</v>
      </c>
      <c r="T132" s="168" t="str">
        <f t="shared" ca="1" si="54"/>
        <v>bd.</v>
      </c>
      <c r="U132" s="168" t="str">
        <f t="shared" ca="1" si="54"/>
        <v>bd.</v>
      </c>
      <c r="V132" s="168" t="str">
        <f t="shared" ca="1" si="54"/>
        <v>bd.</v>
      </c>
      <c r="W132" s="168" t="str">
        <f t="shared" ca="1" si="54"/>
        <v>bd.</v>
      </c>
      <c r="X132" s="168" t="str">
        <f t="shared" ca="1" si="54"/>
        <v>bd.</v>
      </c>
    </row>
    <row r="133" spans="2:24"/>
    <row r="134" spans="2:24">
      <c r="B134" s="29" t="s">
        <v>625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2:24">
      <c r="B135" s="94" t="s">
        <v>626</v>
      </c>
      <c r="C135" s="19" t="s">
        <v>627</v>
      </c>
      <c r="D135" s="19" t="s">
        <v>628</v>
      </c>
      <c r="E135" s="19"/>
      <c r="F135" s="19"/>
      <c r="G135" s="170" t="str">
        <f t="shared" ref="G135:X135" si="55">IFERROR(ROUND(G76/G94,4),"bd.")</f>
        <v>bd.</v>
      </c>
      <c r="H135" s="170" t="str">
        <f t="shared" si="55"/>
        <v>bd.</v>
      </c>
      <c r="I135" s="170" t="str">
        <f t="shared" si="55"/>
        <v>bd.</v>
      </c>
      <c r="J135" s="170" t="str">
        <f t="shared" si="55"/>
        <v>bd.</v>
      </c>
      <c r="K135" s="170" t="str">
        <f t="shared" ca="1" si="55"/>
        <v>bd.</v>
      </c>
      <c r="L135" s="170" t="str">
        <f t="shared" ca="1" si="55"/>
        <v>bd.</v>
      </c>
      <c r="M135" s="170" t="str">
        <f t="shared" ca="1" si="55"/>
        <v>bd.</v>
      </c>
      <c r="N135" s="170" t="str">
        <f t="shared" ca="1" si="55"/>
        <v>bd.</v>
      </c>
      <c r="O135" s="170" t="str">
        <f t="shared" ca="1" si="55"/>
        <v>bd.</v>
      </c>
      <c r="P135" s="170" t="str">
        <f t="shared" ca="1" si="55"/>
        <v>bd.</v>
      </c>
      <c r="Q135" s="170" t="str">
        <f t="shared" ca="1" si="55"/>
        <v>bd.</v>
      </c>
      <c r="R135" s="170" t="str">
        <f t="shared" ca="1" si="55"/>
        <v>bd.</v>
      </c>
      <c r="S135" s="170" t="str">
        <f t="shared" ca="1" si="55"/>
        <v>bd.</v>
      </c>
      <c r="T135" s="170" t="str">
        <f t="shared" ca="1" si="55"/>
        <v>bd.</v>
      </c>
      <c r="U135" s="170" t="str">
        <f t="shared" ca="1" si="55"/>
        <v>bd.</v>
      </c>
      <c r="V135" s="170" t="str">
        <f t="shared" ca="1" si="55"/>
        <v>bd.</v>
      </c>
      <c r="W135" s="170" t="str">
        <f t="shared" ca="1" si="55"/>
        <v>bd.</v>
      </c>
      <c r="X135" s="170" t="str">
        <f t="shared" ca="1" si="55"/>
        <v>bd.</v>
      </c>
    </row>
    <row r="136" spans="2:24">
      <c r="B136" s="37" t="s">
        <v>629</v>
      </c>
      <c r="C136" s="52" t="s">
        <v>630</v>
      </c>
      <c r="D136" s="52" t="s">
        <v>631</v>
      </c>
      <c r="E136" s="52"/>
      <c r="F136" s="52"/>
      <c r="G136" s="171" t="str">
        <f t="shared" ref="G136:X136" si="56">IFERROR(ROUND((G76+G84+G83+G91)/G47,4),"bd.")</f>
        <v>bd.</v>
      </c>
      <c r="H136" s="171" t="str">
        <f t="shared" si="56"/>
        <v>bd.</v>
      </c>
      <c r="I136" s="171" t="str">
        <f t="shared" si="56"/>
        <v>bd.</v>
      </c>
      <c r="J136" s="171" t="str">
        <f t="shared" si="56"/>
        <v>bd.</v>
      </c>
      <c r="K136" s="171" t="str">
        <f t="shared" ca="1" si="56"/>
        <v>bd.</v>
      </c>
      <c r="L136" s="171" t="str">
        <f t="shared" ca="1" si="56"/>
        <v>bd.</v>
      </c>
      <c r="M136" s="171" t="str">
        <f t="shared" ca="1" si="56"/>
        <v>bd.</v>
      </c>
      <c r="N136" s="171" t="str">
        <f t="shared" ca="1" si="56"/>
        <v>bd.</v>
      </c>
      <c r="O136" s="171" t="str">
        <f t="shared" ca="1" si="56"/>
        <v>bd.</v>
      </c>
      <c r="P136" s="171" t="str">
        <f t="shared" ca="1" si="56"/>
        <v>bd.</v>
      </c>
      <c r="Q136" s="171" t="str">
        <f t="shared" ca="1" si="56"/>
        <v>bd.</v>
      </c>
      <c r="R136" s="171" t="str">
        <f t="shared" ca="1" si="56"/>
        <v>bd.</v>
      </c>
      <c r="S136" s="171" t="str">
        <f t="shared" ca="1" si="56"/>
        <v>bd.</v>
      </c>
      <c r="T136" s="171" t="str">
        <f t="shared" ca="1" si="56"/>
        <v>bd.</v>
      </c>
      <c r="U136" s="171" t="str">
        <f t="shared" ca="1" si="56"/>
        <v>bd.</v>
      </c>
      <c r="V136" s="171" t="str">
        <f t="shared" ca="1" si="56"/>
        <v>bd.</v>
      </c>
      <c r="W136" s="171" t="str">
        <f t="shared" ca="1" si="56"/>
        <v>bd.</v>
      </c>
      <c r="X136" s="171" t="str">
        <f t="shared" ca="1" si="56"/>
        <v>bd.</v>
      </c>
    </row>
    <row r="137" spans="2:24">
      <c r="B137" s="37" t="s">
        <v>632</v>
      </c>
      <c r="C137" s="52" t="s">
        <v>633</v>
      </c>
      <c r="D137" s="52" t="s">
        <v>631</v>
      </c>
      <c r="E137" s="52"/>
      <c r="F137" s="52"/>
      <c r="G137" s="171" t="str">
        <f t="shared" ref="G137:X137" si="57">IFERROR(ROUND(G82/G94,4),"bd.")</f>
        <v>bd.</v>
      </c>
      <c r="H137" s="171" t="str">
        <f t="shared" si="57"/>
        <v>bd.</v>
      </c>
      <c r="I137" s="171" t="str">
        <f t="shared" si="57"/>
        <v>bd.</v>
      </c>
      <c r="J137" s="171" t="str">
        <f t="shared" si="57"/>
        <v>bd.</v>
      </c>
      <c r="K137" s="171" t="str">
        <f t="shared" ca="1" si="57"/>
        <v>bd.</v>
      </c>
      <c r="L137" s="171" t="str">
        <f t="shared" ca="1" si="57"/>
        <v>bd.</v>
      </c>
      <c r="M137" s="171" t="str">
        <f t="shared" ca="1" si="57"/>
        <v>bd.</v>
      </c>
      <c r="N137" s="171" t="str">
        <f t="shared" ca="1" si="57"/>
        <v>bd.</v>
      </c>
      <c r="O137" s="171" t="str">
        <f t="shared" ca="1" si="57"/>
        <v>bd.</v>
      </c>
      <c r="P137" s="171" t="str">
        <f t="shared" ca="1" si="57"/>
        <v>bd.</v>
      </c>
      <c r="Q137" s="171" t="str">
        <f t="shared" ca="1" si="57"/>
        <v>bd.</v>
      </c>
      <c r="R137" s="171" t="str">
        <f t="shared" ca="1" si="57"/>
        <v>bd.</v>
      </c>
      <c r="S137" s="171" t="str">
        <f t="shared" ca="1" si="57"/>
        <v>bd.</v>
      </c>
      <c r="T137" s="171" t="str">
        <f t="shared" ca="1" si="57"/>
        <v>bd.</v>
      </c>
      <c r="U137" s="171" t="str">
        <f t="shared" ca="1" si="57"/>
        <v>bd.</v>
      </c>
      <c r="V137" s="171" t="str">
        <f t="shared" ca="1" si="57"/>
        <v>bd.</v>
      </c>
      <c r="W137" s="171" t="str">
        <f t="shared" ca="1" si="57"/>
        <v>bd.</v>
      </c>
      <c r="X137" s="171" t="str">
        <f t="shared" ca="1" si="57"/>
        <v>bd.</v>
      </c>
    </row>
    <row r="138" spans="2:24">
      <c r="B138" s="37" t="s">
        <v>634</v>
      </c>
      <c r="C138" s="52" t="s">
        <v>635</v>
      </c>
      <c r="D138" s="52" t="s">
        <v>636</v>
      </c>
      <c r="E138" s="52"/>
      <c r="F138" s="52"/>
      <c r="G138" s="172" t="str">
        <f>IFERROR(ROUND((G42+G21+G36+G40)/(G36+Finansowanie!F44+Finansowanie!F53+Finansowanie!F62),4),"bd.")</f>
        <v>bd.</v>
      </c>
      <c r="H138" s="172" t="str">
        <f>IFERROR(ROUND((H42+H21+H36+H40)/(H36+Finansowanie!G44+Finansowanie!G53+Finansowanie!G62),4),"bd.")</f>
        <v>bd.</v>
      </c>
      <c r="I138" s="172" t="str">
        <f>IFERROR(ROUND((I42+I21+I36+I40)/(I36+Finansowanie!H44+Finansowanie!H53+Finansowanie!H62),4),"bd.")</f>
        <v>bd.</v>
      </c>
      <c r="J138" s="172" t="str">
        <f>IFERROR(ROUND((J42+J21+J36+J40)/(J36+Finansowanie!J44+Finansowanie!J53+Finansowanie!J62),4),"bd.")</f>
        <v>bd.</v>
      </c>
      <c r="K138" s="172" t="str">
        <f ca="1">IFERROR(ROUND((K42+K21+K36+K40)/(K36+Finansowanie!K44+Finansowanie!K53+Finansowanie!K62),4),"bd.")</f>
        <v>bd.</v>
      </c>
      <c r="L138" s="172" t="str">
        <f ca="1">IFERROR(ROUND((L42+L21+L36+L40)/(L36+Finansowanie!L44+Finansowanie!L53+Finansowanie!L62),4),"bd.")</f>
        <v>bd.</v>
      </c>
      <c r="M138" s="172" t="str">
        <f ca="1">IFERROR(ROUND((M42+M21+M36+M40)/(M36+Finansowanie!M44+Finansowanie!M53+Finansowanie!M62),4),"bd.")</f>
        <v>bd.</v>
      </c>
      <c r="N138" s="172" t="str">
        <f ca="1">IFERROR(ROUND((N42+N21+N36+N40)/(N36+Finansowanie!N44+Finansowanie!N53+Finansowanie!N62),4),"bd.")</f>
        <v>bd.</v>
      </c>
      <c r="O138" s="172" t="str">
        <f ca="1">IFERROR(ROUND((O42+O21+O36+O40)/(O36+Finansowanie!O44+Finansowanie!O53+Finansowanie!O62),4),"bd.")</f>
        <v>bd.</v>
      </c>
      <c r="P138" s="172" t="str">
        <f ca="1">IFERROR(ROUND((P42+P21+P36+P40)/(P36+Finansowanie!P44+Finansowanie!P53+Finansowanie!P62),4),"bd.")</f>
        <v>bd.</v>
      </c>
      <c r="Q138" s="172" t="str">
        <f ca="1">IFERROR(ROUND((Q42+Q21+Q36+Q40)/(Q36+Finansowanie!Q44+Finansowanie!Q53+Finansowanie!Q62),4),"bd.")</f>
        <v>bd.</v>
      </c>
      <c r="R138" s="172" t="str">
        <f ca="1">IFERROR(ROUND((R42+R21+R36+R40)/(R36+Finansowanie!R44+Finansowanie!R53+Finansowanie!R62),4),"bd.")</f>
        <v>bd.</v>
      </c>
      <c r="S138" s="172" t="str">
        <f ca="1">IFERROR(ROUND((S42+S21+S36+S40)/(S36+Finansowanie!S44+Finansowanie!S53+Finansowanie!S62),4),"bd.")</f>
        <v>bd.</v>
      </c>
      <c r="T138" s="172" t="str">
        <f ca="1">IFERROR(ROUND((T42+T21+T36+T40)/(T36+Finansowanie!T44+Finansowanie!T53+Finansowanie!T62),4),"bd.")</f>
        <v>bd.</v>
      </c>
      <c r="U138" s="172" t="str">
        <f ca="1">IFERROR(ROUND((U42+U21+U36+U40)/(U36+Finansowanie!U44+Finansowanie!U53+Finansowanie!U62),4),"bd.")</f>
        <v>bd.</v>
      </c>
      <c r="V138" s="172" t="str">
        <f ca="1">IFERROR(ROUND((V42+V21+V36+V40)/(V36+Finansowanie!V44+Finansowanie!V53+Finansowanie!V62),4),"bd.")</f>
        <v>bd.</v>
      </c>
      <c r="W138" s="172" t="str">
        <f ca="1">IFERROR(ROUND((W42+W21+W36+W40)/(W36+Finansowanie!W44+Finansowanie!W53+Finansowanie!W62),4),"bd.")</f>
        <v>bd.</v>
      </c>
      <c r="X138" s="172" t="str">
        <f ca="1">IFERROR(ROUND((X42+X21+X36+X40)/(X36+Finansowanie!X44+Finansowanie!X53+Finansowanie!X62),4),"bd.")</f>
        <v>bd.</v>
      </c>
    </row>
    <row r="139" spans="2:24"/>
    <row r="140" spans="2:24">
      <c r="B140" s="29" t="s">
        <v>637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2:24">
      <c r="B141" s="94" t="s">
        <v>638</v>
      </c>
      <c r="C141" s="19" t="s">
        <v>639</v>
      </c>
      <c r="D141" s="19" t="s">
        <v>636</v>
      </c>
      <c r="E141" s="19"/>
      <c r="F141" s="19"/>
      <c r="G141" s="173" t="str">
        <f t="shared" ref="G141:X141" si="58">IFERROR(ROUND(G65/G87,4),"bd.")</f>
        <v>bd.</v>
      </c>
      <c r="H141" s="173" t="str">
        <f t="shared" si="58"/>
        <v>bd.</v>
      </c>
      <c r="I141" s="173" t="str">
        <f t="shared" si="58"/>
        <v>bd.</v>
      </c>
      <c r="J141" s="173" t="str">
        <f t="shared" si="58"/>
        <v>bd.</v>
      </c>
      <c r="K141" s="173" t="str">
        <f t="shared" ca="1" si="58"/>
        <v>bd.</v>
      </c>
      <c r="L141" s="173" t="str">
        <f t="shared" ca="1" si="58"/>
        <v>bd.</v>
      </c>
      <c r="M141" s="173" t="str">
        <f t="shared" ca="1" si="58"/>
        <v>bd.</v>
      </c>
      <c r="N141" s="173" t="str">
        <f t="shared" ca="1" si="58"/>
        <v>bd.</v>
      </c>
      <c r="O141" s="173" t="str">
        <f t="shared" ca="1" si="58"/>
        <v>bd.</v>
      </c>
      <c r="P141" s="173" t="str">
        <f t="shared" ca="1" si="58"/>
        <v>bd.</v>
      </c>
      <c r="Q141" s="173" t="str">
        <f t="shared" ca="1" si="58"/>
        <v>bd.</v>
      </c>
      <c r="R141" s="173" t="str">
        <f t="shared" ca="1" si="58"/>
        <v>bd.</v>
      </c>
      <c r="S141" s="173" t="str">
        <f t="shared" ca="1" si="58"/>
        <v>bd.</v>
      </c>
      <c r="T141" s="173" t="str">
        <f t="shared" ca="1" si="58"/>
        <v>bd.</v>
      </c>
      <c r="U141" s="173" t="str">
        <f t="shared" ca="1" si="58"/>
        <v>bd.</v>
      </c>
      <c r="V141" s="173" t="str">
        <f t="shared" ca="1" si="58"/>
        <v>bd.</v>
      </c>
      <c r="W141" s="173" t="str">
        <f t="shared" ca="1" si="58"/>
        <v>bd.</v>
      </c>
      <c r="X141" s="173" t="str">
        <f t="shared" ca="1" si="58"/>
        <v>bd.</v>
      </c>
    </row>
    <row r="142" spans="2:24">
      <c r="B142" s="37" t="s">
        <v>640</v>
      </c>
      <c r="C142" s="52" t="s">
        <v>641</v>
      </c>
      <c r="D142" s="52" t="s">
        <v>642</v>
      </c>
      <c r="E142" s="52"/>
      <c r="F142" s="52"/>
      <c r="G142" s="172" t="str">
        <f t="shared" ref="G142:X142" si="59">IFERROR(ROUND((G65-G66)/G87,4),"bd.")</f>
        <v>bd.</v>
      </c>
      <c r="H142" s="172" t="str">
        <f t="shared" si="59"/>
        <v>bd.</v>
      </c>
      <c r="I142" s="172" t="str">
        <f t="shared" si="59"/>
        <v>bd.</v>
      </c>
      <c r="J142" s="172" t="str">
        <f t="shared" si="59"/>
        <v>bd.</v>
      </c>
      <c r="K142" s="172" t="str">
        <f t="shared" ca="1" si="59"/>
        <v>bd.</v>
      </c>
      <c r="L142" s="172" t="str">
        <f t="shared" ca="1" si="59"/>
        <v>bd.</v>
      </c>
      <c r="M142" s="172" t="str">
        <f t="shared" ca="1" si="59"/>
        <v>bd.</v>
      </c>
      <c r="N142" s="172" t="str">
        <f t="shared" ca="1" si="59"/>
        <v>bd.</v>
      </c>
      <c r="O142" s="172" t="str">
        <f t="shared" ca="1" si="59"/>
        <v>bd.</v>
      </c>
      <c r="P142" s="172" t="str">
        <f t="shared" ca="1" si="59"/>
        <v>bd.</v>
      </c>
      <c r="Q142" s="172" t="str">
        <f t="shared" ca="1" si="59"/>
        <v>bd.</v>
      </c>
      <c r="R142" s="172" t="str">
        <f t="shared" ca="1" si="59"/>
        <v>bd.</v>
      </c>
      <c r="S142" s="172" t="str">
        <f t="shared" ca="1" si="59"/>
        <v>bd.</v>
      </c>
      <c r="T142" s="172" t="str">
        <f t="shared" ca="1" si="59"/>
        <v>bd.</v>
      </c>
      <c r="U142" s="172" t="str">
        <f t="shared" ca="1" si="59"/>
        <v>bd.</v>
      </c>
      <c r="V142" s="172" t="str">
        <f t="shared" ca="1" si="59"/>
        <v>bd.</v>
      </c>
      <c r="W142" s="172" t="str">
        <f t="shared" ca="1" si="59"/>
        <v>bd.</v>
      </c>
      <c r="X142" s="172" t="str">
        <f t="shared" ca="1" si="59"/>
        <v>bd.</v>
      </c>
    </row>
    <row r="143" spans="2:24"/>
    <row r="144" spans="2:24">
      <c r="B144" s="29" t="s">
        <v>643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2:24">
      <c r="B145" s="94" t="s">
        <v>644</v>
      </c>
      <c r="C145" s="19"/>
      <c r="D145" s="19"/>
      <c r="E145" s="19"/>
      <c r="F145" s="19"/>
      <c r="G145" s="174" t="str">
        <f ca="1">IFERROR(ROUND((G66/G20)*dni,0),"bd.")</f>
        <v>bd.</v>
      </c>
      <c r="H145" s="174" t="str">
        <f ca="1">IFERROR(ROUND((H66/H20)*dni,0),"bd.")</f>
        <v>bd.</v>
      </c>
      <c r="I145" s="174" t="str">
        <f ca="1">IFERROR(ROUND((I66/I20)*dni,0),"bd.")</f>
        <v>bd.</v>
      </c>
      <c r="J145" s="174" t="str">
        <f>IFERROR(ROUND((J66/J20)*dni,0),"bd.")</f>
        <v>bd.</v>
      </c>
      <c r="K145" s="174" t="str">
        <f ca="1">IFERROR(IF('Kapitał pracujący'!$G$193=1,ROUND((K66/K20)*dni,0),'Kapitał pracujący'!K22),"bd.")</f>
        <v>bd.</v>
      </c>
      <c r="L145" s="174" t="str">
        <f ca="1">IFERROR(IF('Kapitał pracujący'!$G$193=1,ROUND((L66/L20)*dni,0),'Kapitał pracujący'!L22),"bd.")</f>
        <v>bd.</v>
      </c>
      <c r="M145" s="174" t="str">
        <f ca="1">IFERROR(IF('Kapitał pracujący'!$G$193=1,ROUND((M66/M20)*dni,0),'Kapitał pracujący'!M22),"bd.")</f>
        <v>bd.</v>
      </c>
      <c r="N145" s="174" t="str">
        <f ca="1">IFERROR(IF('Kapitał pracujący'!$G$193=1,ROUND((N66/N20)*dni,0),'Kapitał pracujący'!N22),"bd.")</f>
        <v>bd.</v>
      </c>
      <c r="O145" s="174" t="str">
        <f ca="1">IFERROR(IF('Kapitał pracujący'!$G$193=1,ROUND((O66/O20)*dni,0),'Kapitał pracujący'!O22),"bd.")</f>
        <v>bd.</v>
      </c>
      <c r="P145" s="174" t="str">
        <f ca="1">IFERROR(IF('Kapitał pracujący'!$G$193=1,ROUND((P66/P20)*dni,0),'Kapitał pracujący'!P22),"bd.")</f>
        <v>bd.</v>
      </c>
      <c r="Q145" s="174" t="str">
        <f ca="1">IFERROR(IF('Kapitał pracujący'!$G$193=1,ROUND((Q66/Q20)*dni,0),'Kapitał pracujący'!Q22),"bd.")</f>
        <v>bd.</v>
      </c>
      <c r="R145" s="174" t="str">
        <f ca="1">IFERROR(IF('Kapitał pracujący'!$G$193=1,ROUND((R66/R20)*dni,0),'Kapitał pracujący'!R22),"bd.")</f>
        <v>bd.</v>
      </c>
      <c r="S145" s="174" t="str">
        <f ca="1">IFERROR(IF('Kapitał pracujący'!$G$193=1,ROUND((S66/S20)*dni,0),'Kapitał pracujący'!S22),"bd.")</f>
        <v>bd.</v>
      </c>
      <c r="T145" s="174" t="str">
        <f ca="1">IFERROR(IF('Kapitał pracujący'!$G$193=1,ROUND((T66/T20)*dni,0),'Kapitał pracujący'!T22),"bd.")</f>
        <v>bd.</v>
      </c>
      <c r="U145" s="174" t="str">
        <f ca="1">IFERROR(IF('Kapitał pracujący'!$G$193=1,ROUND((U66/U20)*dni,0),'Kapitał pracujący'!U22),"bd.")</f>
        <v>bd.</v>
      </c>
      <c r="V145" s="174" t="str">
        <f ca="1">IFERROR(IF('Kapitał pracujący'!$G$193=1,ROUND((V66/V20)*dni,0),'Kapitał pracujący'!V22),"bd.")</f>
        <v>bd.</v>
      </c>
      <c r="W145" s="174" t="str">
        <f ca="1">IFERROR(IF('Kapitał pracujący'!$G$193=1,ROUND((W66/W20)*dni,0),'Kapitał pracujący'!W22),"bd.")</f>
        <v>bd.</v>
      </c>
      <c r="X145" s="174" t="str">
        <f ca="1">IFERROR(IF('Kapitał pracujący'!$G$193=1,ROUND((X66/X20)*dni,0),'Kapitał pracujący'!X22),"bd.")</f>
        <v>bd.</v>
      </c>
    </row>
    <row r="146" spans="2:24">
      <c r="B146" s="37" t="s">
        <v>645</v>
      </c>
      <c r="C146" s="52"/>
      <c r="D146" s="52"/>
      <c r="E146" s="52"/>
      <c r="F146" s="52"/>
      <c r="G146" s="10" t="str">
        <f ca="1">IFERROR(ROUND((G68/G15)*dni,0),"bd.")</f>
        <v>bd.</v>
      </c>
      <c r="H146" s="10" t="str">
        <f ca="1">IFERROR(ROUND((H68/H15)*dni,0),"bd.")</f>
        <v>bd.</v>
      </c>
      <c r="I146" s="10" t="str">
        <f ca="1">IFERROR(ROUND((I68/I15)*dni,0),"bd.")</f>
        <v>bd.</v>
      </c>
      <c r="J146" s="10" t="str">
        <f>IFERROR(ROUND((J68/J15)*dni,0),"bd.")</f>
        <v>bd.</v>
      </c>
      <c r="K146" s="10" t="str">
        <f ca="1">IFERROR(IF('Kapitał pracujący'!$G$194=1,ROUND((K68/K15)*dni,0),'Kapitał pracujący'!K37),"bd.")</f>
        <v>bd.</v>
      </c>
      <c r="L146" s="10" t="str">
        <f ca="1">IFERROR(IF('Kapitał pracujący'!$G$194=1,ROUND((L68/L15)*dni,0),'Kapitał pracujący'!L37),"bd.")</f>
        <v>bd.</v>
      </c>
      <c r="M146" s="10" t="str">
        <f ca="1">IFERROR(IF('Kapitał pracujący'!$G$194=1,ROUND((M68/M15)*dni,0),'Kapitał pracujący'!M37),"bd.")</f>
        <v>bd.</v>
      </c>
      <c r="N146" s="10" t="str">
        <f ca="1">IFERROR(IF('Kapitał pracujący'!$G$194=1,ROUND((N68/N15)*dni,0),'Kapitał pracujący'!N37),"bd.")</f>
        <v>bd.</v>
      </c>
      <c r="O146" s="10" t="str">
        <f ca="1">IFERROR(IF('Kapitał pracujący'!$G$194=1,ROUND((O68/O15)*dni,0),'Kapitał pracujący'!O37),"bd.")</f>
        <v>bd.</v>
      </c>
      <c r="P146" s="10" t="str">
        <f ca="1">IFERROR(IF('Kapitał pracujący'!$G$194=1,ROUND((P68/P15)*dni,0),'Kapitał pracujący'!P37),"bd.")</f>
        <v>bd.</v>
      </c>
      <c r="Q146" s="10" t="str">
        <f ca="1">IFERROR(IF('Kapitał pracujący'!$G$194=1,ROUND((Q68/Q15)*dni,0),'Kapitał pracujący'!Q37),"bd.")</f>
        <v>bd.</v>
      </c>
      <c r="R146" s="10" t="str">
        <f ca="1">IFERROR(IF('Kapitał pracujący'!$G$194=1,ROUND((R68/R15)*dni,0),'Kapitał pracujący'!R37),"bd.")</f>
        <v>bd.</v>
      </c>
      <c r="S146" s="10" t="str">
        <f ca="1">IFERROR(IF('Kapitał pracujący'!$G$194=1,ROUND((S68/S15)*dni,0),'Kapitał pracujący'!S37),"bd.")</f>
        <v>bd.</v>
      </c>
      <c r="T146" s="10" t="str">
        <f ca="1">IFERROR(IF('Kapitał pracujący'!$G$194=1,ROUND((T68/T15)*dni,0),'Kapitał pracujący'!T37),"bd.")</f>
        <v>bd.</v>
      </c>
      <c r="U146" s="10" t="str">
        <f ca="1">IFERROR(IF('Kapitał pracujący'!$G$194=1,ROUND((U68/U15)*dni,0),'Kapitał pracujący'!U37),"bd.")</f>
        <v>bd.</v>
      </c>
      <c r="V146" s="10" t="str">
        <f ca="1">IFERROR(IF('Kapitał pracujący'!$G$194=1,ROUND((V68/V15)*dni,0),'Kapitał pracujący'!V37),"bd.")</f>
        <v>bd.</v>
      </c>
      <c r="W146" s="10" t="str">
        <f ca="1">IFERROR(IF('Kapitał pracujący'!$G$194=1,ROUND((W68/W15)*dni,0),'Kapitał pracujący'!W37),"bd.")</f>
        <v>bd.</v>
      </c>
      <c r="X146" s="10" t="str">
        <f ca="1">IFERROR(IF('Kapitał pracujący'!$G$194=1,ROUND((X68/X15)*dni,0),'Kapitał pracujący'!X37),"bd.")</f>
        <v>bd.</v>
      </c>
    </row>
    <row r="147" spans="2:24">
      <c r="B147" s="37" t="s">
        <v>646</v>
      </c>
      <c r="C147" s="52"/>
      <c r="D147" s="52"/>
      <c r="E147" s="52"/>
      <c r="F147" s="52"/>
      <c r="G147" s="10" t="str">
        <f ca="1">IFERROR(ROUND((G88/G20)*dni,0),"bd.")</f>
        <v>bd.</v>
      </c>
      <c r="H147" s="10" t="str">
        <f ca="1">IFERROR(ROUND((H88/H20)*dni,0),"bd.")</f>
        <v>bd.</v>
      </c>
      <c r="I147" s="10" t="str">
        <f ca="1">IFERROR(ROUND((I88/I20)*dni,0),"bd.")</f>
        <v>bd.</v>
      </c>
      <c r="J147" s="10" t="str">
        <f>IFERROR(ROUND((J88/J20)*dni,0),"bd.")</f>
        <v>bd.</v>
      </c>
      <c r="K147" s="10" t="str">
        <f ca="1">IFERROR(IF('Kapitał pracujący'!$G$195=1,ROUND((K88/K20)*dni,0),'Kapitał pracujący'!K52),"bd.")</f>
        <v>bd.</v>
      </c>
      <c r="L147" s="10" t="str">
        <f ca="1">IFERROR(IF('Kapitał pracujący'!$G$195=1,ROUND((L88/L20)*dni,0),'Kapitał pracujący'!L52),"bd.")</f>
        <v>bd.</v>
      </c>
      <c r="M147" s="10" t="str">
        <f ca="1">IFERROR(IF('Kapitał pracujący'!$G$195=1,ROUND((M88/M20)*dni,0),'Kapitał pracujący'!M52),"bd.")</f>
        <v>bd.</v>
      </c>
      <c r="N147" s="10" t="str">
        <f ca="1">IFERROR(IF('Kapitał pracujący'!$G$195=1,ROUND((N88/N20)*dni,0),'Kapitał pracujący'!N52),"bd.")</f>
        <v>bd.</v>
      </c>
      <c r="O147" s="10" t="str">
        <f ca="1">IFERROR(IF('Kapitał pracujący'!$G$195=1,ROUND((O88/O20)*dni,0),'Kapitał pracujący'!O52),"bd.")</f>
        <v>bd.</v>
      </c>
      <c r="P147" s="10" t="str">
        <f ca="1">IFERROR(IF('Kapitał pracujący'!$G$195=1,ROUND((P88/P20)*dni,0),'Kapitał pracujący'!P52),"bd.")</f>
        <v>bd.</v>
      </c>
      <c r="Q147" s="10" t="str">
        <f ca="1">IFERROR(IF('Kapitał pracujący'!$G$195=1,ROUND((Q88/Q20)*dni,0),'Kapitał pracujący'!Q52),"bd.")</f>
        <v>bd.</v>
      </c>
      <c r="R147" s="10" t="str">
        <f ca="1">IFERROR(IF('Kapitał pracujący'!$G$195=1,ROUND((R88/R20)*dni,0),'Kapitał pracujący'!R52),"bd.")</f>
        <v>bd.</v>
      </c>
      <c r="S147" s="10" t="str">
        <f ca="1">IFERROR(IF('Kapitał pracujący'!$G$195=1,ROUND((S88/S20)*dni,0),'Kapitał pracujący'!S52),"bd.")</f>
        <v>bd.</v>
      </c>
      <c r="T147" s="10" t="str">
        <f ca="1">IFERROR(IF('Kapitał pracujący'!$G$195=1,ROUND((T88/T20)*dni,0),'Kapitał pracujący'!T52),"bd.")</f>
        <v>bd.</v>
      </c>
      <c r="U147" s="10" t="str">
        <f ca="1">IFERROR(IF('Kapitał pracujący'!$G$195=1,ROUND((U88/U20)*dni,0),'Kapitał pracujący'!U52),"bd.")</f>
        <v>bd.</v>
      </c>
      <c r="V147" s="10" t="str">
        <f ca="1">IFERROR(IF('Kapitał pracujący'!$G$195=1,ROUND((V88/V20)*dni,0),'Kapitał pracujący'!V52),"bd.")</f>
        <v>bd.</v>
      </c>
      <c r="W147" s="10" t="str">
        <f ca="1">IFERROR(IF('Kapitał pracujący'!$G$195=1,ROUND((W88/W20)*dni,0),'Kapitał pracujący'!W52),"bd.")</f>
        <v>bd.</v>
      </c>
      <c r="X147" s="10" t="str">
        <f ca="1">IFERROR(IF('Kapitał pracujący'!$G$195=1,ROUND((X88/X20)*dni,0),'Kapitał pracujący'!X52),"bd.")</f>
        <v>bd.</v>
      </c>
    </row>
    <row r="148" spans="2:24"/>
    <row r="149" spans="2:24">
      <c r="B149" s="29" t="s">
        <v>647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2:24">
      <c r="B150" s="94" t="s">
        <v>648</v>
      </c>
      <c r="C150" s="19" t="s">
        <v>649</v>
      </c>
      <c r="D150" s="19" t="s">
        <v>650</v>
      </c>
      <c r="E150" s="19"/>
      <c r="F150" s="19"/>
      <c r="G150" s="175" t="str">
        <f>IF(Założenia!$C$179=TRUE,"n/d",IFERROR(ROUND(G82/G76,1),"bd."))</f>
        <v>bd.</v>
      </c>
      <c r="H150" s="175" t="str">
        <f>IF(Założenia!$C$179=TRUE,"n/d",IFERROR(ROUND(H82/H76,1),"bd."))</f>
        <v>bd.</v>
      </c>
      <c r="I150" s="175" t="str">
        <f>IF(Założenia!$C$179=TRUE,"n/d",IFERROR(ROUND(I82/I76,1),"bd."))</f>
        <v>bd.</v>
      </c>
      <c r="J150" s="175" t="str">
        <f>IF(Założenia!$C$179=TRUE,"n/d",IFERROR(ROUND(J82/J76,1),"bd."))</f>
        <v>bd.</v>
      </c>
      <c r="K150" s="175" t="str">
        <f ca="1">IF(Założenia!$C$179=TRUE,"n/d",IFERROR(ROUND(K82/K76,1),"bd."))</f>
        <v>bd.</v>
      </c>
      <c r="L150" s="175" t="str">
        <f ca="1">IF(Założenia!$C$179=TRUE,"n/d",IFERROR(ROUND(L82/L76,1),"bd."))</f>
        <v>bd.</v>
      </c>
      <c r="M150" s="175" t="str">
        <f ca="1">IF(Założenia!$C$179=TRUE,"n/d",IFERROR(ROUND(M82/M76,1),"bd."))</f>
        <v>bd.</v>
      </c>
      <c r="N150" s="175" t="str">
        <f ca="1">IF(Założenia!$C$179=TRUE,"n/d",IFERROR(ROUND(N82/N76,1),"bd."))</f>
        <v>bd.</v>
      </c>
      <c r="O150" s="175" t="str">
        <f ca="1">IF(Założenia!$C$179=TRUE,"n/d",IFERROR(ROUND(O82/O76,1),"bd."))</f>
        <v>bd.</v>
      </c>
      <c r="P150" s="175" t="str">
        <f ca="1">IF(Założenia!$C$179=TRUE,"n/d",IFERROR(ROUND(P82/P76,1),"bd."))</f>
        <v>bd.</v>
      </c>
      <c r="Q150" s="175" t="str">
        <f ca="1">IF(Założenia!$C$179=TRUE,"n/d",IFERROR(ROUND(Q82/Q76,1),"bd."))</f>
        <v>bd.</v>
      </c>
      <c r="R150" s="175" t="str">
        <f ca="1">IF(Założenia!$C$179=TRUE,"n/d",IFERROR(ROUND(R82/R76,1),"bd."))</f>
        <v>bd.</v>
      </c>
      <c r="S150" s="175" t="str">
        <f ca="1">IF(Założenia!$C$179=TRUE,"n/d",IFERROR(ROUND(S82/S76,1),"bd."))</f>
        <v>bd.</v>
      </c>
      <c r="T150" s="175" t="str">
        <f ca="1">IF(Założenia!$C$179=TRUE,"n/d",IFERROR(ROUND(T82/T76,1),"bd."))</f>
        <v>bd.</v>
      </c>
      <c r="U150" s="175" t="str">
        <f ca="1">IF(Założenia!$C$179=TRUE,"n/d",IFERROR(ROUND(U82/U76,1),"bd."))</f>
        <v>bd.</v>
      </c>
      <c r="V150" s="175" t="str">
        <f ca="1">IF(Założenia!$C$179=TRUE,"n/d",IFERROR(ROUND(V82/V76,1),"bd."))</f>
        <v>bd.</v>
      </c>
      <c r="W150" s="175" t="str">
        <f ca="1">IF(Założenia!$C$179=TRUE,"n/d",IFERROR(ROUND(W82/W76,1),"bd."))</f>
        <v>bd.</v>
      </c>
      <c r="X150" s="175" t="str">
        <f ca="1">IF(Założenia!$C$179=TRUE,"n/d",IFERROR(ROUND(X82/X76,1),"bd."))</f>
        <v>bd.</v>
      </c>
    </row>
    <row r="151" spans="2:24">
      <c r="B151" s="37" t="s">
        <v>651</v>
      </c>
      <c r="C151" s="52" t="s">
        <v>652</v>
      </c>
      <c r="D151" s="52" t="s">
        <v>636</v>
      </c>
      <c r="E151" s="52"/>
      <c r="F151" s="52"/>
      <c r="G151" s="172" t="str">
        <f>IF(Założenia!$C$179=TRUE,"n/d",IFERROR(ROUND((G33+G21)/G36,1),"bd."))</f>
        <v>bd.</v>
      </c>
      <c r="H151" s="172" t="str">
        <f>IF(Założenia!$C$179=TRUE,"n/d",IFERROR(ROUND((H33+H21)/H36,1),"bd."))</f>
        <v>bd.</v>
      </c>
      <c r="I151" s="172" t="str">
        <f>IF(Założenia!$C$179=TRUE,"n/d",IFERROR(ROUND((I33+I21)/I36,1),"bd."))</f>
        <v>bd.</v>
      </c>
      <c r="J151" s="172" t="str">
        <f>IF(Założenia!$C$179=TRUE,"n/d",IFERROR(ROUND((J33+J21)/J36,1),"bd."))</f>
        <v>bd.</v>
      </c>
      <c r="K151" s="172" t="str">
        <f ca="1">IF(Założenia!$C$179=TRUE,"n/d",IFERROR(ROUND((K33+K21)/K36,1),"bd."))</f>
        <v>bd.</v>
      </c>
      <c r="L151" s="172" t="str">
        <f ca="1">IF(Założenia!$C$179=TRUE,"n/d",IFERROR(ROUND((L33+L21)/L36,1),"bd."))</f>
        <v>bd.</v>
      </c>
      <c r="M151" s="172" t="str">
        <f ca="1">IF(Założenia!$C$179=TRUE,"n/d",IFERROR(ROUND((M33+M21)/M36,1),"bd."))</f>
        <v>bd.</v>
      </c>
      <c r="N151" s="172" t="str">
        <f ca="1">IF(Założenia!$C$179=TRUE,"n/d",IFERROR(ROUND((N33+N21)/N36,1),"bd."))</f>
        <v>bd.</v>
      </c>
      <c r="O151" s="172" t="str">
        <f ca="1">IF(Założenia!$C$179=TRUE,"n/d",IFERROR(ROUND((O33+O21)/O36,1),"bd."))</f>
        <v>bd.</v>
      </c>
      <c r="P151" s="172" t="str">
        <f ca="1">IF(Założenia!$C$179=TRUE,"n/d",IFERROR(ROUND((P33+P21)/P36,1),"bd."))</f>
        <v>bd.</v>
      </c>
      <c r="Q151" s="172" t="str">
        <f ca="1">IF(Założenia!$C$179=TRUE,"n/d",IFERROR(ROUND((Q33+Q21)/Q36,1),"bd."))</f>
        <v>bd.</v>
      </c>
      <c r="R151" s="172" t="str">
        <f ca="1">IF(Założenia!$C$179=TRUE,"n/d",IFERROR(ROUND((R33+R21)/R36,1),"bd."))</f>
        <v>bd.</v>
      </c>
      <c r="S151" s="172" t="str">
        <f ca="1">IF(Założenia!$C$179=TRUE,"n/d",IFERROR(ROUND((S33+S21)/S36,1),"bd."))</f>
        <v>bd.</v>
      </c>
      <c r="T151" s="172" t="str">
        <f ca="1">IF(Założenia!$C$179=TRUE,"n/d",IFERROR(ROUND((T33+T21)/T36,1),"bd."))</f>
        <v>bd.</v>
      </c>
      <c r="U151" s="172" t="str">
        <f ca="1">IF(Założenia!$C$179=TRUE,"n/d",IFERROR(ROUND((U33+U21)/U36,1),"bd."))</f>
        <v>bd.</v>
      </c>
      <c r="V151" s="172" t="str">
        <f ca="1">IF(Założenia!$C$179=TRUE,"n/d",IFERROR(ROUND((V33+V21)/V36,1),"bd."))</f>
        <v>bd.</v>
      </c>
      <c r="W151" s="172" t="str">
        <f ca="1">IF(Założenia!$C$179=TRUE,"n/d",IFERROR(ROUND((W33+W21)/W36,1),"bd."))</f>
        <v>bd.</v>
      </c>
      <c r="X151" s="172" t="str">
        <f ca="1">IF(Założenia!$C$179=TRUE,"n/d",IFERROR(ROUND((X33+X21)/X36,1),"bd."))</f>
        <v>bd.</v>
      </c>
    </row>
    <row r="152" spans="2:24"/>
    <row r="153" spans="2:24"/>
    <row r="154" spans="2:24"/>
    <row r="155" spans="2:24"/>
    <row r="156" spans="2:24" ht="14.4">
      <c r="B156" s="32" t="s">
        <v>294</v>
      </c>
      <c r="C156" s="36"/>
      <c r="D156" s="36"/>
      <c r="E156" s="36"/>
      <c r="F156" s="36"/>
      <c r="G156" s="32">
        <f t="shared" ref="G156:X156" ca="1" si="60">LataProjekcji</f>
        <v>0</v>
      </c>
      <c r="H156" s="32">
        <f t="shared" ca="1" si="60"/>
        <v>0</v>
      </c>
      <c r="I156" s="32">
        <f t="shared" ca="1" si="60"/>
        <v>0</v>
      </c>
      <c r="J156" s="47" t="str">
        <f t="shared" si="60"/>
        <v/>
      </c>
      <c r="K156" s="32" t="str">
        <f t="shared" si="60"/>
        <v>Uzupełnij dane</v>
      </c>
      <c r="L156" s="32" t="str">
        <f t="shared" si="60"/>
        <v/>
      </c>
      <c r="M156" s="32" t="str">
        <f t="shared" si="60"/>
        <v/>
      </c>
      <c r="N156" s="32" t="str">
        <f t="shared" si="60"/>
        <v/>
      </c>
      <c r="O156" s="32" t="str">
        <f t="shared" si="60"/>
        <v/>
      </c>
      <c r="P156" s="32" t="str">
        <f t="shared" si="60"/>
        <v/>
      </c>
      <c r="Q156" s="32" t="str">
        <f t="shared" si="60"/>
        <v/>
      </c>
      <c r="R156" s="32" t="str">
        <f t="shared" si="60"/>
        <v/>
      </c>
      <c r="S156" s="32" t="str">
        <f t="shared" si="60"/>
        <v/>
      </c>
      <c r="T156" s="32" t="str">
        <f t="shared" si="60"/>
        <v/>
      </c>
      <c r="U156" s="32" t="str">
        <f t="shared" si="60"/>
        <v/>
      </c>
      <c r="V156" s="32" t="str">
        <f t="shared" si="60"/>
        <v/>
      </c>
      <c r="W156" s="32" t="str">
        <f t="shared" si="60"/>
        <v/>
      </c>
      <c r="X156" s="32" t="str">
        <f t="shared" si="60"/>
        <v/>
      </c>
    </row>
    <row r="157" spans="2:24"/>
    <row r="158" spans="2:24" ht="14.4">
      <c r="B158" s="151" t="s">
        <v>517</v>
      </c>
    </row>
    <row r="159" spans="2:24">
      <c r="B159" s="96" t="s">
        <v>518</v>
      </c>
      <c r="C159" s="97" t="s">
        <v>519</v>
      </c>
      <c r="D159" s="97"/>
      <c r="E159" s="97"/>
      <c r="F159" s="97"/>
      <c r="G159" s="98"/>
      <c r="H159" s="98"/>
      <c r="I159" s="98"/>
      <c r="J159" s="98"/>
      <c r="K159" s="98">
        <f>SUM(K160:K163)</f>
        <v>0</v>
      </c>
      <c r="L159" s="98">
        <f t="shared" ref="L159:X159" si="61">SUM(L160:L163)</f>
        <v>0</v>
      </c>
      <c r="M159" s="98">
        <f t="shared" si="61"/>
        <v>0</v>
      </c>
      <c r="N159" s="98">
        <f t="shared" si="61"/>
        <v>0</v>
      </c>
      <c r="O159" s="98">
        <f t="shared" si="61"/>
        <v>0</v>
      </c>
      <c r="P159" s="98">
        <f t="shared" si="61"/>
        <v>0</v>
      </c>
      <c r="Q159" s="98">
        <f t="shared" si="61"/>
        <v>0</v>
      </c>
      <c r="R159" s="98">
        <f t="shared" si="61"/>
        <v>0</v>
      </c>
      <c r="S159" s="98">
        <f t="shared" si="61"/>
        <v>0</v>
      </c>
      <c r="T159" s="98">
        <f t="shared" si="61"/>
        <v>0</v>
      </c>
      <c r="U159" s="98">
        <f t="shared" si="61"/>
        <v>0</v>
      </c>
      <c r="V159" s="98">
        <f t="shared" si="61"/>
        <v>0</v>
      </c>
      <c r="W159" s="98">
        <f t="shared" si="61"/>
        <v>0</v>
      </c>
      <c r="X159" s="98">
        <f t="shared" si="61"/>
        <v>0</v>
      </c>
    </row>
    <row r="160" spans="2:24">
      <c r="B160" s="94" t="s">
        <v>520</v>
      </c>
      <c r="C160" s="19"/>
      <c r="D160" s="19"/>
      <c r="E160" s="19"/>
      <c r="F160" s="19"/>
      <c r="G160" s="95"/>
      <c r="H160" s="95"/>
      <c r="I160" s="95"/>
      <c r="J160" s="95"/>
      <c r="K160" s="95">
        <f>Przychody!K241</f>
        <v>0</v>
      </c>
      <c r="L160" s="95">
        <f>Przychody!L241</f>
        <v>0</v>
      </c>
      <c r="M160" s="95">
        <f>Przychody!M241</f>
        <v>0</v>
      </c>
      <c r="N160" s="95">
        <f>Przychody!N241</f>
        <v>0</v>
      </c>
      <c r="O160" s="95">
        <f>Przychody!O241</f>
        <v>0</v>
      </c>
      <c r="P160" s="95">
        <f>Przychody!P241</f>
        <v>0</v>
      </c>
      <c r="Q160" s="95">
        <f>Przychody!Q241</f>
        <v>0</v>
      </c>
      <c r="R160" s="95">
        <f>Przychody!R241</f>
        <v>0</v>
      </c>
      <c r="S160" s="95">
        <f>Przychody!S241</f>
        <v>0</v>
      </c>
      <c r="T160" s="95">
        <f>Przychody!T241</f>
        <v>0</v>
      </c>
      <c r="U160" s="95">
        <f>Przychody!U241</f>
        <v>0</v>
      </c>
      <c r="V160" s="95">
        <f>Przychody!V241</f>
        <v>0</v>
      </c>
      <c r="W160" s="95">
        <f>Przychody!W241</f>
        <v>0</v>
      </c>
      <c r="X160" s="95">
        <f>Przychody!X241</f>
        <v>0</v>
      </c>
    </row>
    <row r="161" spans="2:24">
      <c r="B161" s="37" t="s">
        <v>521</v>
      </c>
      <c r="C161" s="52"/>
      <c r="D161" s="52"/>
      <c r="E161" s="52"/>
      <c r="F161" s="52"/>
      <c r="G161" s="33"/>
      <c r="H161" s="33"/>
      <c r="I161" s="33"/>
      <c r="J161" s="33"/>
      <c r="K161" s="33">
        <f>Przychody!K242</f>
        <v>0</v>
      </c>
      <c r="L161" s="33">
        <f>Przychody!L242</f>
        <v>0</v>
      </c>
      <c r="M161" s="33">
        <f>Przychody!M242</f>
        <v>0</v>
      </c>
      <c r="N161" s="33">
        <f>Przychody!N242</f>
        <v>0</v>
      </c>
      <c r="O161" s="33">
        <f>Przychody!O242</f>
        <v>0</v>
      </c>
      <c r="P161" s="33">
        <f>Przychody!P242</f>
        <v>0</v>
      </c>
      <c r="Q161" s="33">
        <f>Przychody!Q242</f>
        <v>0</v>
      </c>
      <c r="R161" s="33">
        <f>Przychody!R242</f>
        <v>0</v>
      </c>
      <c r="S161" s="33">
        <f>Przychody!S242</f>
        <v>0</v>
      </c>
      <c r="T161" s="33">
        <f>Przychody!T242</f>
        <v>0</v>
      </c>
      <c r="U161" s="33">
        <f>Przychody!U242</f>
        <v>0</v>
      </c>
      <c r="V161" s="33">
        <f>Przychody!V242</f>
        <v>0</v>
      </c>
      <c r="W161" s="5">
        <f>Przychody!W242</f>
        <v>0</v>
      </c>
      <c r="X161" s="5">
        <f>Przychody!X242</f>
        <v>0</v>
      </c>
    </row>
    <row r="162" spans="2:24">
      <c r="B162" s="8" t="s">
        <v>522</v>
      </c>
      <c r="G162" s="5"/>
      <c r="H162" s="5"/>
      <c r="I162" s="5"/>
      <c r="J162" s="5"/>
      <c r="K162" s="5">
        <f>Przychody!K243</f>
        <v>0</v>
      </c>
      <c r="L162" s="5">
        <f>Przychody!L243</f>
        <v>0</v>
      </c>
      <c r="M162" s="5">
        <f>Przychody!M243</f>
        <v>0</v>
      </c>
      <c r="N162" s="5">
        <f>Przychody!N243</f>
        <v>0</v>
      </c>
      <c r="O162" s="5">
        <f>Przychody!O243</f>
        <v>0</v>
      </c>
      <c r="P162" s="5">
        <f>Przychody!P243</f>
        <v>0</v>
      </c>
      <c r="Q162" s="5">
        <f>Przychody!Q243</f>
        <v>0</v>
      </c>
      <c r="R162" s="5">
        <f>Przychody!R243</f>
        <v>0</v>
      </c>
      <c r="S162" s="5">
        <f>Przychody!S243</f>
        <v>0</v>
      </c>
      <c r="T162" s="5">
        <f>Przychody!T243</f>
        <v>0</v>
      </c>
      <c r="U162" s="5">
        <f>Przychody!U243</f>
        <v>0</v>
      </c>
      <c r="V162" s="5">
        <f>Przychody!V243</f>
        <v>0</v>
      </c>
      <c r="W162" s="5">
        <f>Przychody!W243</f>
        <v>0</v>
      </c>
      <c r="X162" s="5">
        <f>Przychody!X243</f>
        <v>0</v>
      </c>
    </row>
    <row r="163" spans="2:24">
      <c r="B163" s="89" t="s">
        <v>523</v>
      </c>
      <c r="C163" s="90"/>
      <c r="D163" s="90"/>
      <c r="E163" s="90"/>
      <c r="F163" s="90"/>
      <c r="G163" s="91"/>
      <c r="H163" s="91"/>
      <c r="I163" s="91"/>
      <c r="J163" s="91"/>
      <c r="K163" s="91">
        <f>Przychody!K244</f>
        <v>0</v>
      </c>
      <c r="L163" s="91">
        <f>Przychody!L244</f>
        <v>0</v>
      </c>
      <c r="M163" s="91">
        <f>Przychody!M244</f>
        <v>0</v>
      </c>
      <c r="N163" s="91">
        <f>Przychody!N244</f>
        <v>0</v>
      </c>
      <c r="O163" s="91">
        <f>Przychody!O244</f>
        <v>0</v>
      </c>
      <c r="P163" s="91">
        <f>Przychody!P244</f>
        <v>0</v>
      </c>
      <c r="Q163" s="91">
        <f>Przychody!Q244</f>
        <v>0</v>
      </c>
      <c r="R163" s="91">
        <f>Przychody!R244</f>
        <v>0</v>
      </c>
      <c r="S163" s="91">
        <f>Przychody!S244</f>
        <v>0</v>
      </c>
      <c r="T163" s="91">
        <f>Przychody!T244</f>
        <v>0</v>
      </c>
      <c r="U163" s="91">
        <f>Przychody!U244</f>
        <v>0</v>
      </c>
      <c r="V163" s="91">
        <f>Przychody!V244</f>
        <v>0</v>
      </c>
      <c r="W163" s="91">
        <f>Przychody!W244</f>
        <v>0</v>
      </c>
      <c r="X163" s="91">
        <f>Przychody!X244</f>
        <v>0</v>
      </c>
    </row>
    <row r="164" spans="2:24">
      <c r="B164" s="99" t="s">
        <v>226</v>
      </c>
      <c r="C164" s="97" t="s">
        <v>524</v>
      </c>
      <c r="D164" s="97"/>
      <c r="E164" s="97"/>
      <c r="F164" s="97"/>
      <c r="G164" s="98"/>
      <c r="H164" s="98"/>
      <c r="I164" s="98"/>
      <c r="J164" s="98"/>
      <c r="K164" s="98">
        <f t="shared" ref="K164:X164" ca="1" si="62">SUM(K165:K172)</f>
        <v>0</v>
      </c>
      <c r="L164" s="98">
        <f t="shared" ca="1" si="62"/>
        <v>0</v>
      </c>
      <c r="M164" s="98">
        <f t="shared" ca="1" si="62"/>
        <v>0</v>
      </c>
      <c r="N164" s="98">
        <f t="shared" ca="1" si="62"/>
        <v>0</v>
      </c>
      <c r="O164" s="98">
        <f t="shared" ca="1" si="62"/>
        <v>0</v>
      </c>
      <c r="P164" s="98">
        <f t="shared" ca="1" si="62"/>
        <v>0</v>
      </c>
      <c r="Q164" s="98">
        <f t="shared" ca="1" si="62"/>
        <v>0</v>
      </c>
      <c r="R164" s="98">
        <f t="shared" ca="1" si="62"/>
        <v>0</v>
      </c>
      <c r="S164" s="98">
        <f t="shared" ca="1" si="62"/>
        <v>0</v>
      </c>
      <c r="T164" s="98">
        <f t="shared" ca="1" si="62"/>
        <v>0</v>
      </c>
      <c r="U164" s="98">
        <f t="shared" ca="1" si="62"/>
        <v>0</v>
      </c>
      <c r="V164" s="98">
        <f t="shared" ca="1" si="62"/>
        <v>0</v>
      </c>
      <c r="W164" s="98">
        <f t="shared" ca="1" si="62"/>
        <v>0</v>
      </c>
      <c r="X164" s="98">
        <f t="shared" ca="1" si="62"/>
        <v>0</v>
      </c>
    </row>
    <row r="165" spans="2:24">
      <c r="B165" s="94" t="s">
        <v>525</v>
      </c>
      <c r="C165" s="19" t="s">
        <v>526</v>
      </c>
      <c r="D165" s="19"/>
      <c r="E165" s="19"/>
      <c r="F165" s="19"/>
      <c r="G165" s="95"/>
      <c r="H165" s="95"/>
      <c r="I165" s="95"/>
      <c r="J165" s="95"/>
      <c r="K165" s="95">
        <f ca="1">'Środki trwałe'!K798</f>
        <v>0</v>
      </c>
      <c r="L165" s="95">
        <f ca="1">'Środki trwałe'!L798</f>
        <v>0</v>
      </c>
      <c r="M165" s="95">
        <f ca="1">'Środki trwałe'!M798</f>
        <v>0</v>
      </c>
      <c r="N165" s="95">
        <f ca="1">'Środki trwałe'!N798</f>
        <v>0</v>
      </c>
      <c r="O165" s="95">
        <f ca="1">'Środki trwałe'!O798</f>
        <v>0</v>
      </c>
      <c r="P165" s="95">
        <f ca="1">'Środki trwałe'!P798</f>
        <v>0</v>
      </c>
      <c r="Q165" s="95">
        <f ca="1">'Środki trwałe'!Q798</f>
        <v>0</v>
      </c>
      <c r="R165" s="95">
        <f ca="1">'Środki trwałe'!R798</f>
        <v>0</v>
      </c>
      <c r="S165" s="95">
        <f ca="1">'Środki trwałe'!S798</f>
        <v>0</v>
      </c>
      <c r="T165" s="95">
        <f ca="1">'Środki trwałe'!T798</f>
        <v>0</v>
      </c>
      <c r="U165" s="95">
        <f ca="1">'Środki trwałe'!U798</f>
        <v>0</v>
      </c>
      <c r="V165" s="95">
        <f ca="1">'Środki trwałe'!V798</f>
        <v>0</v>
      </c>
      <c r="W165" s="95">
        <f ca="1">'Środki trwałe'!W798</f>
        <v>0</v>
      </c>
      <c r="X165" s="95">
        <f ca="1">'Środki trwałe'!X798</f>
        <v>0</v>
      </c>
    </row>
    <row r="166" spans="2:24">
      <c r="B166" s="52" t="s">
        <v>527</v>
      </c>
      <c r="C166" s="52"/>
      <c r="D166" s="52"/>
      <c r="E166" s="52"/>
      <c r="F166" s="52"/>
      <c r="G166" s="33"/>
      <c r="H166" s="33"/>
      <c r="I166" s="33"/>
      <c r="J166" s="33"/>
      <c r="K166" s="33">
        <f>'Koszty operacyjne'!K618</f>
        <v>0</v>
      </c>
      <c r="L166" s="33">
        <f>'Koszty operacyjne'!L618</f>
        <v>0</v>
      </c>
      <c r="M166" s="33">
        <f>'Koszty operacyjne'!M618</f>
        <v>0</v>
      </c>
      <c r="N166" s="33">
        <f>'Koszty operacyjne'!N618</f>
        <v>0</v>
      </c>
      <c r="O166" s="33">
        <f>'Koszty operacyjne'!O618</f>
        <v>0</v>
      </c>
      <c r="P166" s="33">
        <f>'Koszty operacyjne'!P618</f>
        <v>0</v>
      </c>
      <c r="Q166" s="33">
        <f>'Koszty operacyjne'!Q618</f>
        <v>0</v>
      </c>
      <c r="R166" s="33">
        <f>'Koszty operacyjne'!R618</f>
        <v>0</v>
      </c>
      <c r="S166" s="33">
        <f>'Koszty operacyjne'!S618</f>
        <v>0</v>
      </c>
      <c r="T166" s="33">
        <f>'Koszty operacyjne'!T618</f>
        <v>0</v>
      </c>
      <c r="U166" s="33">
        <f>'Koszty operacyjne'!U618</f>
        <v>0</v>
      </c>
      <c r="V166" s="33">
        <f>'Koszty operacyjne'!V618</f>
        <v>0</v>
      </c>
      <c r="W166" s="33">
        <f>'Koszty operacyjne'!W618</f>
        <v>0</v>
      </c>
      <c r="X166" s="33">
        <f>'Koszty operacyjne'!X618</f>
        <v>0</v>
      </c>
    </row>
    <row r="167" spans="2:24">
      <c r="B167" s="37" t="s">
        <v>528</v>
      </c>
      <c r="C167" s="52"/>
      <c r="D167" s="52"/>
      <c r="E167" s="52"/>
      <c r="F167" s="52"/>
      <c r="G167" s="33"/>
      <c r="H167" s="33"/>
      <c r="I167" s="33"/>
      <c r="J167" s="33"/>
      <c r="K167" s="33">
        <f>'Koszty operacyjne'!K619</f>
        <v>0</v>
      </c>
      <c r="L167" s="33">
        <f>'Koszty operacyjne'!L619</f>
        <v>0</v>
      </c>
      <c r="M167" s="33">
        <f>'Koszty operacyjne'!M619</f>
        <v>0</v>
      </c>
      <c r="N167" s="33">
        <f>'Koszty operacyjne'!N619</f>
        <v>0</v>
      </c>
      <c r="O167" s="33">
        <f>'Koszty operacyjne'!O619</f>
        <v>0</v>
      </c>
      <c r="P167" s="33">
        <f>'Koszty operacyjne'!P619</f>
        <v>0</v>
      </c>
      <c r="Q167" s="33">
        <f>'Koszty operacyjne'!Q619</f>
        <v>0</v>
      </c>
      <c r="R167" s="33">
        <f>'Koszty operacyjne'!R619</f>
        <v>0</v>
      </c>
      <c r="S167" s="33">
        <f>'Koszty operacyjne'!S619</f>
        <v>0</v>
      </c>
      <c r="T167" s="33">
        <f>'Koszty operacyjne'!T619</f>
        <v>0</v>
      </c>
      <c r="U167" s="33">
        <f>'Koszty operacyjne'!U619</f>
        <v>0</v>
      </c>
      <c r="V167" s="33">
        <f>'Koszty operacyjne'!V619</f>
        <v>0</v>
      </c>
      <c r="W167" s="33">
        <f>'Koszty operacyjne'!W619</f>
        <v>0</v>
      </c>
      <c r="X167" s="33">
        <f>'Koszty operacyjne'!X619</f>
        <v>0</v>
      </c>
    </row>
    <row r="168" spans="2:24">
      <c r="B168" s="37" t="s">
        <v>529</v>
      </c>
      <c r="C168" s="52"/>
      <c r="D168" s="52"/>
      <c r="E168" s="52"/>
      <c r="F168" s="52"/>
      <c r="G168" s="33"/>
      <c r="H168" s="33"/>
      <c r="I168" s="33"/>
      <c r="J168" s="33"/>
      <c r="K168" s="33">
        <f>'Koszty operacyjne'!K620</f>
        <v>0</v>
      </c>
      <c r="L168" s="33">
        <f>'Koszty operacyjne'!L620</f>
        <v>0</v>
      </c>
      <c r="M168" s="33">
        <f>'Koszty operacyjne'!M620</f>
        <v>0</v>
      </c>
      <c r="N168" s="33">
        <f>'Koszty operacyjne'!N620</f>
        <v>0</v>
      </c>
      <c r="O168" s="33">
        <f>'Koszty operacyjne'!O620</f>
        <v>0</v>
      </c>
      <c r="P168" s="33">
        <f>'Koszty operacyjne'!P620</f>
        <v>0</v>
      </c>
      <c r="Q168" s="33">
        <f>'Koszty operacyjne'!Q620</f>
        <v>0</v>
      </c>
      <c r="R168" s="33">
        <f>'Koszty operacyjne'!R620</f>
        <v>0</v>
      </c>
      <c r="S168" s="33">
        <f>'Koszty operacyjne'!S620</f>
        <v>0</v>
      </c>
      <c r="T168" s="33">
        <f>'Koszty operacyjne'!T620</f>
        <v>0</v>
      </c>
      <c r="U168" s="33">
        <f>'Koszty operacyjne'!U620</f>
        <v>0</v>
      </c>
      <c r="V168" s="33">
        <f>'Koszty operacyjne'!V620</f>
        <v>0</v>
      </c>
      <c r="W168" s="33">
        <f>'Koszty operacyjne'!W620</f>
        <v>0</v>
      </c>
      <c r="X168" s="33">
        <f>'Koszty operacyjne'!X620</f>
        <v>0</v>
      </c>
    </row>
    <row r="169" spans="2:24">
      <c r="B169" s="37" t="s">
        <v>530</v>
      </c>
      <c r="C169" s="52"/>
      <c r="D169" s="52"/>
      <c r="E169" s="52"/>
      <c r="F169" s="52"/>
      <c r="G169" s="33"/>
      <c r="H169" s="33"/>
      <c r="I169" s="33"/>
      <c r="J169" s="33"/>
      <c r="K169" s="33">
        <f>'Koszty operacyjne'!K621</f>
        <v>0</v>
      </c>
      <c r="L169" s="33">
        <f>'Koszty operacyjne'!L621</f>
        <v>0</v>
      </c>
      <c r="M169" s="33">
        <f>'Koszty operacyjne'!M621</f>
        <v>0</v>
      </c>
      <c r="N169" s="33">
        <f>'Koszty operacyjne'!N621</f>
        <v>0</v>
      </c>
      <c r="O169" s="33">
        <f>'Koszty operacyjne'!O621</f>
        <v>0</v>
      </c>
      <c r="P169" s="33">
        <f>'Koszty operacyjne'!P621</f>
        <v>0</v>
      </c>
      <c r="Q169" s="33">
        <f>'Koszty operacyjne'!Q621</f>
        <v>0</v>
      </c>
      <c r="R169" s="33">
        <f>'Koszty operacyjne'!R621</f>
        <v>0</v>
      </c>
      <c r="S169" s="33">
        <f>'Koszty operacyjne'!S621</f>
        <v>0</v>
      </c>
      <c r="T169" s="33">
        <f>'Koszty operacyjne'!T621</f>
        <v>0</v>
      </c>
      <c r="U169" s="33">
        <f>'Koszty operacyjne'!U621</f>
        <v>0</v>
      </c>
      <c r="V169" s="33">
        <f>'Koszty operacyjne'!V621</f>
        <v>0</v>
      </c>
      <c r="W169" s="33">
        <f>'Koszty operacyjne'!W621</f>
        <v>0</v>
      </c>
      <c r="X169" s="33">
        <f>'Koszty operacyjne'!X621</f>
        <v>0</v>
      </c>
    </row>
    <row r="170" spans="2:24">
      <c r="B170" s="37" t="s">
        <v>531</v>
      </c>
      <c r="C170" s="52"/>
      <c r="D170" s="52"/>
      <c r="E170" s="52"/>
      <c r="F170" s="52"/>
      <c r="G170" s="33"/>
      <c r="H170" s="33"/>
      <c r="I170" s="33"/>
      <c r="J170" s="33"/>
      <c r="K170" s="33">
        <f>'Koszty operacyjne'!K622</f>
        <v>0</v>
      </c>
      <c r="L170" s="33">
        <f>'Koszty operacyjne'!L622</f>
        <v>0</v>
      </c>
      <c r="M170" s="33">
        <f>'Koszty operacyjne'!M622</f>
        <v>0</v>
      </c>
      <c r="N170" s="33">
        <f>'Koszty operacyjne'!N622</f>
        <v>0</v>
      </c>
      <c r="O170" s="33">
        <f>'Koszty operacyjne'!O622</f>
        <v>0</v>
      </c>
      <c r="P170" s="33">
        <f>'Koszty operacyjne'!P622</f>
        <v>0</v>
      </c>
      <c r="Q170" s="33">
        <f>'Koszty operacyjne'!Q622</f>
        <v>0</v>
      </c>
      <c r="R170" s="33">
        <f>'Koszty operacyjne'!R622</f>
        <v>0</v>
      </c>
      <c r="S170" s="33">
        <f>'Koszty operacyjne'!S622</f>
        <v>0</v>
      </c>
      <c r="T170" s="33">
        <f>'Koszty operacyjne'!T622</f>
        <v>0</v>
      </c>
      <c r="U170" s="33">
        <f>'Koszty operacyjne'!U622</f>
        <v>0</v>
      </c>
      <c r="V170" s="33">
        <f>'Koszty operacyjne'!V622</f>
        <v>0</v>
      </c>
      <c r="W170" s="33">
        <f>'Koszty operacyjne'!W622</f>
        <v>0</v>
      </c>
      <c r="X170" s="33">
        <f>'Koszty operacyjne'!X622</f>
        <v>0</v>
      </c>
    </row>
    <row r="171" spans="2:24">
      <c r="B171" s="37" t="s">
        <v>532</v>
      </c>
      <c r="C171" s="52"/>
      <c r="D171" s="52"/>
      <c r="E171" s="52"/>
      <c r="F171" s="52"/>
      <c r="G171" s="33"/>
      <c r="H171" s="33"/>
      <c r="I171" s="33"/>
      <c r="J171" s="33"/>
      <c r="K171" s="33">
        <f>'Koszty operacyjne'!K623</f>
        <v>0</v>
      </c>
      <c r="L171" s="33">
        <f>'Koszty operacyjne'!L623</f>
        <v>0</v>
      </c>
      <c r="M171" s="33">
        <f>'Koszty operacyjne'!M623</f>
        <v>0</v>
      </c>
      <c r="N171" s="33">
        <f>'Koszty operacyjne'!N623</f>
        <v>0</v>
      </c>
      <c r="O171" s="33">
        <f>'Koszty operacyjne'!O623</f>
        <v>0</v>
      </c>
      <c r="P171" s="33">
        <f>'Koszty operacyjne'!P623</f>
        <v>0</v>
      </c>
      <c r="Q171" s="33">
        <f>'Koszty operacyjne'!Q623</f>
        <v>0</v>
      </c>
      <c r="R171" s="33">
        <f>'Koszty operacyjne'!R623</f>
        <v>0</v>
      </c>
      <c r="S171" s="33">
        <f>'Koszty operacyjne'!S623</f>
        <v>0</v>
      </c>
      <c r="T171" s="33">
        <f>'Koszty operacyjne'!T623</f>
        <v>0</v>
      </c>
      <c r="U171" s="33">
        <f>'Koszty operacyjne'!U623</f>
        <v>0</v>
      </c>
      <c r="V171" s="33">
        <f>'Koszty operacyjne'!V623</f>
        <v>0</v>
      </c>
      <c r="W171" s="33">
        <f>'Koszty operacyjne'!W623</f>
        <v>0</v>
      </c>
      <c r="X171" s="33">
        <f>'Koszty operacyjne'!X623</f>
        <v>0</v>
      </c>
    </row>
    <row r="172" spans="2:24">
      <c r="B172" s="89" t="s">
        <v>533</v>
      </c>
      <c r="C172" s="90"/>
      <c r="D172" s="90"/>
      <c r="E172" s="90"/>
      <c r="F172" s="90"/>
      <c r="G172" s="91"/>
      <c r="H172" s="91"/>
      <c r="I172" s="91"/>
      <c r="J172" s="91"/>
      <c r="K172" s="91">
        <f>'Koszty operacyjne'!K624</f>
        <v>0</v>
      </c>
      <c r="L172" s="91">
        <f>'Koszty operacyjne'!L624</f>
        <v>0</v>
      </c>
      <c r="M172" s="91">
        <f>'Koszty operacyjne'!M624</f>
        <v>0</v>
      </c>
      <c r="N172" s="91">
        <f>'Koszty operacyjne'!N624</f>
        <v>0</v>
      </c>
      <c r="O172" s="91">
        <f>'Koszty operacyjne'!O624</f>
        <v>0</v>
      </c>
      <c r="P172" s="91">
        <f>'Koszty operacyjne'!P624</f>
        <v>0</v>
      </c>
      <c r="Q172" s="91">
        <f>'Koszty operacyjne'!Q624</f>
        <v>0</v>
      </c>
      <c r="R172" s="91">
        <f>'Koszty operacyjne'!R624</f>
        <v>0</v>
      </c>
      <c r="S172" s="91">
        <f>'Koszty operacyjne'!S624</f>
        <v>0</v>
      </c>
      <c r="T172" s="91">
        <f>'Koszty operacyjne'!T624</f>
        <v>0</v>
      </c>
      <c r="U172" s="91">
        <f>'Koszty operacyjne'!U624</f>
        <v>0</v>
      </c>
      <c r="V172" s="91">
        <f>'Koszty operacyjne'!V624</f>
        <v>0</v>
      </c>
      <c r="W172" s="91">
        <f>'Koszty operacyjne'!W624</f>
        <v>0</v>
      </c>
      <c r="X172" s="91">
        <f>'Koszty operacyjne'!X624</f>
        <v>0</v>
      </c>
    </row>
    <row r="173" spans="2:24">
      <c r="B173" s="99" t="s">
        <v>534</v>
      </c>
      <c r="C173" s="97"/>
      <c r="D173" s="97"/>
      <c r="E173" s="97"/>
      <c r="F173" s="97"/>
      <c r="G173" s="98"/>
      <c r="H173" s="98"/>
      <c r="I173" s="98"/>
      <c r="J173" s="98"/>
      <c r="K173" s="98">
        <f t="shared" ref="K173:X173" ca="1" si="63">K159-K164</f>
        <v>0</v>
      </c>
      <c r="L173" s="98">
        <f t="shared" ca="1" si="63"/>
        <v>0</v>
      </c>
      <c r="M173" s="98">
        <f t="shared" ca="1" si="63"/>
        <v>0</v>
      </c>
      <c r="N173" s="98">
        <f t="shared" ca="1" si="63"/>
        <v>0</v>
      </c>
      <c r="O173" s="98">
        <f t="shared" ca="1" si="63"/>
        <v>0</v>
      </c>
      <c r="P173" s="98">
        <f t="shared" ca="1" si="63"/>
        <v>0</v>
      </c>
      <c r="Q173" s="98">
        <f t="shared" ca="1" si="63"/>
        <v>0</v>
      </c>
      <c r="R173" s="98">
        <f t="shared" ca="1" si="63"/>
        <v>0</v>
      </c>
      <c r="S173" s="98">
        <f t="shared" ca="1" si="63"/>
        <v>0</v>
      </c>
      <c r="T173" s="98">
        <f t="shared" ca="1" si="63"/>
        <v>0</v>
      </c>
      <c r="U173" s="98">
        <f t="shared" ca="1" si="63"/>
        <v>0</v>
      </c>
      <c r="V173" s="98">
        <f t="shared" ca="1" si="63"/>
        <v>0</v>
      </c>
      <c r="W173" s="98">
        <f t="shared" ca="1" si="63"/>
        <v>0</v>
      </c>
      <c r="X173" s="98">
        <f t="shared" ca="1" si="63"/>
        <v>0</v>
      </c>
    </row>
    <row r="174" spans="2:24">
      <c r="B174" s="17" t="s">
        <v>237</v>
      </c>
      <c r="C174" s="19"/>
      <c r="D174" s="19"/>
      <c r="E174" s="19"/>
      <c r="F174" s="19"/>
      <c r="G174" s="18"/>
      <c r="H174" s="18"/>
      <c r="I174" s="18"/>
      <c r="J174" s="18"/>
      <c r="K174" s="18">
        <f ca="1">Przychody!K247</f>
        <v>0</v>
      </c>
      <c r="L174" s="18">
        <f ca="1">Przychody!L247</f>
        <v>0</v>
      </c>
      <c r="M174" s="18">
        <f ca="1">Przychody!M247</f>
        <v>0</v>
      </c>
      <c r="N174" s="18">
        <f ca="1">Przychody!N247</f>
        <v>0</v>
      </c>
      <c r="O174" s="18">
        <f ca="1">Przychody!O247</f>
        <v>0</v>
      </c>
      <c r="P174" s="18">
        <f ca="1">Przychody!P247</f>
        <v>0</v>
      </c>
      <c r="Q174" s="18">
        <f ca="1">Przychody!Q247</f>
        <v>0</v>
      </c>
      <c r="R174" s="18">
        <f ca="1">Przychody!R247</f>
        <v>0</v>
      </c>
      <c r="S174" s="18">
        <f ca="1">Przychody!S247</f>
        <v>0</v>
      </c>
      <c r="T174" s="18">
        <f ca="1">Przychody!T247</f>
        <v>0</v>
      </c>
      <c r="U174" s="18">
        <f ca="1">Przychody!U247</f>
        <v>0</v>
      </c>
      <c r="V174" s="18">
        <f ca="1">Przychody!V247</f>
        <v>0</v>
      </c>
      <c r="W174" s="18">
        <f ca="1">Przychody!W247</f>
        <v>0</v>
      </c>
      <c r="X174" s="18">
        <f ca="1">Przychody!X247</f>
        <v>0</v>
      </c>
    </row>
    <row r="175" spans="2:24">
      <c r="B175" s="37" t="s">
        <v>535</v>
      </c>
      <c r="C175" s="52"/>
      <c r="D175" s="52"/>
      <c r="E175" s="52"/>
      <c r="F175" s="52"/>
      <c r="G175" s="33"/>
      <c r="H175" s="33"/>
      <c r="I175" s="33"/>
      <c r="J175" s="33"/>
      <c r="K175" s="33">
        <f ca="1">ROUND('Rozliczenie dotacji'!K252,0)</f>
        <v>0</v>
      </c>
      <c r="L175" s="33">
        <f ca="1">ROUND('Rozliczenie dotacji'!L252,0)</f>
        <v>0</v>
      </c>
      <c r="M175" s="33">
        <f ca="1">ROUND('Rozliczenie dotacji'!M252,0)</f>
        <v>0</v>
      </c>
      <c r="N175" s="33">
        <f ca="1">ROUND('Rozliczenie dotacji'!N252,0)</f>
        <v>0</v>
      </c>
      <c r="O175" s="33">
        <f ca="1">ROUND('Rozliczenie dotacji'!O252,0)</f>
        <v>0</v>
      </c>
      <c r="P175" s="33">
        <f ca="1">ROUND('Rozliczenie dotacji'!P252,0)</f>
        <v>0</v>
      </c>
      <c r="Q175" s="33">
        <f ca="1">ROUND('Rozliczenie dotacji'!Q252,0)</f>
        <v>0</v>
      </c>
      <c r="R175" s="33">
        <f ca="1">ROUND('Rozliczenie dotacji'!R252,0)</f>
        <v>0</v>
      </c>
      <c r="S175" s="33">
        <f ca="1">ROUND('Rozliczenie dotacji'!S252,0)</f>
        <v>0</v>
      </c>
      <c r="T175" s="33">
        <f ca="1">ROUND('Rozliczenie dotacji'!T252,0)</f>
        <v>0</v>
      </c>
      <c r="U175" s="33">
        <f ca="1">ROUND('Rozliczenie dotacji'!U252,0)</f>
        <v>0</v>
      </c>
      <c r="V175" s="33">
        <f ca="1">ROUND('Rozliczenie dotacji'!V252,0)</f>
        <v>0</v>
      </c>
      <c r="W175" s="33">
        <f ca="1">ROUND('Rozliczenie dotacji'!W252,0)</f>
        <v>0</v>
      </c>
      <c r="X175" s="33">
        <f ca="1">ROUND('Rozliczenie dotacji'!X252,0)</f>
        <v>0</v>
      </c>
    </row>
    <row r="176" spans="2:24">
      <c r="B176" s="92" t="s">
        <v>241</v>
      </c>
      <c r="C176" s="90"/>
      <c r="D176" s="90"/>
      <c r="E176" s="90"/>
      <c r="F176" s="90"/>
      <c r="G176" s="93"/>
      <c r="H176" s="93"/>
      <c r="I176" s="93"/>
      <c r="J176" s="93"/>
      <c r="K176" s="93">
        <f>'Koszty operacyjne'!K625</f>
        <v>0</v>
      </c>
      <c r="L176" s="93">
        <f>'Koszty operacyjne'!L625</f>
        <v>0</v>
      </c>
      <c r="M176" s="93">
        <f>'Koszty operacyjne'!M625</f>
        <v>0</v>
      </c>
      <c r="N176" s="93">
        <f>'Koszty operacyjne'!N625</f>
        <v>0</v>
      </c>
      <c r="O176" s="93">
        <f>'Koszty operacyjne'!O625</f>
        <v>0</v>
      </c>
      <c r="P176" s="93">
        <f>'Koszty operacyjne'!P625</f>
        <v>0</v>
      </c>
      <c r="Q176" s="93">
        <f>'Koszty operacyjne'!Q625</f>
        <v>0</v>
      </c>
      <c r="R176" s="93">
        <f>'Koszty operacyjne'!R625</f>
        <v>0</v>
      </c>
      <c r="S176" s="93">
        <f>'Koszty operacyjne'!S625</f>
        <v>0</v>
      </c>
      <c r="T176" s="93">
        <f>'Koszty operacyjne'!T625</f>
        <v>0</v>
      </c>
      <c r="U176" s="93">
        <f>'Koszty operacyjne'!U625</f>
        <v>0</v>
      </c>
      <c r="V176" s="93">
        <f>'Koszty operacyjne'!V625</f>
        <v>0</v>
      </c>
      <c r="W176" s="93">
        <f>'Koszty operacyjne'!W625</f>
        <v>0</v>
      </c>
      <c r="X176" s="93">
        <f>'Koszty operacyjne'!X625</f>
        <v>0</v>
      </c>
    </row>
    <row r="177" spans="2:24">
      <c r="B177" s="99" t="s">
        <v>536</v>
      </c>
      <c r="C177" s="97" t="s">
        <v>537</v>
      </c>
      <c r="D177" s="97"/>
      <c r="E177" s="97"/>
      <c r="F177" s="97"/>
      <c r="G177" s="98"/>
      <c r="H177" s="98"/>
      <c r="I177" s="98"/>
      <c r="J177" s="98"/>
      <c r="K177" s="98">
        <f t="shared" ref="K177:X177" ca="1" si="64">K173+K174-K176</f>
        <v>0</v>
      </c>
      <c r="L177" s="98">
        <f t="shared" ca="1" si="64"/>
        <v>0</v>
      </c>
      <c r="M177" s="98">
        <f t="shared" ca="1" si="64"/>
        <v>0</v>
      </c>
      <c r="N177" s="98">
        <f t="shared" ca="1" si="64"/>
        <v>0</v>
      </c>
      <c r="O177" s="98">
        <f t="shared" ca="1" si="64"/>
        <v>0</v>
      </c>
      <c r="P177" s="98">
        <f t="shared" ca="1" si="64"/>
        <v>0</v>
      </c>
      <c r="Q177" s="98">
        <f t="shared" ca="1" si="64"/>
        <v>0</v>
      </c>
      <c r="R177" s="98">
        <f t="shared" ca="1" si="64"/>
        <v>0</v>
      </c>
      <c r="S177" s="98">
        <f t="shared" ca="1" si="64"/>
        <v>0</v>
      </c>
      <c r="T177" s="98">
        <f t="shared" ca="1" si="64"/>
        <v>0</v>
      </c>
      <c r="U177" s="98">
        <f t="shared" ca="1" si="64"/>
        <v>0</v>
      </c>
      <c r="V177" s="98">
        <f t="shared" ca="1" si="64"/>
        <v>0</v>
      </c>
      <c r="W177" s="98">
        <f t="shared" ca="1" si="64"/>
        <v>0</v>
      </c>
      <c r="X177" s="98">
        <f t="shared" ca="1" si="64"/>
        <v>0</v>
      </c>
    </row>
    <row r="178" spans="2:24">
      <c r="B178" s="17" t="s">
        <v>246</v>
      </c>
      <c r="C178" s="19"/>
      <c r="D178" s="19"/>
      <c r="E178" s="19"/>
      <c r="F178" s="19"/>
      <c r="G178" s="18"/>
      <c r="H178" s="18"/>
      <c r="I178" s="18"/>
      <c r="J178" s="18"/>
      <c r="K178" s="18">
        <f>Przychody!K248</f>
        <v>0</v>
      </c>
      <c r="L178" s="18">
        <f ca="1">Przychody!L248</f>
        <v>0</v>
      </c>
      <c r="M178" s="18">
        <f ca="1">Przychody!M248</f>
        <v>0</v>
      </c>
      <c r="N178" s="18">
        <f ca="1">Przychody!N248</f>
        <v>0</v>
      </c>
      <c r="O178" s="18">
        <f ca="1">Przychody!O248</f>
        <v>0</v>
      </c>
      <c r="P178" s="18">
        <f ca="1">Przychody!P248</f>
        <v>0</v>
      </c>
      <c r="Q178" s="18">
        <f ca="1">Przychody!Q248</f>
        <v>0</v>
      </c>
      <c r="R178" s="18">
        <f ca="1">Przychody!R248</f>
        <v>0</v>
      </c>
      <c r="S178" s="18">
        <f ca="1">Przychody!S248</f>
        <v>0</v>
      </c>
      <c r="T178" s="18">
        <f ca="1">Przychody!T248</f>
        <v>0</v>
      </c>
      <c r="U178" s="18">
        <f ca="1">Przychody!U248</f>
        <v>0</v>
      </c>
      <c r="V178" s="18">
        <f ca="1">Przychody!V248</f>
        <v>0</v>
      </c>
      <c r="W178" s="18">
        <f ca="1">Przychody!W248</f>
        <v>0</v>
      </c>
      <c r="X178" s="18">
        <f ca="1">Przychody!X248</f>
        <v>0</v>
      </c>
    </row>
    <row r="179" spans="2:24">
      <c r="B179" s="88" t="s">
        <v>252</v>
      </c>
      <c r="C179" s="52"/>
      <c r="D179" s="52"/>
      <c r="E179" s="52"/>
      <c r="F179" s="52"/>
      <c r="G179" s="87"/>
      <c r="H179" s="87"/>
      <c r="I179" s="87"/>
      <c r="J179" s="87"/>
      <c r="K179" s="87">
        <f>ROUND('Koszty operacyjne'!K626,0)</f>
        <v>0</v>
      </c>
      <c r="L179" s="87">
        <f>ROUND('Koszty operacyjne'!L626,0)</f>
        <v>0</v>
      </c>
      <c r="M179" s="87">
        <f>ROUND('Koszty operacyjne'!M626,0)</f>
        <v>0</v>
      </c>
      <c r="N179" s="87">
        <f>ROUND('Koszty operacyjne'!N626,0)</f>
        <v>0</v>
      </c>
      <c r="O179" s="87">
        <f>ROUND('Koszty operacyjne'!O626,0)</f>
        <v>0</v>
      </c>
      <c r="P179" s="87">
        <f>ROUND('Koszty operacyjne'!P626,0)</f>
        <v>0</v>
      </c>
      <c r="Q179" s="87">
        <f>ROUND('Koszty operacyjne'!Q626,0)</f>
        <v>0</v>
      </c>
      <c r="R179" s="87">
        <f>ROUND('Koszty operacyjne'!R626,0)</f>
        <v>0</v>
      </c>
      <c r="S179" s="87">
        <f>ROUND('Koszty operacyjne'!S626,0)</f>
        <v>0</v>
      </c>
      <c r="T179" s="87">
        <f>ROUND('Koszty operacyjne'!T626,0)</f>
        <v>0</v>
      </c>
      <c r="U179" s="87">
        <f>ROUND('Koszty operacyjne'!U626,0)</f>
        <v>0</v>
      </c>
      <c r="V179" s="87">
        <f>ROUND('Koszty operacyjne'!V626,0)</f>
        <v>0</v>
      </c>
      <c r="W179" s="87">
        <f>ROUND('Koszty operacyjne'!W626,0)</f>
        <v>0</v>
      </c>
      <c r="X179" s="87">
        <f>ROUND('Koszty operacyjne'!X626,0)</f>
        <v>0</v>
      </c>
    </row>
    <row r="180" spans="2:24">
      <c r="B180" s="89" t="s">
        <v>538</v>
      </c>
      <c r="C180" s="90" t="s">
        <v>539</v>
      </c>
      <c r="D180" s="90"/>
      <c r="E180" s="90"/>
      <c r="F180" s="90"/>
      <c r="G180" s="91"/>
      <c r="H180" s="91"/>
      <c r="I180" s="91"/>
      <c r="J180" s="91"/>
      <c r="K180" s="91">
        <f>ROUND('Koszty operacyjne'!K595,0)</f>
        <v>0</v>
      </c>
      <c r="L180" s="91">
        <f>ROUND('Koszty operacyjne'!L595,0)</f>
        <v>0</v>
      </c>
      <c r="M180" s="91">
        <f>ROUND('Koszty operacyjne'!M595,0)</f>
        <v>0</v>
      </c>
      <c r="N180" s="91">
        <f>ROUND('Koszty operacyjne'!N595,0)</f>
        <v>0</v>
      </c>
      <c r="O180" s="91">
        <f>ROUND('Koszty operacyjne'!O595,0)</f>
        <v>0</v>
      </c>
      <c r="P180" s="91">
        <f>ROUND('Koszty operacyjne'!P595,0)</f>
        <v>0</v>
      </c>
      <c r="Q180" s="91">
        <f>ROUND('Koszty operacyjne'!Q595,0)</f>
        <v>0</v>
      </c>
      <c r="R180" s="91">
        <f>ROUND('Koszty operacyjne'!R595,0)</f>
        <v>0</v>
      </c>
      <c r="S180" s="91">
        <f>ROUND('Koszty operacyjne'!S595,0)</f>
        <v>0</v>
      </c>
      <c r="T180" s="91">
        <f>ROUND('Koszty operacyjne'!T595,0)</f>
        <v>0</v>
      </c>
      <c r="U180" s="91">
        <f>ROUND('Koszty operacyjne'!U595,0)</f>
        <v>0</v>
      </c>
      <c r="V180" s="91">
        <f>ROUND('Koszty operacyjne'!V595,0)</f>
        <v>0</v>
      </c>
      <c r="W180" s="91">
        <f>ROUND('Koszty operacyjne'!W595,0)</f>
        <v>0</v>
      </c>
      <c r="X180" s="91">
        <f>ROUND('Koszty operacyjne'!X595,0)</f>
        <v>0</v>
      </c>
    </row>
    <row r="181" spans="2:24">
      <c r="B181" s="99" t="s">
        <v>540</v>
      </c>
      <c r="C181" s="97"/>
      <c r="D181" s="97"/>
      <c r="E181" s="97"/>
      <c r="F181" s="97"/>
      <c r="G181" s="98"/>
      <c r="H181" s="98"/>
      <c r="I181" s="98"/>
      <c r="J181" s="98"/>
      <c r="K181" s="98">
        <f t="shared" ref="K181:X181" ca="1" si="65">K177+K178-K179</f>
        <v>0</v>
      </c>
      <c r="L181" s="98">
        <f t="shared" ca="1" si="65"/>
        <v>0</v>
      </c>
      <c r="M181" s="98">
        <f t="shared" ca="1" si="65"/>
        <v>0</v>
      </c>
      <c r="N181" s="98">
        <f t="shared" ca="1" si="65"/>
        <v>0</v>
      </c>
      <c r="O181" s="98">
        <f t="shared" ca="1" si="65"/>
        <v>0</v>
      </c>
      <c r="P181" s="98">
        <f t="shared" ca="1" si="65"/>
        <v>0</v>
      </c>
      <c r="Q181" s="98">
        <f t="shared" ca="1" si="65"/>
        <v>0</v>
      </c>
      <c r="R181" s="98">
        <f t="shared" ca="1" si="65"/>
        <v>0</v>
      </c>
      <c r="S181" s="98">
        <f t="shared" ca="1" si="65"/>
        <v>0</v>
      </c>
      <c r="T181" s="98">
        <f t="shared" ca="1" si="65"/>
        <v>0</v>
      </c>
      <c r="U181" s="98">
        <f t="shared" ca="1" si="65"/>
        <v>0</v>
      </c>
      <c r="V181" s="98">
        <f t="shared" ca="1" si="65"/>
        <v>0</v>
      </c>
      <c r="W181" s="98">
        <f t="shared" ca="1" si="65"/>
        <v>0</v>
      </c>
      <c r="X181" s="98">
        <f t="shared" ca="1" si="65"/>
        <v>0</v>
      </c>
    </row>
    <row r="182" spans="2:24">
      <c r="B182" s="7" t="s">
        <v>541</v>
      </c>
      <c r="G182" s="13"/>
      <c r="H182" s="13"/>
      <c r="I182" s="13"/>
      <c r="J182" s="13"/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</row>
    <row r="183" spans="2:24">
      <c r="B183" s="99" t="s">
        <v>542</v>
      </c>
      <c r="C183" s="97"/>
      <c r="D183" s="97"/>
      <c r="E183" s="97"/>
      <c r="F183" s="97"/>
      <c r="G183" s="98"/>
      <c r="H183" s="98"/>
      <c r="I183" s="98"/>
      <c r="J183" s="98"/>
      <c r="K183" s="98">
        <f t="shared" ref="K183:X183" ca="1" si="66">K181+K182</f>
        <v>0</v>
      </c>
      <c r="L183" s="98">
        <f t="shared" ca="1" si="66"/>
        <v>0</v>
      </c>
      <c r="M183" s="98">
        <f t="shared" ca="1" si="66"/>
        <v>0</v>
      </c>
      <c r="N183" s="98">
        <f t="shared" ca="1" si="66"/>
        <v>0</v>
      </c>
      <c r="O183" s="98">
        <f t="shared" ca="1" si="66"/>
        <v>0</v>
      </c>
      <c r="P183" s="98">
        <f t="shared" ca="1" si="66"/>
        <v>0</v>
      </c>
      <c r="Q183" s="98">
        <f t="shared" ca="1" si="66"/>
        <v>0</v>
      </c>
      <c r="R183" s="98">
        <f t="shared" ca="1" si="66"/>
        <v>0</v>
      </c>
      <c r="S183" s="98">
        <f t="shared" ca="1" si="66"/>
        <v>0</v>
      </c>
      <c r="T183" s="98">
        <f t="shared" ca="1" si="66"/>
        <v>0</v>
      </c>
      <c r="U183" s="98">
        <f t="shared" ca="1" si="66"/>
        <v>0</v>
      </c>
      <c r="V183" s="98">
        <f t="shared" ca="1" si="66"/>
        <v>0</v>
      </c>
      <c r="W183" s="98">
        <f t="shared" ca="1" si="66"/>
        <v>0</v>
      </c>
      <c r="X183" s="98">
        <f t="shared" ca="1" si="66"/>
        <v>0</v>
      </c>
    </row>
    <row r="184" spans="2:24">
      <c r="B184" s="17" t="s">
        <v>262</v>
      </c>
      <c r="C184" s="19"/>
      <c r="D184" s="19" t="s">
        <v>543</v>
      </c>
      <c r="E184" s="19"/>
      <c r="F184" s="19"/>
      <c r="G184" s="18"/>
      <c r="H184" s="18"/>
      <c r="I184" s="18"/>
      <c r="J184" s="18"/>
      <c r="K184" s="18">
        <f t="shared" ref="K184:X184" ca="1" si="67">IF(K183&lt;=0,0,ROUND(K183*CIT,0))</f>
        <v>0</v>
      </c>
      <c r="L184" s="18">
        <f t="shared" ca="1" si="67"/>
        <v>0</v>
      </c>
      <c r="M184" s="18">
        <f t="shared" ca="1" si="67"/>
        <v>0</v>
      </c>
      <c r="N184" s="18">
        <f t="shared" ca="1" si="67"/>
        <v>0</v>
      </c>
      <c r="O184" s="18">
        <f t="shared" ca="1" si="67"/>
        <v>0</v>
      </c>
      <c r="P184" s="18">
        <f t="shared" ca="1" si="67"/>
        <v>0</v>
      </c>
      <c r="Q184" s="18">
        <f t="shared" ca="1" si="67"/>
        <v>0</v>
      </c>
      <c r="R184" s="18">
        <f t="shared" ca="1" si="67"/>
        <v>0</v>
      </c>
      <c r="S184" s="18">
        <f t="shared" ca="1" si="67"/>
        <v>0</v>
      </c>
      <c r="T184" s="18">
        <f t="shared" ca="1" si="67"/>
        <v>0</v>
      </c>
      <c r="U184" s="18">
        <f t="shared" ca="1" si="67"/>
        <v>0</v>
      </c>
      <c r="V184" s="18">
        <f t="shared" ca="1" si="67"/>
        <v>0</v>
      </c>
      <c r="W184" s="18">
        <f t="shared" ca="1" si="67"/>
        <v>0</v>
      </c>
      <c r="X184" s="18">
        <f t="shared" ca="1" si="67"/>
        <v>0</v>
      </c>
    </row>
    <row r="185" spans="2:24">
      <c r="B185" s="92" t="s">
        <v>544</v>
      </c>
      <c r="C185" s="90"/>
      <c r="D185" s="90" t="s">
        <v>543</v>
      </c>
      <c r="E185" s="90"/>
      <c r="F185" s="90"/>
      <c r="G185" s="93"/>
      <c r="H185" s="93"/>
      <c r="I185" s="93"/>
      <c r="J185" s="93"/>
      <c r="K185" s="93">
        <v>0</v>
      </c>
      <c r="L185" s="93">
        <v>0</v>
      </c>
      <c r="M185" s="93">
        <v>0</v>
      </c>
      <c r="N185" s="93">
        <v>0</v>
      </c>
      <c r="O185" s="93">
        <v>0</v>
      </c>
      <c r="P185" s="93">
        <v>0</v>
      </c>
      <c r="Q185" s="93">
        <v>0</v>
      </c>
      <c r="R185" s="93">
        <v>0</v>
      </c>
      <c r="S185" s="93">
        <v>0</v>
      </c>
      <c r="T185" s="93">
        <v>0</v>
      </c>
      <c r="U185" s="93">
        <v>0</v>
      </c>
      <c r="V185" s="93">
        <v>0</v>
      </c>
      <c r="W185" s="93">
        <v>0</v>
      </c>
      <c r="X185" s="93">
        <v>0</v>
      </c>
    </row>
    <row r="186" spans="2:24">
      <c r="B186" s="99" t="s">
        <v>545</v>
      </c>
      <c r="C186" s="97"/>
      <c r="D186" s="97"/>
      <c r="E186" s="97"/>
      <c r="F186" s="97"/>
      <c r="G186" s="98"/>
      <c r="H186" s="98"/>
      <c r="I186" s="98"/>
      <c r="J186" s="98"/>
      <c r="K186" s="98">
        <f ca="1">K183-K184-K185</f>
        <v>0</v>
      </c>
      <c r="L186" s="98">
        <f t="shared" ref="L186:X186" ca="1" si="68">L183-L184-L185</f>
        <v>0</v>
      </c>
      <c r="M186" s="98">
        <f t="shared" ca="1" si="68"/>
        <v>0</v>
      </c>
      <c r="N186" s="98">
        <f t="shared" ca="1" si="68"/>
        <v>0</v>
      </c>
      <c r="O186" s="98">
        <f t="shared" ca="1" si="68"/>
        <v>0</v>
      </c>
      <c r="P186" s="98">
        <f t="shared" ca="1" si="68"/>
        <v>0</v>
      </c>
      <c r="Q186" s="98">
        <f t="shared" ca="1" si="68"/>
        <v>0</v>
      </c>
      <c r="R186" s="98">
        <f t="shared" ca="1" si="68"/>
        <v>0</v>
      </c>
      <c r="S186" s="98">
        <f t="shared" ca="1" si="68"/>
        <v>0</v>
      </c>
      <c r="T186" s="98">
        <f t="shared" ca="1" si="68"/>
        <v>0</v>
      </c>
      <c r="U186" s="98">
        <f t="shared" ca="1" si="68"/>
        <v>0</v>
      </c>
      <c r="V186" s="98">
        <f t="shared" ca="1" si="68"/>
        <v>0</v>
      </c>
      <c r="W186" s="98">
        <f t="shared" ca="1" si="68"/>
        <v>0</v>
      </c>
      <c r="X186" s="98">
        <f t="shared" ca="1" si="68"/>
        <v>0</v>
      </c>
    </row>
    <row r="187" spans="2:24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ht="14.4">
      <c r="B189" s="151" t="s">
        <v>546</v>
      </c>
    </row>
    <row r="190" spans="2:24" ht="13.8">
      <c r="B190" s="152" t="s">
        <v>547</v>
      </c>
      <c r="C190" s="218"/>
      <c r="D190" s="218"/>
      <c r="E190" s="218"/>
      <c r="F190" s="218"/>
      <c r="G190" s="221">
        <f t="shared" ref="G190:X190" ca="1" si="69">LataProjekcji</f>
        <v>0</v>
      </c>
      <c r="H190" s="221">
        <f t="shared" ca="1" si="69"/>
        <v>0</v>
      </c>
      <c r="I190" s="221">
        <f t="shared" ca="1" si="69"/>
        <v>0</v>
      </c>
      <c r="J190" s="222" t="str">
        <f t="shared" si="69"/>
        <v/>
      </c>
      <c r="K190" s="221" t="str">
        <f t="shared" si="69"/>
        <v>Uzupełnij dane</v>
      </c>
      <c r="L190" s="221" t="str">
        <f t="shared" si="69"/>
        <v/>
      </c>
      <c r="M190" s="221" t="str">
        <f t="shared" si="69"/>
        <v/>
      </c>
      <c r="N190" s="221" t="str">
        <f t="shared" si="69"/>
        <v/>
      </c>
      <c r="O190" s="221" t="str">
        <f t="shared" si="69"/>
        <v/>
      </c>
      <c r="P190" s="221" t="str">
        <f t="shared" si="69"/>
        <v/>
      </c>
      <c r="Q190" s="221" t="str">
        <f t="shared" si="69"/>
        <v/>
      </c>
      <c r="R190" s="221" t="str">
        <f t="shared" si="69"/>
        <v/>
      </c>
      <c r="S190" s="221" t="str">
        <f t="shared" si="69"/>
        <v/>
      </c>
      <c r="T190" s="221" t="str">
        <f t="shared" si="69"/>
        <v/>
      </c>
      <c r="U190" s="221" t="str">
        <f t="shared" si="69"/>
        <v/>
      </c>
      <c r="V190" s="221" t="str">
        <f t="shared" si="69"/>
        <v/>
      </c>
      <c r="W190" s="221" t="str">
        <f t="shared" si="69"/>
        <v/>
      </c>
      <c r="X190" s="221" t="str">
        <f t="shared" si="69"/>
        <v/>
      </c>
    </row>
    <row r="191" spans="2:24">
      <c r="B191" s="99" t="s">
        <v>121</v>
      </c>
      <c r="C191" s="97"/>
      <c r="D191" s="97"/>
      <c r="E191" s="97"/>
      <c r="F191" s="97"/>
      <c r="G191" s="98"/>
      <c r="H191" s="98"/>
      <c r="I191" s="98"/>
      <c r="J191" s="97"/>
      <c r="K191" s="98">
        <f t="shared" ref="K191:X191" ca="1" si="70">K192+K197+K206+K207+K208</f>
        <v>0</v>
      </c>
      <c r="L191" s="98">
        <f t="shared" ca="1" si="70"/>
        <v>0</v>
      </c>
      <c r="M191" s="98">
        <f t="shared" ca="1" si="70"/>
        <v>0</v>
      </c>
      <c r="N191" s="98">
        <f t="shared" ca="1" si="70"/>
        <v>0</v>
      </c>
      <c r="O191" s="98">
        <f t="shared" ca="1" si="70"/>
        <v>0</v>
      </c>
      <c r="P191" s="98">
        <f t="shared" ca="1" si="70"/>
        <v>0</v>
      </c>
      <c r="Q191" s="98">
        <f t="shared" ca="1" si="70"/>
        <v>0</v>
      </c>
      <c r="R191" s="98">
        <f t="shared" ca="1" si="70"/>
        <v>0</v>
      </c>
      <c r="S191" s="98">
        <f t="shared" ca="1" si="70"/>
        <v>0</v>
      </c>
      <c r="T191" s="98">
        <f t="shared" ca="1" si="70"/>
        <v>0</v>
      </c>
      <c r="U191" s="98">
        <f t="shared" ca="1" si="70"/>
        <v>0</v>
      </c>
      <c r="V191" s="98">
        <f t="shared" ca="1" si="70"/>
        <v>0</v>
      </c>
      <c r="W191" s="98">
        <f t="shared" ca="1" si="70"/>
        <v>0</v>
      </c>
      <c r="X191" s="98">
        <f t="shared" ca="1" si="70"/>
        <v>0</v>
      </c>
    </row>
    <row r="192" spans="2:24">
      <c r="B192" s="104" t="s">
        <v>548</v>
      </c>
      <c r="C192" s="102"/>
      <c r="D192" s="102"/>
      <c r="E192" s="102"/>
      <c r="F192" s="102"/>
      <c r="G192" s="103"/>
      <c r="H192" s="103"/>
      <c r="I192" s="103"/>
      <c r="J192" s="102"/>
      <c r="K192" s="103">
        <f t="shared" ref="K192:X192" ca="1" si="71">SUM(K193:K196)</f>
        <v>0</v>
      </c>
      <c r="L192" s="103">
        <f t="shared" ca="1" si="71"/>
        <v>0</v>
      </c>
      <c r="M192" s="103">
        <f t="shared" ca="1" si="71"/>
        <v>0</v>
      </c>
      <c r="N192" s="103">
        <f t="shared" ca="1" si="71"/>
        <v>0</v>
      </c>
      <c r="O192" s="103">
        <f t="shared" ca="1" si="71"/>
        <v>0</v>
      </c>
      <c r="P192" s="103">
        <f t="shared" ca="1" si="71"/>
        <v>0</v>
      </c>
      <c r="Q192" s="103">
        <f t="shared" ca="1" si="71"/>
        <v>0</v>
      </c>
      <c r="R192" s="103">
        <f t="shared" ca="1" si="71"/>
        <v>0</v>
      </c>
      <c r="S192" s="103">
        <f t="shared" ca="1" si="71"/>
        <v>0</v>
      </c>
      <c r="T192" s="103">
        <f t="shared" ca="1" si="71"/>
        <v>0</v>
      </c>
      <c r="U192" s="103">
        <f t="shared" ca="1" si="71"/>
        <v>0</v>
      </c>
      <c r="V192" s="103">
        <f t="shared" ca="1" si="71"/>
        <v>0</v>
      </c>
      <c r="W192" s="103">
        <f t="shared" ca="1" si="71"/>
        <v>0</v>
      </c>
      <c r="X192" s="103">
        <f t="shared" ca="1" si="71"/>
        <v>0</v>
      </c>
    </row>
    <row r="193" spans="2:24">
      <c r="B193" s="39" t="s">
        <v>549</v>
      </c>
      <c r="C193" s="40"/>
      <c r="D193" s="40"/>
      <c r="E193" s="40"/>
      <c r="F193" s="40"/>
      <c r="G193" s="41"/>
      <c r="H193" s="41"/>
      <c r="I193" s="41"/>
      <c r="K193" s="41">
        <f ca="1">IF(LataProjekcji&lt;=Koniec,'Środki trwałe'!K788,0)</f>
        <v>0</v>
      </c>
      <c r="L193" s="41">
        <f ca="1">IF(LataProjekcji&lt;=Koniec,'Środki trwałe'!L788,0)</f>
        <v>0</v>
      </c>
      <c r="M193" s="41">
        <f ca="1">IF(LataProjekcji&lt;=Koniec,'Środki trwałe'!M788,0)</f>
        <v>0</v>
      </c>
      <c r="N193" s="41">
        <f ca="1">IF(LataProjekcji&lt;=Koniec,'Środki trwałe'!N788,0)</f>
        <v>0</v>
      </c>
      <c r="O193" s="41">
        <f ca="1">IF(LataProjekcji&lt;=Koniec,'Środki trwałe'!O788,0)</f>
        <v>0</v>
      </c>
      <c r="P193" s="41">
        <f ca="1">IF(LataProjekcji&lt;=Koniec,'Środki trwałe'!P788,0)</f>
        <v>0</v>
      </c>
      <c r="Q193" s="41">
        <f ca="1">IF(LataProjekcji&lt;=Koniec,'Środki trwałe'!Q788,0)</f>
        <v>0</v>
      </c>
      <c r="R193" s="41">
        <f ca="1">IF(LataProjekcji&lt;=Koniec,'Środki trwałe'!R788,0)</f>
        <v>0</v>
      </c>
      <c r="S193" s="41">
        <f ca="1">IF(LataProjekcji&lt;=Koniec,'Środki trwałe'!S788,0)</f>
        <v>0</v>
      </c>
      <c r="T193" s="41">
        <f ca="1">IF(LataProjekcji&lt;=Koniec,'Środki trwałe'!T788,0)</f>
        <v>0</v>
      </c>
      <c r="U193" s="41">
        <f ca="1">IF(LataProjekcji&lt;=Koniec,'Środki trwałe'!U788,0)</f>
        <v>0</v>
      </c>
      <c r="V193" s="41">
        <f ca="1">IF(LataProjekcji&lt;=Koniec,'Środki trwałe'!V788,0)</f>
        <v>0</v>
      </c>
      <c r="W193" s="41">
        <f ca="1">IF(LataProjekcji&lt;=Koniec,'Środki trwałe'!W788,0)</f>
        <v>0</v>
      </c>
      <c r="X193" s="41">
        <f ca="1">IF(LataProjekcji&lt;=Koniec,'Środki trwałe'!X788,0)</f>
        <v>0</v>
      </c>
    </row>
    <row r="194" spans="2:24">
      <c r="B194" s="39" t="s">
        <v>550</v>
      </c>
      <c r="C194" s="40"/>
      <c r="D194" s="40"/>
      <c r="E194" s="40"/>
      <c r="F194" s="40"/>
      <c r="G194" s="41"/>
      <c r="H194" s="41"/>
      <c r="I194" s="41"/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</row>
    <row r="195" spans="2:24">
      <c r="B195" s="39" t="s">
        <v>551</v>
      </c>
      <c r="C195" s="40"/>
      <c r="D195" s="40"/>
      <c r="E195" s="40"/>
      <c r="F195" s="40"/>
      <c r="G195" s="41"/>
      <c r="H195" s="41"/>
      <c r="I195" s="41"/>
      <c r="K195" s="41">
        <f ca="1">IF(LataProjekcji&lt;=Koniec,'Środki trwałe'!K789,0)</f>
        <v>0</v>
      </c>
      <c r="L195" s="41">
        <f ca="1">IF(LataProjekcji&lt;=Koniec,'Środki trwałe'!L789,0)</f>
        <v>0</v>
      </c>
      <c r="M195" s="41">
        <f ca="1">IF(LataProjekcji&lt;=Koniec,'Środki trwałe'!M789,0)</f>
        <v>0</v>
      </c>
      <c r="N195" s="41">
        <f ca="1">IF(LataProjekcji&lt;=Koniec,'Środki trwałe'!N789,0)</f>
        <v>0</v>
      </c>
      <c r="O195" s="41">
        <f ca="1">IF(LataProjekcji&lt;=Koniec,'Środki trwałe'!O789,0)</f>
        <v>0</v>
      </c>
      <c r="P195" s="41">
        <f ca="1">IF(LataProjekcji&lt;=Koniec,'Środki trwałe'!P789,0)</f>
        <v>0</v>
      </c>
      <c r="Q195" s="41">
        <f ca="1">IF(LataProjekcji&lt;=Koniec,'Środki trwałe'!Q789,0)</f>
        <v>0</v>
      </c>
      <c r="R195" s="41">
        <f ca="1">IF(LataProjekcji&lt;=Koniec,'Środki trwałe'!R789,0)</f>
        <v>0</v>
      </c>
      <c r="S195" s="41">
        <f ca="1">IF(LataProjekcji&lt;=Koniec,'Środki trwałe'!S789,0)</f>
        <v>0</v>
      </c>
      <c r="T195" s="41">
        <f ca="1">IF(LataProjekcji&lt;=Koniec,'Środki trwałe'!T789,0)</f>
        <v>0</v>
      </c>
      <c r="U195" s="41">
        <f ca="1">IF(LataProjekcji&lt;=Koniec,'Środki trwałe'!U789,0)</f>
        <v>0</v>
      </c>
      <c r="V195" s="41">
        <f ca="1">IF(LataProjekcji&lt;=Koniec,'Środki trwałe'!V789,0)</f>
        <v>0</v>
      </c>
      <c r="W195" s="41">
        <f ca="1">IF(LataProjekcji&lt;=Koniec,'Środki trwałe'!W789,0)</f>
        <v>0</v>
      </c>
      <c r="X195" s="41">
        <f ca="1">IF(LataProjekcji&lt;=Koniec,'Środki trwałe'!X789,0)</f>
        <v>0</v>
      </c>
    </row>
    <row r="196" spans="2:24">
      <c r="B196" s="39" t="s">
        <v>552</v>
      </c>
      <c r="C196" s="40"/>
      <c r="D196" s="40"/>
      <c r="E196" s="40"/>
      <c r="F196" s="40"/>
      <c r="G196" s="41"/>
      <c r="H196" s="41"/>
      <c r="I196" s="41"/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</row>
    <row r="197" spans="2:24">
      <c r="B197" s="37" t="s">
        <v>553</v>
      </c>
      <c r="C197" s="52"/>
      <c r="D197" s="52"/>
      <c r="E197" s="52"/>
      <c r="F197" s="52"/>
      <c r="G197" s="33"/>
      <c r="H197" s="33"/>
      <c r="I197" s="33"/>
      <c r="J197" s="52"/>
      <c r="K197" s="33">
        <f t="shared" ref="K197:X197" ca="1" si="72">SUM(K198+K204+K205)</f>
        <v>0</v>
      </c>
      <c r="L197" s="33">
        <f t="shared" ca="1" si="72"/>
        <v>0</v>
      </c>
      <c r="M197" s="33">
        <f t="shared" ca="1" si="72"/>
        <v>0</v>
      </c>
      <c r="N197" s="33">
        <f t="shared" ca="1" si="72"/>
        <v>0</v>
      </c>
      <c r="O197" s="33">
        <f t="shared" ca="1" si="72"/>
        <v>0</v>
      </c>
      <c r="P197" s="33">
        <f t="shared" ca="1" si="72"/>
        <v>0</v>
      </c>
      <c r="Q197" s="33">
        <f t="shared" ca="1" si="72"/>
        <v>0</v>
      </c>
      <c r="R197" s="33">
        <f t="shared" ca="1" si="72"/>
        <v>0</v>
      </c>
      <c r="S197" s="33">
        <f t="shared" ca="1" si="72"/>
        <v>0</v>
      </c>
      <c r="T197" s="33">
        <f t="shared" ca="1" si="72"/>
        <v>0</v>
      </c>
      <c r="U197" s="33">
        <f t="shared" ca="1" si="72"/>
        <v>0</v>
      </c>
      <c r="V197" s="33">
        <f t="shared" ca="1" si="72"/>
        <v>0</v>
      </c>
      <c r="W197" s="33">
        <f t="shared" ca="1" si="72"/>
        <v>0</v>
      </c>
      <c r="X197" s="33">
        <f t="shared" ca="1" si="72"/>
        <v>0</v>
      </c>
    </row>
    <row r="198" spans="2:24">
      <c r="B198" s="39" t="s">
        <v>554</v>
      </c>
      <c r="C198" s="40"/>
      <c r="D198" s="40"/>
      <c r="E198" s="40"/>
      <c r="F198" s="40"/>
      <c r="G198" s="41"/>
      <c r="H198" s="41"/>
      <c r="I198" s="41"/>
      <c r="K198" s="41">
        <f t="shared" ref="K198:X198" ca="1" si="73">SUM(K199:K203)</f>
        <v>0</v>
      </c>
      <c r="L198" s="41">
        <f t="shared" ca="1" si="73"/>
        <v>0</v>
      </c>
      <c r="M198" s="41">
        <f t="shared" ca="1" si="73"/>
        <v>0</v>
      </c>
      <c r="N198" s="41">
        <f t="shared" ca="1" si="73"/>
        <v>0</v>
      </c>
      <c r="O198" s="41">
        <f t="shared" ca="1" si="73"/>
        <v>0</v>
      </c>
      <c r="P198" s="41">
        <f t="shared" ca="1" si="73"/>
        <v>0</v>
      </c>
      <c r="Q198" s="41">
        <f t="shared" ca="1" si="73"/>
        <v>0</v>
      </c>
      <c r="R198" s="41">
        <f t="shared" ca="1" si="73"/>
        <v>0</v>
      </c>
      <c r="S198" s="41">
        <f t="shared" ca="1" si="73"/>
        <v>0</v>
      </c>
      <c r="T198" s="41">
        <f t="shared" ca="1" si="73"/>
        <v>0</v>
      </c>
      <c r="U198" s="41">
        <f t="shared" ca="1" si="73"/>
        <v>0</v>
      </c>
      <c r="V198" s="41">
        <f t="shared" ca="1" si="73"/>
        <v>0</v>
      </c>
      <c r="W198" s="41">
        <f t="shared" ca="1" si="73"/>
        <v>0</v>
      </c>
      <c r="X198" s="41">
        <f t="shared" ca="1" si="73"/>
        <v>0</v>
      </c>
    </row>
    <row r="199" spans="2:24">
      <c r="B199" s="8" t="s">
        <v>555</v>
      </c>
      <c r="G199" s="5"/>
      <c r="H199" s="5"/>
      <c r="I199" s="5"/>
      <c r="K199" s="5">
        <f ca="1">IF(LataProjekcji&lt;=Koniec,'Środki trwałe'!K791,0)</f>
        <v>0</v>
      </c>
      <c r="L199" s="5">
        <f ca="1">IF(LataProjekcji&lt;=Koniec,'Środki trwałe'!L791,0)</f>
        <v>0</v>
      </c>
      <c r="M199" s="5">
        <f ca="1">IF(LataProjekcji&lt;=Koniec,'Środki trwałe'!M791,0)</f>
        <v>0</v>
      </c>
      <c r="N199" s="5">
        <f ca="1">IF(LataProjekcji&lt;=Koniec,'Środki trwałe'!N791,0)</f>
        <v>0</v>
      </c>
      <c r="O199" s="5">
        <f ca="1">IF(LataProjekcji&lt;=Koniec,'Środki trwałe'!O791,0)</f>
        <v>0</v>
      </c>
      <c r="P199" s="5">
        <f ca="1">IF(LataProjekcji&lt;=Koniec,'Środki trwałe'!P791,0)</f>
        <v>0</v>
      </c>
      <c r="Q199" s="5">
        <f ca="1">IF(LataProjekcji&lt;=Koniec,'Środki trwałe'!Q791,0)</f>
        <v>0</v>
      </c>
      <c r="R199" s="5">
        <f ca="1">IF(LataProjekcji&lt;=Koniec,'Środki trwałe'!R791,0)</f>
        <v>0</v>
      </c>
      <c r="S199" s="5">
        <f ca="1">IF(LataProjekcji&lt;=Koniec,'Środki trwałe'!S791,0)</f>
        <v>0</v>
      </c>
      <c r="T199" s="5">
        <f ca="1">IF(LataProjekcji&lt;=Koniec,'Środki trwałe'!T791,0)</f>
        <v>0</v>
      </c>
      <c r="U199" s="5">
        <f ca="1">IF(LataProjekcji&lt;=Koniec,'Środki trwałe'!U791,0)</f>
        <v>0</v>
      </c>
      <c r="V199" s="5">
        <f ca="1">IF(LataProjekcji&lt;=Koniec,'Środki trwałe'!V791,0)</f>
        <v>0</v>
      </c>
      <c r="W199" s="5">
        <f ca="1">IF(LataProjekcji&lt;=Koniec,'Środki trwałe'!W791,0)</f>
        <v>0</v>
      </c>
      <c r="X199" s="5">
        <f ca="1">IF(LataProjekcji&lt;=Koniec,'Środki trwałe'!X791,0)</f>
        <v>0</v>
      </c>
    </row>
    <row r="200" spans="2:24">
      <c r="B200" s="8" t="s">
        <v>401</v>
      </c>
      <c r="G200" s="5"/>
      <c r="H200" s="5"/>
      <c r="I200" s="5"/>
      <c r="K200" s="5">
        <f ca="1">IF(LataProjekcji&lt;=Koniec,'Środki trwałe'!K792,0)</f>
        <v>0</v>
      </c>
      <c r="L200" s="5">
        <f ca="1">IF(LataProjekcji&lt;=Koniec,'Środki trwałe'!L792,0)</f>
        <v>0</v>
      </c>
      <c r="M200" s="5">
        <f ca="1">IF(LataProjekcji&lt;=Koniec,'Środki trwałe'!M792,0)</f>
        <v>0</v>
      </c>
      <c r="N200" s="5">
        <f ca="1">IF(LataProjekcji&lt;=Koniec,'Środki trwałe'!N792,0)</f>
        <v>0</v>
      </c>
      <c r="O200" s="5">
        <f ca="1">IF(LataProjekcji&lt;=Koniec,'Środki trwałe'!O792,0)</f>
        <v>0</v>
      </c>
      <c r="P200" s="5">
        <f ca="1">IF(LataProjekcji&lt;=Koniec,'Środki trwałe'!P792,0)</f>
        <v>0</v>
      </c>
      <c r="Q200" s="5">
        <f ca="1">IF(LataProjekcji&lt;=Koniec,'Środki trwałe'!Q792,0)</f>
        <v>0</v>
      </c>
      <c r="R200" s="5">
        <f ca="1">IF(LataProjekcji&lt;=Koniec,'Środki trwałe'!R792,0)</f>
        <v>0</v>
      </c>
      <c r="S200" s="5">
        <f ca="1">IF(LataProjekcji&lt;=Koniec,'Środki trwałe'!S792,0)</f>
        <v>0</v>
      </c>
      <c r="T200" s="5">
        <f ca="1">IF(LataProjekcji&lt;=Koniec,'Środki trwałe'!T792,0)</f>
        <v>0</v>
      </c>
      <c r="U200" s="5">
        <f ca="1">IF(LataProjekcji&lt;=Koniec,'Środki trwałe'!U792,0)</f>
        <v>0</v>
      </c>
      <c r="V200" s="5">
        <f ca="1">IF(LataProjekcji&lt;=Koniec,'Środki trwałe'!V792,0)</f>
        <v>0</v>
      </c>
      <c r="W200" s="5">
        <f ca="1">IF(LataProjekcji&lt;=Koniec,'Środki trwałe'!W792,0)</f>
        <v>0</v>
      </c>
      <c r="X200" s="5">
        <f ca="1">IF(LataProjekcji&lt;=Koniec,'Środki trwałe'!X792,0)</f>
        <v>0</v>
      </c>
    </row>
    <row r="201" spans="2:24">
      <c r="B201" s="8" t="s">
        <v>402</v>
      </c>
      <c r="G201" s="5"/>
      <c r="H201" s="5"/>
      <c r="I201" s="5"/>
      <c r="K201" s="5">
        <f ca="1">IF(LataProjekcji&lt;=Koniec,'Środki trwałe'!K793,0)</f>
        <v>0</v>
      </c>
      <c r="L201" s="5">
        <f ca="1">IF(LataProjekcji&lt;=Koniec,'Środki trwałe'!L793,0)</f>
        <v>0</v>
      </c>
      <c r="M201" s="5">
        <f ca="1">IF(LataProjekcji&lt;=Koniec,'Środki trwałe'!M793,0)</f>
        <v>0</v>
      </c>
      <c r="N201" s="5">
        <f ca="1">IF(LataProjekcji&lt;=Koniec,'Środki trwałe'!N793,0)</f>
        <v>0</v>
      </c>
      <c r="O201" s="5">
        <f ca="1">IF(LataProjekcji&lt;=Koniec,'Środki trwałe'!O793,0)</f>
        <v>0</v>
      </c>
      <c r="P201" s="5">
        <f ca="1">IF(LataProjekcji&lt;=Koniec,'Środki trwałe'!P793,0)</f>
        <v>0</v>
      </c>
      <c r="Q201" s="5">
        <f ca="1">IF(LataProjekcji&lt;=Koniec,'Środki trwałe'!Q793,0)</f>
        <v>0</v>
      </c>
      <c r="R201" s="5">
        <f ca="1">IF(LataProjekcji&lt;=Koniec,'Środki trwałe'!R793,0)</f>
        <v>0</v>
      </c>
      <c r="S201" s="5">
        <f ca="1">IF(LataProjekcji&lt;=Koniec,'Środki trwałe'!S793,0)</f>
        <v>0</v>
      </c>
      <c r="T201" s="5">
        <f ca="1">IF(LataProjekcji&lt;=Koniec,'Środki trwałe'!T793,0)</f>
        <v>0</v>
      </c>
      <c r="U201" s="5">
        <f ca="1">IF(LataProjekcji&lt;=Koniec,'Środki trwałe'!U793,0)</f>
        <v>0</v>
      </c>
      <c r="V201" s="5">
        <f ca="1">IF(LataProjekcji&lt;=Koniec,'Środki trwałe'!V793,0)</f>
        <v>0</v>
      </c>
      <c r="W201" s="5">
        <f ca="1">IF(LataProjekcji&lt;=Koniec,'Środki trwałe'!W793,0)</f>
        <v>0</v>
      </c>
      <c r="X201" s="5">
        <f ca="1">IF(LataProjekcji&lt;=Koniec,'Środki trwałe'!X793,0)</f>
        <v>0</v>
      </c>
    </row>
    <row r="202" spans="2:24">
      <c r="B202" s="8" t="s">
        <v>403</v>
      </c>
      <c r="G202" s="5"/>
      <c r="H202" s="5"/>
      <c r="I202" s="5"/>
      <c r="K202" s="5">
        <f ca="1">IF(LataProjekcji&lt;=Koniec,'Środki trwałe'!K794,0)</f>
        <v>0</v>
      </c>
      <c r="L202" s="5">
        <f ca="1">IF(LataProjekcji&lt;=Koniec,'Środki trwałe'!L794,0)</f>
        <v>0</v>
      </c>
      <c r="M202" s="5">
        <f ca="1">IF(LataProjekcji&lt;=Koniec,'Środki trwałe'!M794,0)</f>
        <v>0</v>
      </c>
      <c r="N202" s="5">
        <f ca="1">IF(LataProjekcji&lt;=Koniec,'Środki trwałe'!N794,0)</f>
        <v>0</v>
      </c>
      <c r="O202" s="5">
        <f ca="1">IF(LataProjekcji&lt;=Koniec,'Środki trwałe'!O794,0)</f>
        <v>0</v>
      </c>
      <c r="P202" s="5">
        <f ca="1">IF(LataProjekcji&lt;=Koniec,'Środki trwałe'!P794,0)</f>
        <v>0</v>
      </c>
      <c r="Q202" s="5">
        <f ca="1">IF(LataProjekcji&lt;=Koniec,'Środki trwałe'!Q794,0)</f>
        <v>0</v>
      </c>
      <c r="R202" s="5">
        <f ca="1">IF(LataProjekcji&lt;=Koniec,'Środki trwałe'!R794,0)</f>
        <v>0</v>
      </c>
      <c r="S202" s="5">
        <f ca="1">IF(LataProjekcji&lt;=Koniec,'Środki trwałe'!S794,0)</f>
        <v>0</v>
      </c>
      <c r="T202" s="5">
        <f ca="1">IF(LataProjekcji&lt;=Koniec,'Środki trwałe'!T794,0)</f>
        <v>0</v>
      </c>
      <c r="U202" s="5">
        <f ca="1">IF(LataProjekcji&lt;=Koniec,'Środki trwałe'!U794,0)</f>
        <v>0</v>
      </c>
      <c r="V202" s="5">
        <f ca="1">IF(LataProjekcji&lt;=Koniec,'Środki trwałe'!V794,0)</f>
        <v>0</v>
      </c>
      <c r="W202" s="5">
        <f ca="1">IF(LataProjekcji&lt;=Koniec,'Środki trwałe'!W794,0)</f>
        <v>0</v>
      </c>
      <c r="X202" s="5">
        <f ca="1">IF(LataProjekcji&lt;=Koniec,'Środki trwałe'!X794,0)</f>
        <v>0</v>
      </c>
    </row>
    <row r="203" spans="2:24">
      <c r="B203" s="8" t="s">
        <v>404</v>
      </c>
      <c r="G203" s="5"/>
      <c r="H203" s="5"/>
      <c r="I203" s="5"/>
      <c r="K203" s="5">
        <f ca="1">IF(LataProjekcji&lt;=Koniec,'Środki trwałe'!K795,0)</f>
        <v>0</v>
      </c>
      <c r="L203" s="5">
        <f ca="1">IF(LataProjekcji&lt;=Koniec,'Środki trwałe'!L795,0)</f>
        <v>0</v>
      </c>
      <c r="M203" s="5">
        <f ca="1">IF(LataProjekcji&lt;=Koniec,'Środki trwałe'!M795,0)</f>
        <v>0</v>
      </c>
      <c r="N203" s="5">
        <f ca="1">IF(LataProjekcji&lt;=Koniec,'Środki trwałe'!N795,0)</f>
        <v>0</v>
      </c>
      <c r="O203" s="5">
        <f ca="1">IF(LataProjekcji&lt;=Koniec,'Środki trwałe'!O795,0)</f>
        <v>0</v>
      </c>
      <c r="P203" s="5">
        <f ca="1">IF(LataProjekcji&lt;=Koniec,'Środki trwałe'!P795,0)</f>
        <v>0</v>
      </c>
      <c r="Q203" s="5">
        <f ca="1">IF(LataProjekcji&lt;=Koniec,'Środki trwałe'!Q795,0)</f>
        <v>0</v>
      </c>
      <c r="R203" s="5">
        <f ca="1">IF(LataProjekcji&lt;=Koniec,'Środki trwałe'!R795,0)</f>
        <v>0</v>
      </c>
      <c r="S203" s="5">
        <f ca="1">IF(LataProjekcji&lt;=Koniec,'Środki trwałe'!S795,0)</f>
        <v>0</v>
      </c>
      <c r="T203" s="5">
        <f ca="1">IF(LataProjekcji&lt;=Koniec,'Środki trwałe'!T795,0)</f>
        <v>0</v>
      </c>
      <c r="U203" s="5">
        <f ca="1">IF(LataProjekcji&lt;=Koniec,'Środki trwałe'!U795,0)</f>
        <v>0</v>
      </c>
      <c r="V203" s="5">
        <f ca="1">IF(LataProjekcji&lt;=Koniec,'Środki trwałe'!V795,0)</f>
        <v>0</v>
      </c>
      <c r="W203" s="5">
        <f ca="1">IF(LataProjekcji&lt;=Koniec,'Środki trwałe'!W795,0)</f>
        <v>0</v>
      </c>
      <c r="X203" s="5">
        <f ca="1">IF(LataProjekcji&lt;=Koniec,'Środki trwałe'!X795,0)</f>
        <v>0</v>
      </c>
    </row>
    <row r="204" spans="2:24">
      <c r="B204" s="39" t="s">
        <v>556</v>
      </c>
      <c r="C204" s="40"/>
      <c r="D204" s="40"/>
      <c r="E204" s="40"/>
      <c r="F204" s="40"/>
      <c r="G204" s="41"/>
      <c r="H204" s="41"/>
      <c r="I204" s="41"/>
      <c r="K204" s="41">
        <f>IF(LataProjekcji&lt;=Koniec,'Środki trwałe'!K796,0)</f>
        <v>0</v>
      </c>
      <c r="L204" s="41">
        <f>IF(LataProjekcji&lt;=Koniec,'Środki trwałe'!L796,0)</f>
        <v>0</v>
      </c>
      <c r="M204" s="41">
        <f>IF(LataProjekcji&lt;=Koniec,'Środki trwałe'!M796,0)</f>
        <v>0</v>
      </c>
      <c r="N204" s="41">
        <f>IF(LataProjekcji&lt;=Koniec,'Środki trwałe'!N796,0)</f>
        <v>0</v>
      </c>
      <c r="O204" s="41">
        <f>IF(LataProjekcji&lt;=Koniec,'Środki trwałe'!O796,0)</f>
        <v>0</v>
      </c>
      <c r="P204" s="41">
        <f>IF(LataProjekcji&lt;=Koniec,'Środki trwałe'!P796,0)</f>
        <v>0</v>
      </c>
      <c r="Q204" s="41">
        <f>IF(LataProjekcji&lt;=Koniec,'Środki trwałe'!Q796,0)</f>
        <v>0</v>
      </c>
      <c r="R204" s="41">
        <f>IF(LataProjekcji&lt;=Koniec,'Środki trwałe'!R796,0)</f>
        <v>0</v>
      </c>
      <c r="S204" s="41">
        <f>IF(LataProjekcji&lt;=Koniec,'Środki trwałe'!S796,0)</f>
        <v>0</v>
      </c>
      <c r="T204" s="41">
        <f>IF(LataProjekcji&lt;=Koniec,'Środki trwałe'!T796,0)</f>
        <v>0</v>
      </c>
      <c r="U204" s="41">
        <f>IF(LataProjekcji&lt;=Koniec,'Środki trwałe'!U796,0)</f>
        <v>0</v>
      </c>
      <c r="V204" s="41">
        <f>IF(LataProjekcji&lt;=Koniec,'Środki trwałe'!V796,0)</f>
        <v>0</v>
      </c>
      <c r="W204" s="41">
        <f>IF(LataProjekcji&lt;=Koniec,'Środki trwałe'!W796,0)</f>
        <v>0</v>
      </c>
      <c r="X204" s="41">
        <f>IF(LataProjekcji&lt;=Koniec,'Środki trwałe'!X796,0)</f>
        <v>0</v>
      </c>
    </row>
    <row r="205" spans="2:24">
      <c r="B205" s="39" t="s">
        <v>557</v>
      </c>
      <c r="C205" s="40"/>
      <c r="D205" s="40"/>
      <c r="E205" s="40"/>
      <c r="F205" s="40"/>
      <c r="G205" s="41"/>
      <c r="H205" s="41"/>
      <c r="I205" s="41"/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2:24">
      <c r="B206" s="37" t="s">
        <v>558</v>
      </c>
      <c r="C206" s="52"/>
      <c r="D206" s="52"/>
      <c r="E206" s="52"/>
      <c r="F206" s="52"/>
      <c r="G206" s="33"/>
      <c r="H206" s="33"/>
      <c r="I206" s="33"/>
      <c r="J206" s="52"/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</row>
    <row r="207" spans="2:24">
      <c r="B207" s="37" t="s">
        <v>559</v>
      </c>
      <c r="C207" s="52"/>
      <c r="D207" s="52"/>
      <c r="E207" s="52"/>
      <c r="F207" s="52"/>
      <c r="G207" s="33"/>
      <c r="H207" s="33"/>
      <c r="I207" s="33"/>
      <c r="J207" s="52"/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</row>
    <row r="208" spans="2:24">
      <c r="B208" s="105" t="s">
        <v>560</v>
      </c>
      <c r="C208" s="106"/>
      <c r="D208" s="106"/>
      <c r="E208" s="106"/>
      <c r="F208" s="106"/>
      <c r="G208" s="107"/>
      <c r="H208" s="107"/>
      <c r="I208" s="107"/>
      <c r="J208" s="106"/>
      <c r="K208" s="107">
        <f>IF(LataProjekcji&lt;=Koniec,ROUND('Koszty operacyjne'!K929,0),0)</f>
        <v>0</v>
      </c>
      <c r="L208" s="107">
        <f>IF(LataProjekcji&lt;=Koniec,ROUND('Koszty operacyjne'!L929,0),0)</f>
        <v>0</v>
      </c>
      <c r="M208" s="107">
        <f>IF(LataProjekcji&lt;=Koniec,ROUND('Koszty operacyjne'!M929,0),0)</f>
        <v>0</v>
      </c>
      <c r="N208" s="107">
        <f>IF(LataProjekcji&lt;=Koniec,ROUND('Koszty operacyjne'!N929,0),0)</f>
        <v>0</v>
      </c>
      <c r="O208" s="107">
        <f>IF(LataProjekcji&lt;=Koniec,ROUND('Koszty operacyjne'!O929,0),0)</f>
        <v>0</v>
      </c>
      <c r="P208" s="107">
        <f>IF(LataProjekcji&lt;=Koniec,ROUND('Koszty operacyjne'!P929,0),0)</f>
        <v>0</v>
      </c>
      <c r="Q208" s="107">
        <f>IF(LataProjekcji&lt;=Koniec,ROUND('Koszty operacyjne'!Q929,0),0)</f>
        <v>0</v>
      </c>
      <c r="R208" s="107">
        <f>IF(LataProjekcji&lt;=Koniec,ROUND('Koszty operacyjne'!R929,0),0)</f>
        <v>0</v>
      </c>
      <c r="S208" s="107">
        <f>IF(LataProjekcji&lt;=Koniec,ROUND('Koszty operacyjne'!S929,0),0)</f>
        <v>0</v>
      </c>
      <c r="T208" s="107">
        <f>IF(LataProjekcji&lt;=Koniec,ROUND('Koszty operacyjne'!T929,0),0)</f>
        <v>0</v>
      </c>
      <c r="U208" s="107">
        <f>IF(LataProjekcji&lt;=Koniec,ROUND('Koszty operacyjne'!U929,0),0)</f>
        <v>0</v>
      </c>
      <c r="V208" s="107">
        <f>IF(LataProjekcji&lt;=Koniec,ROUND('Koszty operacyjne'!V929,0),0)</f>
        <v>0</v>
      </c>
      <c r="W208" s="107">
        <f>IF(LataProjekcji&lt;=Koniec,ROUND('Koszty operacyjne'!W929,0),0)</f>
        <v>0</v>
      </c>
      <c r="X208" s="107">
        <f>IF(LataProjekcji&lt;=Koniec,ROUND('Koszty operacyjne'!X929,0),0)</f>
        <v>0</v>
      </c>
    </row>
    <row r="209" spans="2:24">
      <c r="B209" s="99" t="s">
        <v>153</v>
      </c>
      <c r="C209" s="97" t="s">
        <v>561</v>
      </c>
      <c r="D209" s="97"/>
      <c r="E209" s="97"/>
      <c r="F209" s="97"/>
      <c r="G209" s="98"/>
      <c r="H209" s="98"/>
      <c r="I209" s="98"/>
      <c r="J209" s="97"/>
      <c r="K209" s="98">
        <f t="shared" ref="K209:X209" ca="1" si="74">K210+K211+K213+K216</f>
        <v>0</v>
      </c>
      <c r="L209" s="98">
        <f t="shared" ca="1" si="74"/>
        <v>0</v>
      </c>
      <c r="M209" s="98">
        <f t="shared" ca="1" si="74"/>
        <v>0</v>
      </c>
      <c r="N209" s="98">
        <f t="shared" ca="1" si="74"/>
        <v>0</v>
      </c>
      <c r="O209" s="98">
        <f t="shared" ca="1" si="74"/>
        <v>0</v>
      </c>
      <c r="P209" s="98">
        <f t="shared" ca="1" si="74"/>
        <v>0</v>
      </c>
      <c r="Q209" s="98">
        <f t="shared" ca="1" si="74"/>
        <v>0</v>
      </c>
      <c r="R209" s="98">
        <f t="shared" ca="1" si="74"/>
        <v>0</v>
      </c>
      <c r="S209" s="98">
        <f t="shared" ca="1" si="74"/>
        <v>0</v>
      </c>
      <c r="T209" s="98">
        <f t="shared" ca="1" si="74"/>
        <v>0</v>
      </c>
      <c r="U209" s="98">
        <f t="shared" ca="1" si="74"/>
        <v>0</v>
      </c>
      <c r="V209" s="98">
        <f t="shared" ca="1" si="74"/>
        <v>0</v>
      </c>
      <c r="W209" s="98">
        <f t="shared" ca="1" si="74"/>
        <v>0</v>
      </c>
      <c r="X209" s="98">
        <f t="shared" ca="1" si="74"/>
        <v>0</v>
      </c>
    </row>
    <row r="210" spans="2:24">
      <c r="B210" s="104" t="s">
        <v>562</v>
      </c>
      <c r="C210" s="102" t="s">
        <v>563</v>
      </c>
      <c r="D210" s="102"/>
      <c r="E210" s="102"/>
      <c r="F210" s="102"/>
      <c r="G210" s="103"/>
      <c r="H210" s="103"/>
      <c r="I210" s="103"/>
      <c r="J210" s="102"/>
      <c r="K210" s="103">
        <f ca="1">IF(LataProjekcji&lt;=Koniec,'Kapitał pracujący'!K71,0)</f>
        <v>0</v>
      </c>
      <c r="L210" s="103">
        <f ca="1">IF(LataProjekcji&lt;=Koniec,'Kapitał pracujący'!L71,0)</f>
        <v>0</v>
      </c>
      <c r="M210" s="103">
        <f ca="1">IF(LataProjekcji&lt;=Koniec,'Kapitał pracujący'!M71,0)</f>
        <v>0</v>
      </c>
      <c r="N210" s="103">
        <f ca="1">IF(LataProjekcji&lt;=Koniec,'Kapitał pracujący'!N71,0)</f>
        <v>0</v>
      </c>
      <c r="O210" s="103">
        <f ca="1">IF(LataProjekcji&lt;=Koniec,'Kapitał pracujący'!O71,0)</f>
        <v>0</v>
      </c>
      <c r="P210" s="103">
        <f ca="1">IF(LataProjekcji&lt;=Koniec,'Kapitał pracujący'!P71,0)</f>
        <v>0</v>
      </c>
      <c r="Q210" s="103">
        <f ca="1">IF(LataProjekcji&lt;=Koniec,'Kapitał pracujący'!Q71,0)</f>
        <v>0</v>
      </c>
      <c r="R210" s="103">
        <f ca="1">IF(LataProjekcji&lt;=Koniec,'Kapitał pracujący'!R71,0)</f>
        <v>0</v>
      </c>
      <c r="S210" s="103">
        <f ca="1">IF(LataProjekcji&lt;=Koniec,'Kapitał pracujący'!S71,0)</f>
        <v>0</v>
      </c>
      <c r="T210" s="103">
        <f ca="1">IF(LataProjekcji&lt;=Koniec,'Kapitał pracujący'!T71,0)</f>
        <v>0</v>
      </c>
      <c r="U210" s="103">
        <f ca="1">IF(LataProjekcji&lt;=Koniec,'Kapitał pracujący'!U71,0)</f>
        <v>0</v>
      </c>
      <c r="V210" s="103">
        <f ca="1">IF(LataProjekcji&lt;=Koniec,'Kapitał pracujący'!V71,0)</f>
        <v>0</v>
      </c>
      <c r="W210" s="103">
        <f ca="1">IF(LataProjekcji&lt;=Koniec,'Kapitał pracujący'!W71,0)</f>
        <v>0</v>
      </c>
      <c r="X210" s="103">
        <f ca="1">IF(LataProjekcji&lt;=Koniec,'Kapitał pracujący'!X71,0)</f>
        <v>0</v>
      </c>
    </row>
    <row r="211" spans="2:24">
      <c r="B211" s="37" t="s">
        <v>564</v>
      </c>
      <c r="C211" s="52"/>
      <c r="D211" s="52"/>
      <c r="E211" s="52"/>
      <c r="F211" s="52"/>
      <c r="G211" s="33"/>
      <c r="H211" s="33"/>
      <c r="I211" s="33"/>
      <c r="J211" s="52"/>
      <c r="K211" s="33">
        <f>K212</f>
        <v>0</v>
      </c>
      <c r="L211" s="33">
        <f t="shared" ref="L211:X211" si="75">L212</f>
        <v>0</v>
      </c>
      <c r="M211" s="33">
        <f t="shared" si="75"/>
        <v>0</v>
      </c>
      <c r="N211" s="33">
        <f t="shared" si="75"/>
        <v>0</v>
      </c>
      <c r="O211" s="33">
        <f t="shared" si="75"/>
        <v>0</v>
      </c>
      <c r="P211" s="33">
        <f t="shared" si="75"/>
        <v>0</v>
      </c>
      <c r="Q211" s="33">
        <f t="shared" si="75"/>
        <v>0</v>
      </c>
      <c r="R211" s="33">
        <f t="shared" si="75"/>
        <v>0</v>
      </c>
      <c r="S211" s="33">
        <f t="shared" si="75"/>
        <v>0</v>
      </c>
      <c r="T211" s="33">
        <f t="shared" si="75"/>
        <v>0</v>
      </c>
      <c r="U211" s="33">
        <f t="shared" si="75"/>
        <v>0</v>
      </c>
      <c r="V211" s="33">
        <f t="shared" si="75"/>
        <v>0</v>
      </c>
      <c r="W211" s="33">
        <f t="shared" si="75"/>
        <v>0</v>
      </c>
      <c r="X211" s="33">
        <f t="shared" si="75"/>
        <v>0</v>
      </c>
    </row>
    <row r="212" spans="2:24">
      <c r="B212" s="39" t="s">
        <v>565</v>
      </c>
      <c r="C212" s="1" t="s">
        <v>566</v>
      </c>
      <c r="G212" s="41"/>
      <c r="H212" s="41"/>
      <c r="I212" s="41"/>
      <c r="K212" s="41">
        <f>IF(LataProjekcji&lt;=Koniec,'Kapitał pracujący'!K80,0)</f>
        <v>0</v>
      </c>
      <c r="L212" s="41">
        <f>IF(LataProjekcji&lt;=Koniec,'Kapitał pracujący'!L80,0)</f>
        <v>0</v>
      </c>
      <c r="M212" s="41">
        <f>IF(LataProjekcji&lt;=Koniec,'Kapitał pracujący'!M80,0)</f>
        <v>0</v>
      </c>
      <c r="N212" s="41">
        <f>IF(LataProjekcji&lt;=Koniec,'Kapitał pracujący'!N80,0)</f>
        <v>0</v>
      </c>
      <c r="O212" s="41">
        <f>IF(LataProjekcji&lt;=Koniec,'Kapitał pracujący'!O80,0)</f>
        <v>0</v>
      </c>
      <c r="P212" s="41">
        <f>IF(LataProjekcji&lt;=Koniec,'Kapitał pracujący'!P80,0)</f>
        <v>0</v>
      </c>
      <c r="Q212" s="41">
        <f>IF(LataProjekcji&lt;=Koniec,'Kapitał pracujący'!Q80,0)</f>
        <v>0</v>
      </c>
      <c r="R212" s="41">
        <f>IF(LataProjekcji&lt;=Koniec,'Kapitał pracujący'!R80,0)</f>
        <v>0</v>
      </c>
      <c r="S212" s="41">
        <f>IF(LataProjekcji&lt;=Koniec,'Kapitał pracujący'!S80,0)</f>
        <v>0</v>
      </c>
      <c r="T212" s="41">
        <f>IF(LataProjekcji&lt;=Koniec,'Kapitał pracujący'!T80,0)</f>
        <v>0</v>
      </c>
      <c r="U212" s="41">
        <f>IF(LataProjekcji&lt;=Koniec,'Kapitał pracujący'!U80,0)</f>
        <v>0</v>
      </c>
      <c r="V212" s="41">
        <f>IF(LataProjekcji&lt;=Koniec,'Kapitał pracujący'!V80,0)</f>
        <v>0</v>
      </c>
      <c r="W212" s="41">
        <f>IF(LataProjekcji&lt;=Koniec,'Kapitał pracujący'!W80,0)</f>
        <v>0</v>
      </c>
      <c r="X212" s="41">
        <f>IF(LataProjekcji&lt;=Koniec,'Kapitał pracujący'!X80,0)</f>
        <v>0</v>
      </c>
    </row>
    <row r="213" spans="2:24">
      <c r="B213" s="37" t="s">
        <v>567</v>
      </c>
      <c r="C213" s="52"/>
      <c r="D213" s="52"/>
      <c r="E213" s="52"/>
      <c r="F213" s="52"/>
      <c r="G213" s="33"/>
      <c r="H213" s="33"/>
      <c r="I213" s="33"/>
      <c r="J213" s="52"/>
      <c r="K213" s="33">
        <f t="shared" ref="K213:X213" ca="1" si="76">K214+K215</f>
        <v>0</v>
      </c>
      <c r="L213" s="33">
        <f t="shared" ca="1" si="76"/>
        <v>0</v>
      </c>
      <c r="M213" s="33">
        <f t="shared" ca="1" si="76"/>
        <v>0</v>
      </c>
      <c r="N213" s="33">
        <f t="shared" ca="1" si="76"/>
        <v>0</v>
      </c>
      <c r="O213" s="33">
        <f t="shared" ca="1" si="76"/>
        <v>0</v>
      </c>
      <c r="P213" s="33">
        <f t="shared" ca="1" si="76"/>
        <v>0</v>
      </c>
      <c r="Q213" s="33">
        <f t="shared" ca="1" si="76"/>
        <v>0</v>
      </c>
      <c r="R213" s="33">
        <f t="shared" ca="1" si="76"/>
        <v>0</v>
      </c>
      <c r="S213" s="33">
        <f t="shared" ca="1" si="76"/>
        <v>0</v>
      </c>
      <c r="T213" s="33">
        <f t="shared" ca="1" si="76"/>
        <v>0</v>
      </c>
      <c r="U213" s="33">
        <f t="shared" ca="1" si="76"/>
        <v>0</v>
      </c>
      <c r="V213" s="33">
        <f t="shared" ca="1" si="76"/>
        <v>0</v>
      </c>
      <c r="W213" s="33">
        <f t="shared" ca="1" si="76"/>
        <v>0</v>
      </c>
      <c r="X213" s="33">
        <f t="shared" ca="1" si="76"/>
        <v>0</v>
      </c>
    </row>
    <row r="214" spans="2:24">
      <c r="B214" s="39" t="s">
        <v>568</v>
      </c>
      <c r="C214" s="40"/>
      <c r="D214" s="40"/>
      <c r="E214" s="40"/>
      <c r="F214" s="40"/>
      <c r="G214" s="41"/>
      <c r="H214" s="41"/>
      <c r="I214" s="41"/>
      <c r="K214" s="41">
        <f ca="1">IF(LataProjekcji&lt;=Koniec,K267-K215,0)</f>
        <v>0</v>
      </c>
      <c r="L214" s="41">
        <f t="shared" ref="L214:X214" ca="1" si="77">IF(LataProjekcji&lt;=Koniec,L267-L215,0)</f>
        <v>0</v>
      </c>
      <c r="M214" s="41">
        <f t="shared" ca="1" si="77"/>
        <v>0</v>
      </c>
      <c r="N214" s="41">
        <f t="shared" ca="1" si="77"/>
        <v>0</v>
      </c>
      <c r="O214" s="41">
        <f t="shared" ca="1" si="77"/>
        <v>0</v>
      </c>
      <c r="P214" s="41">
        <f t="shared" ca="1" si="77"/>
        <v>0</v>
      </c>
      <c r="Q214" s="41">
        <f t="shared" ca="1" si="77"/>
        <v>0</v>
      </c>
      <c r="R214" s="41">
        <f t="shared" ca="1" si="77"/>
        <v>0</v>
      </c>
      <c r="S214" s="41">
        <f t="shared" ca="1" si="77"/>
        <v>0</v>
      </c>
      <c r="T214" s="41">
        <f t="shared" ca="1" si="77"/>
        <v>0</v>
      </c>
      <c r="U214" s="41">
        <f t="shared" ca="1" si="77"/>
        <v>0</v>
      </c>
      <c r="V214" s="41">
        <f t="shared" ca="1" si="77"/>
        <v>0</v>
      </c>
      <c r="W214" s="41">
        <f t="shared" ca="1" si="77"/>
        <v>0</v>
      </c>
      <c r="X214" s="41">
        <f t="shared" ca="1" si="77"/>
        <v>0</v>
      </c>
    </row>
    <row r="215" spans="2:24">
      <c r="B215" s="39" t="s">
        <v>569</v>
      </c>
      <c r="C215" s="40"/>
      <c r="D215" s="40"/>
      <c r="E215" s="40"/>
      <c r="F215" s="40"/>
      <c r="G215" s="41"/>
      <c r="H215" s="41"/>
      <c r="I215" s="41"/>
      <c r="K215" s="41">
        <f>IF(LataProjekcji&lt;=Koniec,Finansowanie!K99,0)</f>
        <v>0</v>
      </c>
      <c r="L215" s="41">
        <f>IF(LataProjekcji&lt;=Koniec,Finansowanie!L99,0)</f>
        <v>0</v>
      </c>
      <c r="M215" s="41">
        <f>IF(LataProjekcji&lt;=Koniec,Finansowanie!M99,0)</f>
        <v>0</v>
      </c>
      <c r="N215" s="41">
        <f>IF(LataProjekcji&lt;=Koniec,Finansowanie!N99,0)</f>
        <v>0</v>
      </c>
      <c r="O215" s="41">
        <f>IF(LataProjekcji&lt;=Koniec,Finansowanie!O99,0)</f>
        <v>0</v>
      </c>
      <c r="P215" s="41">
        <f>IF(LataProjekcji&lt;=Koniec,Finansowanie!P99,0)</f>
        <v>0</v>
      </c>
      <c r="Q215" s="41">
        <f>IF(LataProjekcji&lt;=Koniec,Finansowanie!Q99,0)</f>
        <v>0</v>
      </c>
      <c r="R215" s="41">
        <f>IF(LataProjekcji&lt;=Koniec,Finansowanie!R99,0)</f>
        <v>0</v>
      </c>
      <c r="S215" s="41">
        <f>IF(LataProjekcji&lt;=Koniec,Finansowanie!S99,0)</f>
        <v>0</v>
      </c>
      <c r="T215" s="41">
        <f>IF(LataProjekcji&lt;=Koniec,Finansowanie!T99,0)</f>
        <v>0</v>
      </c>
      <c r="U215" s="41">
        <f>IF(LataProjekcji&lt;=Koniec,Finansowanie!U99,0)</f>
        <v>0</v>
      </c>
      <c r="V215" s="41">
        <f>IF(LataProjekcji&lt;=Koniec,Finansowanie!V99,0)</f>
        <v>0</v>
      </c>
      <c r="W215" s="41">
        <f>IF(LataProjekcji&lt;=Koniec,Finansowanie!W99,0)</f>
        <v>0</v>
      </c>
      <c r="X215" s="41">
        <f>IF(LataProjekcji&lt;=Koniec,Finansowanie!X99,0)</f>
        <v>0</v>
      </c>
    </row>
    <row r="216" spans="2:24">
      <c r="B216" s="106" t="s">
        <v>178</v>
      </c>
      <c r="C216" s="106"/>
      <c r="D216" s="106"/>
      <c r="E216" s="106"/>
      <c r="F216" s="106"/>
      <c r="G216" s="107"/>
      <c r="H216" s="107"/>
      <c r="I216" s="107"/>
      <c r="J216" s="106"/>
      <c r="K216" s="107">
        <f>IF(LataProjekcji&lt;=Koniec,ROUND('Koszty operacyjne'!K930,0),0)</f>
        <v>0</v>
      </c>
      <c r="L216" s="107">
        <f>IF(LataProjekcji&lt;=Koniec,ROUND('Koszty operacyjne'!L930,0),0)</f>
        <v>0</v>
      </c>
      <c r="M216" s="107">
        <f>IF(LataProjekcji&lt;=Koniec,ROUND('Koszty operacyjne'!M930,0),0)</f>
        <v>0</v>
      </c>
      <c r="N216" s="107">
        <f>IF(LataProjekcji&lt;=Koniec,ROUND('Koszty operacyjne'!N930,0),0)</f>
        <v>0</v>
      </c>
      <c r="O216" s="107">
        <f>IF(LataProjekcji&lt;=Koniec,ROUND('Koszty operacyjne'!O930,0),0)</f>
        <v>0</v>
      </c>
      <c r="P216" s="107">
        <f>IF(LataProjekcji&lt;=Koniec,ROUND('Koszty operacyjne'!P930,0),0)</f>
        <v>0</v>
      </c>
      <c r="Q216" s="107">
        <f>IF(LataProjekcji&lt;=Koniec,ROUND('Koszty operacyjne'!Q930,0),0)</f>
        <v>0</v>
      </c>
      <c r="R216" s="107">
        <f>IF(LataProjekcji&lt;=Koniec,ROUND('Koszty operacyjne'!R930,0),0)</f>
        <v>0</v>
      </c>
      <c r="S216" s="107">
        <f>IF(LataProjekcji&lt;=Koniec,ROUND('Koszty operacyjne'!S930,0),0)</f>
        <v>0</v>
      </c>
      <c r="T216" s="107">
        <f>IF(LataProjekcji&lt;=Koniec,ROUND('Koszty operacyjne'!T930,0),0)</f>
        <v>0</v>
      </c>
      <c r="U216" s="107">
        <f>IF(LataProjekcji&lt;=Koniec,ROUND('Koszty operacyjne'!U930,0),0)</f>
        <v>0</v>
      </c>
      <c r="V216" s="107">
        <f>IF(LataProjekcji&lt;=Koniec,ROUND('Koszty operacyjne'!V930,0),0)</f>
        <v>0</v>
      </c>
      <c r="W216" s="107">
        <f>IF(LataProjekcji&lt;=Koniec,ROUND('Koszty operacyjne'!W930,0),0)</f>
        <v>0</v>
      </c>
      <c r="X216" s="107">
        <f>IF(LataProjekcji&lt;=Koniec,ROUND('Koszty operacyjne'!X930,0),0)</f>
        <v>0</v>
      </c>
    </row>
    <row r="217" spans="2:24">
      <c r="B217" s="99" t="s">
        <v>179</v>
      </c>
      <c r="C217" s="97"/>
      <c r="D217" s="97"/>
      <c r="E217" s="97"/>
      <c r="F217" s="97"/>
      <c r="G217" s="98"/>
      <c r="H217" s="98"/>
      <c r="I217" s="98"/>
      <c r="J217" s="97"/>
      <c r="K217" s="98">
        <f t="shared" ref="K217:X217" ca="1" si="78">K209+K191</f>
        <v>0</v>
      </c>
      <c r="L217" s="98">
        <f t="shared" ca="1" si="78"/>
        <v>0</v>
      </c>
      <c r="M217" s="98">
        <f t="shared" ca="1" si="78"/>
        <v>0</v>
      </c>
      <c r="N217" s="98">
        <f t="shared" ca="1" si="78"/>
        <v>0</v>
      </c>
      <c r="O217" s="98">
        <f t="shared" ca="1" si="78"/>
        <v>0</v>
      </c>
      <c r="P217" s="98">
        <f t="shared" ca="1" si="78"/>
        <v>0</v>
      </c>
      <c r="Q217" s="98">
        <f t="shared" ca="1" si="78"/>
        <v>0</v>
      </c>
      <c r="R217" s="98">
        <f t="shared" ca="1" si="78"/>
        <v>0</v>
      </c>
      <c r="S217" s="98">
        <f t="shared" ca="1" si="78"/>
        <v>0</v>
      </c>
      <c r="T217" s="98">
        <f t="shared" ca="1" si="78"/>
        <v>0</v>
      </c>
      <c r="U217" s="98">
        <f t="shared" ca="1" si="78"/>
        <v>0</v>
      </c>
      <c r="V217" s="98">
        <f t="shared" ca="1" si="78"/>
        <v>0</v>
      </c>
      <c r="W217" s="98">
        <f t="shared" ca="1" si="78"/>
        <v>0</v>
      </c>
      <c r="X217" s="98">
        <f t="shared" ca="1" si="78"/>
        <v>0</v>
      </c>
    </row>
    <row r="218" spans="2:24">
      <c r="G218" s="5"/>
      <c r="H218" s="5"/>
      <c r="I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ht="13.8">
      <c r="B219" s="152" t="s">
        <v>570</v>
      </c>
      <c r="C219" s="218"/>
      <c r="D219" s="218"/>
      <c r="E219" s="218"/>
      <c r="F219" s="218"/>
      <c r="G219" s="221">
        <f t="shared" ref="G219:X219" ca="1" si="79">LataProjekcji</f>
        <v>0</v>
      </c>
      <c r="H219" s="221">
        <f t="shared" ca="1" si="79"/>
        <v>0</v>
      </c>
      <c r="I219" s="221">
        <f t="shared" ca="1" si="79"/>
        <v>0</v>
      </c>
      <c r="J219" s="222" t="str">
        <f t="shared" si="79"/>
        <v/>
      </c>
      <c r="K219" s="221" t="str">
        <f t="shared" si="79"/>
        <v>Uzupełnij dane</v>
      </c>
      <c r="L219" s="221" t="str">
        <f t="shared" si="79"/>
        <v/>
      </c>
      <c r="M219" s="221" t="str">
        <f t="shared" si="79"/>
        <v/>
      </c>
      <c r="N219" s="221" t="str">
        <f t="shared" si="79"/>
        <v/>
      </c>
      <c r="O219" s="221" t="str">
        <f t="shared" si="79"/>
        <v/>
      </c>
      <c r="P219" s="221" t="str">
        <f t="shared" si="79"/>
        <v/>
      </c>
      <c r="Q219" s="221" t="str">
        <f t="shared" si="79"/>
        <v/>
      </c>
      <c r="R219" s="221" t="str">
        <f t="shared" si="79"/>
        <v/>
      </c>
      <c r="S219" s="221" t="str">
        <f t="shared" si="79"/>
        <v/>
      </c>
      <c r="T219" s="221" t="str">
        <f t="shared" si="79"/>
        <v/>
      </c>
      <c r="U219" s="221" t="str">
        <f t="shared" si="79"/>
        <v/>
      </c>
      <c r="V219" s="221" t="str">
        <f t="shared" si="79"/>
        <v/>
      </c>
      <c r="W219" s="221" t="str">
        <f t="shared" si="79"/>
        <v/>
      </c>
      <c r="X219" s="221" t="str">
        <f t="shared" si="79"/>
        <v/>
      </c>
    </row>
    <row r="220" spans="2:24">
      <c r="B220" s="99" t="s">
        <v>571</v>
      </c>
      <c r="C220" s="97" t="s">
        <v>572</v>
      </c>
      <c r="D220" s="97"/>
      <c r="E220" s="97"/>
      <c r="F220" s="97"/>
      <c r="G220" s="98"/>
      <c r="H220" s="98"/>
      <c r="I220" s="98"/>
      <c r="J220" s="97"/>
      <c r="K220" s="98">
        <f t="shared" ref="K220:X220" ca="1" si="80">SUM(K221:K225)</f>
        <v>0</v>
      </c>
      <c r="L220" s="98">
        <f t="shared" ca="1" si="80"/>
        <v>0</v>
      </c>
      <c r="M220" s="98">
        <f t="shared" ca="1" si="80"/>
        <v>0</v>
      </c>
      <c r="N220" s="98">
        <f t="shared" ca="1" si="80"/>
        <v>0</v>
      </c>
      <c r="O220" s="98">
        <f t="shared" ca="1" si="80"/>
        <v>0</v>
      </c>
      <c r="P220" s="98">
        <f t="shared" ca="1" si="80"/>
        <v>0</v>
      </c>
      <c r="Q220" s="98">
        <f t="shared" ca="1" si="80"/>
        <v>0</v>
      </c>
      <c r="R220" s="98">
        <f t="shared" ca="1" si="80"/>
        <v>0</v>
      </c>
      <c r="S220" s="98">
        <f t="shared" ca="1" si="80"/>
        <v>0</v>
      </c>
      <c r="T220" s="98">
        <f t="shared" ca="1" si="80"/>
        <v>0</v>
      </c>
      <c r="U220" s="98">
        <f t="shared" ca="1" si="80"/>
        <v>0</v>
      </c>
      <c r="V220" s="98">
        <f t="shared" ca="1" si="80"/>
        <v>0</v>
      </c>
      <c r="W220" s="98">
        <f t="shared" ca="1" si="80"/>
        <v>0</v>
      </c>
      <c r="X220" s="98">
        <f t="shared" ca="1" si="80"/>
        <v>0</v>
      </c>
    </row>
    <row r="221" spans="2:24">
      <c r="B221" s="104" t="s">
        <v>573</v>
      </c>
      <c r="C221" s="102"/>
      <c r="D221" s="102"/>
      <c r="E221" s="102"/>
      <c r="F221" s="102"/>
      <c r="G221" s="103"/>
      <c r="H221" s="103"/>
      <c r="I221" s="103"/>
      <c r="J221" s="102"/>
      <c r="K221" s="103">
        <f>IF(LataProjekcji&lt;=Koniec,Finansowanie!K73,0)</f>
        <v>0</v>
      </c>
      <c r="L221" s="103">
        <f>IF(LataProjekcji&lt;=Koniec,Finansowanie!L73,0)</f>
        <v>0</v>
      </c>
      <c r="M221" s="103">
        <f>IF(LataProjekcji&lt;=Koniec,Finansowanie!M73,0)</f>
        <v>0</v>
      </c>
      <c r="N221" s="103">
        <f>IF(LataProjekcji&lt;=Koniec,Finansowanie!N73,0)</f>
        <v>0</v>
      </c>
      <c r="O221" s="103">
        <f>IF(LataProjekcji&lt;=Koniec,Finansowanie!O73,0)</f>
        <v>0</v>
      </c>
      <c r="P221" s="103">
        <f>IF(LataProjekcji&lt;=Koniec,Finansowanie!P73,0)</f>
        <v>0</v>
      </c>
      <c r="Q221" s="103">
        <f>IF(LataProjekcji&lt;=Koniec,Finansowanie!Q73,0)</f>
        <v>0</v>
      </c>
      <c r="R221" s="103">
        <f>IF(LataProjekcji&lt;=Koniec,Finansowanie!R73,0)</f>
        <v>0</v>
      </c>
      <c r="S221" s="103">
        <f>IF(LataProjekcji&lt;=Koniec,Finansowanie!S73,0)</f>
        <v>0</v>
      </c>
      <c r="T221" s="103">
        <f>IF(LataProjekcji&lt;=Koniec,Finansowanie!T73,0)</f>
        <v>0</v>
      </c>
      <c r="U221" s="103">
        <f>IF(LataProjekcji&lt;=Koniec,Finansowanie!U73,0)</f>
        <v>0</v>
      </c>
      <c r="V221" s="103">
        <f>IF(LataProjekcji&lt;=Koniec,Finansowanie!V73,0)</f>
        <v>0</v>
      </c>
      <c r="W221" s="103">
        <f>IF(LataProjekcji&lt;=Koniec,Finansowanie!W73,0)</f>
        <v>0</v>
      </c>
      <c r="X221" s="103">
        <f>IF(LataProjekcji&lt;=Koniec,Finansowanie!X73,0)</f>
        <v>0</v>
      </c>
    </row>
    <row r="222" spans="2:24">
      <c r="B222" s="289" t="s">
        <v>574</v>
      </c>
      <c r="C222" s="188"/>
      <c r="D222" s="188"/>
      <c r="E222" s="188"/>
      <c r="F222" s="188"/>
      <c r="G222" s="290"/>
      <c r="H222" s="290"/>
      <c r="I222" s="290"/>
      <c r="J222" s="290"/>
      <c r="K222" s="290">
        <f>IF(LataProjekcji&lt;=Koniec,Finansowanie!K79,0)</f>
        <v>0</v>
      </c>
      <c r="L222" s="290">
        <f ca="1">IF(LataProjekcji&lt;=Koniec,Finansowanie!L79,0)</f>
        <v>0</v>
      </c>
      <c r="M222" s="290">
        <f ca="1">IF(LataProjekcji&lt;=Koniec,Finansowanie!M79,0)</f>
        <v>0</v>
      </c>
      <c r="N222" s="290">
        <f ca="1">IF(LataProjekcji&lt;=Koniec,Finansowanie!N79,0)</f>
        <v>0</v>
      </c>
      <c r="O222" s="290">
        <f ca="1">IF(LataProjekcji&lt;=Koniec,Finansowanie!O79,0)</f>
        <v>0</v>
      </c>
      <c r="P222" s="290">
        <f ca="1">IF(LataProjekcji&lt;=Koniec,Finansowanie!P79,0)</f>
        <v>0</v>
      </c>
      <c r="Q222" s="290">
        <f ca="1">IF(LataProjekcji&lt;=Koniec,Finansowanie!Q79,0)</f>
        <v>0</v>
      </c>
      <c r="R222" s="290">
        <f ca="1">IF(LataProjekcji&lt;=Koniec,Finansowanie!R79,0)</f>
        <v>0</v>
      </c>
      <c r="S222" s="290">
        <f ca="1">IF(LataProjekcji&lt;=Koniec,Finansowanie!S79,0)</f>
        <v>0</v>
      </c>
      <c r="T222" s="290">
        <f ca="1">IF(LataProjekcji&lt;=Koniec,Finansowanie!T79,0)</f>
        <v>0</v>
      </c>
      <c r="U222" s="290">
        <f ca="1">IF(LataProjekcji&lt;=Koniec,Finansowanie!U79,0)</f>
        <v>0</v>
      </c>
      <c r="V222" s="290">
        <f ca="1">IF(LataProjekcji&lt;=Koniec,Finansowanie!V79,0)</f>
        <v>0</v>
      </c>
      <c r="W222" s="290">
        <f ca="1">IF(LataProjekcji&lt;=Koniec,Finansowanie!W79,0)</f>
        <v>0</v>
      </c>
      <c r="X222" s="290">
        <f ca="1">IF(LataProjekcji&lt;=Koniec,Finansowanie!X79,0)</f>
        <v>0</v>
      </c>
    </row>
    <row r="223" spans="2:24">
      <c r="B223" s="37" t="s">
        <v>575</v>
      </c>
      <c r="C223" s="52"/>
      <c r="D223" s="52"/>
      <c r="E223" s="52"/>
      <c r="F223" s="52"/>
      <c r="G223" s="33"/>
      <c r="H223" s="33"/>
      <c r="I223" s="33"/>
      <c r="J223" s="52"/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</row>
    <row r="224" spans="2:24">
      <c r="B224" s="37" t="s">
        <v>576</v>
      </c>
      <c r="C224" s="52"/>
      <c r="D224" s="52"/>
      <c r="E224" s="52"/>
      <c r="F224" s="52"/>
      <c r="G224" s="33"/>
      <c r="H224" s="33"/>
      <c r="I224" s="33"/>
      <c r="J224" s="52"/>
      <c r="K224" s="33">
        <f>IF(LataProjekcji&lt;=Koniec,Finansowanie!K85,0)</f>
        <v>0</v>
      </c>
      <c r="L224" s="33">
        <f ca="1">IF(LataProjekcji&lt;=Koniec,Finansowanie!L85,0)</f>
        <v>0</v>
      </c>
      <c r="M224" s="33">
        <f ca="1">IF(LataProjekcji&lt;=Koniec,Finansowanie!M85,0)</f>
        <v>0</v>
      </c>
      <c r="N224" s="33">
        <f ca="1">IF(LataProjekcji&lt;=Koniec,Finansowanie!N85,0)</f>
        <v>0</v>
      </c>
      <c r="O224" s="33">
        <f ca="1">IF(LataProjekcji&lt;=Koniec,Finansowanie!O85,0)</f>
        <v>0</v>
      </c>
      <c r="P224" s="33">
        <f ca="1">IF(LataProjekcji&lt;=Koniec,Finansowanie!P85,0)</f>
        <v>0</v>
      </c>
      <c r="Q224" s="33">
        <f ca="1">IF(LataProjekcji&lt;=Koniec,Finansowanie!Q85,0)</f>
        <v>0</v>
      </c>
      <c r="R224" s="33">
        <f ca="1">IF(LataProjekcji&lt;=Koniec,Finansowanie!R85,0)</f>
        <v>0</v>
      </c>
      <c r="S224" s="33">
        <f ca="1">IF(LataProjekcji&lt;=Koniec,Finansowanie!S85,0)</f>
        <v>0</v>
      </c>
      <c r="T224" s="33">
        <f ca="1">IF(LataProjekcji&lt;=Koniec,Finansowanie!T85,0)</f>
        <v>0</v>
      </c>
      <c r="U224" s="33">
        <f ca="1">IF(LataProjekcji&lt;=Koniec,Finansowanie!U85,0)</f>
        <v>0</v>
      </c>
      <c r="V224" s="33">
        <f ca="1">IF(LataProjekcji&lt;=Koniec,Finansowanie!V85,0)</f>
        <v>0</v>
      </c>
      <c r="W224" s="33">
        <f ca="1">IF(LataProjekcji&lt;=Koniec,Finansowanie!W85,0)</f>
        <v>0</v>
      </c>
      <c r="X224" s="33">
        <f ca="1">IF(LataProjekcji&lt;=Koniec,Finansowanie!X85,0)</f>
        <v>0</v>
      </c>
    </row>
    <row r="225" spans="2:24">
      <c r="B225" s="105" t="s">
        <v>577</v>
      </c>
      <c r="C225" s="106"/>
      <c r="D225" s="106"/>
      <c r="E225" s="106"/>
      <c r="F225" s="106"/>
      <c r="G225" s="107"/>
      <c r="H225" s="107"/>
      <c r="I225" s="107"/>
      <c r="J225" s="106"/>
      <c r="K225" s="107">
        <f t="shared" ref="K225:X225" ca="1" si="81">K186</f>
        <v>0</v>
      </c>
      <c r="L225" s="107">
        <f t="shared" ca="1" si="81"/>
        <v>0</v>
      </c>
      <c r="M225" s="107">
        <f t="shared" ca="1" si="81"/>
        <v>0</v>
      </c>
      <c r="N225" s="107">
        <f t="shared" ca="1" si="81"/>
        <v>0</v>
      </c>
      <c r="O225" s="107">
        <f t="shared" ca="1" si="81"/>
        <v>0</v>
      </c>
      <c r="P225" s="107">
        <f t="shared" ca="1" si="81"/>
        <v>0</v>
      </c>
      <c r="Q225" s="107">
        <f t="shared" ca="1" si="81"/>
        <v>0</v>
      </c>
      <c r="R225" s="107">
        <f t="shared" ca="1" si="81"/>
        <v>0</v>
      </c>
      <c r="S225" s="107">
        <f t="shared" ca="1" si="81"/>
        <v>0</v>
      </c>
      <c r="T225" s="107">
        <f t="shared" ca="1" si="81"/>
        <v>0</v>
      </c>
      <c r="U225" s="107">
        <f t="shared" ca="1" si="81"/>
        <v>0</v>
      </c>
      <c r="V225" s="107">
        <f t="shared" ca="1" si="81"/>
        <v>0</v>
      </c>
      <c r="W225" s="107">
        <f t="shared" ca="1" si="81"/>
        <v>0</v>
      </c>
      <c r="X225" s="107">
        <f t="shared" ca="1" si="81"/>
        <v>0</v>
      </c>
    </row>
    <row r="226" spans="2:24">
      <c r="B226" s="99" t="s">
        <v>578</v>
      </c>
      <c r="C226" s="97" t="s">
        <v>579</v>
      </c>
      <c r="D226" s="97"/>
      <c r="E226" s="97"/>
      <c r="F226" s="97"/>
      <c r="G226" s="98"/>
      <c r="H226" s="98"/>
      <c r="I226" s="98"/>
      <c r="J226" s="97"/>
      <c r="K226" s="98">
        <f t="shared" ref="K226:X226" ca="1" si="82">K227+K228+K231+K235</f>
        <v>0</v>
      </c>
      <c r="L226" s="98">
        <f t="shared" ca="1" si="82"/>
        <v>0</v>
      </c>
      <c r="M226" s="98">
        <f t="shared" ca="1" si="82"/>
        <v>0</v>
      </c>
      <c r="N226" s="98">
        <f t="shared" ca="1" si="82"/>
        <v>0</v>
      </c>
      <c r="O226" s="98">
        <f t="shared" ca="1" si="82"/>
        <v>0</v>
      </c>
      <c r="P226" s="98">
        <f t="shared" ca="1" si="82"/>
        <v>0</v>
      </c>
      <c r="Q226" s="98">
        <f t="shared" ca="1" si="82"/>
        <v>0</v>
      </c>
      <c r="R226" s="98">
        <f t="shared" ca="1" si="82"/>
        <v>0</v>
      </c>
      <c r="S226" s="98">
        <f t="shared" ca="1" si="82"/>
        <v>0</v>
      </c>
      <c r="T226" s="98">
        <f t="shared" ca="1" si="82"/>
        <v>0</v>
      </c>
      <c r="U226" s="98">
        <f t="shared" ca="1" si="82"/>
        <v>0</v>
      </c>
      <c r="V226" s="98">
        <f t="shared" ca="1" si="82"/>
        <v>0</v>
      </c>
      <c r="W226" s="98">
        <f t="shared" ca="1" si="82"/>
        <v>0</v>
      </c>
      <c r="X226" s="98">
        <f t="shared" ca="1" si="82"/>
        <v>0</v>
      </c>
    </row>
    <row r="227" spans="2:24">
      <c r="B227" s="8" t="s">
        <v>580</v>
      </c>
      <c r="G227" s="5"/>
      <c r="H227" s="5"/>
      <c r="I227" s="5"/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</row>
    <row r="228" spans="2:24">
      <c r="B228" s="37" t="s">
        <v>581</v>
      </c>
      <c r="C228" s="52"/>
      <c r="D228" s="52"/>
      <c r="E228" s="52"/>
      <c r="F228" s="52"/>
      <c r="G228" s="33"/>
      <c r="H228" s="33"/>
      <c r="I228" s="33"/>
      <c r="J228" s="52"/>
      <c r="K228" s="33">
        <f>SUM(K229:K230)</f>
        <v>0</v>
      </c>
      <c r="L228" s="33">
        <f t="shared" ref="L228:X228" si="83">SUM(L229:L230)</f>
        <v>0</v>
      </c>
      <c r="M228" s="33">
        <f t="shared" si="83"/>
        <v>0</v>
      </c>
      <c r="N228" s="33">
        <f t="shared" si="83"/>
        <v>0</v>
      </c>
      <c r="O228" s="33">
        <f t="shared" si="83"/>
        <v>0</v>
      </c>
      <c r="P228" s="33">
        <f t="shared" si="83"/>
        <v>0</v>
      </c>
      <c r="Q228" s="33">
        <f t="shared" si="83"/>
        <v>0</v>
      </c>
      <c r="R228" s="33">
        <f t="shared" si="83"/>
        <v>0</v>
      </c>
      <c r="S228" s="33">
        <f t="shared" si="83"/>
        <v>0</v>
      </c>
      <c r="T228" s="33">
        <f t="shared" si="83"/>
        <v>0</v>
      </c>
      <c r="U228" s="33">
        <f t="shared" si="83"/>
        <v>0</v>
      </c>
      <c r="V228" s="33">
        <f t="shared" si="83"/>
        <v>0</v>
      </c>
      <c r="W228" s="33">
        <f t="shared" si="83"/>
        <v>0</v>
      </c>
      <c r="X228" s="33">
        <f t="shared" si="83"/>
        <v>0</v>
      </c>
    </row>
    <row r="229" spans="2:24">
      <c r="B229" s="39" t="s">
        <v>582</v>
      </c>
      <c r="C229" s="40"/>
      <c r="D229" s="40"/>
      <c r="E229" s="40"/>
      <c r="F229" s="40"/>
      <c r="G229" s="41"/>
      <c r="H229" s="41"/>
      <c r="I229" s="41"/>
      <c r="K229" s="41">
        <f>IF(LataProjekcji&lt;=Koniec,IF((Finansowanie!K108+Finansowanie!K117-Finansowanie!L106-Finansowanie!L115)&lt;0,0,Finansowanie!K108+Finansowanie!K117-Finansowanie!L106-Finansowanie!L115),0)</f>
        <v>0</v>
      </c>
      <c r="L229" s="41">
        <f>IF(LataProjekcji&lt;=Koniec,IF((Finansowanie!L108+Finansowanie!L117-Finansowanie!M106-Finansowanie!M115)&lt;0,0,Finansowanie!L108+Finansowanie!L117-Finansowanie!M106-Finansowanie!M115),0)</f>
        <v>0</v>
      </c>
      <c r="M229" s="41">
        <f>IF(LataProjekcji&lt;=Koniec,IF((Finansowanie!M108+Finansowanie!M117-Finansowanie!N106-Finansowanie!N115)&lt;0,0,Finansowanie!M108+Finansowanie!M117-Finansowanie!N106-Finansowanie!N115),0)</f>
        <v>0</v>
      </c>
      <c r="N229" s="41">
        <f>IF(LataProjekcji&lt;=Koniec,IF((Finansowanie!N108+Finansowanie!N117-Finansowanie!O106-Finansowanie!O115)&lt;0,0,Finansowanie!N108+Finansowanie!N117-Finansowanie!O106-Finansowanie!O115),0)</f>
        <v>0</v>
      </c>
      <c r="O229" s="41">
        <f>IF(LataProjekcji&lt;=Koniec,IF((Finansowanie!O108+Finansowanie!O117-Finansowanie!P106-Finansowanie!P115)&lt;0,0,Finansowanie!O108+Finansowanie!O117-Finansowanie!P106-Finansowanie!P115),0)</f>
        <v>0</v>
      </c>
      <c r="P229" s="41">
        <f>IF(LataProjekcji&lt;=Koniec,IF((Finansowanie!P108+Finansowanie!P117-Finansowanie!Q106-Finansowanie!Q115)&lt;0,0,Finansowanie!P108+Finansowanie!P117-Finansowanie!Q106-Finansowanie!Q115),0)</f>
        <v>0</v>
      </c>
      <c r="Q229" s="41">
        <f>IF(LataProjekcji&lt;=Koniec,IF((Finansowanie!Q108+Finansowanie!Q117-Finansowanie!R106-Finansowanie!R115)&lt;0,0,Finansowanie!Q108+Finansowanie!Q117-Finansowanie!R106-Finansowanie!R115),0)</f>
        <v>0</v>
      </c>
      <c r="R229" s="41">
        <f>IF(LataProjekcji&lt;=Koniec,IF((Finansowanie!R108+Finansowanie!R117-Finansowanie!S106-Finansowanie!S115)&lt;0,0,Finansowanie!R108+Finansowanie!R117-Finansowanie!S106-Finansowanie!S115),0)</f>
        <v>0</v>
      </c>
      <c r="S229" s="41">
        <f>IF(LataProjekcji&lt;=Koniec,IF((Finansowanie!S108+Finansowanie!S117-Finansowanie!T106-Finansowanie!T115)&lt;0,0,Finansowanie!S108+Finansowanie!S117-Finansowanie!T106-Finansowanie!T115),0)</f>
        <v>0</v>
      </c>
      <c r="T229" s="41">
        <f>IF(LataProjekcji&lt;=Koniec,IF((Finansowanie!T108+Finansowanie!T117-Finansowanie!U106-Finansowanie!U115)&lt;0,0,Finansowanie!T108+Finansowanie!T117-Finansowanie!U106-Finansowanie!U115),0)</f>
        <v>0</v>
      </c>
      <c r="U229" s="41">
        <f>IF(LataProjekcji&lt;=Koniec,IF((Finansowanie!U108+Finansowanie!U117-Finansowanie!V106-Finansowanie!V115)&lt;0,0,Finansowanie!U108+Finansowanie!U117-Finansowanie!V106-Finansowanie!V115),0)</f>
        <v>0</v>
      </c>
      <c r="V229" s="41">
        <f>IF(LataProjekcji&lt;=Koniec,IF((Finansowanie!V108+Finansowanie!V117-Finansowanie!W106-Finansowanie!W115)&lt;0,0,Finansowanie!V108+Finansowanie!V117-Finansowanie!W106-Finansowanie!W115),0)</f>
        <v>0</v>
      </c>
      <c r="W229" s="41">
        <f>IF(LataProjekcji&lt;=Koniec,IF((Finansowanie!W108+Finansowanie!W117-Finansowanie!X106-Finansowanie!X115)&lt;0,0,Finansowanie!W108+Finansowanie!W117-Finansowanie!X106-Finansowanie!X115),0)</f>
        <v>0</v>
      </c>
      <c r="X229" s="41">
        <f>IF(LataProjekcji&lt;=Koniec,IF((Finansowanie!X108+Finansowanie!X117-Finansowanie!Y106-Finansowanie!Y115)&lt;0,0,Finansowanie!X108+Finansowanie!X117-Finansowanie!Y106-Finansowanie!Y115),0)</f>
        <v>0</v>
      </c>
    </row>
    <row r="230" spans="2:24">
      <c r="B230" s="39" t="s">
        <v>583</v>
      </c>
      <c r="C230" s="40"/>
      <c r="D230" s="40"/>
      <c r="E230" s="40"/>
      <c r="F230" s="40"/>
      <c r="G230" s="41"/>
      <c r="H230" s="41"/>
      <c r="I230" s="41"/>
      <c r="K230" s="41">
        <f>IF(LataProjekcji&lt;=Koniec,IF(Finansowanie!K134-Finansowanie!L133&lt;0,0,Finansowanie!K134-Finansowanie!L133),0)</f>
        <v>0</v>
      </c>
      <c r="L230" s="41">
        <f>IF(LataProjekcji&lt;=Koniec,IF(Finansowanie!L134-Finansowanie!M133&lt;0,0,Finansowanie!L134-Finansowanie!M133),0)</f>
        <v>0</v>
      </c>
      <c r="M230" s="41">
        <f>IF(LataProjekcji&lt;=Koniec,IF(Finansowanie!M134-Finansowanie!N133&lt;0,0,Finansowanie!M134-Finansowanie!N133),0)</f>
        <v>0</v>
      </c>
      <c r="N230" s="41">
        <f>IF(LataProjekcji&lt;=Koniec,IF(Finansowanie!N134-Finansowanie!O133&lt;0,0,Finansowanie!N134-Finansowanie!O133),0)</f>
        <v>0</v>
      </c>
      <c r="O230" s="41">
        <f>IF(LataProjekcji&lt;=Koniec,IF(Finansowanie!O134-Finansowanie!P133&lt;0,0,Finansowanie!O134-Finansowanie!P133),0)</f>
        <v>0</v>
      </c>
      <c r="P230" s="41">
        <f>IF(LataProjekcji&lt;=Koniec,IF(Finansowanie!P134-Finansowanie!Q133&lt;0,0,Finansowanie!P134-Finansowanie!Q133),0)</f>
        <v>0</v>
      </c>
      <c r="Q230" s="41">
        <f>IF(LataProjekcji&lt;=Koniec,IF(Finansowanie!Q134-Finansowanie!R133&lt;0,0,Finansowanie!Q134-Finansowanie!R133),0)</f>
        <v>0</v>
      </c>
      <c r="R230" s="41">
        <f>IF(LataProjekcji&lt;=Koniec,IF(Finansowanie!R134-Finansowanie!S133&lt;0,0,Finansowanie!R134-Finansowanie!S133),0)</f>
        <v>0</v>
      </c>
      <c r="S230" s="41">
        <f>IF(LataProjekcji&lt;=Koniec,IF(Finansowanie!S134-Finansowanie!T133&lt;0,0,Finansowanie!S134-Finansowanie!T133),0)</f>
        <v>0</v>
      </c>
      <c r="T230" s="41">
        <f>IF(LataProjekcji&lt;=Koniec,IF(Finansowanie!T134-Finansowanie!U133&lt;0,0,Finansowanie!T134-Finansowanie!U133),0)</f>
        <v>0</v>
      </c>
      <c r="U230" s="41">
        <f>IF(LataProjekcji&lt;=Koniec,IF(Finansowanie!U134-Finansowanie!V133&lt;0,0,Finansowanie!U134-Finansowanie!V133),0)</f>
        <v>0</v>
      </c>
      <c r="V230" s="41">
        <f>IF(LataProjekcji&lt;=Koniec,IF(Finansowanie!V134-Finansowanie!W133&lt;0,0,Finansowanie!V134-Finansowanie!W133),0)</f>
        <v>0</v>
      </c>
      <c r="W230" s="41">
        <f>IF(LataProjekcji&lt;=Koniec,IF(Finansowanie!W134-Finansowanie!X133&lt;0,0,Finansowanie!W134-Finansowanie!X133),0)</f>
        <v>0</v>
      </c>
      <c r="X230" s="41">
        <f>IF(LataProjekcji&lt;=Koniec,IF(Finansowanie!X134-Finansowanie!Y133&lt;0,0,Finansowanie!X134-Finansowanie!Y133),0)</f>
        <v>0</v>
      </c>
    </row>
    <row r="231" spans="2:24">
      <c r="B231" s="37" t="s">
        <v>584</v>
      </c>
      <c r="C231" s="52"/>
      <c r="D231" s="52"/>
      <c r="E231" s="52"/>
      <c r="F231" s="52"/>
      <c r="G231" s="33"/>
      <c r="H231" s="33"/>
      <c r="I231" s="33"/>
      <c r="J231" s="52"/>
      <c r="K231" s="33">
        <f ca="1">SUM(K232:K234)</f>
        <v>0</v>
      </c>
      <c r="L231" s="33">
        <f t="shared" ref="L231:X231" ca="1" si="84">SUM(L232:L234)</f>
        <v>0</v>
      </c>
      <c r="M231" s="33">
        <f t="shared" ca="1" si="84"/>
        <v>0</v>
      </c>
      <c r="N231" s="33">
        <f t="shared" ca="1" si="84"/>
        <v>0</v>
      </c>
      <c r="O231" s="33">
        <f t="shared" ca="1" si="84"/>
        <v>0</v>
      </c>
      <c r="P231" s="33">
        <f t="shared" ca="1" si="84"/>
        <v>0</v>
      </c>
      <c r="Q231" s="33">
        <f t="shared" ca="1" si="84"/>
        <v>0</v>
      </c>
      <c r="R231" s="33">
        <f t="shared" ca="1" si="84"/>
        <v>0</v>
      </c>
      <c r="S231" s="33">
        <f t="shared" ca="1" si="84"/>
        <v>0</v>
      </c>
      <c r="T231" s="33">
        <f t="shared" ca="1" si="84"/>
        <v>0</v>
      </c>
      <c r="U231" s="33">
        <f t="shared" ca="1" si="84"/>
        <v>0</v>
      </c>
      <c r="V231" s="33">
        <f t="shared" ca="1" si="84"/>
        <v>0</v>
      </c>
      <c r="W231" s="33">
        <f t="shared" ca="1" si="84"/>
        <v>0</v>
      </c>
      <c r="X231" s="33">
        <f t="shared" ca="1" si="84"/>
        <v>0</v>
      </c>
    </row>
    <row r="232" spans="2:24">
      <c r="B232" s="39" t="s">
        <v>585</v>
      </c>
      <c r="C232" s="40" t="s">
        <v>586</v>
      </c>
      <c r="D232" s="40"/>
      <c r="E232" s="40"/>
      <c r="F232" s="40"/>
      <c r="G232" s="41"/>
      <c r="H232" s="41"/>
      <c r="I232" s="41"/>
      <c r="K232" s="41">
        <f ca="1">IF(LataProjekcji&lt;=Koniec,'Kapitał pracujący'!K89,0)</f>
        <v>0</v>
      </c>
      <c r="L232" s="41">
        <f ca="1">IF(LataProjekcji&lt;=Koniec,'Kapitał pracujący'!L89,0)</f>
        <v>0</v>
      </c>
      <c r="M232" s="41">
        <f ca="1">IF(LataProjekcji&lt;=Koniec,'Kapitał pracujący'!M89,0)</f>
        <v>0</v>
      </c>
      <c r="N232" s="41">
        <f ca="1">IF(LataProjekcji&lt;=Koniec,'Kapitał pracujący'!N89,0)</f>
        <v>0</v>
      </c>
      <c r="O232" s="41">
        <f ca="1">IF(LataProjekcji&lt;=Koniec,'Kapitał pracujący'!O89,0)</f>
        <v>0</v>
      </c>
      <c r="P232" s="41">
        <f ca="1">IF(LataProjekcji&lt;=Koniec,'Kapitał pracujący'!P89,0)</f>
        <v>0</v>
      </c>
      <c r="Q232" s="41">
        <f ca="1">IF(LataProjekcji&lt;=Koniec,'Kapitał pracujący'!Q89,0)</f>
        <v>0</v>
      </c>
      <c r="R232" s="41">
        <f ca="1">IF(LataProjekcji&lt;=Koniec,'Kapitał pracujący'!R89,0)</f>
        <v>0</v>
      </c>
      <c r="S232" s="41">
        <f ca="1">IF(LataProjekcji&lt;=Koniec,'Kapitał pracujący'!S89,0)</f>
        <v>0</v>
      </c>
      <c r="T232" s="41">
        <f ca="1">IF(LataProjekcji&lt;=Koniec,'Kapitał pracujący'!T89,0)</f>
        <v>0</v>
      </c>
      <c r="U232" s="41">
        <f ca="1">IF(LataProjekcji&lt;=Koniec,'Kapitał pracujący'!U89,0)</f>
        <v>0</v>
      </c>
      <c r="V232" s="41">
        <f ca="1">IF(LataProjekcji&lt;=Koniec,'Kapitał pracujący'!V89,0)</f>
        <v>0</v>
      </c>
      <c r="W232" s="41">
        <f ca="1">IF(LataProjekcji&lt;=Koniec,'Kapitał pracujący'!W89,0)</f>
        <v>0</v>
      </c>
      <c r="X232" s="41">
        <f ca="1">IF(LataProjekcji&lt;=Koniec,'Kapitał pracujący'!X89,0)</f>
        <v>0</v>
      </c>
    </row>
    <row r="233" spans="2:24">
      <c r="B233" s="39" t="s">
        <v>587</v>
      </c>
      <c r="C233" s="40"/>
      <c r="D233" s="40"/>
      <c r="E233" s="40"/>
      <c r="F233" s="40"/>
      <c r="G233" s="41"/>
      <c r="H233" s="41"/>
      <c r="I233" s="41"/>
      <c r="K233" s="41">
        <f>IF(LataProjekcji&lt;=Koniec,IF(Finansowanie!K126&lt;0,0,Finansowanie!K126),0)</f>
        <v>0</v>
      </c>
      <c r="L233" s="41">
        <f>IF(LataProjekcji&lt;=Koniec,IF(Finansowanie!L126&lt;0,0,Finansowanie!L126),0)</f>
        <v>0</v>
      </c>
      <c r="M233" s="41">
        <f>IF(LataProjekcji&lt;=Koniec,IF(Finansowanie!M126&lt;0,0,Finansowanie!M126),0)</f>
        <v>0</v>
      </c>
      <c r="N233" s="41">
        <f>IF(LataProjekcji&lt;=Koniec,IF(Finansowanie!N126&lt;0,0,Finansowanie!N126),0)</f>
        <v>0</v>
      </c>
      <c r="O233" s="41">
        <f>IF(LataProjekcji&lt;=Koniec,IF(Finansowanie!O126&lt;0,0,Finansowanie!O126),0)</f>
        <v>0</v>
      </c>
      <c r="P233" s="41">
        <f>IF(LataProjekcji&lt;=Koniec,IF(Finansowanie!P126&lt;0,0,Finansowanie!P126),0)</f>
        <v>0</v>
      </c>
      <c r="Q233" s="41">
        <f>IF(LataProjekcji&lt;=Koniec,IF(Finansowanie!Q126&lt;0,0,Finansowanie!Q126),0)</f>
        <v>0</v>
      </c>
      <c r="R233" s="41">
        <f>IF(LataProjekcji&lt;=Koniec,IF(Finansowanie!R126&lt;0,0,Finansowanie!R126),0)</f>
        <v>0</v>
      </c>
      <c r="S233" s="41">
        <f>IF(LataProjekcji&lt;=Koniec,IF(Finansowanie!S126&lt;0,0,Finansowanie!S126),0)</f>
        <v>0</v>
      </c>
      <c r="T233" s="41">
        <f>IF(LataProjekcji&lt;=Koniec,IF(Finansowanie!T126&lt;0,0,Finansowanie!T126),0)</f>
        <v>0</v>
      </c>
      <c r="U233" s="41">
        <f>IF(LataProjekcji&lt;=Koniec,IF(Finansowanie!U126&lt;0,0,Finansowanie!U126),0)</f>
        <v>0</v>
      </c>
      <c r="V233" s="41">
        <f>IF(LataProjekcji&lt;=Koniec,IF(Finansowanie!V126&lt;0,0,Finansowanie!V126),0)</f>
        <v>0</v>
      </c>
      <c r="W233" s="41">
        <f>IF(LataProjekcji&lt;=Koniec,IF(Finansowanie!W126&lt;0,0,Finansowanie!W126),0)</f>
        <v>0</v>
      </c>
      <c r="X233" s="41">
        <f>IF(LataProjekcji&lt;=Koniec,IF(Finansowanie!X126&lt;0,0,Finansowanie!X126),0)</f>
        <v>0</v>
      </c>
    </row>
    <row r="234" spans="2:24">
      <c r="B234" s="39" t="s">
        <v>588</v>
      </c>
      <c r="C234" s="40"/>
      <c r="D234" s="40"/>
      <c r="E234" s="40"/>
      <c r="F234" s="40"/>
      <c r="G234" s="41"/>
      <c r="H234" s="41"/>
      <c r="I234" s="41"/>
      <c r="K234" s="41">
        <f>IF(LataProjekcji&lt;=Koniec,IF(OR(Finansowanie!K134&lt;=0,Finansowanie!L133&lt;0),0,Finansowanie!L133),0)</f>
        <v>0</v>
      </c>
      <c r="L234" s="41">
        <f>IF(LataProjekcji&lt;=Koniec,IF(OR(Finansowanie!L134&lt;=0,Finansowanie!M133&lt;0),0,Finansowanie!M133),0)</f>
        <v>0</v>
      </c>
      <c r="M234" s="41">
        <f>IF(LataProjekcji&lt;=Koniec,IF(OR(Finansowanie!M134&lt;=0,Finansowanie!N133&lt;0),0,Finansowanie!N133),0)</f>
        <v>0</v>
      </c>
      <c r="N234" s="41">
        <f>IF(LataProjekcji&lt;=Koniec,IF(OR(Finansowanie!N134&lt;=0,Finansowanie!O133&lt;0),0,Finansowanie!O133),0)</f>
        <v>0</v>
      </c>
      <c r="O234" s="41">
        <f>IF(LataProjekcji&lt;=Koniec,IF(OR(Finansowanie!O134&lt;=0,Finansowanie!P133&lt;0),0,Finansowanie!P133),0)</f>
        <v>0</v>
      </c>
      <c r="P234" s="41">
        <f>IF(LataProjekcji&lt;=Koniec,IF(OR(Finansowanie!P134&lt;=0,Finansowanie!Q133&lt;0),0,Finansowanie!Q133),0)</f>
        <v>0</v>
      </c>
      <c r="Q234" s="41">
        <f>IF(LataProjekcji&lt;=Koniec,IF(OR(Finansowanie!Q134&lt;=0,Finansowanie!R133&lt;0),0,Finansowanie!R133),0)</f>
        <v>0</v>
      </c>
      <c r="R234" s="41">
        <f>IF(LataProjekcji&lt;=Koniec,IF(OR(Finansowanie!R134&lt;=0,Finansowanie!S133&lt;0),0,Finansowanie!S133),0)</f>
        <v>0</v>
      </c>
      <c r="S234" s="41">
        <f>IF(LataProjekcji&lt;=Koniec,IF(OR(Finansowanie!S134&lt;=0,Finansowanie!T133&lt;0),0,Finansowanie!T133),0)</f>
        <v>0</v>
      </c>
      <c r="T234" s="41">
        <f>IF(LataProjekcji&lt;=Koniec,IF(OR(Finansowanie!T134&lt;=0,Finansowanie!U133&lt;0),0,Finansowanie!U133),0)</f>
        <v>0</v>
      </c>
      <c r="U234" s="41">
        <f>IF(LataProjekcji&lt;=Koniec,IF(OR(Finansowanie!U134&lt;=0,Finansowanie!V133&lt;0),0,Finansowanie!V133),0)</f>
        <v>0</v>
      </c>
      <c r="V234" s="41">
        <f>IF(LataProjekcji&lt;=Koniec,IF(OR(Finansowanie!V134&lt;=0,Finansowanie!W133&lt;0),0,Finansowanie!W133),0)</f>
        <v>0</v>
      </c>
      <c r="W234" s="41">
        <f>IF(LataProjekcji&lt;=Koniec,IF(OR(Finansowanie!W134&lt;=0,Finansowanie!X133&lt;0),0,Finansowanie!X133),0)</f>
        <v>0</v>
      </c>
      <c r="X234" s="41">
        <f>IF(LataProjekcji&lt;=Koniec,IF(OR(Finansowanie!X134&lt;=0,Finansowanie!Y133&lt;0),0,Finansowanie!Y133),0)</f>
        <v>0</v>
      </c>
    </row>
    <row r="235" spans="2:24">
      <c r="B235" s="37" t="s">
        <v>589</v>
      </c>
      <c r="C235" s="52"/>
      <c r="D235" s="52"/>
      <c r="E235" s="52"/>
      <c r="F235" s="52"/>
      <c r="G235" s="33"/>
      <c r="H235" s="33"/>
      <c r="I235" s="33"/>
      <c r="J235" s="52"/>
      <c r="K235" s="33">
        <f t="shared" ref="K235:X235" ca="1" si="85">K236+K237</f>
        <v>0</v>
      </c>
      <c r="L235" s="33">
        <f t="shared" ca="1" si="85"/>
        <v>0</v>
      </c>
      <c r="M235" s="33">
        <f t="shared" ca="1" si="85"/>
        <v>0</v>
      </c>
      <c r="N235" s="33">
        <f t="shared" ca="1" si="85"/>
        <v>0</v>
      </c>
      <c r="O235" s="33">
        <f t="shared" ca="1" si="85"/>
        <v>0</v>
      </c>
      <c r="P235" s="33">
        <f t="shared" ca="1" si="85"/>
        <v>0</v>
      </c>
      <c r="Q235" s="33">
        <f t="shared" ca="1" si="85"/>
        <v>0</v>
      </c>
      <c r="R235" s="33">
        <f t="shared" ca="1" si="85"/>
        <v>0</v>
      </c>
      <c r="S235" s="33">
        <f t="shared" ca="1" si="85"/>
        <v>0</v>
      </c>
      <c r="T235" s="33">
        <f t="shared" ca="1" si="85"/>
        <v>0</v>
      </c>
      <c r="U235" s="33">
        <f t="shared" ca="1" si="85"/>
        <v>0</v>
      </c>
      <c r="V235" s="33">
        <f t="shared" ca="1" si="85"/>
        <v>0</v>
      </c>
      <c r="W235" s="33">
        <f t="shared" ca="1" si="85"/>
        <v>0</v>
      </c>
      <c r="X235" s="33">
        <f t="shared" ca="1" si="85"/>
        <v>0</v>
      </c>
    </row>
    <row r="236" spans="2:24">
      <c r="B236" s="39" t="s">
        <v>590</v>
      </c>
      <c r="C236" s="40"/>
      <c r="D236" s="40"/>
      <c r="E236" s="40"/>
      <c r="F236" s="40"/>
      <c r="G236" s="41"/>
      <c r="H236" s="41"/>
      <c r="I236" s="41"/>
      <c r="K236" s="41">
        <f ca="1">IF(LataProjekcji&lt;=Koniec,'Rozliczenie dotacji'!K258,0)</f>
        <v>0</v>
      </c>
      <c r="L236" s="41">
        <f ca="1">IF(LataProjekcji&lt;=Koniec,'Rozliczenie dotacji'!L258,0)</f>
        <v>0</v>
      </c>
      <c r="M236" s="41">
        <f ca="1">IF(LataProjekcji&lt;=Koniec,'Rozliczenie dotacji'!M258,0)</f>
        <v>0</v>
      </c>
      <c r="N236" s="41">
        <f ca="1">IF(LataProjekcji&lt;=Koniec,'Rozliczenie dotacji'!N258,0)</f>
        <v>0</v>
      </c>
      <c r="O236" s="41">
        <f ca="1">IF(LataProjekcji&lt;=Koniec,'Rozliczenie dotacji'!O258,0)</f>
        <v>0</v>
      </c>
      <c r="P236" s="41">
        <f ca="1">IF(LataProjekcji&lt;=Koniec,'Rozliczenie dotacji'!P258,0)</f>
        <v>0</v>
      </c>
      <c r="Q236" s="41">
        <f ca="1">IF(LataProjekcji&lt;=Koniec,'Rozliczenie dotacji'!Q258,0)</f>
        <v>0</v>
      </c>
      <c r="R236" s="41">
        <f ca="1">IF(LataProjekcji&lt;=Koniec,'Rozliczenie dotacji'!R258,0)</f>
        <v>0</v>
      </c>
      <c r="S236" s="41">
        <f ca="1">IF(LataProjekcji&lt;=Koniec,'Rozliczenie dotacji'!S258,0)</f>
        <v>0</v>
      </c>
      <c r="T236" s="41">
        <f ca="1">IF(LataProjekcji&lt;=Koniec,'Rozliczenie dotacji'!T258,0)</f>
        <v>0</v>
      </c>
      <c r="U236" s="41">
        <f ca="1">IF(LataProjekcji&lt;=Koniec,'Rozliczenie dotacji'!U258,0)</f>
        <v>0</v>
      </c>
      <c r="V236" s="41">
        <f ca="1">IF(LataProjekcji&lt;=Koniec,'Rozliczenie dotacji'!V258,0)</f>
        <v>0</v>
      </c>
      <c r="W236" s="41">
        <f ca="1">IF(LataProjekcji&lt;=Koniec,'Rozliczenie dotacji'!W258,0)</f>
        <v>0</v>
      </c>
      <c r="X236" s="41">
        <f ca="1">IF(LataProjekcji&lt;=Koniec,'Rozliczenie dotacji'!X258,0)</f>
        <v>0</v>
      </c>
    </row>
    <row r="237" spans="2:24">
      <c r="B237" s="39" t="s">
        <v>583</v>
      </c>
      <c r="C237" s="40"/>
      <c r="D237" s="40"/>
      <c r="E237" s="40"/>
      <c r="F237" s="40"/>
      <c r="G237" s="41"/>
      <c r="H237" s="41"/>
      <c r="I237" s="41"/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</row>
    <row r="238" spans="2:24">
      <c r="B238" s="99" t="s">
        <v>218</v>
      </c>
      <c r="C238" s="97"/>
      <c r="D238" s="97"/>
      <c r="E238" s="97"/>
      <c r="F238" s="97"/>
      <c r="G238" s="98"/>
      <c r="H238" s="98"/>
      <c r="I238" s="98"/>
      <c r="J238" s="97"/>
      <c r="K238" s="98">
        <f t="shared" ref="K238:X238" ca="1" si="86">K226+K220</f>
        <v>0</v>
      </c>
      <c r="L238" s="98">
        <f t="shared" ca="1" si="86"/>
        <v>0</v>
      </c>
      <c r="M238" s="98">
        <f t="shared" ca="1" si="86"/>
        <v>0</v>
      </c>
      <c r="N238" s="98">
        <f t="shared" ca="1" si="86"/>
        <v>0</v>
      </c>
      <c r="O238" s="98">
        <f t="shared" ca="1" si="86"/>
        <v>0</v>
      </c>
      <c r="P238" s="98">
        <f t="shared" ca="1" si="86"/>
        <v>0</v>
      </c>
      <c r="Q238" s="98">
        <f t="shared" ca="1" si="86"/>
        <v>0</v>
      </c>
      <c r="R238" s="98">
        <f t="shared" ca="1" si="86"/>
        <v>0</v>
      </c>
      <c r="S238" s="98">
        <f t="shared" ca="1" si="86"/>
        <v>0</v>
      </c>
      <c r="T238" s="98">
        <f t="shared" ca="1" si="86"/>
        <v>0</v>
      </c>
      <c r="U238" s="98">
        <f t="shared" ca="1" si="86"/>
        <v>0</v>
      </c>
      <c r="V238" s="98">
        <f t="shared" ca="1" si="86"/>
        <v>0</v>
      </c>
      <c r="W238" s="98">
        <f t="shared" ca="1" si="86"/>
        <v>0</v>
      </c>
      <c r="X238" s="98">
        <f t="shared" ca="1" si="86"/>
        <v>0</v>
      </c>
    </row>
    <row r="239" spans="2:24">
      <c r="B239" s="109" t="s">
        <v>591</v>
      </c>
      <c r="C239" s="109"/>
      <c r="D239" s="109"/>
      <c r="E239" s="109"/>
      <c r="F239" s="109"/>
      <c r="G239" s="109"/>
      <c r="H239" s="109"/>
      <c r="I239" s="109"/>
      <c r="J239" s="53"/>
      <c r="K239" s="109" t="b">
        <f t="shared" ref="K239:X239" ca="1" si="87">K238=K217</f>
        <v>1</v>
      </c>
      <c r="L239" s="109" t="b">
        <f t="shared" ca="1" si="87"/>
        <v>1</v>
      </c>
      <c r="M239" s="109" t="b">
        <f t="shared" ca="1" si="87"/>
        <v>1</v>
      </c>
      <c r="N239" s="109" t="b">
        <f t="shared" ca="1" si="87"/>
        <v>1</v>
      </c>
      <c r="O239" s="109" t="b">
        <f t="shared" ca="1" si="87"/>
        <v>1</v>
      </c>
      <c r="P239" s="109" t="b">
        <f t="shared" ca="1" si="87"/>
        <v>1</v>
      </c>
      <c r="Q239" s="109" t="b">
        <f t="shared" ca="1" si="87"/>
        <v>1</v>
      </c>
      <c r="R239" s="109" t="b">
        <f t="shared" ca="1" si="87"/>
        <v>1</v>
      </c>
      <c r="S239" s="109" t="b">
        <f t="shared" ca="1" si="87"/>
        <v>1</v>
      </c>
      <c r="T239" s="109" t="b">
        <f t="shared" ca="1" si="87"/>
        <v>1</v>
      </c>
      <c r="U239" s="109" t="b">
        <f t="shared" ca="1" si="87"/>
        <v>1</v>
      </c>
      <c r="V239" s="109" t="b">
        <f t="shared" ca="1" si="87"/>
        <v>1</v>
      </c>
      <c r="W239" s="109" t="b">
        <f t="shared" ca="1" si="87"/>
        <v>1</v>
      </c>
      <c r="X239" s="109" t="b">
        <f t="shared" ca="1" si="87"/>
        <v>1</v>
      </c>
    </row>
    <row r="240" spans="2:24">
      <c r="B240" s="53"/>
      <c r="C240" s="53"/>
      <c r="D240" s="53"/>
      <c r="E240" s="53"/>
      <c r="F240" s="53"/>
      <c r="G240" s="53"/>
      <c r="H240" s="53"/>
      <c r="I240" s="53"/>
      <c r="J240" s="53"/>
      <c r="K240" s="110">
        <f t="shared" ref="K240:X240" ca="1" si="88">K217-K238</f>
        <v>0</v>
      </c>
      <c r="L240" s="110">
        <f t="shared" ca="1" si="88"/>
        <v>0</v>
      </c>
      <c r="M240" s="110">
        <f t="shared" ca="1" si="88"/>
        <v>0</v>
      </c>
      <c r="N240" s="110">
        <f t="shared" ca="1" si="88"/>
        <v>0</v>
      </c>
      <c r="O240" s="110">
        <f t="shared" ca="1" si="88"/>
        <v>0</v>
      </c>
      <c r="P240" s="110">
        <f t="shared" ca="1" si="88"/>
        <v>0</v>
      </c>
      <c r="Q240" s="110">
        <f t="shared" ca="1" si="88"/>
        <v>0</v>
      </c>
      <c r="R240" s="110">
        <f t="shared" ca="1" si="88"/>
        <v>0</v>
      </c>
      <c r="S240" s="110">
        <f t="shared" ca="1" si="88"/>
        <v>0</v>
      </c>
      <c r="T240" s="110">
        <f t="shared" ca="1" si="88"/>
        <v>0</v>
      </c>
      <c r="U240" s="110">
        <f t="shared" ca="1" si="88"/>
        <v>0</v>
      </c>
      <c r="V240" s="110">
        <f t="shared" ca="1" si="88"/>
        <v>0</v>
      </c>
      <c r="W240" s="110">
        <f t="shared" ca="1" si="88"/>
        <v>0</v>
      </c>
      <c r="X240" s="110">
        <f t="shared" ca="1" si="88"/>
        <v>0</v>
      </c>
    </row>
    <row r="241" spans="2:24"/>
    <row r="242" spans="2:24" ht="14.4">
      <c r="B242" s="151" t="s">
        <v>592</v>
      </c>
      <c r="C242" s="217"/>
      <c r="D242" s="217"/>
      <c r="E242" s="217"/>
      <c r="F242" s="217"/>
      <c r="G242" s="219">
        <f t="shared" ref="G242:X242" ca="1" si="89">LataProjekcji</f>
        <v>0</v>
      </c>
      <c r="H242" s="219">
        <f t="shared" ca="1" si="89"/>
        <v>0</v>
      </c>
      <c r="I242" s="219">
        <f t="shared" ca="1" si="89"/>
        <v>0</v>
      </c>
      <c r="J242" s="220" t="str">
        <f t="shared" si="89"/>
        <v/>
      </c>
      <c r="K242" s="219" t="str">
        <f t="shared" si="89"/>
        <v>Uzupełnij dane</v>
      </c>
      <c r="L242" s="219" t="str">
        <f t="shared" si="89"/>
        <v/>
      </c>
      <c r="M242" s="219" t="str">
        <f t="shared" si="89"/>
        <v/>
      </c>
      <c r="N242" s="219" t="str">
        <f t="shared" si="89"/>
        <v/>
      </c>
      <c r="O242" s="219" t="str">
        <f t="shared" si="89"/>
        <v/>
      </c>
      <c r="P242" s="219" t="str">
        <f t="shared" si="89"/>
        <v/>
      </c>
      <c r="Q242" s="219" t="str">
        <f t="shared" si="89"/>
        <v/>
      </c>
      <c r="R242" s="219" t="str">
        <f t="shared" si="89"/>
        <v/>
      </c>
      <c r="S242" s="219" t="str">
        <f t="shared" si="89"/>
        <v/>
      </c>
      <c r="T242" s="219" t="str">
        <f t="shared" si="89"/>
        <v/>
      </c>
      <c r="U242" s="219" t="str">
        <f t="shared" si="89"/>
        <v/>
      </c>
      <c r="V242" s="219" t="str">
        <f t="shared" si="89"/>
        <v/>
      </c>
      <c r="W242" s="219" t="str">
        <f t="shared" si="89"/>
        <v/>
      </c>
      <c r="X242" s="219" t="str">
        <f t="shared" si="89"/>
        <v/>
      </c>
    </row>
    <row r="243" spans="2:24">
      <c r="B243" s="96" t="s">
        <v>593</v>
      </c>
      <c r="C243" s="97"/>
      <c r="D243" s="97"/>
      <c r="E243" s="97"/>
      <c r="F243" s="97"/>
      <c r="G243" s="100"/>
      <c r="H243" s="100"/>
      <c r="I243" s="100"/>
      <c r="J243" s="97"/>
      <c r="K243" s="98">
        <f ca="1">ROUND(SUM(K244:K250),0)</f>
        <v>0</v>
      </c>
      <c r="L243" s="98">
        <f t="shared" ref="L243:X243" ca="1" si="90">ROUND(SUM(L244:L250),0)</f>
        <v>0</v>
      </c>
      <c r="M243" s="98">
        <f t="shared" ca="1" si="90"/>
        <v>0</v>
      </c>
      <c r="N243" s="98">
        <f t="shared" ca="1" si="90"/>
        <v>0</v>
      </c>
      <c r="O243" s="98">
        <f t="shared" ca="1" si="90"/>
        <v>0</v>
      </c>
      <c r="P243" s="98">
        <f t="shared" ca="1" si="90"/>
        <v>0</v>
      </c>
      <c r="Q243" s="98">
        <f t="shared" ca="1" si="90"/>
        <v>0</v>
      </c>
      <c r="R243" s="98">
        <f t="shared" ca="1" si="90"/>
        <v>0</v>
      </c>
      <c r="S243" s="98">
        <f t="shared" ca="1" si="90"/>
        <v>0</v>
      </c>
      <c r="T243" s="98">
        <f t="shared" ca="1" si="90"/>
        <v>0</v>
      </c>
      <c r="U243" s="98">
        <f t="shared" ca="1" si="90"/>
        <v>0</v>
      </c>
      <c r="V243" s="98">
        <f t="shared" ca="1" si="90"/>
        <v>0</v>
      </c>
      <c r="W243" s="98">
        <f t="shared" ca="1" si="90"/>
        <v>0</v>
      </c>
      <c r="X243" s="98">
        <f t="shared" ca="1" si="90"/>
        <v>0</v>
      </c>
    </row>
    <row r="244" spans="2:24">
      <c r="B244" s="94" t="s">
        <v>594</v>
      </c>
      <c r="C244" s="19"/>
      <c r="D244" s="19"/>
      <c r="E244" s="19"/>
      <c r="F244" s="19"/>
      <c r="G244" s="95"/>
      <c r="H244" s="95"/>
      <c r="I244" s="95"/>
      <c r="J244" s="19"/>
      <c r="K244" s="95">
        <f t="shared" ref="K244:X244" ca="1" si="91">IF(LataProjekcji&lt;=Koniec,K186,0)</f>
        <v>0</v>
      </c>
      <c r="L244" s="95">
        <f t="shared" ca="1" si="91"/>
        <v>0</v>
      </c>
      <c r="M244" s="95">
        <f t="shared" ca="1" si="91"/>
        <v>0</v>
      </c>
      <c r="N244" s="95">
        <f t="shared" ca="1" si="91"/>
        <v>0</v>
      </c>
      <c r="O244" s="95">
        <f t="shared" ca="1" si="91"/>
        <v>0</v>
      </c>
      <c r="P244" s="95">
        <f t="shared" ca="1" si="91"/>
        <v>0</v>
      </c>
      <c r="Q244" s="95">
        <f t="shared" ca="1" si="91"/>
        <v>0</v>
      </c>
      <c r="R244" s="95">
        <f t="shared" ca="1" si="91"/>
        <v>0</v>
      </c>
      <c r="S244" s="95">
        <f t="shared" ca="1" si="91"/>
        <v>0</v>
      </c>
      <c r="T244" s="95">
        <f t="shared" ca="1" si="91"/>
        <v>0</v>
      </c>
      <c r="U244" s="95">
        <f t="shared" ca="1" si="91"/>
        <v>0</v>
      </c>
      <c r="V244" s="95">
        <f t="shared" ca="1" si="91"/>
        <v>0</v>
      </c>
      <c r="W244" s="95">
        <f t="shared" ca="1" si="91"/>
        <v>0</v>
      </c>
      <c r="X244" s="95">
        <f t="shared" ca="1" si="91"/>
        <v>0</v>
      </c>
    </row>
    <row r="245" spans="2:24">
      <c r="B245" s="37" t="s">
        <v>595</v>
      </c>
      <c r="C245" s="52"/>
      <c r="D245" s="52"/>
      <c r="E245" s="52"/>
      <c r="F245" s="52"/>
      <c r="G245" s="33"/>
      <c r="H245" s="33"/>
      <c r="I245" s="33"/>
      <c r="J245" s="52"/>
      <c r="K245" s="33">
        <f t="shared" ref="K245:X245" ca="1" si="92">IF(LataProjekcji&lt;=Koniec,K165,0)</f>
        <v>0</v>
      </c>
      <c r="L245" s="33">
        <f t="shared" ca="1" si="92"/>
        <v>0</v>
      </c>
      <c r="M245" s="33">
        <f t="shared" ca="1" si="92"/>
        <v>0</v>
      </c>
      <c r="N245" s="33">
        <f t="shared" ca="1" si="92"/>
        <v>0</v>
      </c>
      <c r="O245" s="33">
        <f t="shared" ca="1" si="92"/>
        <v>0</v>
      </c>
      <c r="P245" s="33">
        <f t="shared" ca="1" si="92"/>
        <v>0</v>
      </c>
      <c r="Q245" s="33">
        <f t="shared" ca="1" si="92"/>
        <v>0</v>
      </c>
      <c r="R245" s="33">
        <f t="shared" ca="1" si="92"/>
        <v>0</v>
      </c>
      <c r="S245" s="33">
        <f t="shared" ca="1" si="92"/>
        <v>0</v>
      </c>
      <c r="T245" s="33">
        <f t="shared" ca="1" si="92"/>
        <v>0</v>
      </c>
      <c r="U245" s="33">
        <f t="shared" ca="1" si="92"/>
        <v>0</v>
      </c>
      <c r="V245" s="33">
        <f t="shared" ca="1" si="92"/>
        <v>0</v>
      </c>
      <c r="W245" s="33">
        <f t="shared" ca="1" si="92"/>
        <v>0</v>
      </c>
      <c r="X245" s="33">
        <f t="shared" ca="1" si="92"/>
        <v>0</v>
      </c>
    </row>
    <row r="246" spans="2:24">
      <c r="B246" s="37" t="s">
        <v>596</v>
      </c>
      <c r="C246" s="52"/>
      <c r="D246" s="52"/>
      <c r="E246" s="52"/>
      <c r="F246" s="52"/>
      <c r="G246" s="33"/>
      <c r="H246" s="33"/>
      <c r="I246" s="33"/>
      <c r="J246" s="52"/>
      <c r="K246" s="33">
        <f t="shared" ref="K246:X246" ca="1" si="93">IF(LataProjekcji&lt;=Koniec,J210-K210,0)</f>
        <v>0</v>
      </c>
      <c r="L246" s="33">
        <f t="shared" ca="1" si="93"/>
        <v>0</v>
      </c>
      <c r="M246" s="33">
        <f t="shared" ca="1" si="93"/>
        <v>0</v>
      </c>
      <c r="N246" s="33">
        <f t="shared" ca="1" si="93"/>
        <v>0</v>
      </c>
      <c r="O246" s="33">
        <f t="shared" ca="1" si="93"/>
        <v>0</v>
      </c>
      <c r="P246" s="33">
        <f t="shared" ca="1" si="93"/>
        <v>0</v>
      </c>
      <c r="Q246" s="33">
        <f t="shared" ca="1" si="93"/>
        <v>0</v>
      </c>
      <c r="R246" s="33">
        <f t="shared" ca="1" si="93"/>
        <v>0</v>
      </c>
      <c r="S246" s="33">
        <f t="shared" ca="1" si="93"/>
        <v>0</v>
      </c>
      <c r="T246" s="33">
        <f t="shared" ca="1" si="93"/>
        <v>0</v>
      </c>
      <c r="U246" s="33">
        <f t="shared" ca="1" si="93"/>
        <v>0</v>
      </c>
      <c r="V246" s="33">
        <f t="shared" ca="1" si="93"/>
        <v>0</v>
      </c>
      <c r="W246" s="33">
        <f t="shared" ca="1" si="93"/>
        <v>0</v>
      </c>
      <c r="X246" s="33">
        <f t="shared" ca="1" si="93"/>
        <v>0</v>
      </c>
    </row>
    <row r="247" spans="2:24">
      <c r="B247" s="37" t="s">
        <v>597</v>
      </c>
      <c r="C247" s="52"/>
      <c r="D247" s="52"/>
      <c r="E247" s="52"/>
      <c r="F247" s="52"/>
      <c r="G247" s="33"/>
      <c r="H247" s="33"/>
      <c r="I247" s="33"/>
      <c r="J247" s="52"/>
      <c r="K247" s="33">
        <f t="shared" ref="K247:X247" si="94">IF(LataProjekcji&lt;=Koniec,J211-K211,0)</f>
        <v>0</v>
      </c>
      <c r="L247" s="33">
        <f t="shared" si="94"/>
        <v>0</v>
      </c>
      <c r="M247" s="33">
        <f t="shared" si="94"/>
        <v>0</v>
      </c>
      <c r="N247" s="33">
        <f t="shared" si="94"/>
        <v>0</v>
      </c>
      <c r="O247" s="33">
        <f t="shared" si="94"/>
        <v>0</v>
      </c>
      <c r="P247" s="33">
        <f t="shared" si="94"/>
        <v>0</v>
      </c>
      <c r="Q247" s="33">
        <f t="shared" si="94"/>
        <v>0</v>
      </c>
      <c r="R247" s="33">
        <f t="shared" si="94"/>
        <v>0</v>
      </c>
      <c r="S247" s="33">
        <f t="shared" si="94"/>
        <v>0</v>
      </c>
      <c r="T247" s="33">
        <f t="shared" si="94"/>
        <v>0</v>
      </c>
      <c r="U247" s="33">
        <f t="shared" si="94"/>
        <v>0</v>
      </c>
      <c r="V247" s="33">
        <f t="shared" si="94"/>
        <v>0</v>
      </c>
      <c r="W247" s="33">
        <f t="shared" si="94"/>
        <v>0</v>
      </c>
      <c r="X247" s="33">
        <f t="shared" si="94"/>
        <v>0</v>
      </c>
    </row>
    <row r="248" spans="2:24">
      <c r="B248" s="37" t="s">
        <v>598</v>
      </c>
      <c r="C248" s="52"/>
      <c r="D248" s="52"/>
      <c r="E248" s="52"/>
      <c r="F248" s="52"/>
      <c r="G248" s="33"/>
      <c r="H248" s="33"/>
      <c r="I248" s="33"/>
      <c r="J248" s="52"/>
      <c r="K248" s="33">
        <f t="shared" ref="K248:X248" ca="1" si="95">IF(LataProjekcji&lt;=Koniec,(K231-J231)-(K233-J233)-(K234-J234),0)</f>
        <v>0</v>
      </c>
      <c r="L248" s="33">
        <f t="shared" ca="1" si="95"/>
        <v>0</v>
      </c>
      <c r="M248" s="33">
        <f t="shared" ca="1" si="95"/>
        <v>0</v>
      </c>
      <c r="N248" s="33">
        <f t="shared" ca="1" si="95"/>
        <v>0</v>
      </c>
      <c r="O248" s="33">
        <f t="shared" ca="1" si="95"/>
        <v>0</v>
      </c>
      <c r="P248" s="33">
        <f t="shared" ca="1" si="95"/>
        <v>0</v>
      </c>
      <c r="Q248" s="33">
        <f t="shared" ca="1" si="95"/>
        <v>0</v>
      </c>
      <c r="R248" s="33">
        <f t="shared" ca="1" si="95"/>
        <v>0</v>
      </c>
      <c r="S248" s="33">
        <f t="shared" ca="1" si="95"/>
        <v>0</v>
      </c>
      <c r="T248" s="33">
        <f t="shared" ca="1" si="95"/>
        <v>0</v>
      </c>
      <c r="U248" s="33">
        <f t="shared" ca="1" si="95"/>
        <v>0</v>
      </c>
      <c r="V248" s="33">
        <f t="shared" ca="1" si="95"/>
        <v>0</v>
      </c>
      <c r="W248" s="33">
        <f t="shared" ca="1" si="95"/>
        <v>0</v>
      </c>
      <c r="X248" s="33">
        <f t="shared" ca="1" si="95"/>
        <v>0</v>
      </c>
    </row>
    <row r="249" spans="2:24">
      <c r="B249" s="37" t="s">
        <v>599</v>
      </c>
      <c r="C249" s="52"/>
      <c r="D249" s="52"/>
      <c r="E249" s="52"/>
      <c r="F249" s="52"/>
      <c r="G249" s="33"/>
      <c r="H249" s="33"/>
      <c r="I249" s="33"/>
      <c r="J249" s="52"/>
      <c r="K249" s="33">
        <f ca="1">IF(LataProjekcji&lt;=Koniec,(K235-I235)-K261,0)</f>
        <v>0</v>
      </c>
      <c r="L249" s="33">
        <f t="shared" ref="L249:X249" ca="1" si="96">IF(LataProjekcji&lt;=Koniec,(L235-K235)-L261,0)</f>
        <v>0</v>
      </c>
      <c r="M249" s="33">
        <f t="shared" ca="1" si="96"/>
        <v>0</v>
      </c>
      <c r="N249" s="33">
        <f t="shared" ca="1" si="96"/>
        <v>0</v>
      </c>
      <c r="O249" s="33">
        <f t="shared" ca="1" si="96"/>
        <v>0</v>
      </c>
      <c r="P249" s="33">
        <f t="shared" ca="1" si="96"/>
        <v>0</v>
      </c>
      <c r="Q249" s="33">
        <f t="shared" ca="1" si="96"/>
        <v>0</v>
      </c>
      <c r="R249" s="33">
        <f t="shared" ca="1" si="96"/>
        <v>0</v>
      </c>
      <c r="S249" s="33">
        <f t="shared" ca="1" si="96"/>
        <v>0</v>
      </c>
      <c r="T249" s="33">
        <f t="shared" ca="1" si="96"/>
        <v>0</v>
      </c>
      <c r="U249" s="33">
        <f t="shared" ca="1" si="96"/>
        <v>0</v>
      </c>
      <c r="V249" s="33">
        <f t="shared" ca="1" si="96"/>
        <v>0</v>
      </c>
      <c r="W249" s="33">
        <f t="shared" ca="1" si="96"/>
        <v>0</v>
      </c>
      <c r="X249" s="33">
        <f t="shared" ca="1" si="96"/>
        <v>0</v>
      </c>
    </row>
    <row r="250" spans="2:24">
      <c r="B250" s="37" t="s">
        <v>600</v>
      </c>
      <c r="C250" s="52"/>
      <c r="D250" s="52"/>
      <c r="E250" s="52"/>
      <c r="F250" s="52"/>
      <c r="G250" s="33"/>
      <c r="H250" s="33"/>
      <c r="I250" s="33"/>
      <c r="J250" s="52"/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</row>
    <row r="251" spans="2:24">
      <c r="G251" s="5"/>
      <c r="H251" s="5"/>
      <c r="I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>
      <c r="B252" s="96" t="s">
        <v>601</v>
      </c>
      <c r="C252" s="97"/>
      <c r="D252" s="97"/>
      <c r="E252" s="97"/>
      <c r="F252" s="97"/>
      <c r="G252" s="100"/>
      <c r="H252" s="100"/>
      <c r="I252" s="100"/>
      <c r="J252" s="97"/>
      <c r="K252" s="98">
        <f>ROUND(SUM(K253:K254),0)</f>
        <v>0</v>
      </c>
      <c r="L252" s="98">
        <f t="shared" ref="L252:X252" si="97">ROUND(SUM(L253:L254),0)</f>
        <v>0</v>
      </c>
      <c r="M252" s="98">
        <f t="shared" si="97"/>
        <v>0</v>
      </c>
      <c r="N252" s="98">
        <f t="shared" si="97"/>
        <v>0</v>
      </c>
      <c r="O252" s="98">
        <f t="shared" si="97"/>
        <v>0</v>
      </c>
      <c r="P252" s="98">
        <f t="shared" si="97"/>
        <v>0</v>
      </c>
      <c r="Q252" s="98">
        <f t="shared" si="97"/>
        <v>0</v>
      </c>
      <c r="R252" s="98">
        <f t="shared" si="97"/>
        <v>0</v>
      </c>
      <c r="S252" s="98">
        <f t="shared" si="97"/>
        <v>0</v>
      </c>
      <c r="T252" s="98">
        <f t="shared" si="97"/>
        <v>0</v>
      </c>
      <c r="U252" s="98">
        <f t="shared" si="97"/>
        <v>0</v>
      </c>
      <c r="V252" s="98">
        <f t="shared" si="97"/>
        <v>0</v>
      </c>
      <c r="W252" s="98">
        <f t="shared" si="97"/>
        <v>0</v>
      </c>
      <c r="X252" s="98">
        <f t="shared" si="97"/>
        <v>0</v>
      </c>
    </row>
    <row r="253" spans="2:24">
      <c r="B253" s="94" t="s">
        <v>602</v>
      </c>
      <c r="C253" s="19"/>
      <c r="D253" s="19"/>
      <c r="E253" s="19"/>
      <c r="F253" s="19"/>
      <c r="G253" s="95"/>
      <c r="H253" s="95"/>
      <c r="I253" s="95"/>
      <c r="J253" s="19"/>
      <c r="K253" s="176">
        <f>-'Środki trwałe'!K812</f>
        <v>0</v>
      </c>
      <c r="L253" s="176">
        <f>-'Środki trwałe'!L812</f>
        <v>0</v>
      </c>
      <c r="M253" s="176">
        <f>-'Środki trwałe'!M812</f>
        <v>0</v>
      </c>
      <c r="N253" s="176">
        <f>-'Środki trwałe'!N812</f>
        <v>0</v>
      </c>
      <c r="O253" s="176">
        <f>-'Środki trwałe'!O812</f>
        <v>0</v>
      </c>
      <c r="P253" s="176">
        <f>-'Środki trwałe'!P812</f>
        <v>0</v>
      </c>
      <c r="Q253" s="176">
        <f>-'Środki trwałe'!Q812</f>
        <v>0</v>
      </c>
      <c r="R253" s="176">
        <f>-'Środki trwałe'!R812</f>
        <v>0</v>
      </c>
      <c r="S253" s="176">
        <f>-'Środki trwałe'!S812</f>
        <v>0</v>
      </c>
      <c r="T253" s="176">
        <f>-'Środki trwałe'!T812</f>
        <v>0</v>
      </c>
      <c r="U253" s="176">
        <f>-'Środki trwałe'!U812</f>
        <v>0</v>
      </c>
      <c r="V253" s="176">
        <f>-'Środki trwałe'!V812</f>
        <v>0</v>
      </c>
      <c r="W253" s="176">
        <f>-'Środki trwałe'!W812</f>
        <v>0</v>
      </c>
      <c r="X253" s="176">
        <f>-'Środki trwałe'!X812</f>
        <v>0</v>
      </c>
    </row>
    <row r="254" spans="2:24">
      <c r="B254" s="37" t="s">
        <v>603</v>
      </c>
      <c r="C254" s="52"/>
      <c r="D254" s="52"/>
      <c r="E254" s="52"/>
      <c r="F254" s="52"/>
      <c r="G254" s="33"/>
      <c r="H254" s="33"/>
      <c r="I254" s="33"/>
      <c r="J254" s="52"/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</row>
    <row r="255" spans="2:24">
      <c r="G255" s="5"/>
      <c r="H255" s="5"/>
      <c r="I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>
      <c r="B256" s="96" t="s">
        <v>604</v>
      </c>
      <c r="C256" s="97"/>
      <c r="D256" s="97"/>
      <c r="E256" s="97"/>
      <c r="F256" s="97"/>
      <c r="G256" s="100"/>
      <c r="H256" s="100"/>
      <c r="I256" s="100"/>
      <c r="J256" s="97"/>
      <c r="K256" s="98">
        <f ca="1">SUM(K257:K263)</f>
        <v>0</v>
      </c>
      <c r="L256" s="98">
        <f t="shared" ref="L256:X256" ca="1" si="98">SUM(L257:L263)</f>
        <v>0</v>
      </c>
      <c r="M256" s="98">
        <f t="shared" ca="1" si="98"/>
        <v>0</v>
      </c>
      <c r="N256" s="98">
        <f t="shared" ca="1" si="98"/>
        <v>0</v>
      </c>
      <c r="O256" s="98">
        <f t="shared" ca="1" si="98"/>
        <v>0</v>
      </c>
      <c r="P256" s="98">
        <f t="shared" ca="1" si="98"/>
        <v>0</v>
      </c>
      <c r="Q256" s="98">
        <f t="shared" ca="1" si="98"/>
        <v>0</v>
      </c>
      <c r="R256" s="98">
        <f t="shared" ca="1" si="98"/>
        <v>0</v>
      </c>
      <c r="S256" s="98">
        <f t="shared" ca="1" si="98"/>
        <v>0</v>
      </c>
      <c r="T256" s="98">
        <f t="shared" ca="1" si="98"/>
        <v>0</v>
      </c>
      <c r="U256" s="98">
        <f t="shared" ca="1" si="98"/>
        <v>0</v>
      </c>
      <c r="V256" s="98">
        <f t="shared" ca="1" si="98"/>
        <v>0</v>
      </c>
      <c r="W256" s="98">
        <f t="shared" ca="1" si="98"/>
        <v>0</v>
      </c>
      <c r="X256" s="98">
        <f t="shared" ca="1" si="98"/>
        <v>0</v>
      </c>
    </row>
    <row r="257" spans="2:24">
      <c r="B257" s="94" t="s">
        <v>605</v>
      </c>
      <c r="C257" s="19"/>
      <c r="D257" s="19"/>
      <c r="E257" s="19"/>
      <c r="F257" s="19"/>
      <c r="G257" s="95"/>
      <c r="H257" s="95"/>
      <c r="I257" s="95"/>
      <c r="J257" s="19"/>
      <c r="K257" s="95">
        <f>(K233-I233)</f>
        <v>0</v>
      </c>
      <c r="L257" s="95">
        <f>(L233-K233)</f>
        <v>0</v>
      </c>
      <c r="M257" s="95">
        <f t="shared" ref="M257:X257" si="99">(M233-L233)</f>
        <v>0</v>
      </c>
      <c r="N257" s="95">
        <f t="shared" si="99"/>
        <v>0</v>
      </c>
      <c r="O257" s="95">
        <f t="shared" si="99"/>
        <v>0</v>
      </c>
      <c r="P257" s="95">
        <f t="shared" si="99"/>
        <v>0</v>
      </c>
      <c r="Q257" s="95">
        <f t="shared" si="99"/>
        <v>0</v>
      </c>
      <c r="R257" s="95">
        <f t="shared" si="99"/>
        <v>0</v>
      </c>
      <c r="S257" s="95">
        <f t="shared" si="99"/>
        <v>0</v>
      </c>
      <c r="T257" s="95">
        <f t="shared" si="99"/>
        <v>0</v>
      </c>
      <c r="U257" s="95">
        <f t="shared" si="99"/>
        <v>0</v>
      </c>
      <c r="V257" s="95">
        <f t="shared" si="99"/>
        <v>0</v>
      </c>
      <c r="W257" s="95">
        <f t="shared" si="99"/>
        <v>0</v>
      </c>
      <c r="X257" s="95">
        <f t="shared" si="99"/>
        <v>0</v>
      </c>
    </row>
    <row r="258" spans="2:24">
      <c r="B258" s="37" t="s">
        <v>606</v>
      </c>
      <c r="C258" s="52"/>
      <c r="D258" s="52"/>
      <c r="E258" s="52"/>
      <c r="F258" s="52"/>
      <c r="G258" s="33"/>
      <c r="H258" s="33"/>
      <c r="I258" s="33"/>
      <c r="J258" s="52"/>
      <c r="K258" s="95">
        <f>K229-I229</f>
        <v>0</v>
      </c>
      <c r="L258" s="95">
        <f>L229-K229</f>
        <v>0</v>
      </c>
      <c r="M258" s="95">
        <f t="shared" ref="M258:X258" si="100">M229-L229</f>
        <v>0</v>
      </c>
      <c r="N258" s="95">
        <f t="shared" si="100"/>
        <v>0</v>
      </c>
      <c r="O258" s="95">
        <f t="shared" si="100"/>
        <v>0</v>
      </c>
      <c r="P258" s="95">
        <f t="shared" si="100"/>
        <v>0</v>
      </c>
      <c r="Q258" s="95">
        <f t="shared" si="100"/>
        <v>0</v>
      </c>
      <c r="R258" s="95">
        <f t="shared" si="100"/>
        <v>0</v>
      </c>
      <c r="S258" s="95">
        <f t="shared" si="100"/>
        <v>0</v>
      </c>
      <c r="T258" s="95">
        <f t="shared" si="100"/>
        <v>0</v>
      </c>
      <c r="U258" s="95">
        <f t="shared" si="100"/>
        <v>0</v>
      </c>
      <c r="V258" s="95">
        <f t="shared" si="100"/>
        <v>0</v>
      </c>
      <c r="W258" s="95">
        <f t="shared" si="100"/>
        <v>0</v>
      </c>
      <c r="X258" s="95">
        <f t="shared" si="100"/>
        <v>0</v>
      </c>
    </row>
    <row r="259" spans="2:24">
      <c r="B259" s="37" t="s">
        <v>607</v>
      </c>
      <c r="C259" s="52"/>
      <c r="D259" s="52"/>
      <c r="E259" s="52"/>
      <c r="F259" s="52"/>
      <c r="G259" s="33"/>
      <c r="H259" s="33"/>
      <c r="I259" s="33"/>
      <c r="J259" s="52"/>
      <c r="K259" s="33">
        <f>IF(LataProjekcji&lt;=Koniec,-Finansowanie!K84,0)</f>
        <v>0</v>
      </c>
      <c r="L259" s="33">
        <f>IF(LataProjekcji&lt;=Koniec,-Finansowanie!L84,0)</f>
        <v>0</v>
      </c>
      <c r="M259" s="33">
        <f>IF(LataProjekcji&lt;=Koniec,-Finansowanie!M84,0)</f>
        <v>0</v>
      </c>
      <c r="N259" s="33">
        <f>IF(LataProjekcji&lt;=Koniec,-Finansowanie!N84,0)</f>
        <v>0</v>
      </c>
      <c r="O259" s="33">
        <f>IF(LataProjekcji&lt;=Koniec,-Finansowanie!O84,0)</f>
        <v>0</v>
      </c>
      <c r="P259" s="33">
        <f>IF(LataProjekcji&lt;=Koniec,-Finansowanie!P84,0)</f>
        <v>0</v>
      </c>
      <c r="Q259" s="33">
        <f>IF(LataProjekcji&lt;=Koniec,-Finansowanie!Q84,0)</f>
        <v>0</v>
      </c>
      <c r="R259" s="33">
        <f>IF(LataProjekcji&lt;=Koniec,-Finansowanie!R84,0)</f>
        <v>0</v>
      </c>
      <c r="S259" s="33">
        <f>IF(LataProjekcji&lt;=Koniec,-Finansowanie!S84,0)</f>
        <v>0</v>
      </c>
      <c r="T259" s="33">
        <f>IF(LataProjekcji&lt;=Koniec,-Finansowanie!T84,0)</f>
        <v>0</v>
      </c>
      <c r="U259" s="33">
        <f>IF(LataProjekcji&lt;=Koniec,-Finansowanie!U84,0)</f>
        <v>0</v>
      </c>
      <c r="V259" s="33">
        <f>IF(LataProjekcji&lt;=Koniec,-Finansowanie!V84,0)</f>
        <v>0</v>
      </c>
      <c r="W259" s="33">
        <f>IF(LataProjekcji&lt;=Koniec,-Finansowanie!W84,0)</f>
        <v>0</v>
      </c>
      <c r="X259" s="33">
        <f>IF(LataProjekcji&lt;=Koniec,-Finansowanie!X84,0)</f>
        <v>0</v>
      </c>
    </row>
    <row r="260" spans="2:24">
      <c r="B260" s="37" t="s">
        <v>608</v>
      </c>
      <c r="C260" s="52"/>
      <c r="D260" s="52"/>
      <c r="E260" s="52"/>
      <c r="F260" s="52"/>
      <c r="G260" s="33"/>
      <c r="H260" s="33"/>
      <c r="I260" s="33"/>
      <c r="J260" s="52"/>
      <c r="K260" s="33">
        <f>IF(LataProjekcji&lt;=Koniec,Finansowanie!K72,0)</f>
        <v>0</v>
      </c>
      <c r="L260" s="33">
        <f>IF(LataProjekcji&lt;=Koniec,Finansowanie!L72,0)</f>
        <v>0</v>
      </c>
      <c r="M260" s="33">
        <f>IF(LataProjekcji&lt;=Koniec,Finansowanie!M72,0)</f>
        <v>0</v>
      </c>
      <c r="N260" s="33">
        <f>IF(LataProjekcji&lt;=Koniec,Finansowanie!N72,0)</f>
        <v>0</v>
      </c>
      <c r="O260" s="33">
        <f>IF(LataProjekcji&lt;=Koniec,Finansowanie!O72,0)</f>
        <v>0</v>
      </c>
      <c r="P260" s="33">
        <f>IF(LataProjekcji&lt;=Koniec,Finansowanie!P72,0)</f>
        <v>0</v>
      </c>
      <c r="Q260" s="33">
        <f>IF(LataProjekcji&lt;=Koniec,Finansowanie!Q72,0)</f>
        <v>0</v>
      </c>
      <c r="R260" s="33">
        <f>IF(LataProjekcji&lt;=Koniec,Finansowanie!R72,0)</f>
        <v>0</v>
      </c>
      <c r="S260" s="33">
        <f>IF(LataProjekcji&lt;=Koniec,Finansowanie!S72,0)</f>
        <v>0</v>
      </c>
      <c r="T260" s="33">
        <f>IF(LataProjekcji&lt;=Koniec,Finansowanie!T72,0)</f>
        <v>0</v>
      </c>
      <c r="U260" s="33">
        <f>IF(LataProjekcji&lt;=Koniec,Finansowanie!U72,0)</f>
        <v>0</v>
      </c>
      <c r="V260" s="33">
        <f>IF(LataProjekcji&lt;=Koniec,Finansowanie!V72,0)</f>
        <v>0</v>
      </c>
      <c r="W260" s="33">
        <f>IF(LataProjekcji&lt;=Koniec,Finansowanie!W72,0)</f>
        <v>0</v>
      </c>
      <c r="X260" s="33">
        <f>IF(LataProjekcji&lt;=Koniec,Finansowanie!X72,0)</f>
        <v>0</v>
      </c>
    </row>
    <row r="261" spans="2:24">
      <c r="B261" s="37" t="s">
        <v>609</v>
      </c>
      <c r="C261" s="52"/>
      <c r="D261" s="52"/>
      <c r="E261" s="52"/>
      <c r="F261" s="52"/>
      <c r="G261" s="33"/>
      <c r="H261" s="33"/>
      <c r="I261" s="33"/>
      <c r="J261" s="52"/>
      <c r="K261" s="33">
        <f ca="1">IF(AND(LataProjekcji&gt;=Poczatek,LataProjekcji&lt;=Koniec),Moduły!C70,0)</f>
        <v>0</v>
      </c>
      <c r="L261" s="33">
        <f ca="1">IF(AND(LataProjekcji&gt;=Poczatek,LataProjekcji&lt;=Koniec),Moduły!D70,0)</f>
        <v>0</v>
      </c>
      <c r="M261" s="33">
        <f ca="1">IF(AND(LataProjekcji&gt;=Poczatek,LataProjekcji&lt;=Koniec),Moduły!E70,0)</f>
        <v>0</v>
      </c>
      <c r="N261" s="33">
        <f ca="1">IF(AND(LataProjekcji&gt;=Poczatek,LataProjekcji&lt;=Koniec),Moduły!F70,0)</f>
        <v>0</v>
      </c>
      <c r="O261" s="33">
        <f ca="1">IF(AND(LataProjekcji&gt;=Poczatek,LataProjekcji&lt;=Koniec),Moduły!G70,0)</f>
        <v>0</v>
      </c>
      <c r="P261" s="33">
        <f ca="1">IF(AND(LataProjekcji&gt;=Poczatek,LataProjekcji&lt;=Koniec),Moduły!H70,0)</f>
        <v>0</v>
      </c>
      <c r="Q261" s="33">
        <f ca="1">IF(AND(LataProjekcji&gt;=Poczatek,LataProjekcji&lt;=Koniec),Moduły!I70,0)</f>
        <v>0</v>
      </c>
      <c r="R261" s="33">
        <f ca="1">IF(AND(LataProjekcji&gt;=Poczatek,LataProjekcji&lt;=Koniec),Moduły!J70,0)</f>
        <v>0</v>
      </c>
      <c r="S261" s="33">
        <f ca="1">IF(AND(LataProjekcji&gt;=Poczatek,LataProjekcji&lt;=Koniec),Moduły!K70,0)</f>
        <v>0</v>
      </c>
      <c r="T261" s="33">
        <f ca="1">IF(AND(LataProjekcji&gt;=Poczatek,LataProjekcji&lt;=Koniec),Moduły!L70,0)</f>
        <v>0</v>
      </c>
      <c r="U261" s="33">
        <f ca="1">IF(AND(LataProjekcji&gt;=Poczatek,LataProjekcji&lt;=Koniec),Moduły!M70,0)</f>
        <v>0</v>
      </c>
      <c r="V261" s="33">
        <f ca="1">IF(AND(LataProjekcji&gt;=Poczatek,LataProjekcji&lt;=Koniec),Moduły!N70,0)</f>
        <v>0</v>
      </c>
      <c r="W261" s="33">
        <f ca="1">IF(AND(LataProjekcji&gt;=Poczatek,LataProjekcji&lt;=Koniec),Moduły!O70,0)</f>
        <v>0</v>
      </c>
      <c r="X261" s="33">
        <f ca="1">IF(AND(LataProjekcji&gt;=Poczatek,LataProjekcji&lt;=Koniec),Moduły!P70,0)</f>
        <v>0</v>
      </c>
    </row>
    <row r="262" spans="2:24">
      <c r="B262" s="37" t="s">
        <v>610</v>
      </c>
      <c r="C262" s="52"/>
      <c r="D262" s="52"/>
      <c r="E262" s="52"/>
      <c r="F262" s="52"/>
      <c r="G262" s="33"/>
      <c r="H262" s="33"/>
      <c r="I262" s="33"/>
      <c r="J262" s="52"/>
      <c r="K262" s="33">
        <f>IF(LataProjekcji&lt;=Koniec,IF(Finansowanie!K134&lt;0,0,Finansowanie!K132-Finansowanie!K133),0)</f>
        <v>0</v>
      </c>
      <c r="L262" s="33">
        <f>IF(LataProjekcji&lt;=Koniec,IF(Finansowanie!L134&lt;0,0,Finansowanie!L132-Finansowanie!L133),0)</f>
        <v>0</v>
      </c>
      <c r="M262" s="33">
        <f>IF(LataProjekcji&lt;=Koniec,IF(Finansowanie!M134&lt;0,0,Finansowanie!M132-Finansowanie!M133),0)</f>
        <v>0</v>
      </c>
      <c r="N262" s="33">
        <f>IF(LataProjekcji&lt;=Koniec,IF(Finansowanie!N134&lt;0,0,Finansowanie!N132-Finansowanie!N133),0)</f>
        <v>0</v>
      </c>
      <c r="O262" s="33">
        <f>IF(LataProjekcji&lt;=Koniec,IF(Finansowanie!O134&lt;0,0,Finansowanie!O132-Finansowanie!O133),0)</f>
        <v>0</v>
      </c>
      <c r="P262" s="33">
        <f>IF(LataProjekcji&lt;=Koniec,IF(Finansowanie!P134&lt;0,0,Finansowanie!P132-Finansowanie!P133),0)</f>
        <v>0</v>
      </c>
      <c r="Q262" s="33">
        <f>IF(LataProjekcji&lt;=Koniec,IF(Finansowanie!Q134&lt;0,0,Finansowanie!Q132-Finansowanie!Q133),0)</f>
        <v>0</v>
      </c>
      <c r="R262" s="33">
        <f>IF(LataProjekcji&lt;=Koniec,IF(Finansowanie!R134&lt;0,0,Finansowanie!R132-Finansowanie!R133),0)</f>
        <v>0</v>
      </c>
      <c r="S262" s="33">
        <f>IF(LataProjekcji&lt;=Koniec,IF(Finansowanie!S134&lt;0,0,Finansowanie!S132-Finansowanie!S133),0)</f>
        <v>0</v>
      </c>
      <c r="T262" s="33">
        <f>IF(LataProjekcji&lt;=Koniec,IF(Finansowanie!T134&lt;0,0,Finansowanie!T132-Finansowanie!T133),0)</f>
        <v>0</v>
      </c>
      <c r="U262" s="33">
        <f>IF(LataProjekcji&lt;=Koniec,IF(Finansowanie!U134&lt;0,0,Finansowanie!U132-Finansowanie!U133),0)</f>
        <v>0</v>
      </c>
      <c r="V262" s="33">
        <f>IF(LataProjekcji&lt;=Koniec,IF(Finansowanie!V134&lt;0,0,Finansowanie!V132-Finansowanie!V133),0)</f>
        <v>0</v>
      </c>
      <c r="W262" s="33">
        <f>IF(LataProjekcji&lt;=Koniec,IF(Finansowanie!W134&lt;0,0,Finansowanie!W132-Finansowanie!W133),0)</f>
        <v>0</v>
      </c>
      <c r="X262" s="33">
        <f>IF(LataProjekcji&lt;=Koniec,IF(Finansowanie!X134&lt;0,0,Finansowanie!X132-Finansowanie!X133),0)</f>
        <v>0</v>
      </c>
    </row>
    <row r="263" spans="2:24">
      <c r="B263" s="37" t="s">
        <v>611</v>
      </c>
      <c r="C263" s="52"/>
      <c r="D263" s="52"/>
      <c r="E263" s="52"/>
      <c r="F263" s="52"/>
      <c r="G263" s="33"/>
      <c r="H263" s="33"/>
      <c r="I263" s="33"/>
      <c r="J263" s="52"/>
      <c r="K263" s="33">
        <f>Finansowanie!K78</f>
        <v>0</v>
      </c>
      <c r="L263" s="33">
        <f>Finansowanie!L78</f>
        <v>0</v>
      </c>
      <c r="M263" s="33">
        <f>Finansowanie!M78</f>
        <v>0</v>
      </c>
      <c r="N263" s="33">
        <f>Finansowanie!N78</f>
        <v>0</v>
      </c>
      <c r="O263" s="33">
        <f>Finansowanie!O78</f>
        <v>0</v>
      </c>
      <c r="P263" s="33">
        <f>Finansowanie!P78</f>
        <v>0</v>
      </c>
      <c r="Q263" s="33">
        <f>Finansowanie!Q78</f>
        <v>0</v>
      </c>
      <c r="R263" s="33">
        <f>Finansowanie!R78</f>
        <v>0</v>
      </c>
      <c r="S263" s="33">
        <f>Finansowanie!S78</f>
        <v>0</v>
      </c>
      <c r="T263" s="33">
        <f>Finansowanie!T78</f>
        <v>0</v>
      </c>
      <c r="U263" s="33">
        <f>Finansowanie!U78</f>
        <v>0</v>
      </c>
      <c r="V263" s="33">
        <f>Finansowanie!V78</f>
        <v>0</v>
      </c>
      <c r="W263" s="33">
        <f>Finansowanie!W78</f>
        <v>0</v>
      </c>
      <c r="X263" s="33">
        <f>Finansowanie!X78</f>
        <v>0</v>
      </c>
    </row>
    <row r="264" spans="2:24">
      <c r="G264" s="5"/>
      <c r="H264" s="5"/>
      <c r="I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>
      <c r="B265" s="99" t="s">
        <v>612</v>
      </c>
      <c r="C265" s="99"/>
      <c r="D265" s="99"/>
      <c r="E265" s="99"/>
      <c r="F265" s="99"/>
      <c r="G265" s="98"/>
      <c r="H265" s="98"/>
      <c r="I265" s="98"/>
      <c r="J265" s="97"/>
      <c r="K265" s="98">
        <f ca="1">IF(LataProjekcji&lt;=Koniec,K243+K252+K256,0)</f>
        <v>0</v>
      </c>
      <c r="L265" s="98">
        <f t="shared" ref="L265:X265" ca="1" si="101">L243+L252+L256</f>
        <v>0</v>
      </c>
      <c r="M265" s="98">
        <f t="shared" ca="1" si="101"/>
        <v>0</v>
      </c>
      <c r="N265" s="98">
        <f t="shared" ca="1" si="101"/>
        <v>0</v>
      </c>
      <c r="O265" s="98">
        <f t="shared" ca="1" si="101"/>
        <v>0</v>
      </c>
      <c r="P265" s="98">
        <f t="shared" ca="1" si="101"/>
        <v>0</v>
      </c>
      <c r="Q265" s="98">
        <f t="shared" ca="1" si="101"/>
        <v>0</v>
      </c>
      <c r="R265" s="98">
        <f t="shared" ca="1" si="101"/>
        <v>0</v>
      </c>
      <c r="S265" s="98">
        <f t="shared" ca="1" si="101"/>
        <v>0</v>
      </c>
      <c r="T265" s="98">
        <f t="shared" ca="1" si="101"/>
        <v>0</v>
      </c>
      <c r="U265" s="98">
        <f t="shared" ca="1" si="101"/>
        <v>0</v>
      </c>
      <c r="V265" s="98">
        <f t="shared" ca="1" si="101"/>
        <v>0</v>
      </c>
      <c r="W265" s="98">
        <f t="shared" ca="1" si="101"/>
        <v>0</v>
      </c>
      <c r="X265" s="98">
        <f t="shared" ca="1" si="101"/>
        <v>0</v>
      </c>
    </row>
    <row r="266" spans="2:24">
      <c r="B266" s="7" t="s">
        <v>613</v>
      </c>
      <c r="C266" s="7"/>
      <c r="D266" s="7"/>
      <c r="E266" s="7"/>
      <c r="F266" s="7"/>
      <c r="G266" s="13"/>
      <c r="H266" s="13"/>
      <c r="I266" s="13"/>
      <c r="K266" s="13">
        <v>0</v>
      </c>
      <c r="L266" s="13">
        <f t="shared" ref="L266:X266" ca="1" si="102">IF(LataProjekcji&lt;=Koniec,K267,0)</f>
        <v>0</v>
      </c>
      <c r="M266" s="13">
        <f t="shared" ca="1" si="102"/>
        <v>0</v>
      </c>
      <c r="N266" s="13">
        <f t="shared" ca="1" si="102"/>
        <v>0</v>
      </c>
      <c r="O266" s="13">
        <f t="shared" ca="1" si="102"/>
        <v>0</v>
      </c>
      <c r="P266" s="13">
        <f t="shared" ca="1" si="102"/>
        <v>0</v>
      </c>
      <c r="Q266" s="13">
        <f t="shared" ca="1" si="102"/>
        <v>0</v>
      </c>
      <c r="R266" s="13">
        <f t="shared" ca="1" si="102"/>
        <v>0</v>
      </c>
      <c r="S266" s="13">
        <f t="shared" ca="1" si="102"/>
        <v>0</v>
      </c>
      <c r="T266" s="13">
        <f t="shared" ca="1" si="102"/>
        <v>0</v>
      </c>
      <c r="U266" s="13">
        <f t="shared" ca="1" si="102"/>
        <v>0</v>
      </c>
      <c r="V266" s="13">
        <f t="shared" ca="1" si="102"/>
        <v>0</v>
      </c>
      <c r="W266" s="13">
        <f t="shared" ca="1" si="102"/>
        <v>0</v>
      </c>
      <c r="X266" s="13">
        <f t="shared" ca="1" si="102"/>
        <v>0</v>
      </c>
    </row>
    <row r="267" spans="2:24">
      <c r="B267" s="99" t="s">
        <v>614</v>
      </c>
      <c r="C267" s="99"/>
      <c r="D267" s="99"/>
      <c r="E267" s="99"/>
      <c r="F267" s="99"/>
      <c r="G267" s="98"/>
      <c r="H267" s="98"/>
      <c r="I267" s="98"/>
      <c r="J267" s="97"/>
      <c r="K267" s="98">
        <f t="shared" ref="K267:X267" ca="1" si="103">IF(LataProjekcji&lt;=Koniec,K265+K266,)</f>
        <v>0</v>
      </c>
      <c r="L267" s="98">
        <f t="shared" ca="1" si="103"/>
        <v>0</v>
      </c>
      <c r="M267" s="98">
        <f t="shared" ca="1" si="103"/>
        <v>0</v>
      </c>
      <c r="N267" s="98">
        <f t="shared" ca="1" si="103"/>
        <v>0</v>
      </c>
      <c r="O267" s="98">
        <f t="shared" ca="1" si="103"/>
        <v>0</v>
      </c>
      <c r="P267" s="98">
        <f t="shared" ca="1" si="103"/>
        <v>0</v>
      </c>
      <c r="Q267" s="98">
        <f t="shared" ca="1" si="103"/>
        <v>0</v>
      </c>
      <c r="R267" s="98">
        <f t="shared" ca="1" si="103"/>
        <v>0</v>
      </c>
      <c r="S267" s="98">
        <f t="shared" ca="1" si="103"/>
        <v>0</v>
      </c>
      <c r="T267" s="98">
        <f t="shared" ca="1" si="103"/>
        <v>0</v>
      </c>
      <c r="U267" s="98">
        <f t="shared" ca="1" si="103"/>
        <v>0</v>
      </c>
      <c r="V267" s="98">
        <f t="shared" ca="1" si="103"/>
        <v>0</v>
      </c>
      <c r="W267" s="98">
        <f t="shared" ca="1" si="103"/>
        <v>0</v>
      </c>
      <c r="X267" s="98">
        <f t="shared" ca="1" si="103"/>
        <v>0</v>
      </c>
    </row>
    <row r="268" spans="2:24">
      <c r="K268" s="109" t="b">
        <f ca="1">K267=K213</f>
        <v>1</v>
      </c>
      <c r="L268" s="109" t="b">
        <f t="shared" ref="L268:X268" ca="1" si="104">L267=L213</f>
        <v>1</v>
      </c>
      <c r="M268" s="109" t="b">
        <f t="shared" ca="1" si="104"/>
        <v>1</v>
      </c>
      <c r="N268" s="109" t="b">
        <f t="shared" ca="1" si="104"/>
        <v>1</v>
      </c>
      <c r="O268" s="109" t="b">
        <f t="shared" ca="1" si="104"/>
        <v>1</v>
      </c>
      <c r="P268" s="109" t="b">
        <f t="shared" ca="1" si="104"/>
        <v>1</v>
      </c>
      <c r="Q268" s="109" t="b">
        <f t="shared" ca="1" si="104"/>
        <v>1</v>
      </c>
      <c r="R268" s="109" t="b">
        <f t="shared" ca="1" si="104"/>
        <v>1</v>
      </c>
      <c r="S268" s="109" t="b">
        <f t="shared" ca="1" si="104"/>
        <v>1</v>
      </c>
      <c r="T268" s="109" t="b">
        <f t="shared" ca="1" si="104"/>
        <v>1</v>
      </c>
      <c r="U268" s="109" t="b">
        <f t="shared" ca="1" si="104"/>
        <v>1</v>
      </c>
      <c r="V268" s="109" t="b">
        <f t="shared" ca="1" si="104"/>
        <v>1</v>
      </c>
      <c r="W268" s="109" t="b">
        <f t="shared" ca="1" si="104"/>
        <v>1</v>
      </c>
      <c r="X268" s="109" t="b">
        <f t="shared" ca="1" si="104"/>
        <v>1</v>
      </c>
    </row>
    <row r="269" spans="2:24">
      <c r="K269" s="110">
        <f ca="1">K267-K213</f>
        <v>0</v>
      </c>
      <c r="L269" s="110">
        <f t="shared" ref="L269:X269" ca="1" si="105">L267-L213</f>
        <v>0</v>
      </c>
      <c r="M269" s="110">
        <f t="shared" ca="1" si="105"/>
        <v>0</v>
      </c>
      <c r="N269" s="110">
        <f t="shared" ca="1" si="105"/>
        <v>0</v>
      </c>
      <c r="O269" s="110">
        <f t="shared" ca="1" si="105"/>
        <v>0</v>
      </c>
      <c r="P269" s="110">
        <f t="shared" ca="1" si="105"/>
        <v>0</v>
      </c>
      <c r="Q269" s="110">
        <f t="shared" ca="1" si="105"/>
        <v>0</v>
      </c>
      <c r="R269" s="110">
        <f t="shared" ca="1" si="105"/>
        <v>0</v>
      </c>
      <c r="S269" s="110">
        <f t="shared" ca="1" si="105"/>
        <v>0</v>
      </c>
      <c r="T269" s="110">
        <f t="shared" ca="1" si="105"/>
        <v>0</v>
      </c>
      <c r="U269" s="110">
        <f t="shared" ca="1" si="105"/>
        <v>0</v>
      </c>
      <c r="V269" s="110">
        <f t="shared" ca="1" si="105"/>
        <v>0</v>
      </c>
      <c r="W269" s="110">
        <f t="shared" ca="1" si="105"/>
        <v>0</v>
      </c>
      <c r="X269" s="110">
        <f t="shared" ca="1" si="105"/>
        <v>0</v>
      </c>
    </row>
    <row r="270" spans="2:24">
      <c r="K270" s="110"/>
    </row>
    <row r="271" spans="2:24" ht="14.4">
      <c r="B271" s="151" t="s">
        <v>653</v>
      </c>
      <c r="C271" s="217"/>
      <c r="D271" s="217"/>
      <c r="E271" s="217"/>
      <c r="F271" s="217"/>
      <c r="G271" s="219">
        <f t="shared" ref="G271:X271" ca="1" si="106">LataProjekcji</f>
        <v>0</v>
      </c>
      <c r="H271" s="219">
        <f t="shared" ca="1" si="106"/>
        <v>0</v>
      </c>
      <c r="I271" s="219">
        <f t="shared" ca="1" si="106"/>
        <v>0</v>
      </c>
      <c r="J271" s="220" t="str">
        <f t="shared" si="106"/>
        <v/>
      </c>
      <c r="K271" s="219" t="str">
        <f t="shared" si="106"/>
        <v>Uzupełnij dane</v>
      </c>
      <c r="L271" s="219" t="str">
        <f t="shared" si="106"/>
        <v/>
      </c>
      <c r="M271" s="219" t="str">
        <f t="shared" si="106"/>
        <v/>
      </c>
      <c r="N271" s="219" t="str">
        <f t="shared" si="106"/>
        <v/>
      </c>
      <c r="O271" s="219" t="str">
        <f t="shared" si="106"/>
        <v/>
      </c>
      <c r="P271" s="219" t="str">
        <f t="shared" si="106"/>
        <v/>
      </c>
      <c r="Q271" s="219" t="str">
        <f t="shared" si="106"/>
        <v/>
      </c>
      <c r="R271" s="219" t="str">
        <f t="shared" si="106"/>
        <v/>
      </c>
      <c r="S271" s="219" t="str">
        <f t="shared" si="106"/>
        <v/>
      </c>
      <c r="T271" s="219" t="str">
        <f t="shared" si="106"/>
        <v/>
      </c>
      <c r="U271" s="219" t="str">
        <f t="shared" si="106"/>
        <v/>
      </c>
      <c r="V271" s="219" t="str">
        <f t="shared" si="106"/>
        <v/>
      </c>
      <c r="W271" s="219" t="str">
        <f t="shared" si="106"/>
        <v/>
      </c>
      <c r="X271" s="219" t="str">
        <f t="shared" si="106"/>
        <v/>
      </c>
    </row>
    <row r="272" spans="2:24">
      <c r="V272" s="3"/>
      <c r="W272" s="3"/>
      <c r="X272" s="3"/>
    </row>
    <row r="273" spans="2:24">
      <c r="B273" s="29" t="s">
        <v>616</v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2:24">
      <c r="B274" s="94" t="s">
        <v>617</v>
      </c>
      <c r="C274" s="19" t="s">
        <v>618</v>
      </c>
      <c r="D274" s="19" t="s">
        <v>619</v>
      </c>
      <c r="E274" s="19"/>
      <c r="F274" s="19"/>
      <c r="G274" s="19"/>
      <c r="H274" s="19"/>
      <c r="I274" s="19"/>
      <c r="J274" s="19"/>
      <c r="K274" s="169" t="str">
        <f t="shared" ref="K274:X274" ca="1" si="107">IFERROR(ROUND((K173/K159),4),"bd.")</f>
        <v>bd.</v>
      </c>
      <c r="L274" s="169" t="str">
        <f t="shared" ca="1" si="107"/>
        <v>bd.</v>
      </c>
      <c r="M274" s="169" t="str">
        <f t="shared" ca="1" si="107"/>
        <v>bd.</v>
      </c>
      <c r="N274" s="169" t="str">
        <f t="shared" ca="1" si="107"/>
        <v>bd.</v>
      </c>
      <c r="O274" s="169" t="str">
        <f t="shared" ca="1" si="107"/>
        <v>bd.</v>
      </c>
      <c r="P274" s="169" t="str">
        <f t="shared" ca="1" si="107"/>
        <v>bd.</v>
      </c>
      <c r="Q274" s="169" t="str">
        <f t="shared" ca="1" si="107"/>
        <v>bd.</v>
      </c>
      <c r="R274" s="169" t="str">
        <f t="shared" ca="1" si="107"/>
        <v>bd.</v>
      </c>
      <c r="S274" s="169" t="str">
        <f t="shared" ca="1" si="107"/>
        <v>bd.</v>
      </c>
      <c r="T274" s="169" t="str">
        <f t="shared" ca="1" si="107"/>
        <v>bd.</v>
      </c>
      <c r="U274" s="169" t="str">
        <f t="shared" ca="1" si="107"/>
        <v>bd.</v>
      </c>
      <c r="V274" s="169" t="str">
        <f t="shared" ca="1" si="107"/>
        <v>bd.</v>
      </c>
      <c r="W274" s="169" t="str">
        <f t="shared" ca="1" si="107"/>
        <v>bd.</v>
      </c>
      <c r="X274" s="169" t="str">
        <f t="shared" ca="1" si="107"/>
        <v>bd.</v>
      </c>
    </row>
    <row r="275" spans="2:24">
      <c r="B275" s="37" t="s">
        <v>620</v>
      </c>
      <c r="C275" s="52" t="s">
        <v>621</v>
      </c>
      <c r="D275" s="52" t="s">
        <v>619</v>
      </c>
      <c r="E275" s="52"/>
      <c r="F275" s="52"/>
      <c r="G275" s="52"/>
      <c r="H275" s="52"/>
      <c r="I275" s="52"/>
      <c r="J275" s="52"/>
      <c r="K275" s="168" t="str">
        <f t="shared" ref="K275:X275" ca="1" si="108">IFERROR(ROUND((K186/K159),4),"bd.")</f>
        <v>bd.</v>
      </c>
      <c r="L275" s="168" t="str">
        <f t="shared" ca="1" si="108"/>
        <v>bd.</v>
      </c>
      <c r="M275" s="168" t="str">
        <f t="shared" ca="1" si="108"/>
        <v>bd.</v>
      </c>
      <c r="N275" s="168" t="str">
        <f t="shared" ca="1" si="108"/>
        <v>bd.</v>
      </c>
      <c r="O275" s="168" t="str">
        <f t="shared" ca="1" si="108"/>
        <v>bd.</v>
      </c>
      <c r="P275" s="168" t="str">
        <f t="shared" ca="1" si="108"/>
        <v>bd.</v>
      </c>
      <c r="Q275" s="168" t="str">
        <f t="shared" ca="1" si="108"/>
        <v>bd.</v>
      </c>
      <c r="R275" s="168" t="str">
        <f t="shared" ca="1" si="108"/>
        <v>bd.</v>
      </c>
      <c r="S275" s="168" t="str">
        <f t="shared" ca="1" si="108"/>
        <v>bd.</v>
      </c>
      <c r="T275" s="168" t="str">
        <f t="shared" ca="1" si="108"/>
        <v>bd.</v>
      </c>
      <c r="U275" s="168" t="str">
        <f t="shared" ca="1" si="108"/>
        <v>bd.</v>
      </c>
      <c r="V275" s="168" t="str">
        <f t="shared" ca="1" si="108"/>
        <v>bd.</v>
      </c>
      <c r="W275" s="168" t="str">
        <f t="shared" ca="1" si="108"/>
        <v>bd.</v>
      </c>
      <c r="X275" s="168" t="str">
        <f t="shared" ca="1" si="108"/>
        <v>bd.</v>
      </c>
    </row>
    <row r="276" spans="2:24">
      <c r="B276" s="37" t="s">
        <v>622</v>
      </c>
      <c r="C276" s="52" t="s">
        <v>623</v>
      </c>
      <c r="D276" s="52" t="s">
        <v>624</v>
      </c>
      <c r="E276" s="52"/>
      <c r="F276" s="52"/>
      <c r="G276" s="52"/>
      <c r="H276" s="52"/>
      <c r="I276" s="52"/>
      <c r="J276" s="52"/>
      <c r="K276" s="168" t="str">
        <f t="shared" ref="K276:X276" ca="1" si="109">IFERROR(ROUND((K186/K217),4),"bd.")</f>
        <v>bd.</v>
      </c>
      <c r="L276" s="168" t="str">
        <f t="shared" ca="1" si="109"/>
        <v>bd.</v>
      </c>
      <c r="M276" s="168" t="str">
        <f t="shared" ca="1" si="109"/>
        <v>bd.</v>
      </c>
      <c r="N276" s="168" t="str">
        <f t="shared" ca="1" si="109"/>
        <v>bd.</v>
      </c>
      <c r="O276" s="168" t="str">
        <f t="shared" ca="1" si="109"/>
        <v>bd.</v>
      </c>
      <c r="P276" s="168" t="str">
        <f t="shared" ca="1" si="109"/>
        <v>bd.</v>
      </c>
      <c r="Q276" s="168" t="str">
        <f t="shared" ca="1" si="109"/>
        <v>bd.</v>
      </c>
      <c r="R276" s="168" t="str">
        <f t="shared" ca="1" si="109"/>
        <v>bd.</v>
      </c>
      <c r="S276" s="168" t="str">
        <f t="shared" ca="1" si="109"/>
        <v>bd.</v>
      </c>
      <c r="T276" s="168" t="str">
        <f t="shared" ca="1" si="109"/>
        <v>bd.</v>
      </c>
      <c r="U276" s="168" t="str">
        <f t="shared" ca="1" si="109"/>
        <v>bd.</v>
      </c>
      <c r="V276" s="168" t="str">
        <f t="shared" ca="1" si="109"/>
        <v>bd.</v>
      </c>
      <c r="W276" s="168" t="str">
        <f t="shared" ca="1" si="109"/>
        <v>bd.</v>
      </c>
      <c r="X276" s="168" t="str">
        <f t="shared" ca="1" si="109"/>
        <v>bd.</v>
      </c>
    </row>
    <row r="277" spans="2:24"/>
    <row r="278" spans="2:24">
      <c r="B278" s="29" t="s">
        <v>625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2:24">
      <c r="B279" s="104" t="s">
        <v>626</v>
      </c>
      <c r="C279" s="102" t="s">
        <v>627</v>
      </c>
      <c r="D279" s="102" t="s">
        <v>628</v>
      </c>
      <c r="E279" s="102"/>
      <c r="F279" s="102"/>
      <c r="G279" s="102"/>
      <c r="H279" s="102"/>
      <c r="I279" s="102"/>
      <c r="J279" s="102"/>
      <c r="K279" s="170" t="str">
        <f t="shared" ref="K279:X279" ca="1" si="110">IFERROR(ROUND(K220/K238,4),"bd.")</f>
        <v>bd.</v>
      </c>
      <c r="L279" s="170" t="str">
        <f t="shared" ca="1" si="110"/>
        <v>bd.</v>
      </c>
      <c r="M279" s="170" t="str">
        <f t="shared" ca="1" si="110"/>
        <v>bd.</v>
      </c>
      <c r="N279" s="170" t="str">
        <f t="shared" ca="1" si="110"/>
        <v>bd.</v>
      </c>
      <c r="O279" s="170" t="str">
        <f t="shared" ca="1" si="110"/>
        <v>bd.</v>
      </c>
      <c r="P279" s="170" t="str">
        <f t="shared" ca="1" si="110"/>
        <v>bd.</v>
      </c>
      <c r="Q279" s="170" t="str">
        <f t="shared" ca="1" si="110"/>
        <v>bd.</v>
      </c>
      <c r="R279" s="170" t="str">
        <f t="shared" ca="1" si="110"/>
        <v>bd.</v>
      </c>
      <c r="S279" s="170" t="str">
        <f t="shared" ca="1" si="110"/>
        <v>bd.</v>
      </c>
      <c r="T279" s="170" t="str">
        <f t="shared" ca="1" si="110"/>
        <v>bd.</v>
      </c>
      <c r="U279" s="170" t="str">
        <f t="shared" ca="1" si="110"/>
        <v>bd.</v>
      </c>
      <c r="V279" s="170" t="str">
        <f t="shared" ca="1" si="110"/>
        <v>bd.</v>
      </c>
      <c r="W279" s="170" t="str">
        <f t="shared" ca="1" si="110"/>
        <v>bd.</v>
      </c>
      <c r="X279" s="170" t="str">
        <f t="shared" ca="1" si="110"/>
        <v>bd.</v>
      </c>
    </row>
    <row r="280" spans="2:24">
      <c r="B280" s="37" t="s">
        <v>629</v>
      </c>
      <c r="C280" s="52" t="s">
        <v>630</v>
      </c>
      <c r="D280" s="52" t="s">
        <v>631</v>
      </c>
      <c r="E280" s="52"/>
      <c r="F280" s="52"/>
      <c r="G280" s="52"/>
      <c r="H280" s="52"/>
      <c r="I280" s="52"/>
      <c r="J280" s="52"/>
      <c r="K280" s="171" t="str">
        <f t="shared" ref="K280:X280" ca="1" si="111">IFERROR(ROUND((K220+K228+K227+K235)/K191,4),"bd.")</f>
        <v>bd.</v>
      </c>
      <c r="L280" s="171" t="str">
        <f t="shared" ca="1" si="111"/>
        <v>bd.</v>
      </c>
      <c r="M280" s="171" t="str">
        <f t="shared" ca="1" si="111"/>
        <v>bd.</v>
      </c>
      <c r="N280" s="171" t="str">
        <f t="shared" ca="1" si="111"/>
        <v>bd.</v>
      </c>
      <c r="O280" s="171" t="str">
        <f t="shared" ca="1" si="111"/>
        <v>bd.</v>
      </c>
      <c r="P280" s="171" t="str">
        <f t="shared" ca="1" si="111"/>
        <v>bd.</v>
      </c>
      <c r="Q280" s="171" t="str">
        <f t="shared" ca="1" si="111"/>
        <v>bd.</v>
      </c>
      <c r="R280" s="171" t="str">
        <f t="shared" ca="1" si="111"/>
        <v>bd.</v>
      </c>
      <c r="S280" s="171" t="str">
        <f t="shared" ca="1" si="111"/>
        <v>bd.</v>
      </c>
      <c r="T280" s="171" t="str">
        <f t="shared" ca="1" si="111"/>
        <v>bd.</v>
      </c>
      <c r="U280" s="171" t="str">
        <f t="shared" ca="1" si="111"/>
        <v>bd.</v>
      </c>
      <c r="V280" s="171" t="str">
        <f t="shared" ca="1" si="111"/>
        <v>bd.</v>
      </c>
      <c r="W280" s="171" t="str">
        <f t="shared" ca="1" si="111"/>
        <v>bd.</v>
      </c>
      <c r="X280" s="171" t="str">
        <f t="shared" ca="1" si="111"/>
        <v>bd.</v>
      </c>
    </row>
    <row r="281" spans="2:24">
      <c r="B281" s="37" t="s">
        <v>632</v>
      </c>
      <c r="C281" s="52" t="s">
        <v>633</v>
      </c>
      <c r="D281" s="52" t="s">
        <v>631</v>
      </c>
      <c r="E281" s="52"/>
      <c r="F281" s="52"/>
      <c r="G281" s="52"/>
      <c r="H281" s="52"/>
      <c r="I281" s="52"/>
      <c r="J281" s="52"/>
      <c r="K281" s="171" t="str">
        <f t="shared" ref="K281:X281" ca="1" si="112">IFERROR(ROUND(K226/K238,4),"bd.")</f>
        <v>bd.</v>
      </c>
      <c r="L281" s="171" t="str">
        <f t="shared" ca="1" si="112"/>
        <v>bd.</v>
      </c>
      <c r="M281" s="171" t="str">
        <f t="shared" ca="1" si="112"/>
        <v>bd.</v>
      </c>
      <c r="N281" s="171" t="str">
        <f t="shared" ca="1" si="112"/>
        <v>bd.</v>
      </c>
      <c r="O281" s="171" t="str">
        <f t="shared" ca="1" si="112"/>
        <v>bd.</v>
      </c>
      <c r="P281" s="171" t="str">
        <f t="shared" ca="1" si="112"/>
        <v>bd.</v>
      </c>
      <c r="Q281" s="171" t="str">
        <f t="shared" ca="1" si="112"/>
        <v>bd.</v>
      </c>
      <c r="R281" s="171" t="str">
        <f t="shared" ca="1" si="112"/>
        <v>bd.</v>
      </c>
      <c r="S281" s="171" t="str">
        <f t="shared" ca="1" si="112"/>
        <v>bd.</v>
      </c>
      <c r="T281" s="171" t="str">
        <f t="shared" ca="1" si="112"/>
        <v>bd.</v>
      </c>
      <c r="U281" s="171" t="str">
        <f t="shared" ca="1" si="112"/>
        <v>bd.</v>
      </c>
      <c r="V281" s="171" t="str">
        <f t="shared" ca="1" si="112"/>
        <v>bd.</v>
      </c>
      <c r="W281" s="171" t="str">
        <f t="shared" ca="1" si="112"/>
        <v>bd.</v>
      </c>
      <c r="X281" s="171" t="str">
        <f t="shared" ca="1" si="112"/>
        <v>bd.</v>
      </c>
    </row>
    <row r="282" spans="2:24">
      <c r="B282" s="37" t="s">
        <v>634</v>
      </c>
      <c r="C282" s="52" t="s">
        <v>635</v>
      </c>
      <c r="D282" s="52" t="s">
        <v>636</v>
      </c>
      <c r="E282" s="52"/>
      <c r="F282" s="52"/>
      <c r="G282" s="52"/>
      <c r="H282" s="52"/>
      <c r="I282" s="52"/>
      <c r="J282" s="52"/>
      <c r="K282" s="172" t="str">
        <f ca="1">IFERROR(ROUND((K186+K165+K180+K184)/(K180+Finansowanie!K106+Finansowanie!K115+Finansowanie!K124),4),"bd.")</f>
        <v>bd.</v>
      </c>
      <c r="L282" s="172" t="str">
        <f ca="1">IFERROR(ROUND((L186+L165+L180+L184)/(L180+Finansowanie!L106+Finansowanie!L115+Finansowanie!L124),4),"bd.")</f>
        <v>bd.</v>
      </c>
      <c r="M282" s="172" t="str">
        <f ca="1">IFERROR(ROUND((M186+M165+M180+M184)/(M180+Finansowanie!M106+Finansowanie!M115+Finansowanie!M124),4),"bd.")</f>
        <v>bd.</v>
      </c>
      <c r="N282" s="172" t="str">
        <f ca="1">IFERROR(ROUND((N186+N165+N180+N184)/(N180+Finansowanie!N106+Finansowanie!N115+Finansowanie!N124),4),"bd.")</f>
        <v>bd.</v>
      </c>
      <c r="O282" s="172" t="str">
        <f ca="1">IFERROR(ROUND((O186+O165+O180+O184)/(O180+Finansowanie!O106+Finansowanie!O115+Finansowanie!O124),4),"bd.")</f>
        <v>bd.</v>
      </c>
      <c r="P282" s="172" t="str">
        <f ca="1">IFERROR(ROUND((P186+P165+P180+P184)/(P180+Finansowanie!P106+Finansowanie!P115+Finansowanie!P124),4),"bd.")</f>
        <v>bd.</v>
      </c>
      <c r="Q282" s="172" t="str">
        <f ca="1">IFERROR(ROUND((Q186+Q165+Q180+Q184)/(Q180+Finansowanie!Q106+Finansowanie!Q115+Finansowanie!Q124),4),"bd.")</f>
        <v>bd.</v>
      </c>
      <c r="R282" s="172" t="str">
        <f ca="1">IFERROR(ROUND((R186+R165+R180+R184)/(R180+Finansowanie!R106+Finansowanie!R115+Finansowanie!R124),4),"bd.")</f>
        <v>bd.</v>
      </c>
      <c r="S282" s="172" t="str">
        <f ca="1">IFERROR(ROUND((S186+S165+S180+S184)/(S180+Finansowanie!S106+Finansowanie!S115+Finansowanie!S124),4),"bd.")</f>
        <v>bd.</v>
      </c>
      <c r="T282" s="172" t="str">
        <f ca="1">IFERROR(ROUND((T186+T165+T180+T184)/(T180+Finansowanie!T106+Finansowanie!T115+Finansowanie!T124),4),"bd.")</f>
        <v>bd.</v>
      </c>
      <c r="U282" s="172" t="str">
        <f ca="1">IFERROR(ROUND((U186+U165+U180+U184)/(U180+Finansowanie!U106+Finansowanie!U115+Finansowanie!U124),4),"bd.")</f>
        <v>bd.</v>
      </c>
      <c r="V282" s="172" t="str">
        <f ca="1">IFERROR(ROUND((V186+V165+V180+V184)/(V180+Finansowanie!V106+Finansowanie!V115+Finansowanie!V124),4),"bd.")</f>
        <v>bd.</v>
      </c>
      <c r="W282" s="172" t="str">
        <f ca="1">IFERROR(ROUND((W186+W165+W180+W184)/(W180+Finansowanie!W106+Finansowanie!W115+Finansowanie!W124),4),"bd.")</f>
        <v>bd.</v>
      </c>
      <c r="X282" s="172" t="str">
        <f ca="1">IFERROR(ROUND((X186+X165+X180+X184)/(X180+Finansowanie!X106+Finansowanie!X115+Finansowanie!X124),4),"bd.")</f>
        <v>bd.</v>
      </c>
    </row>
    <row r="283" spans="2:24"/>
    <row r="284" spans="2:24">
      <c r="B284" s="29" t="s">
        <v>637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2:24">
      <c r="B285" s="104" t="s">
        <v>638</v>
      </c>
      <c r="C285" s="102" t="s">
        <v>639</v>
      </c>
      <c r="D285" s="102" t="s">
        <v>636</v>
      </c>
      <c r="E285" s="102"/>
      <c r="F285" s="102"/>
      <c r="G285" s="102"/>
      <c r="H285" s="102"/>
      <c r="I285" s="102"/>
      <c r="J285" s="102"/>
      <c r="K285" s="173" t="str">
        <f t="shared" ref="K285:X285" ca="1" si="113">IFERROR(ROUND(K209/K231,4),"bd.")</f>
        <v>bd.</v>
      </c>
      <c r="L285" s="173" t="str">
        <f t="shared" ca="1" si="113"/>
        <v>bd.</v>
      </c>
      <c r="M285" s="173" t="str">
        <f t="shared" ca="1" si="113"/>
        <v>bd.</v>
      </c>
      <c r="N285" s="173" t="str">
        <f t="shared" ca="1" si="113"/>
        <v>bd.</v>
      </c>
      <c r="O285" s="173" t="str">
        <f t="shared" ca="1" si="113"/>
        <v>bd.</v>
      </c>
      <c r="P285" s="173" t="str">
        <f t="shared" ca="1" si="113"/>
        <v>bd.</v>
      </c>
      <c r="Q285" s="173" t="str">
        <f t="shared" ca="1" si="113"/>
        <v>bd.</v>
      </c>
      <c r="R285" s="173" t="str">
        <f t="shared" ca="1" si="113"/>
        <v>bd.</v>
      </c>
      <c r="S285" s="173" t="str">
        <f t="shared" ca="1" si="113"/>
        <v>bd.</v>
      </c>
      <c r="T285" s="173" t="str">
        <f t="shared" ca="1" si="113"/>
        <v>bd.</v>
      </c>
      <c r="U285" s="173" t="str">
        <f t="shared" ca="1" si="113"/>
        <v>bd.</v>
      </c>
      <c r="V285" s="173" t="str">
        <f t="shared" ca="1" si="113"/>
        <v>bd.</v>
      </c>
      <c r="W285" s="173" t="str">
        <f t="shared" ca="1" si="113"/>
        <v>bd.</v>
      </c>
      <c r="X285" s="173" t="str">
        <f t="shared" ca="1" si="113"/>
        <v>bd.</v>
      </c>
    </row>
    <row r="286" spans="2:24">
      <c r="B286" s="37" t="s">
        <v>640</v>
      </c>
      <c r="C286" s="52" t="s">
        <v>641</v>
      </c>
      <c r="D286" s="52" t="s">
        <v>642</v>
      </c>
      <c r="E286" s="52"/>
      <c r="F286" s="52"/>
      <c r="G286" s="52"/>
      <c r="H286" s="52"/>
      <c r="I286" s="52"/>
      <c r="J286" s="52"/>
      <c r="K286" s="172" t="str">
        <f t="shared" ref="K286:X286" ca="1" si="114">IFERROR(ROUND((K209-K210)/K231,4),"bd.")</f>
        <v>bd.</v>
      </c>
      <c r="L286" s="172" t="str">
        <f t="shared" ca="1" si="114"/>
        <v>bd.</v>
      </c>
      <c r="M286" s="172" t="str">
        <f t="shared" ca="1" si="114"/>
        <v>bd.</v>
      </c>
      <c r="N286" s="172" t="str">
        <f t="shared" ca="1" si="114"/>
        <v>bd.</v>
      </c>
      <c r="O286" s="172" t="str">
        <f t="shared" ca="1" si="114"/>
        <v>bd.</v>
      </c>
      <c r="P286" s="172" t="str">
        <f t="shared" ca="1" si="114"/>
        <v>bd.</v>
      </c>
      <c r="Q286" s="172" t="str">
        <f t="shared" ca="1" si="114"/>
        <v>bd.</v>
      </c>
      <c r="R286" s="172" t="str">
        <f t="shared" ca="1" si="114"/>
        <v>bd.</v>
      </c>
      <c r="S286" s="172" t="str">
        <f t="shared" ca="1" si="114"/>
        <v>bd.</v>
      </c>
      <c r="T286" s="172" t="str">
        <f t="shared" ca="1" si="114"/>
        <v>bd.</v>
      </c>
      <c r="U286" s="172" t="str">
        <f t="shared" ca="1" si="114"/>
        <v>bd.</v>
      </c>
      <c r="V286" s="172" t="str">
        <f t="shared" ca="1" si="114"/>
        <v>bd.</v>
      </c>
      <c r="W286" s="172" t="str">
        <f t="shared" ca="1" si="114"/>
        <v>bd.</v>
      </c>
      <c r="X286" s="172" t="str">
        <f t="shared" ca="1" si="114"/>
        <v>bd.</v>
      </c>
    </row>
    <row r="287" spans="2:24"/>
    <row r="288" spans="2:24">
      <c r="B288" s="29" t="s">
        <v>643</v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2:24">
      <c r="B289" s="94" t="s">
        <v>644</v>
      </c>
      <c r="C289" s="19"/>
      <c r="D289" s="19"/>
      <c r="E289" s="19"/>
      <c r="F289" s="19"/>
      <c r="G289" s="19"/>
      <c r="H289" s="19"/>
      <c r="I289" s="19"/>
      <c r="J289" s="19"/>
      <c r="K289" s="174" t="str">
        <f t="shared" ref="K289:X289" ca="1" si="115">IFERROR(ROUND((K210/K164)*dni,0),"bd.")</f>
        <v>bd.</v>
      </c>
      <c r="L289" s="174" t="str">
        <f t="shared" ca="1" si="115"/>
        <v>bd.</v>
      </c>
      <c r="M289" s="174" t="str">
        <f t="shared" ca="1" si="115"/>
        <v>bd.</v>
      </c>
      <c r="N289" s="174" t="str">
        <f t="shared" ca="1" si="115"/>
        <v>bd.</v>
      </c>
      <c r="O289" s="174" t="str">
        <f t="shared" ca="1" si="115"/>
        <v>bd.</v>
      </c>
      <c r="P289" s="174" t="str">
        <f t="shared" ca="1" si="115"/>
        <v>bd.</v>
      </c>
      <c r="Q289" s="174" t="str">
        <f t="shared" ca="1" si="115"/>
        <v>bd.</v>
      </c>
      <c r="R289" s="174" t="str">
        <f t="shared" ca="1" si="115"/>
        <v>bd.</v>
      </c>
      <c r="S289" s="174" t="str">
        <f t="shared" ca="1" si="115"/>
        <v>bd.</v>
      </c>
      <c r="T289" s="174" t="str">
        <f t="shared" ca="1" si="115"/>
        <v>bd.</v>
      </c>
      <c r="U289" s="174" t="str">
        <f t="shared" ca="1" si="115"/>
        <v>bd.</v>
      </c>
      <c r="V289" s="174" t="str">
        <f t="shared" ca="1" si="115"/>
        <v>bd.</v>
      </c>
      <c r="W289" s="174" t="str">
        <f t="shared" ca="1" si="115"/>
        <v>bd.</v>
      </c>
      <c r="X289" s="174" t="str">
        <f t="shared" ca="1" si="115"/>
        <v>bd.</v>
      </c>
    </row>
    <row r="290" spans="2:24">
      <c r="B290" s="37" t="s">
        <v>645</v>
      </c>
      <c r="C290" s="52"/>
      <c r="D290" s="52"/>
      <c r="E290" s="52"/>
      <c r="F290" s="52"/>
      <c r="G290" s="52"/>
      <c r="H290" s="52"/>
      <c r="I290" s="52"/>
      <c r="J290" s="52"/>
      <c r="K290" s="10" t="str">
        <f t="shared" ref="K290:X290" si="116">IFERROR(ROUND((K212/K159)*dni,0),"bd.")</f>
        <v>bd.</v>
      </c>
      <c r="L290" s="10" t="str">
        <f t="shared" si="116"/>
        <v>bd.</v>
      </c>
      <c r="M290" s="10" t="str">
        <f t="shared" si="116"/>
        <v>bd.</v>
      </c>
      <c r="N290" s="10" t="str">
        <f t="shared" si="116"/>
        <v>bd.</v>
      </c>
      <c r="O290" s="10" t="str">
        <f t="shared" si="116"/>
        <v>bd.</v>
      </c>
      <c r="P290" s="10" t="str">
        <f t="shared" si="116"/>
        <v>bd.</v>
      </c>
      <c r="Q290" s="10" t="str">
        <f t="shared" si="116"/>
        <v>bd.</v>
      </c>
      <c r="R290" s="10" t="str">
        <f t="shared" si="116"/>
        <v>bd.</v>
      </c>
      <c r="S290" s="10" t="str">
        <f t="shared" si="116"/>
        <v>bd.</v>
      </c>
      <c r="T290" s="10" t="str">
        <f t="shared" si="116"/>
        <v>bd.</v>
      </c>
      <c r="U290" s="10" t="str">
        <f t="shared" si="116"/>
        <v>bd.</v>
      </c>
      <c r="V290" s="10" t="str">
        <f t="shared" si="116"/>
        <v>bd.</v>
      </c>
      <c r="W290" s="10" t="str">
        <f t="shared" si="116"/>
        <v>bd.</v>
      </c>
      <c r="X290" s="10" t="str">
        <f t="shared" si="116"/>
        <v>bd.</v>
      </c>
    </row>
    <row r="291" spans="2:24">
      <c r="B291" s="37" t="s">
        <v>646</v>
      </c>
      <c r="C291" s="52"/>
      <c r="D291" s="52"/>
      <c r="E291" s="52"/>
      <c r="F291" s="52"/>
      <c r="G291" s="52"/>
      <c r="H291" s="52"/>
      <c r="I291" s="52"/>
      <c r="J291" s="52"/>
      <c r="K291" s="10" t="str">
        <f t="shared" ref="K291:X291" ca="1" si="117">IFERROR(ROUND((K232/K164)*dni,0),"bd.")</f>
        <v>bd.</v>
      </c>
      <c r="L291" s="10" t="str">
        <f t="shared" ca="1" si="117"/>
        <v>bd.</v>
      </c>
      <c r="M291" s="10" t="str">
        <f t="shared" ca="1" si="117"/>
        <v>bd.</v>
      </c>
      <c r="N291" s="10" t="str">
        <f t="shared" ca="1" si="117"/>
        <v>bd.</v>
      </c>
      <c r="O291" s="10" t="str">
        <f t="shared" ca="1" si="117"/>
        <v>bd.</v>
      </c>
      <c r="P291" s="10" t="str">
        <f t="shared" ca="1" si="117"/>
        <v>bd.</v>
      </c>
      <c r="Q291" s="10" t="str">
        <f t="shared" ca="1" si="117"/>
        <v>bd.</v>
      </c>
      <c r="R291" s="10" t="str">
        <f t="shared" ca="1" si="117"/>
        <v>bd.</v>
      </c>
      <c r="S291" s="10" t="str">
        <f t="shared" ca="1" si="117"/>
        <v>bd.</v>
      </c>
      <c r="T291" s="10" t="str">
        <f t="shared" ca="1" si="117"/>
        <v>bd.</v>
      </c>
      <c r="U291" s="10" t="str">
        <f t="shared" ca="1" si="117"/>
        <v>bd.</v>
      </c>
      <c r="V291" s="10" t="str">
        <f t="shared" ca="1" si="117"/>
        <v>bd.</v>
      </c>
      <c r="W291" s="10" t="str">
        <f t="shared" ca="1" si="117"/>
        <v>bd.</v>
      </c>
      <c r="X291" s="10" t="str">
        <f t="shared" ca="1" si="117"/>
        <v>bd.</v>
      </c>
    </row>
    <row r="292" spans="2:24"/>
    <row r="293" spans="2:24">
      <c r="B293" s="29" t="s">
        <v>647</v>
      </c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2:24">
      <c r="B294" s="94" t="s">
        <v>648</v>
      </c>
      <c r="C294" s="19" t="s">
        <v>649</v>
      </c>
      <c r="D294" s="19" t="s">
        <v>650</v>
      </c>
      <c r="E294" s="19"/>
      <c r="F294" s="19"/>
      <c r="G294" s="19"/>
      <c r="H294" s="19"/>
      <c r="I294" s="19"/>
      <c r="J294" s="19"/>
      <c r="K294" s="175" t="str">
        <f ca="1">IF(Założenia!$C$179=TRUE,"n/d",IFERROR(ROUND(K226/K220,1),"bd."))</f>
        <v>bd.</v>
      </c>
      <c r="L294" s="175" t="str">
        <f ca="1">IF(Założenia!$C$179=TRUE,"n/d",IFERROR(ROUND(L226/L220,1),"bd."))</f>
        <v>bd.</v>
      </c>
      <c r="M294" s="175" t="str">
        <f ca="1">IF(Założenia!$C$179=TRUE,"n/d",IFERROR(ROUND(M226/M220,1),"bd."))</f>
        <v>bd.</v>
      </c>
      <c r="N294" s="175" t="str">
        <f ca="1">IF(Założenia!$C$179=TRUE,"n/d",IFERROR(ROUND(N226/N220,1),"bd."))</f>
        <v>bd.</v>
      </c>
      <c r="O294" s="175" t="str">
        <f ca="1">IF(Założenia!$C$179=TRUE,"n/d",IFERROR(ROUND(O226/O220,1),"bd."))</f>
        <v>bd.</v>
      </c>
      <c r="P294" s="175" t="str">
        <f ca="1">IF(Założenia!$C$179=TRUE,"n/d",IFERROR(ROUND(P226/P220,1),"bd."))</f>
        <v>bd.</v>
      </c>
      <c r="Q294" s="175" t="str">
        <f ca="1">IF(Założenia!$C$179=TRUE,"n/d",IFERROR(ROUND(Q226/Q220,1),"bd."))</f>
        <v>bd.</v>
      </c>
      <c r="R294" s="175" t="str">
        <f ca="1">IF(Założenia!$C$179=TRUE,"n/d",IFERROR(ROUND(R226/R220,1),"bd."))</f>
        <v>bd.</v>
      </c>
      <c r="S294" s="175" t="str">
        <f ca="1">IF(Założenia!$C$179=TRUE,"n/d",IFERROR(ROUND(S226/S220,1),"bd."))</f>
        <v>bd.</v>
      </c>
      <c r="T294" s="175" t="str">
        <f ca="1">IF(Założenia!$C$179=TRUE,"n/d",IFERROR(ROUND(T226/T220,1),"bd."))</f>
        <v>bd.</v>
      </c>
      <c r="U294" s="175" t="str">
        <f ca="1">IF(Założenia!$C$179=TRUE,"n/d",IFERROR(ROUND(U226/U220,1),"bd."))</f>
        <v>bd.</v>
      </c>
      <c r="V294" s="175" t="str">
        <f ca="1">IF(Założenia!$C$179=TRUE,"n/d",IFERROR(ROUND(V226/V220,1),"bd."))</f>
        <v>bd.</v>
      </c>
      <c r="W294" s="175" t="str">
        <f ca="1">IF(Założenia!$C$179=TRUE,"n/d",IFERROR(ROUND(W226/W220,1),"bd."))</f>
        <v>bd.</v>
      </c>
      <c r="X294" s="175" t="str">
        <f ca="1">IF(Założenia!$C$179=TRUE,"n/d",IFERROR(ROUND(X226/X220,1),"bd."))</f>
        <v>bd.</v>
      </c>
    </row>
    <row r="295" spans="2:24">
      <c r="B295" s="37" t="s">
        <v>651</v>
      </c>
      <c r="C295" s="52" t="s">
        <v>652</v>
      </c>
      <c r="D295" s="52" t="s">
        <v>636</v>
      </c>
      <c r="E295" s="52"/>
      <c r="F295" s="52"/>
      <c r="G295" s="52"/>
      <c r="H295" s="52"/>
      <c r="I295" s="52"/>
      <c r="J295" s="52"/>
      <c r="K295" s="172" t="str">
        <f ca="1">IF(Założenia!$C$179=TRUE,"n/d",IFERROR(ROUND((K177+K165)/K180,1),"bd."))</f>
        <v>bd.</v>
      </c>
      <c r="L295" s="172" t="str">
        <f ca="1">IF(Założenia!$C$179=TRUE,"n/d",IFERROR(ROUND((L177+L165)/L180,1),"bd."))</f>
        <v>bd.</v>
      </c>
      <c r="M295" s="172" t="str">
        <f ca="1">IF(Założenia!$C$179=TRUE,"n/d",IFERROR(ROUND((M177+M165)/M180,1),"bd."))</f>
        <v>bd.</v>
      </c>
      <c r="N295" s="172" t="str">
        <f ca="1">IF(Założenia!$C$179=TRUE,"n/d",IFERROR(ROUND((N177+N165)/N180,1),"bd."))</f>
        <v>bd.</v>
      </c>
      <c r="O295" s="172" t="str">
        <f ca="1">IF(Założenia!$C$179=TRUE,"n/d",IFERROR(ROUND((O177+O165)/O180,1),"bd."))</f>
        <v>bd.</v>
      </c>
      <c r="P295" s="172" t="str">
        <f ca="1">IF(Założenia!$C$179=TRUE,"n/d",IFERROR(ROUND((P177+P165)/P180,1),"bd."))</f>
        <v>bd.</v>
      </c>
      <c r="Q295" s="172" t="str">
        <f ca="1">IF(Założenia!$C$179=TRUE,"n/d",IFERROR(ROUND((Q177+Q165)/Q180,1),"bd."))</f>
        <v>bd.</v>
      </c>
      <c r="R295" s="172" t="str">
        <f ca="1">IF(Założenia!$C$179=TRUE,"n/d",IFERROR(ROUND((R177+R165)/R180,1),"bd."))</f>
        <v>bd.</v>
      </c>
      <c r="S295" s="172" t="str">
        <f ca="1">IF(Założenia!$C$179=TRUE,"n/d",IFERROR(ROUND((S177+S165)/S180,1),"bd."))</f>
        <v>bd.</v>
      </c>
      <c r="T295" s="172" t="str">
        <f ca="1">IF(Założenia!$C$179=TRUE,"n/d",IFERROR(ROUND((T177+T165)/T180,1),"bd."))</f>
        <v>bd.</v>
      </c>
      <c r="U295" s="172" t="str">
        <f ca="1">IF(Założenia!$C$179=TRUE,"n/d",IFERROR(ROUND((U177+U165)/U180,1),"bd."))</f>
        <v>bd.</v>
      </c>
      <c r="V295" s="172" t="str">
        <f ca="1">IF(Założenia!$C$179=TRUE,"n/d",IFERROR(ROUND((V177+V165)/V180,1),"bd."))</f>
        <v>bd.</v>
      </c>
      <c r="W295" s="172" t="str">
        <f ca="1">IF(Założenia!$C$179=TRUE,"n/d",IFERROR(ROUND((W177+W165)/W180,1),"bd."))</f>
        <v>bd.</v>
      </c>
      <c r="X295" s="172" t="str">
        <f ca="1">IF(Założenia!$C$179=TRUE,"n/d",IFERROR(ROUND((X177+X165)/X180,1),"bd."))</f>
        <v>bd.</v>
      </c>
    </row>
    <row r="296" spans="2:24"/>
    <row r="297" spans="2:24"/>
    <row r="298" spans="2:24"/>
    <row r="299" spans="2:24"/>
    <row r="300" spans="2:24" ht="14.4">
      <c r="B300" s="34" t="s">
        <v>486</v>
      </c>
      <c r="C300" s="43"/>
      <c r="D300" s="43"/>
      <c r="E300" s="43"/>
      <c r="F300" s="43"/>
      <c r="G300" s="34">
        <f t="shared" ref="G300:X300" ca="1" si="118">LataProjekcji</f>
        <v>0</v>
      </c>
      <c r="H300" s="34">
        <f t="shared" ca="1" si="118"/>
        <v>0</v>
      </c>
      <c r="I300" s="34">
        <f t="shared" ca="1" si="118"/>
        <v>0</v>
      </c>
      <c r="J300" s="45" t="str">
        <f t="shared" si="118"/>
        <v/>
      </c>
      <c r="K300" s="34" t="str">
        <f t="shared" si="118"/>
        <v>Uzupełnij dane</v>
      </c>
      <c r="L300" s="34" t="str">
        <f t="shared" si="118"/>
        <v/>
      </c>
      <c r="M300" s="34" t="str">
        <f t="shared" si="118"/>
        <v/>
      </c>
      <c r="N300" s="34" t="str">
        <f t="shared" si="118"/>
        <v/>
      </c>
      <c r="O300" s="34" t="str">
        <f t="shared" si="118"/>
        <v/>
      </c>
      <c r="P300" s="34" t="str">
        <f t="shared" si="118"/>
        <v/>
      </c>
      <c r="Q300" s="34" t="str">
        <f t="shared" si="118"/>
        <v/>
      </c>
      <c r="R300" s="34" t="str">
        <f t="shared" si="118"/>
        <v/>
      </c>
      <c r="S300" s="34" t="str">
        <f t="shared" si="118"/>
        <v/>
      </c>
      <c r="T300" s="34" t="str">
        <f t="shared" si="118"/>
        <v/>
      </c>
      <c r="U300" s="34" t="str">
        <f t="shared" si="118"/>
        <v/>
      </c>
      <c r="V300" s="34" t="str">
        <f t="shared" si="118"/>
        <v/>
      </c>
      <c r="W300" s="34" t="str">
        <f t="shared" si="118"/>
        <v/>
      </c>
      <c r="X300" s="34" t="str">
        <f t="shared" si="118"/>
        <v/>
      </c>
    </row>
    <row r="301" spans="2:24"/>
    <row r="302" spans="2:24" ht="14.4">
      <c r="B302" s="153" t="s">
        <v>517</v>
      </c>
    </row>
    <row r="303" spans="2:24">
      <c r="B303" s="96" t="s">
        <v>518</v>
      </c>
      <c r="C303" s="97" t="s">
        <v>519</v>
      </c>
      <c r="D303" s="97"/>
      <c r="E303" s="97"/>
      <c r="F303" s="97"/>
      <c r="G303" s="98">
        <f>SUM(G304:G307)</f>
        <v>0</v>
      </c>
      <c r="H303" s="98">
        <f t="shared" ref="H303:X303" si="119">SUM(H304:H307)</f>
        <v>0</v>
      </c>
      <c r="I303" s="98">
        <f t="shared" si="119"/>
        <v>0</v>
      </c>
      <c r="J303" s="98">
        <f t="shared" si="119"/>
        <v>0</v>
      </c>
      <c r="K303" s="98">
        <f t="shared" si="119"/>
        <v>0</v>
      </c>
      <c r="L303" s="98">
        <f t="shared" si="119"/>
        <v>0</v>
      </c>
      <c r="M303" s="98">
        <f t="shared" si="119"/>
        <v>0</v>
      </c>
      <c r="N303" s="98">
        <f t="shared" si="119"/>
        <v>0</v>
      </c>
      <c r="O303" s="98">
        <f t="shared" si="119"/>
        <v>0</v>
      </c>
      <c r="P303" s="98">
        <f t="shared" si="119"/>
        <v>0</v>
      </c>
      <c r="Q303" s="98">
        <f t="shared" si="119"/>
        <v>0</v>
      </c>
      <c r="R303" s="98">
        <f t="shared" si="119"/>
        <v>0</v>
      </c>
      <c r="S303" s="98">
        <f t="shared" si="119"/>
        <v>0</v>
      </c>
      <c r="T303" s="98">
        <f t="shared" si="119"/>
        <v>0</v>
      </c>
      <c r="U303" s="98">
        <f t="shared" si="119"/>
        <v>0</v>
      </c>
      <c r="V303" s="98">
        <f t="shared" si="119"/>
        <v>0</v>
      </c>
      <c r="W303" s="98">
        <f t="shared" si="119"/>
        <v>0</v>
      </c>
      <c r="X303" s="98">
        <f t="shared" si="119"/>
        <v>0</v>
      </c>
    </row>
    <row r="304" spans="2:24">
      <c r="B304" s="94" t="s">
        <v>520</v>
      </c>
      <c r="C304" s="19"/>
      <c r="D304" s="19"/>
      <c r="E304" s="19"/>
      <c r="F304" s="19"/>
      <c r="G304" s="95">
        <f t="shared" ref="G304:X304" si="120">G16+G160</f>
        <v>0</v>
      </c>
      <c r="H304" s="95">
        <f t="shared" si="120"/>
        <v>0</v>
      </c>
      <c r="I304" s="95">
        <f t="shared" si="120"/>
        <v>0</v>
      </c>
      <c r="J304" s="95">
        <f t="shared" si="120"/>
        <v>0</v>
      </c>
      <c r="K304" s="95">
        <f t="shared" si="120"/>
        <v>0</v>
      </c>
      <c r="L304" s="95">
        <f t="shared" si="120"/>
        <v>0</v>
      </c>
      <c r="M304" s="95">
        <f t="shared" si="120"/>
        <v>0</v>
      </c>
      <c r="N304" s="95">
        <f t="shared" si="120"/>
        <v>0</v>
      </c>
      <c r="O304" s="95">
        <f t="shared" si="120"/>
        <v>0</v>
      </c>
      <c r="P304" s="95">
        <f t="shared" si="120"/>
        <v>0</v>
      </c>
      <c r="Q304" s="95">
        <f t="shared" si="120"/>
        <v>0</v>
      </c>
      <c r="R304" s="95">
        <f t="shared" si="120"/>
        <v>0</v>
      </c>
      <c r="S304" s="95">
        <f t="shared" si="120"/>
        <v>0</v>
      </c>
      <c r="T304" s="95">
        <f t="shared" si="120"/>
        <v>0</v>
      </c>
      <c r="U304" s="95">
        <f t="shared" si="120"/>
        <v>0</v>
      </c>
      <c r="V304" s="95">
        <f t="shared" si="120"/>
        <v>0</v>
      </c>
      <c r="W304" s="95">
        <f t="shared" si="120"/>
        <v>0</v>
      </c>
      <c r="X304" s="95">
        <f t="shared" si="120"/>
        <v>0</v>
      </c>
    </row>
    <row r="305" spans="2:24">
      <c r="B305" s="37" t="s">
        <v>521</v>
      </c>
      <c r="C305" s="52"/>
      <c r="D305" s="52"/>
      <c r="E305" s="52"/>
      <c r="F305" s="52"/>
      <c r="G305" s="33">
        <f t="shared" ref="G305:X305" si="121">G17+G161</f>
        <v>0</v>
      </c>
      <c r="H305" s="33">
        <f t="shared" si="121"/>
        <v>0</v>
      </c>
      <c r="I305" s="33">
        <f t="shared" si="121"/>
        <v>0</v>
      </c>
      <c r="J305" s="33">
        <f t="shared" si="121"/>
        <v>0</v>
      </c>
      <c r="K305" s="33">
        <f t="shared" si="121"/>
        <v>0</v>
      </c>
      <c r="L305" s="33">
        <f t="shared" si="121"/>
        <v>0</v>
      </c>
      <c r="M305" s="33">
        <f t="shared" si="121"/>
        <v>0</v>
      </c>
      <c r="N305" s="33">
        <f t="shared" si="121"/>
        <v>0</v>
      </c>
      <c r="O305" s="33">
        <f t="shared" si="121"/>
        <v>0</v>
      </c>
      <c r="P305" s="33">
        <f t="shared" si="121"/>
        <v>0</v>
      </c>
      <c r="Q305" s="33">
        <f t="shared" si="121"/>
        <v>0</v>
      </c>
      <c r="R305" s="33">
        <f t="shared" si="121"/>
        <v>0</v>
      </c>
      <c r="S305" s="33">
        <f t="shared" si="121"/>
        <v>0</v>
      </c>
      <c r="T305" s="33">
        <f t="shared" si="121"/>
        <v>0</v>
      </c>
      <c r="U305" s="33">
        <f t="shared" si="121"/>
        <v>0</v>
      </c>
      <c r="V305" s="33">
        <f t="shared" si="121"/>
        <v>0</v>
      </c>
      <c r="W305" s="5">
        <f t="shared" si="121"/>
        <v>0</v>
      </c>
      <c r="X305" s="5">
        <f t="shared" si="121"/>
        <v>0</v>
      </c>
    </row>
    <row r="306" spans="2:24">
      <c r="B306" s="8" t="s">
        <v>522</v>
      </c>
      <c r="G306" s="5">
        <f t="shared" ref="G306:X306" si="122">G18+G162</f>
        <v>0</v>
      </c>
      <c r="H306" s="5">
        <f t="shared" si="122"/>
        <v>0</v>
      </c>
      <c r="I306" s="5">
        <f t="shared" si="122"/>
        <v>0</v>
      </c>
      <c r="J306" s="5">
        <f t="shared" si="122"/>
        <v>0</v>
      </c>
      <c r="K306" s="5">
        <f t="shared" si="122"/>
        <v>0</v>
      </c>
      <c r="L306" s="5">
        <f t="shared" si="122"/>
        <v>0</v>
      </c>
      <c r="M306" s="5">
        <f t="shared" si="122"/>
        <v>0</v>
      </c>
      <c r="N306" s="5">
        <f t="shared" si="122"/>
        <v>0</v>
      </c>
      <c r="O306" s="5">
        <f t="shared" si="122"/>
        <v>0</v>
      </c>
      <c r="P306" s="5">
        <f t="shared" si="122"/>
        <v>0</v>
      </c>
      <c r="Q306" s="5">
        <f t="shared" si="122"/>
        <v>0</v>
      </c>
      <c r="R306" s="5">
        <f t="shared" si="122"/>
        <v>0</v>
      </c>
      <c r="S306" s="5">
        <f t="shared" si="122"/>
        <v>0</v>
      </c>
      <c r="T306" s="5">
        <f t="shared" si="122"/>
        <v>0</v>
      </c>
      <c r="U306" s="5">
        <f t="shared" si="122"/>
        <v>0</v>
      </c>
      <c r="V306" s="5">
        <f t="shared" si="122"/>
        <v>0</v>
      </c>
      <c r="W306" s="5">
        <f t="shared" si="122"/>
        <v>0</v>
      </c>
      <c r="X306" s="5">
        <f t="shared" si="122"/>
        <v>0</v>
      </c>
    </row>
    <row r="307" spans="2:24">
      <c r="B307" s="89" t="s">
        <v>523</v>
      </c>
      <c r="C307" s="90"/>
      <c r="D307" s="90"/>
      <c r="E307" s="90"/>
      <c r="F307" s="90"/>
      <c r="G307" s="91">
        <f t="shared" ref="G307:X307" si="123">G19+G163</f>
        <v>0</v>
      </c>
      <c r="H307" s="91">
        <f t="shared" si="123"/>
        <v>0</v>
      </c>
      <c r="I307" s="91">
        <f t="shared" si="123"/>
        <v>0</v>
      </c>
      <c r="J307" s="91">
        <f t="shared" si="123"/>
        <v>0</v>
      </c>
      <c r="K307" s="91">
        <f t="shared" si="123"/>
        <v>0</v>
      </c>
      <c r="L307" s="91">
        <f t="shared" si="123"/>
        <v>0</v>
      </c>
      <c r="M307" s="91">
        <f t="shared" si="123"/>
        <v>0</v>
      </c>
      <c r="N307" s="91">
        <f t="shared" si="123"/>
        <v>0</v>
      </c>
      <c r="O307" s="91">
        <f t="shared" si="123"/>
        <v>0</v>
      </c>
      <c r="P307" s="91">
        <f t="shared" si="123"/>
        <v>0</v>
      </c>
      <c r="Q307" s="91">
        <f t="shared" si="123"/>
        <v>0</v>
      </c>
      <c r="R307" s="91">
        <f t="shared" si="123"/>
        <v>0</v>
      </c>
      <c r="S307" s="91">
        <f t="shared" si="123"/>
        <v>0</v>
      </c>
      <c r="T307" s="91">
        <f t="shared" si="123"/>
        <v>0</v>
      </c>
      <c r="U307" s="91">
        <f t="shared" si="123"/>
        <v>0</v>
      </c>
      <c r="V307" s="91">
        <f t="shared" si="123"/>
        <v>0</v>
      </c>
      <c r="W307" s="91">
        <f t="shared" si="123"/>
        <v>0</v>
      </c>
      <c r="X307" s="91">
        <f t="shared" si="123"/>
        <v>0</v>
      </c>
    </row>
    <row r="308" spans="2:24">
      <c r="B308" s="99" t="s">
        <v>226</v>
      </c>
      <c r="C308" s="97" t="s">
        <v>524</v>
      </c>
      <c r="D308" s="97"/>
      <c r="E308" s="97"/>
      <c r="F308" s="97"/>
      <c r="G308" s="98">
        <f>SUM(G309:G316)</f>
        <v>0</v>
      </c>
      <c r="H308" s="98">
        <f>SUM(H309:H316)</f>
        <v>0</v>
      </c>
      <c r="I308" s="98">
        <f>SUM(I309:I316)</f>
        <v>0</v>
      </c>
      <c r="J308" s="98">
        <f>SUM(J309:J316)</f>
        <v>0</v>
      </c>
      <c r="K308" s="98">
        <f ca="1">SUM(K309:K316)</f>
        <v>0</v>
      </c>
      <c r="L308" s="98">
        <f t="shared" ref="L308:X308" ca="1" si="124">SUM(L309:L316)</f>
        <v>0</v>
      </c>
      <c r="M308" s="98">
        <f t="shared" ca="1" si="124"/>
        <v>0</v>
      </c>
      <c r="N308" s="98">
        <f t="shared" ca="1" si="124"/>
        <v>0</v>
      </c>
      <c r="O308" s="98">
        <f t="shared" ca="1" si="124"/>
        <v>0</v>
      </c>
      <c r="P308" s="98">
        <f t="shared" ca="1" si="124"/>
        <v>0</v>
      </c>
      <c r="Q308" s="98">
        <f t="shared" ca="1" si="124"/>
        <v>0</v>
      </c>
      <c r="R308" s="98">
        <f t="shared" ca="1" si="124"/>
        <v>0</v>
      </c>
      <c r="S308" s="98">
        <f t="shared" ca="1" si="124"/>
        <v>0</v>
      </c>
      <c r="T308" s="98">
        <f t="shared" ca="1" si="124"/>
        <v>0</v>
      </c>
      <c r="U308" s="98">
        <f t="shared" ca="1" si="124"/>
        <v>0</v>
      </c>
      <c r="V308" s="98">
        <f t="shared" ca="1" si="124"/>
        <v>0</v>
      </c>
      <c r="W308" s="98">
        <f t="shared" ca="1" si="124"/>
        <v>0</v>
      </c>
      <c r="X308" s="98">
        <f t="shared" ca="1" si="124"/>
        <v>0</v>
      </c>
    </row>
    <row r="309" spans="2:24">
      <c r="B309" s="94" t="s">
        <v>525</v>
      </c>
      <c r="C309" s="19" t="s">
        <v>526</v>
      </c>
      <c r="D309" s="19"/>
      <c r="E309" s="19"/>
      <c r="F309" s="19"/>
      <c r="G309" s="95">
        <f t="shared" ref="G309:X309" si="125">G21+G165</f>
        <v>0</v>
      </c>
      <c r="H309" s="95">
        <f t="shared" si="125"/>
        <v>0</v>
      </c>
      <c r="I309" s="95">
        <f t="shared" si="125"/>
        <v>0</v>
      </c>
      <c r="J309" s="95">
        <f t="shared" si="125"/>
        <v>0</v>
      </c>
      <c r="K309" s="95">
        <f t="shared" ca="1" si="125"/>
        <v>0</v>
      </c>
      <c r="L309" s="95">
        <f t="shared" ca="1" si="125"/>
        <v>0</v>
      </c>
      <c r="M309" s="95">
        <f t="shared" ca="1" si="125"/>
        <v>0</v>
      </c>
      <c r="N309" s="95">
        <f t="shared" ca="1" si="125"/>
        <v>0</v>
      </c>
      <c r="O309" s="95">
        <f t="shared" ca="1" si="125"/>
        <v>0</v>
      </c>
      <c r="P309" s="95">
        <f t="shared" ca="1" si="125"/>
        <v>0</v>
      </c>
      <c r="Q309" s="95">
        <f t="shared" ca="1" si="125"/>
        <v>0</v>
      </c>
      <c r="R309" s="95">
        <f t="shared" ca="1" si="125"/>
        <v>0</v>
      </c>
      <c r="S309" s="95">
        <f t="shared" ca="1" si="125"/>
        <v>0</v>
      </c>
      <c r="T309" s="95">
        <f t="shared" ca="1" si="125"/>
        <v>0</v>
      </c>
      <c r="U309" s="95">
        <f t="shared" ca="1" si="125"/>
        <v>0</v>
      </c>
      <c r="V309" s="95">
        <f t="shared" ca="1" si="125"/>
        <v>0</v>
      </c>
      <c r="W309" s="95">
        <f t="shared" ca="1" si="125"/>
        <v>0</v>
      </c>
      <c r="X309" s="95">
        <f t="shared" ca="1" si="125"/>
        <v>0</v>
      </c>
    </row>
    <row r="310" spans="2:24">
      <c r="B310" s="52" t="s">
        <v>527</v>
      </c>
      <c r="C310" s="52"/>
      <c r="D310" s="52"/>
      <c r="E310" s="52"/>
      <c r="F310" s="52"/>
      <c r="G310" s="33">
        <f t="shared" ref="G310:X310" si="126">G22+G166</f>
        <v>0</v>
      </c>
      <c r="H310" s="33">
        <f t="shared" si="126"/>
        <v>0</v>
      </c>
      <c r="I310" s="33">
        <f t="shared" si="126"/>
        <v>0</v>
      </c>
      <c r="J310" s="33">
        <f t="shared" si="126"/>
        <v>0</v>
      </c>
      <c r="K310" s="33">
        <f t="shared" si="126"/>
        <v>0</v>
      </c>
      <c r="L310" s="33">
        <f t="shared" si="126"/>
        <v>0</v>
      </c>
      <c r="M310" s="33">
        <f t="shared" si="126"/>
        <v>0</v>
      </c>
      <c r="N310" s="33">
        <f t="shared" si="126"/>
        <v>0</v>
      </c>
      <c r="O310" s="33">
        <f t="shared" si="126"/>
        <v>0</v>
      </c>
      <c r="P310" s="33">
        <f t="shared" si="126"/>
        <v>0</v>
      </c>
      <c r="Q310" s="33">
        <f t="shared" si="126"/>
        <v>0</v>
      </c>
      <c r="R310" s="33">
        <f t="shared" si="126"/>
        <v>0</v>
      </c>
      <c r="S310" s="33">
        <f t="shared" si="126"/>
        <v>0</v>
      </c>
      <c r="T310" s="33">
        <f t="shared" si="126"/>
        <v>0</v>
      </c>
      <c r="U310" s="33">
        <f t="shared" si="126"/>
        <v>0</v>
      </c>
      <c r="V310" s="33">
        <f t="shared" si="126"/>
        <v>0</v>
      </c>
      <c r="W310" s="33">
        <f t="shared" si="126"/>
        <v>0</v>
      </c>
      <c r="X310" s="33">
        <f t="shared" si="126"/>
        <v>0</v>
      </c>
    </row>
    <row r="311" spans="2:24">
      <c r="B311" s="37" t="s">
        <v>528</v>
      </c>
      <c r="C311" s="52"/>
      <c r="D311" s="52"/>
      <c r="E311" s="52"/>
      <c r="F311" s="52"/>
      <c r="G311" s="33">
        <f t="shared" ref="G311:X311" si="127">G23+G167</f>
        <v>0</v>
      </c>
      <c r="H311" s="33">
        <f t="shared" si="127"/>
        <v>0</v>
      </c>
      <c r="I311" s="33">
        <f t="shared" si="127"/>
        <v>0</v>
      </c>
      <c r="J311" s="33">
        <f t="shared" si="127"/>
        <v>0</v>
      </c>
      <c r="K311" s="33">
        <f t="shared" si="127"/>
        <v>0</v>
      </c>
      <c r="L311" s="33">
        <f t="shared" si="127"/>
        <v>0</v>
      </c>
      <c r="M311" s="33">
        <f t="shared" si="127"/>
        <v>0</v>
      </c>
      <c r="N311" s="33">
        <f t="shared" si="127"/>
        <v>0</v>
      </c>
      <c r="O311" s="33">
        <f t="shared" si="127"/>
        <v>0</v>
      </c>
      <c r="P311" s="33">
        <f t="shared" si="127"/>
        <v>0</v>
      </c>
      <c r="Q311" s="33">
        <f t="shared" si="127"/>
        <v>0</v>
      </c>
      <c r="R311" s="33">
        <f t="shared" si="127"/>
        <v>0</v>
      </c>
      <c r="S311" s="33">
        <f t="shared" si="127"/>
        <v>0</v>
      </c>
      <c r="T311" s="33">
        <f t="shared" si="127"/>
        <v>0</v>
      </c>
      <c r="U311" s="33">
        <f t="shared" si="127"/>
        <v>0</v>
      </c>
      <c r="V311" s="33">
        <f t="shared" si="127"/>
        <v>0</v>
      </c>
      <c r="W311" s="33">
        <f t="shared" si="127"/>
        <v>0</v>
      </c>
      <c r="X311" s="33">
        <f t="shared" si="127"/>
        <v>0</v>
      </c>
    </row>
    <row r="312" spans="2:24">
      <c r="B312" s="37" t="s">
        <v>529</v>
      </c>
      <c r="C312" s="52"/>
      <c r="D312" s="52"/>
      <c r="E312" s="52"/>
      <c r="F312" s="52"/>
      <c r="G312" s="33">
        <f t="shared" ref="G312:X312" si="128">G24+G168</f>
        <v>0</v>
      </c>
      <c r="H312" s="33">
        <f t="shared" si="128"/>
        <v>0</v>
      </c>
      <c r="I312" s="33">
        <f t="shared" si="128"/>
        <v>0</v>
      </c>
      <c r="J312" s="33">
        <f t="shared" si="128"/>
        <v>0</v>
      </c>
      <c r="K312" s="33">
        <f t="shared" si="128"/>
        <v>0</v>
      </c>
      <c r="L312" s="33">
        <f t="shared" si="128"/>
        <v>0</v>
      </c>
      <c r="M312" s="33">
        <f t="shared" si="128"/>
        <v>0</v>
      </c>
      <c r="N312" s="33">
        <f t="shared" si="128"/>
        <v>0</v>
      </c>
      <c r="O312" s="33">
        <f t="shared" si="128"/>
        <v>0</v>
      </c>
      <c r="P312" s="33">
        <f t="shared" si="128"/>
        <v>0</v>
      </c>
      <c r="Q312" s="33">
        <f t="shared" si="128"/>
        <v>0</v>
      </c>
      <c r="R312" s="33">
        <f t="shared" si="128"/>
        <v>0</v>
      </c>
      <c r="S312" s="33">
        <f t="shared" si="128"/>
        <v>0</v>
      </c>
      <c r="T312" s="33">
        <f t="shared" si="128"/>
        <v>0</v>
      </c>
      <c r="U312" s="33">
        <f t="shared" si="128"/>
        <v>0</v>
      </c>
      <c r="V312" s="33">
        <f t="shared" si="128"/>
        <v>0</v>
      </c>
      <c r="W312" s="33">
        <f t="shared" si="128"/>
        <v>0</v>
      </c>
      <c r="X312" s="33">
        <f t="shared" si="128"/>
        <v>0</v>
      </c>
    </row>
    <row r="313" spans="2:24">
      <c r="B313" s="37" t="s">
        <v>530</v>
      </c>
      <c r="C313" s="52"/>
      <c r="D313" s="52"/>
      <c r="E313" s="52"/>
      <c r="F313" s="52"/>
      <c r="G313" s="33">
        <f t="shared" ref="G313:X313" si="129">G25+G169</f>
        <v>0</v>
      </c>
      <c r="H313" s="33">
        <f t="shared" si="129"/>
        <v>0</v>
      </c>
      <c r="I313" s="33">
        <f t="shared" si="129"/>
        <v>0</v>
      </c>
      <c r="J313" s="33">
        <f t="shared" si="129"/>
        <v>0</v>
      </c>
      <c r="K313" s="33">
        <f t="shared" si="129"/>
        <v>0</v>
      </c>
      <c r="L313" s="33">
        <f t="shared" si="129"/>
        <v>0</v>
      </c>
      <c r="M313" s="33">
        <f t="shared" si="129"/>
        <v>0</v>
      </c>
      <c r="N313" s="33">
        <f t="shared" si="129"/>
        <v>0</v>
      </c>
      <c r="O313" s="33">
        <f t="shared" si="129"/>
        <v>0</v>
      </c>
      <c r="P313" s="33">
        <f t="shared" si="129"/>
        <v>0</v>
      </c>
      <c r="Q313" s="33">
        <f t="shared" si="129"/>
        <v>0</v>
      </c>
      <c r="R313" s="33">
        <f t="shared" si="129"/>
        <v>0</v>
      </c>
      <c r="S313" s="33">
        <f t="shared" si="129"/>
        <v>0</v>
      </c>
      <c r="T313" s="33">
        <f t="shared" si="129"/>
        <v>0</v>
      </c>
      <c r="U313" s="33">
        <f t="shared" si="129"/>
        <v>0</v>
      </c>
      <c r="V313" s="33">
        <f t="shared" si="129"/>
        <v>0</v>
      </c>
      <c r="W313" s="33">
        <f t="shared" si="129"/>
        <v>0</v>
      </c>
      <c r="X313" s="33">
        <f t="shared" si="129"/>
        <v>0</v>
      </c>
    </row>
    <row r="314" spans="2:24">
      <c r="B314" s="37" t="s">
        <v>531</v>
      </c>
      <c r="C314" s="52"/>
      <c r="D314" s="52"/>
      <c r="E314" s="52"/>
      <c r="F314" s="52"/>
      <c r="G314" s="33">
        <f t="shared" ref="G314:X314" si="130">G26+G170</f>
        <v>0</v>
      </c>
      <c r="H314" s="33">
        <f t="shared" si="130"/>
        <v>0</v>
      </c>
      <c r="I314" s="33">
        <f t="shared" si="130"/>
        <v>0</v>
      </c>
      <c r="J314" s="33">
        <f t="shared" si="130"/>
        <v>0</v>
      </c>
      <c r="K314" s="33">
        <f t="shared" si="130"/>
        <v>0</v>
      </c>
      <c r="L314" s="33">
        <f t="shared" si="130"/>
        <v>0</v>
      </c>
      <c r="M314" s="33">
        <f t="shared" si="130"/>
        <v>0</v>
      </c>
      <c r="N314" s="33">
        <f t="shared" si="130"/>
        <v>0</v>
      </c>
      <c r="O314" s="33">
        <f t="shared" si="130"/>
        <v>0</v>
      </c>
      <c r="P314" s="33">
        <f t="shared" si="130"/>
        <v>0</v>
      </c>
      <c r="Q314" s="33">
        <f t="shared" si="130"/>
        <v>0</v>
      </c>
      <c r="R314" s="33">
        <f t="shared" si="130"/>
        <v>0</v>
      </c>
      <c r="S314" s="33">
        <f t="shared" si="130"/>
        <v>0</v>
      </c>
      <c r="T314" s="33">
        <f t="shared" si="130"/>
        <v>0</v>
      </c>
      <c r="U314" s="33">
        <f t="shared" si="130"/>
        <v>0</v>
      </c>
      <c r="V314" s="33">
        <f t="shared" si="130"/>
        <v>0</v>
      </c>
      <c r="W314" s="33">
        <f t="shared" si="130"/>
        <v>0</v>
      </c>
      <c r="X314" s="33">
        <f t="shared" si="130"/>
        <v>0</v>
      </c>
    </row>
    <row r="315" spans="2:24">
      <c r="B315" s="37" t="s">
        <v>532</v>
      </c>
      <c r="C315" s="52"/>
      <c r="D315" s="52"/>
      <c r="E315" s="52"/>
      <c r="F315" s="52"/>
      <c r="G315" s="33">
        <f t="shared" ref="G315:X315" si="131">G27+G171</f>
        <v>0</v>
      </c>
      <c r="H315" s="33">
        <f t="shared" si="131"/>
        <v>0</v>
      </c>
      <c r="I315" s="33">
        <f t="shared" si="131"/>
        <v>0</v>
      </c>
      <c r="J315" s="33">
        <f t="shared" si="131"/>
        <v>0</v>
      </c>
      <c r="K315" s="33">
        <f t="shared" si="131"/>
        <v>0</v>
      </c>
      <c r="L315" s="33">
        <f t="shared" si="131"/>
        <v>0</v>
      </c>
      <c r="M315" s="33">
        <f t="shared" si="131"/>
        <v>0</v>
      </c>
      <c r="N315" s="33">
        <f t="shared" si="131"/>
        <v>0</v>
      </c>
      <c r="O315" s="33">
        <f t="shared" si="131"/>
        <v>0</v>
      </c>
      <c r="P315" s="33">
        <f t="shared" si="131"/>
        <v>0</v>
      </c>
      <c r="Q315" s="33">
        <f t="shared" si="131"/>
        <v>0</v>
      </c>
      <c r="R315" s="33">
        <f t="shared" si="131"/>
        <v>0</v>
      </c>
      <c r="S315" s="33">
        <f t="shared" si="131"/>
        <v>0</v>
      </c>
      <c r="T315" s="33">
        <f t="shared" si="131"/>
        <v>0</v>
      </c>
      <c r="U315" s="33">
        <f t="shared" si="131"/>
        <v>0</v>
      </c>
      <c r="V315" s="33">
        <f t="shared" si="131"/>
        <v>0</v>
      </c>
      <c r="W315" s="33">
        <f t="shared" si="131"/>
        <v>0</v>
      </c>
      <c r="X315" s="33">
        <f t="shared" si="131"/>
        <v>0</v>
      </c>
    </row>
    <row r="316" spans="2:24">
      <c r="B316" s="89" t="s">
        <v>533</v>
      </c>
      <c r="C316" s="90"/>
      <c r="D316" s="90"/>
      <c r="E316" s="90"/>
      <c r="F316" s="90"/>
      <c r="G316" s="91">
        <f t="shared" ref="G316:X316" si="132">G28+G172</f>
        <v>0</v>
      </c>
      <c r="H316" s="91">
        <f t="shared" si="132"/>
        <v>0</v>
      </c>
      <c r="I316" s="91">
        <f t="shared" si="132"/>
        <v>0</v>
      </c>
      <c r="J316" s="91">
        <f t="shared" si="132"/>
        <v>0</v>
      </c>
      <c r="K316" s="91">
        <f t="shared" si="132"/>
        <v>0</v>
      </c>
      <c r="L316" s="91">
        <f t="shared" si="132"/>
        <v>0</v>
      </c>
      <c r="M316" s="91">
        <f t="shared" si="132"/>
        <v>0</v>
      </c>
      <c r="N316" s="91">
        <f t="shared" si="132"/>
        <v>0</v>
      </c>
      <c r="O316" s="91">
        <f t="shared" si="132"/>
        <v>0</v>
      </c>
      <c r="P316" s="91">
        <f t="shared" si="132"/>
        <v>0</v>
      </c>
      <c r="Q316" s="91">
        <f t="shared" si="132"/>
        <v>0</v>
      </c>
      <c r="R316" s="91">
        <f t="shared" si="132"/>
        <v>0</v>
      </c>
      <c r="S316" s="91">
        <f t="shared" si="132"/>
        <v>0</v>
      </c>
      <c r="T316" s="91">
        <f t="shared" si="132"/>
        <v>0</v>
      </c>
      <c r="U316" s="91">
        <f t="shared" si="132"/>
        <v>0</v>
      </c>
      <c r="V316" s="91">
        <f t="shared" si="132"/>
        <v>0</v>
      </c>
      <c r="W316" s="91">
        <f t="shared" si="132"/>
        <v>0</v>
      </c>
      <c r="X316" s="91">
        <f t="shared" si="132"/>
        <v>0</v>
      </c>
    </row>
    <row r="317" spans="2:24">
      <c r="B317" s="99" t="s">
        <v>534</v>
      </c>
      <c r="C317" s="97"/>
      <c r="D317" s="97"/>
      <c r="E317" s="97"/>
      <c r="F317" s="97"/>
      <c r="G317" s="98">
        <f>G303-G308</f>
        <v>0</v>
      </c>
      <c r="H317" s="98">
        <f>H303-H308</f>
        <v>0</v>
      </c>
      <c r="I317" s="98">
        <f>I303-I308</f>
        <v>0</v>
      </c>
      <c r="J317" s="98">
        <f>J303-J308</f>
        <v>0</v>
      </c>
      <c r="K317" s="98">
        <f ca="1">K303-K308</f>
        <v>0</v>
      </c>
      <c r="L317" s="98">
        <f t="shared" ref="L317:X317" ca="1" si="133">L303-L308</f>
        <v>0</v>
      </c>
      <c r="M317" s="98">
        <f t="shared" ca="1" si="133"/>
        <v>0</v>
      </c>
      <c r="N317" s="98">
        <f t="shared" ca="1" si="133"/>
        <v>0</v>
      </c>
      <c r="O317" s="98">
        <f t="shared" ca="1" si="133"/>
        <v>0</v>
      </c>
      <c r="P317" s="98">
        <f t="shared" ca="1" si="133"/>
        <v>0</v>
      </c>
      <c r="Q317" s="98">
        <f t="shared" ca="1" si="133"/>
        <v>0</v>
      </c>
      <c r="R317" s="98">
        <f t="shared" ca="1" si="133"/>
        <v>0</v>
      </c>
      <c r="S317" s="98">
        <f t="shared" ca="1" si="133"/>
        <v>0</v>
      </c>
      <c r="T317" s="98">
        <f t="shared" ca="1" si="133"/>
        <v>0</v>
      </c>
      <c r="U317" s="98">
        <f t="shared" ca="1" si="133"/>
        <v>0</v>
      </c>
      <c r="V317" s="98">
        <f t="shared" ca="1" si="133"/>
        <v>0</v>
      </c>
      <c r="W317" s="98">
        <f t="shared" ca="1" si="133"/>
        <v>0</v>
      </c>
      <c r="X317" s="98">
        <f t="shared" ca="1" si="133"/>
        <v>0</v>
      </c>
    </row>
    <row r="318" spans="2:24">
      <c r="B318" s="17" t="s">
        <v>237</v>
      </c>
      <c r="C318" s="19"/>
      <c r="D318" s="19"/>
      <c r="E318" s="19"/>
      <c r="F318" s="19"/>
      <c r="G318" s="18">
        <f t="shared" ref="G318:X318" si="134">G30+G174</f>
        <v>0</v>
      </c>
      <c r="H318" s="18">
        <f t="shared" si="134"/>
        <v>0</v>
      </c>
      <c r="I318" s="18">
        <f t="shared" si="134"/>
        <v>0</v>
      </c>
      <c r="J318" s="18">
        <f t="shared" si="134"/>
        <v>0</v>
      </c>
      <c r="K318" s="18">
        <f t="shared" ca="1" si="134"/>
        <v>0</v>
      </c>
      <c r="L318" s="18">
        <f t="shared" ca="1" si="134"/>
        <v>0</v>
      </c>
      <c r="M318" s="18">
        <f t="shared" ca="1" si="134"/>
        <v>0</v>
      </c>
      <c r="N318" s="18">
        <f t="shared" ca="1" si="134"/>
        <v>0</v>
      </c>
      <c r="O318" s="18">
        <f t="shared" ca="1" si="134"/>
        <v>0</v>
      </c>
      <c r="P318" s="18">
        <f t="shared" ca="1" si="134"/>
        <v>0</v>
      </c>
      <c r="Q318" s="18">
        <f t="shared" ca="1" si="134"/>
        <v>0</v>
      </c>
      <c r="R318" s="18">
        <f t="shared" ca="1" si="134"/>
        <v>0</v>
      </c>
      <c r="S318" s="18">
        <f t="shared" ca="1" si="134"/>
        <v>0</v>
      </c>
      <c r="T318" s="18">
        <f t="shared" ca="1" si="134"/>
        <v>0</v>
      </c>
      <c r="U318" s="18">
        <f t="shared" ca="1" si="134"/>
        <v>0</v>
      </c>
      <c r="V318" s="18">
        <f t="shared" ca="1" si="134"/>
        <v>0</v>
      </c>
      <c r="W318" s="18">
        <f t="shared" ca="1" si="134"/>
        <v>0</v>
      </c>
      <c r="X318" s="18">
        <f t="shared" ca="1" si="134"/>
        <v>0</v>
      </c>
    </row>
    <row r="319" spans="2:24">
      <c r="B319" s="37" t="s">
        <v>535</v>
      </c>
      <c r="C319" s="52"/>
      <c r="D319" s="52"/>
      <c r="E319" s="52"/>
      <c r="F319" s="52"/>
      <c r="G319" s="33">
        <f t="shared" ref="G319:X319" si="135">G31+G175</f>
        <v>0</v>
      </c>
      <c r="H319" s="33">
        <f t="shared" si="135"/>
        <v>0</v>
      </c>
      <c r="I319" s="33">
        <f t="shared" si="135"/>
        <v>0</v>
      </c>
      <c r="J319" s="33">
        <f t="shared" si="135"/>
        <v>0</v>
      </c>
      <c r="K319" s="33">
        <f t="shared" ca="1" si="135"/>
        <v>0</v>
      </c>
      <c r="L319" s="33">
        <f t="shared" ca="1" si="135"/>
        <v>0</v>
      </c>
      <c r="M319" s="33">
        <f t="shared" ca="1" si="135"/>
        <v>0</v>
      </c>
      <c r="N319" s="33">
        <f t="shared" ca="1" si="135"/>
        <v>0</v>
      </c>
      <c r="O319" s="33">
        <f t="shared" ca="1" si="135"/>
        <v>0</v>
      </c>
      <c r="P319" s="33">
        <f t="shared" ca="1" si="135"/>
        <v>0</v>
      </c>
      <c r="Q319" s="33">
        <f t="shared" ca="1" si="135"/>
        <v>0</v>
      </c>
      <c r="R319" s="33">
        <f t="shared" ca="1" si="135"/>
        <v>0</v>
      </c>
      <c r="S319" s="33">
        <f t="shared" ca="1" si="135"/>
        <v>0</v>
      </c>
      <c r="T319" s="33">
        <f t="shared" ca="1" si="135"/>
        <v>0</v>
      </c>
      <c r="U319" s="33">
        <f t="shared" ca="1" si="135"/>
        <v>0</v>
      </c>
      <c r="V319" s="33">
        <f t="shared" ca="1" si="135"/>
        <v>0</v>
      </c>
      <c r="W319" s="33">
        <f t="shared" ca="1" si="135"/>
        <v>0</v>
      </c>
      <c r="X319" s="33">
        <f t="shared" ca="1" si="135"/>
        <v>0</v>
      </c>
    </row>
    <row r="320" spans="2:24">
      <c r="B320" s="92" t="s">
        <v>241</v>
      </c>
      <c r="C320" s="90"/>
      <c r="D320" s="90"/>
      <c r="E320" s="90"/>
      <c r="F320" s="90"/>
      <c r="G320" s="93">
        <f t="shared" ref="G320:X320" si="136">G32+G176</f>
        <v>0</v>
      </c>
      <c r="H320" s="93">
        <f t="shared" si="136"/>
        <v>0</v>
      </c>
      <c r="I320" s="93">
        <f t="shared" si="136"/>
        <v>0</v>
      </c>
      <c r="J320" s="93">
        <f t="shared" si="136"/>
        <v>0</v>
      </c>
      <c r="K320" s="93">
        <f t="shared" si="136"/>
        <v>0</v>
      </c>
      <c r="L320" s="93">
        <f t="shared" si="136"/>
        <v>0</v>
      </c>
      <c r="M320" s="93">
        <f t="shared" si="136"/>
        <v>0</v>
      </c>
      <c r="N320" s="93">
        <f t="shared" si="136"/>
        <v>0</v>
      </c>
      <c r="O320" s="93">
        <f t="shared" si="136"/>
        <v>0</v>
      </c>
      <c r="P320" s="93">
        <f t="shared" si="136"/>
        <v>0</v>
      </c>
      <c r="Q320" s="93">
        <f t="shared" si="136"/>
        <v>0</v>
      </c>
      <c r="R320" s="93">
        <f t="shared" si="136"/>
        <v>0</v>
      </c>
      <c r="S320" s="93">
        <f t="shared" si="136"/>
        <v>0</v>
      </c>
      <c r="T320" s="93">
        <f t="shared" si="136"/>
        <v>0</v>
      </c>
      <c r="U320" s="93">
        <f t="shared" si="136"/>
        <v>0</v>
      </c>
      <c r="V320" s="93">
        <f t="shared" si="136"/>
        <v>0</v>
      </c>
      <c r="W320" s="93">
        <f t="shared" si="136"/>
        <v>0</v>
      </c>
      <c r="X320" s="93">
        <f t="shared" si="136"/>
        <v>0</v>
      </c>
    </row>
    <row r="321" spans="2:24">
      <c r="B321" s="99" t="s">
        <v>536</v>
      </c>
      <c r="C321" s="97" t="s">
        <v>537</v>
      </c>
      <c r="D321" s="97"/>
      <c r="E321" s="97"/>
      <c r="F321" s="97"/>
      <c r="G321" s="98">
        <f>G317+G318-G320</f>
        <v>0</v>
      </c>
      <c r="H321" s="98">
        <f>H317+H318-H320</f>
        <v>0</v>
      </c>
      <c r="I321" s="98">
        <f>I317+I318-I320</f>
        <v>0</v>
      </c>
      <c r="J321" s="98">
        <f>J317+J318-J320</f>
        <v>0</v>
      </c>
      <c r="K321" s="98">
        <f ca="1">K317+K318-K320</f>
        <v>0</v>
      </c>
      <c r="L321" s="98">
        <f t="shared" ref="L321:X321" ca="1" si="137">L317+L318-L320</f>
        <v>0</v>
      </c>
      <c r="M321" s="98">
        <f t="shared" ca="1" si="137"/>
        <v>0</v>
      </c>
      <c r="N321" s="98">
        <f t="shared" ca="1" si="137"/>
        <v>0</v>
      </c>
      <c r="O321" s="98">
        <f t="shared" ca="1" si="137"/>
        <v>0</v>
      </c>
      <c r="P321" s="98">
        <f t="shared" ca="1" si="137"/>
        <v>0</v>
      </c>
      <c r="Q321" s="98">
        <f t="shared" ca="1" si="137"/>
        <v>0</v>
      </c>
      <c r="R321" s="98">
        <f t="shared" ca="1" si="137"/>
        <v>0</v>
      </c>
      <c r="S321" s="98">
        <f t="shared" ca="1" si="137"/>
        <v>0</v>
      </c>
      <c r="T321" s="98">
        <f t="shared" ca="1" si="137"/>
        <v>0</v>
      </c>
      <c r="U321" s="98">
        <f t="shared" ca="1" si="137"/>
        <v>0</v>
      </c>
      <c r="V321" s="98">
        <f t="shared" ca="1" si="137"/>
        <v>0</v>
      </c>
      <c r="W321" s="98">
        <f t="shared" ca="1" si="137"/>
        <v>0</v>
      </c>
      <c r="X321" s="98">
        <f t="shared" ca="1" si="137"/>
        <v>0</v>
      </c>
    </row>
    <row r="322" spans="2:24">
      <c r="B322" s="17" t="s">
        <v>246</v>
      </c>
      <c r="C322" s="19"/>
      <c r="D322" s="19"/>
      <c r="E322" s="19"/>
      <c r="F322" s="19"/>
      <c r="G322" s="18">
        <f t="shared" ref="G322:X322" si="138">G34+G178</f>
        <v>0</v>
      </c>
      <c r="H322" s="18">
        <f t="shared" si="138"/>
        <v>0</v>
      </c>
      <c r="I322" s="18">
        <f t="shared" si="138"/>
        <v>0</v>
      </c>
      <c r="J322" s="18">
        <f t="shared" si="138"/>
        <v>0</v>
      </c>
      <c r="K322" s="18">
        <f t="shared" si="138"/>
        <v>0</v>
      </c>
      <c r="L322" s="18">
        <f t="shared" ca="1" si="138"/>
        <v>0</v>
      </c>
      <c r="M322" s="18">
        <f t="shared" ca="1" si="138"/>
        <v>0</v>
      </c>
      <c r="N322" s="18">
        <f t="shared" ca="1" si="138"/>
        <v>0</v>
      </c>
      <c r="O322" s="18">
        <f t="shared" ca="1" si="138"/>
        <v>0</v>
      </c>
      <c r="P322" s="18">
        <f t="shared" ca="1" si="138"/>
        <v>0</v>
      </c>
      <c r="Q322" s="18">
        <f t="shared" ca="1" si="138"/>
        <v>0</v>
      </c>
      <c r="R322" s="18">
        <f t="shared" ca="1" si="138"/>
        <v>0</v>
      </c>
      <c r="S322" s="18">
        <f t="shared" ca="1" si="138"/>
        <v>0</v>
      </c>
      <c r="T322" s="18">
        <f t="shared" ca="1" si="138"/>
        <v>0</v>
      </c>
      <c r="U322" s="18">
        <f t="shared" ca="1" si="138"/>
        <v>0</v>
      </c>
      <c r="V322" s="18">
        <f t="shared" ca="1" si="138"/>
        <v>0</v>
      </c>
      <c r="W322" s="18">
        <f t="shared" ca="1" si="138"/>
        <v>0</v>
      </c>
      <c r="X322" s="18">
        <f t="shared" ca="1" si="138"/>
        <v>0</v>
      </c>
    </row>
    <row r="323" spans="2:24">
      <c r="B323" s="88" t="s">
        <v>252</v>
      </c>
      <c r="C323" s="52"/>
      <c r="D323" s="52"/>
      <c r="E323" s="52"/>
      <c r="F323" s="52"/>
      <c r="G323" s="87">
        <f t="shared" ref="G323:X323" si="139">G35+G179</f>
        <v>0</v>
      </c>
      <c r="H323" s="87">
        <f t="shared" si="139"/>
        <v>0</v>
      </c>
      <c r="I323" s="87">
        <f t="shared" si="139"/>
        <v>0</v>
      </c>
      <c r="J323" s="87">
        <f t="shared" si="139"/>
        <v>0</v>
      </c>
      <c r="K323" s="87">
        <f t="shared" si="139"/>
        <v>0</v>
      </c>
      <c r="L323" s="87">
        <f t="shared" si="139"/>
        <v>0</v>
      </c>
      <c r="M323" s="87">
        <f t="shared" si="139"/>
        <v>0</v>
      </c>
      <c r="N323" s="87">
        <f t="shared" si="139"/>
        <v>0</v>
      </c>
      <c r="O323" s="87">
        <f t="shared" si="139"/>
        <v>0</v>
      </c>
      <c r="P323" s="87">
        <f t="shared" si="139"/>
        <v>0</v>
      </c>
      <c r="Q323" s="87">
        <f t="shared" si="139"/>
        <v>0</v>
      </c>
      <c r="R323" s="87">
        <f t="shared" si="139"/>
        <v>0</v>
      </c>
      <c r="S323" s="87">
        <f t="shared" si="139"/>
        <v>0</v>
      </c>
      <c r="T323" s="87">
        <f t="shared" si="139"/>
        <v>0</v>
      </c>
      <c r="U323" s="87">
        <f t="shared" si="139"/>
        <v>0</v>
      </c>
      <c r="V323" s="87">
        <f t="shared" si="139"/>
        <v>0</v>
      </c>
      <c r="W323" s="87">
        <f t="shared" si="139"/>
        <v>0</v>
      </c>
      <c r="X323" s="87">
        <f t="shared" si="139"/>
        <v>0</v>
      </c>
    </row>
    <row r="324" spans="2:24">
      <c r="B324" s="89" t="s">
        <v>538</v>
      </c>
      <c r="C324" s="90" t="s">
        <v>539</v>
      </c>
      <c r="D324" s="90"/>
      <c r="E324" s="90"/>
      <c r="F324" s="90"/>
      <c r="G324" s="91">
        <f t="shared" ref="G324:X324" si="140">G36+G180</f>
        <v>0</v>
      </c>
      <c r="H324" s="91">
        <f t="shared" si="140"/>
        <v>0</v>
      </c>
      <c r="I324" s="91">
        <f t="shared" si="140"/>
        <v>0</v>
      </c>
      <c r="J324" s="91">
        <f t="shared" si="140"/>
        <v>0</v>
      </c>
      <c r="K324" s="91">
        <f t="shared" si="140"/>
        <v>0</v>
      </c>
      <c r="L324" s="91">
        <f t="shared" si="140"/>
        <v>0</v>
      </c>
      <c r="M324" s="91">
        <f t="shared" si="140"/>
        <v>0</v>
      </c>
      <c r="N324" s="91">
        <f t="shared" si="140"/>
        <v>0</v>
      </c>
      <c r="O324" s="91">
        <f t="shared" si="140"/>
        <v>0</v>
      </c>
      <c r="P324" s="91">
        <f t="shared" si="140"/>
        <v>0</v>
      </c>
      <c r="Q324" s="91">
        <f t="shared" si="140"/>
        <v>0</v>
      </c>
      <c r="R324" s="91">
        <f t="shared" si="140"/>
        <v>0</v>
      </c>
      <c r="S324" s="91">
        <f t="shared" si="140"/>
        <v>0</v>
      </c>
      <c r="T324" s="91">
        <f t="shared" si="140"/>
        <v>0</v>
      </c>
      <c r="U324" s="91">
        <f t="shared" si="140"/>
        <v>0</v>
      </c>
      <c r="V324" s="91">
        <f t="shared" si="140"/>
        <v>0</v>
      </c>
      <c r="W324" s="91">
        <f t="shared" si="140"/>
        <v>0</v>
      </c>
      <c r="X324" s="91">
        <f t="shared" si="140"/>
        <v>0</v>
      </c>
    </row>
    <row r="325" spans="2:24">
      <c r="B325" s="99" t="s">
        <v>540</v>
      </c>
      <c r="C325" s="97"/>
      <c r="D325" s="97"/>
      <c r="E325" s="97"/>
      <c r="F325" s="97"/>
      <c r="G325" s="98">
        <f>G321+G322-G323</f>
        <v>0</v>
      </c>
      <c r="H325" s="98">
        <f>H321+H322-H323</f>
        <v>0</v>
      </c>
      <c r="I325" s="98">
        <f>I321+I322-I323</f>
        <v>0</v>
      </c>
      <c r="J325" s="98">
        <f>J321+J322-J323</f>
        <v>0</v>
      </c>
      <c r="K325" s="98">
        <f ca="1">K321+K322-K323</f>
        <v>0</v>
      </c>
      <c r="L325" s="98">
        <f t="shared" ref="L325:X325" ca="1" si="141">L321+L322-L323</f>
        <v>0</v>
      </c>
      <c r="M325" s="98">
        <f t="shared" ca="1" si="141"/>
        <v>0</v>
      </c>
      <c r="N325" s="98">
        <f t="shared" ca="1" si="141"/>
        <v>0</v>
      </c>
      <c r="O325" s="98">
        <f t="shared" ca="1" si="141"/>
        <v>0</v>
      </c>
      <c r="P325" s="98">
        <f t="shared" ca="1" si="141"/>
        <v>0</v>
      </c>
      <c r="Q325" s="98">
        <f t="shared" ca="1" si="141"/>
        <v>0</v>
      </c>
      <c r="R325" s="98">
        <f t="shared" ca="1" si="141"/>
        <v>0</v>
      </c>
      <c r="S325" s="98">
        <f t="shared" ca="1" si="141"/>
        <v>0</v>
      </c>
      <c r="T325" s="98">
        <f t="shared" ca="1" si="141"/>
        <v>0</v>
      </c>
      <c r="U325" s="98">
        <f t="shared" ca="1" si="141"/>
        <v>0</v>
      </c>
      <c r="V325" s="98">
        <f t="shared" ca="1" si="141"/>
        <v>0</v>
      </c>
      <c r="W325" s="98">
        <f t="shared" ca="1" si="141"/>
        <v>0</v>
      </c>
      <c r="X325" s="98">
        <f t="shared" ca="1" si="141"/>
        <v>0</v>
      </c>
    </row>
    <row r="326" spans="2:24">
      <c r="B326" s="7" t="s">
        <v>541</v>
      </c>
      <c r="G326" s="13">
        <f t="shared" ref="G326:X326" si="142">G38+G182</f>
        <v>0</v>
      </c>
      <c r="H326" s="13">
        <f t="shared" si="142"/>
        <v>0</v>
      </c>
      <c r="I326" s="13">
        <f t="shared" si="142"/>
        <v>0</v>
      </c>
      <c r="J326" s="13">
        <f t="shared" si="142"/>
        <v>0</v>
      </c>
      <c r="K326" s="13">
        <f t="shared" si="142"/>
        <v>0</v>
      </c>
      <c r="L326" s="13">
        <f t="shared" si="142"/>
        <v>0</v>
      </c>
      <c r="M326" s="13">
        <f t="shared" si="142"/>
        <v>0</v>
      </c>
      <c r="N326" s="13">
        <f t="shared" si="142"/>
        <v>0</v>
      </c>
      <c r="O326" s="13">
        <f t="shared" si="142"/>
        <v>0</v>
      </c>
      <c r="P326" s="13">
        <f t="shared" si="142"/>
        <v>0</v>
      </c>
      <c r="Q326" s="13">
        <f t="shared" si="142"/>
        <v>0</v>
      </c>
      <c r="R326" s="13">
        <f t="shared" si="142"/>
        <v>0</v>
      </c>
      <c r="S326" s="13">
        <f t="shared" si="142"/>
        <v>0</v>
      </c>
      <c r="T326" s="13">
        <f t="shared" si="142"/>
        <v>0</v>
      </c>
      <c r="U326" s="13">
        <f t="shared" si="142"/>
        <v>0</v>
      </c>
      <c r="V326" s="13">
        <f t="shared" si="142"/>
        <v>0</v>
      </c>
      <c r="W326" s="13">
        <f t="shared" si="142"/>
        <v>0</v>
      </c>
      <c r="X326" s="13">
        <f t="shared" si="142"/>
        <v>0</v>
      </c>
    </row>
    <row r="327" spans="2:24">
      <c r="B327" s="99" t="s">
        <v>542</v>
      </c>
      <c r="C327" s="97"/>
      <c r="D327" s="97"/>
      <c r="E327" s="97"/>
      <c r="F327" s="97"/>
      <c r="G327" s="98">
        <f>G325+G326</f>
        <v>0</v>
      </c>
      <c r="H327" s="98">
        <f>H325+H326</f>
        <v>0</v>
      </c>
      <c r="I327" s="98">
        <f>I325+I326</f>
        <v>0</v>
      </c>
      <c r="J327" s="98">
        <f>J325+J326</f>
        <v>0</v>
      </c>
      <c r="K327" s="98">
        <f ca="1">K325+K326</f>
        <v>0</v>
      </c>
      <c r="L327" s="98">
        <f t="shared" ref="L327:X327" ca="1" si="143">L325+L326</f>
        <v>0</v>
      </c>
      <c r="M327" s="98">
        <f t="shared" ca="1" si="143"/>
        <v>0</v>
      </c>
      <c r="N327" s="98">
        <f t="shared" ca="1" si="143"/>
        <v>0</v>
      </c>
      <c r="O327" s="98">
        <f t="shared" ca="1" si="143"/>
        <v>0</v>
      </c>
      <c r="P327" s="98">
        <f t="shared" ca="1" si="143"/>
        <v>0</v>
      </c>
      <c r="Q327" s="98">
        <f t="shared" ca="1" si="143"/>
        <v>0</v>
      </c>
      <c r="R327" s="98">
        <f t="shared" ca="1" si="143"/>
        <v>0</v>
      </c>
      <c r="S327" s="98">
        <f t="shared" ca="1" si="143"/>
        <v>0</v>
      </c>
      <c r="T327" s="98">
        <f t="shared" ca="1" si="143"/>
        <v>0</v>
      </c>
      <c r="U327" s="98">
        <f t="shared" ca="1" si="143"/>
        <v>0</v>
      </c>
      <c r="V327" s="98">
        <f t="shared" ca="1" si="143"/>
        <v>0</v>
      </c>
      <c r="W327" s="98">
        <f t="shared" ca="1" si="143"/>
        <v>0</v>
      </c>
      <c r="X327" s="98">
        <f t="shared" ca="1" si="143"/>
        <v>0</v>
      </c>
    </row>
    <row r="328" spans="2:24">
      <c r="B328" s="17" t="s">
        <v>262</v>
      </c>
      <c r="C328" s="19"/>
      <c r="D328" s="19" t="s">
        <v>543</v>
      </c>
      <c r="E328" s="19"/>
      <c r="F328" s="19"/>
      <c r="G328" s="18">
        <f>G40</f>
        <v>0</v>
      </c>
      <c r="H328" s="18">
        <f>H40</f>
        <v>0</v>
      </c>
      <c r="I328" s="18">
        <f>I40</f>
        <v>0</v>
      </c>
      <c r="J328" s="18">
        <f>J40</f>
        <v>0</v>
      </c>
      <c r="K328" s="18">
        <f t="shared" ref="K328:X328" ca="1" si="144">IF(K327&lt;=0,0,ROUND(K327*CIT,0))</f>
        <v>0</v>
      </c>
      <c r="L328" s="18">
        <f t="shared" ca="1" si="144"/>
        <v>0</v>
      </c>
      <c r="M328" s="18">
        <f t="shared" ca="1" si="144"/>
        <v>0</v>
      </c>
      <c r="N328" s="18">
        <f t="shared" ca="1" si="144"/>
        <v>0</v>
      </c>
      <c r="O328" s="18">
        <f t="shared" ca="1" si="144"/>
        <v>0</v>
      </c>
      <c r="P328" s="18">
        <f t="shared" ca="1" si="144"/>
        <v>0</v>
      </c>
      <c r="Q328" s="18">
        <f t="shared" ca="1" si="144"/>
        <v>0</v>
      </c>
      <c r="R328" s="18">
        <f t="shared" ca="1" si="144"/>
        <v>0</v>
      </c>
      <c r="S328" s="18">
        <f t="shared" ca="1" si="144"/>
        <v>0</v>
      </c>
      <c r="T328" s="18">
        <f t="shared" ca="1" si="144"/>
        <v>0</v>
      </c>
      <c r="U328" s="18">
        <f t="shared" ca="1" si="144"/>
        <v>0</v>
      </c>
      <c r="V328" s="18">
        <f t="shared" ca="1" si="144"/>
        <v>0</v>
      </c>
      <c r="W328" s="18">
        <f t="shared" ca="1" si="144"/>
        <v>0</v>
      </c>
      <c r="X328" s="18">
        <f t="shared" ca="1" si="144"/>
        <v>0</v>
      </c>
    </row>
    <row r="329" spans="2:24">
      <c r="B329" s="92" t="s">
        <v>544</v>
      </c>
      <c r="C329" s="90"/>
      <c r="D329" s="90" t="s">
        <v>543</v>
      </c>
      <c r="E329" s="90"/>
      <c r="F329" s="90"/>
      <c r="G329" s="93">
        <f t="shared" ref="G329:X329" si="145">G41+G185</f>
        <v>0</v>
      </c>
      <c r="H329" s="93">
        <f t="shared" si="145"/>
        <v>0</v>
      </c>
      <c r="I329" s="93">
        <f t="shared" si="145"/>
        <v>0</v>
      </c>
      <c r="J329" s="93">
        <f t="shared" si="145"/>
        <v>0</v>
      </c>
      <c r="K329" s="93">
        <f t="shared" si="145"/>
        <v>0</v>
      </c>
      <c r="L329" s="93">
        <f t="shared" si="145"/>
        <v>0</v>
      </c>
      <c r="M329" s="93">
        <f t="shared" si="145"/>
        <v>0</v>
      </c>
      <c r="N329" s="93">
        <f t="shared" si="145"/>
        <v>0</v>
      </c>
      <c r="O329" s="93">
        <f t="shared" si="145"/>
        <v>0</v>
      </c>
      <c r="P329" s="93">
        <f t="shared" si="145"/>
        <v>0</v>
      </c>
      <c r="Q329" s="93">
        <f t="shared" si="145"/>
        <v>0</v>
      </c>
      <c r="R329" s="93">
        <f t="shared" si="145"/>
        <v>0</v>
      </c>
      <c r="S329" s="93">
        <f t="shared" si="145"/>
        <v>0</v>
      </c>
      <c r="T329" s="93">
        <f t="shared" si="145"/>
        <v>0</v>
      </c>
      <c r="U329" s="93">
        <f t="shared" si="145"/>
        <v>0</v>
      </c>
      <c r="V329" s="93">
        <f t="shared" si="145"/>
        <v>0</v>
      </c>
      <c r="W329" s="93">
        <f t="shared" si="145"/>
        <v>0</v>
      </c>
      <c r="X329" s="93">
        <f t="shared" si="145"/>
        <v>0</v>
      </c>
    </row>
    <row r="330" spans="2:24">
      <c r="B330" s="99" t="s">
        <v>545</v>
      </c>
      <c r="C330" s="97"/>
      <c r="D330" s="97"/>
      <c r="E330" s="97"/>
      <c r="F330" s="97"/>
      <c r="G330" s="98">
        <f>G327-G328-G329</f>
        <v>0</v>
      </c>
      <c r="H330" s="98">
        <f>H327-H328-H329</f>
        <v>0</v>
      </c>
      <c r="I330" s="98">
        <f>I327-I328-I329</f>
        <v>0</v>
      </c>
      <c r="J330" s="98">
        <f>J327-J328-J329</f>
        <v>0</v>
      </c>
      <c r="K330" s="98">
        <f ca="1">K327-K328-K329</f>
        <v>0</v>
      </c>
      <c r="L330" s="98">
        <f t="shared" ref="L330:X330" ca="1" si="146">L327-L328-L329</f>
        <v>0</v>
      </c>
      <c r="M330" s="98">
        <f t="shared" ca="1" si="146"/>
        <v>0</v>
      </c>
      <c r="N330" s="98">
        <f t="shared" ca="1" si="146"/>
        <v>0</v>
      </c>
      <c r="O330" s="98">
        <f t="shared" ca="1" si="146"/>
        <v>0</v>
      </c>
      <c r="P330" s="98">
        <f t="shared" ca="1" si="146"/>
        <v>0</v>
      </c>
      <c r="Q330" s="98">
        <f t="shared" ca="1" si="146"/>
        <v>0</v>
      </c>
      <c r="R330" s="98">
        <f t="shared" ca="1" si="146"/>
        <v>0</v>
      </c>
      <c r="S330" s="98">
        <f t="shared" ca="1" si="146"/>
        <v>0</v>
      </c>
      <c r="T330" s="98">
        <f t="shared" ca="1" si="146"/>
        <v>0</v>
      </c>
      <c r="U330" s="98">
        <f t="shared" ca="1" si="146"/>
        <v>0</v>
      </c>
      <c r="V330" s="98">
        <f t="shared" ca="1" si="146"/>
        <v>0</v>
      </c>
      <c r="W330" s="98">
        <f t="shared" ca="1" si="146"/>
        <v>0</v>
      </c>
      <c r="X330" s="98">
        <f t="shared" ca="1" si="146"/>
        <v>0</v>
      </c>
    </row>
    <row r="331" spans="2:24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ht="14.4">
      <c r="B333" s="153" t="s">
        <v>546</v>
      </c>
    </row>
    <row r="334" spans="2:24" ht="13.8">
      <c r="B334" s="154" t="s">
        <v>547</v>
      </c>
      <c r="G334" s="223">
        <f t="shared" ref="G334:X334" ca="1" si="147">LataProjekcji</f>
        <v>0</v>
      </c>
      <c r="H334" s="223">
        <f t="shared" ca="1" si="147"/>
        <v>0</v>
      </c>
      <c r="I334" s="223">
        <f t="shared" ca="1" si="147"/>
        <v>0</v>
      </c>
      <c r="J334" s="224" t="str">
        <f t="shared" si="147"/>
        <v/>
      </c>
      <c r="K334" s="223" t="str">
        <f t="shared" si="147"/>
        <v>Uzupełnij dane</v>
      </c>
      <c r="L334" s="223" t="str">
        <f t="shared" si="147"/>
        <v/>
      </c>
      <c r="M334" s="223" t="str">
        <f t="shared" si="147"/>
        <v/>
      </c>
      <c r="N334" s="223" t="str">
        <f t="shared" si="147"/>
        <v/>
      </c>
      <c r="O334" s="223" t="str">
        <f t="shared" si="147"/>
        <v/>
      </c>
      <c r="P334" s="223" t="str">
        <f t="shared" si="147"/>
        <v/>
      </c>
      <c r="Q334" s="223" t="str">
        <f t="shared" si="147"/>
        <v/>
      </c>
      <c r="R334" s="223" t="str">
        <f t="shared" si="147"/>
        <v/>
      </c>
      <c r="S334" s="223" t="str">
        <f t="shared" si="147"/>
        <v/>
      </c>
      <c r="T334" s="223" t="str">
        <f t="shared" si="147"/>
        <v/>
      </c>
      <c r="U334" s="223" t="str">
        <f t="shared" si="147"/>
        <v/>
      </c>
      <c r="V334" s="223" t="str">
        <f t="shared" si="147"/>
        <v/>
      </c>
      <c r="W334" s="223" t="str">
        <f t="shared" si="147"/>
        <v/>
      </c>
      <c r="X334" s="223" t="str">
        <f t="shared" si="147"/>
        <v/>
      </c>
    </row>
    <row r="335" spans="2:24">
      <c r="B335" s="99" t="s">
        <v>121</v>
      </c>
      <c r="C335" s="97"/>
      <c r="D335" s="97"/>
      <c r="E335" s="97"/>
      <c r="F335" s="97"/>
      <c r="G335" s="98">
        <f>G336+G341+G350+G351+G352</f>
        <v>0</v>
      </c>
      <c r="H335" s="98">
        <f>H336+H341+H350+H351+H352</f>
        <v>0</v>
      </c>
      <c r="I335" s="98">
        <f>I336+I341+I350+I351+I352</f>
        <v>0</v>
      </c>
      <c r="J335" s="98">
        <f>J336+J341+J350+J351+J352</f>
        <v>0</v>
      </c>
      <c r="K335" s="98">
        <f t="shared" ref="K335:X335" ca="1" si="148">K336+K341+K350+K351+K352</f>
        <v>0</v>
      </c>
      <c r="L335" s="98">
        <f t="shared" ca="1" si="148"/>
        <v>0</v>
      </c>
      <c r="M335" s="98">
        <f t="shared" ca="1" si="148"/>
        <v>0</v>
      </c>
      <c r="N335" s="98">
        <f t="shared" ca="1" si="148"/>
        <v>0</v>
      </c>
      <c r="O335" s="98">
        <f t="shared" ca="1" si="148"/>
        <v>0</v>
      </c>
      <c r="P335" s="98">
        <f t="shared" ca="1" si="148"/>
        <v>0</v>
      </c>
      <c r="Q335" s="98">
        <f t="shared" ca="1" si="148"/>
        <v>0</v>
      </c>
      <c r="R335" s="98">
        <f t="shared" ca="1" si="148"/>
        <v>0</v>
      </c>
      <c r="S335" s="98">
        <f t="shared" ca="1" si="148"/>
        <v>0</v>
      </c>
      <c r="T335" s="98">
        <f t="shared" ca="1" si="148"/>
        <v>0</v>
      </c>
      <c r="U335" s="98">
        <f t="shared" ca="1" si="148"/>
        <v>0</v>
      </c>
      <c r="V335" s="98">
        <f t="shared" ca="1" si="148"/>
        <v>0</v>
      </c>
      <c r="W335" s="98">
        <f t="shared" ca="1" si="148"/>
        <v>0</v>
      </c>
      <c r="X335" s="98">
        <f t="shared" ca="1" si="148"/>
        <v>0</v>
      </c>
    </row>
    <row r="336" spans="2:24">
      <c r="B336" s="104" t="s">
        <v>548</v>
      </c>
      <c r="C336" s="102"/>
      <c r="D336" s="102"/>
      <c r="E336" s="102"/>
      <c r="F336" s="102"/>
      <c r="G336" s="103">
        <f>SUM(G337:G340)</f>
        <v>0</v>
      </c>
      <c r="H336" s="103">
        <f>SUM(H337:H340)</f>
        <v>0</v>
      </c>
      <c r="I336" s="103">
        <f>SUM(I337:I340)</f>
        <v>0</v>
      </c>
      <c r="J336" s="103">
        <f>SUM(J337:J340)</f>
        <v>0</v>
      </c>
      <c r="K336" s="103">
        <f t="shared" ref="K336:X336" ca="1" si="149">SUM(K337:K340)</f>
        <v>0</v>
      </c>
      <c r="L336" s="103">
        <f t="shared" ca="1" si="149"/>
        <v>0</v>
      </c>
      <c r="M336" s="103">
        <f t="shared" ca="1" si="149"/>
        <v>0</v>
      </c>
      <c r="N336" s="103">
        <f t="shared" ca="1" si="149"/>
        <v>0</v>
      </c>
      <c r="O336" s="103">
        <f t="shared" ca="1" si="149"/>
        <v>0</v>
      </c>
      <c r="P336" s="103">
        <f t="shared" ca="1" si="149"/>
        <v>0</v>
      </c>
      <c r="Q336" s="103">
        <f t="shared" ca="1" si="149"/>
        <v>0</v>
      </c>
      <c r="R336" s="103">
        <f t="shared" ca="1" si="149"/>
        <v>0</v>
      </c>
      <c r="S336" s="103">
        <f t="shared" ca="1" si="149"/>
        <v>0</v>
      </c>
      <c r="T336" s="103">
        <f t="shared" ca="1" si="149"/>
        <v>0</v>
      </c>
      <c r="U336" s="103">
        <f t="shared" ca="1" si="149"/>
        <v>0</v>
      </c>
      <c r="V336" s="103">
        <f t="shared" ca="1" si="149"/>
        <v>0</v>
      </c>
      <c r="W336" s="103">
        <f t="shared" ca="1" si="149"/>
        <v>0</v>
      </c>
      <c r="X336" s="103">
        <f t="shared" ca="1" si="149"/>
        <v>0</v>
      </c>
    </row>
    <row r="337" spans="2:24">
      <c r="B337" s="39" t="s">
        <v>549</v>
      </c>
      <c r="C337" s="40"/>
      <c r="D337" s="40"/>
      <c r="E337" s="40"/>
      <c r="F337" s="40"/>
      <c r="G337" s="41">
        <f t="shared" ref="G337:X337" si="150">G49+G193</f>
        <v>0</v>
      </c>
      <c r="H337" s="41">
        <f t="shared" si="150"/>
        <v>0</v>
      </c>
      <c r="I337" s="41">
        <f t="shared" si="150"/>
        <v>0</v>
      </c>
      <c r="J337" s="41">
        <f t="shared" si="150"/>
        <v>0</v>
      </c>
      <c r="K337" s="41">
        <f t="shared" ca="1" si="150"/>
        <v>0</v>
      </c>
      <c r="L337" s="41">
        <f t="shared" ca="1" si="150"/>
        <v>0</v>
      </c>
      <c r="M337" s="41">
        <f t="shared" ca="1" si="150"/>
        <v>0</v>
      </c>
      <c r="N337" s="41">
        <f t="shared" ca="1" si="150"/>
        <v>0</v>
      </c>
      <c r="O337" s="41">
        <f t="shared" ca="1" si="150"/>
        <v>0</v>
      </c>
      <c r="P337" s="41">
        <f t="shared" ca="1" si="150"/>
        <v>0</v>
      </c>
      <c r="Q337" s="41">
        <f t="shared" ca="1" si="150"/>
        <v>0</v>
      </c>
      <c r="R337" s="41">
        <f t="shared" ca="1" si="150"/>
        <v>0</v>
      </c>
      <c r="S337" s="41">
        <f t="shared" ca="1" si="150"/>
        <v>0</v>
      </c>
      <c r="T337" s="41">
        <f t="shared" ca="1" si="150"/>
        <v>0</v>
      </c>
      <c r="U337" s="41">
        <f t="shared" ca="1" si="150"/>
        <v>0</v>
      </c>
      <c r="V337" s="41">
        <f t="shared" ca="1" si="150"/>
        <v>0</v>
      </c>
      <c r="W337" s="41">
        <f t="shared" ca="1" si="150"/>
        <v>0</v>
      </c>
      <c r="X337" s="41">
        <f t="shared" ca="1" si="150"/>
        <v>0</v>
      </c>
    </row>
    <row r="338" spans="2:24">
      <c r="B338" s="39" t="s">
        <v>550</v>
      </c>
      <c r="C338" s="40"/>
      <c r="D338" s="40"/>
      <c r="E338" s="40"/>
      <c r="F338" s="40"/>
      <c r="G338" s="41">
        <f t="shared" ref="G338:X338" si="151">G50+G194</f>
        <v>0</v>
      </c>
      <c r="H338" s="41">
        <f t="shared" si="151"/>
        <v>0</v>
      </c>
      <c r="I338" s="41">
        <f t="shared" si="151"/>
        <v>0</v>
      </c>
      <c r="J338" s="41">
        <f t="shared" si="151"/>
        <v>0</v>
      </c>
      <c r="K338" s="41">
        <f t="shared" ca="1" si="151"/>
        <v>0</v>
      </c>
      <c r="L338" s="41">
        <f t="shared" ca="1" si="151"/>
        <v>0</v>
      </c>
      <c r="M338" s="41">
        <f t="shared" ca="1" si="151"/>
        <v>0</v>
      </c>
      <c r="N338" s="41">
        <f t="shared" ca="1" si="151"/>
        <v>0</v>
      </c>
      <c r="O338" s="41">
        <f t="shared" ca="1" si="151"/>
        <v>0</v>
      </c>
      <c r="P338" s="41">
        <f t="shared" ca="1" si="151"/>
        <v>0</v>
      </c>
      <c r="Q338" s="41">
        <f t="shared" ca="1" si="151"/>
        <v>0</v>
      </c>
      <c r="R338" s="41">
        <f t="shared" ca="1" si="151"/>
        <v>0</v>
      </c>
      <c r="S338" s="41">
        <f t="shared" ca="1" si="151"/>
        <v>0</v>
      </c>
      <c r="T338" s="41">
        <f t="shared" ca="1" si="151"/>
        <v>0</v>
      </c>
      <c r="U338" s="41">
        <f t="shared" ca="1" si="151"/>
        <v>0</v>
      </c>
      <c r="V338" s="41">
        <f t="shared" ca="1" si="151"/>
        <v>0</v>
      </c>
      <c r="W338" s="41">
        <f t="shared" ca="1" si="151"/>
        <v>0</v>
      </c>
      <c r="X338" s="41">
        <f t="shared" ca="1" si="151"/>
        <v>0</v>
      </c>
    </row>
    <row r="339" spans="2:24">
      <c r="B339" s="39" t="s">
        <v>551</v>
      </c>
      <c r="C339" s="40"/>
      <c r="D339" s="40"/>
      <c r="E339" s="40"/>
      <c r="F339" s="40"/>
      <c r="G339" s="41">
        <f t="shared" ref="G339:X339" si="152">G51+G195</f>
        <v>0</v>
      </c>
      <c r="H339" s="41">
        <f t="shared" si="152"/>
        <v>0</v>
      </c>
      <c r="I339" s="41">
        <f t="shared" si="152"/>
        <v>0</v>
      </c>
      <c r="J339" s="41">
        <f t="shared" si="152"/>
        <v>0</v>
      </c>
      <c r="K339" s="41">
        <f t="shared" ca="1" si="152"/>
        <v>0</v>
      </c>
      <c r="L339" s="41">
        <f t="shared" ca="1" si="152"/>
        <v>0</v>
      </c>
      <c r="M339" s="41">
        <f t="shared" ca="1" si="152"/>
        <v>0</v>
      </c>
      <c r="N339" s="41">
        <f t="shared" ca="1" si="152"/>
        <v>0</v>
      </c>
      <c r="O339" s="41">
        <f t="shared" ca="1" si="152"/>
        <v>0</v>
      </c>
      <c r="P339" s="41">
        <f t="shared" ca="1" si="152"/>
        <v>0</v>
      </c>
      <c r="Q339" s="41">
        <f t="shared" ca="1" si="152"/>
        <v>0</v>
      </c>
      <c r="R339" s="41">
        <f t="shared" ca="1" si="152"/>
        <v>0</v>
      </c>
      <c r="S339" s="41">
        <f t="shared" ca="1" si="152"/>
        <v>0</v>
      </c>
      <c r="T339" s="41">
        <f t="shared" ca="1" si="152"/>
        <v>0</v>
      </c>
      <c r="U339" s="41">
        <f t="shared" ca="1" si="152"/>
        <v>0</v>
      </c>
      <c r="V339" s="41">
        <f t="shared" ca="1" si="152"/>
        <v>0</v>
      </c>
      <c r="W339" s="41">
        <f t="shared" ca="1" si="152"/>
        <v>0</v>
      </c>
      <c r="X339" s="41">
        <f t="shared" ca="1" si="152"/>
        <v>0</v>
      </c>
    </row>
    <row r="340" spans="2:24">
      <c r="B340" s="39" t="s">
        <v>552</v>
      </c>
      <c r="C340" s="40"/>
      <c r="D340" s="40"/>
      <c r="E340" s="40"/>
      <c r="F340" s="40"/>
      <c r="G340" s="41">
        <f t="shared" ref="G340:X340" si="153">G52+G196</f>
        <v>0</v>
      </c>
      <c r="H340" s="41">
        <f t="shared" si="153"/>
        <v>0</v>
      </c>
      <c r="I340" s="41">
        <f t="shared" si="153"/>
        <v>0</v>
      </c>
      <c r="J340" s="41">
        <f t="shared" si="153"/>
        <v>0</v>
      </c>
      <c r="K340" s="41">
        <f t="shared" si="153"/>
        <v>0</v>
      </c>
      <c r="L340" s="41">
        <f t="shared" si="153"/>
        <v>0</v>
      </c>
      <c r="M340" s="41">
        <f t="shared" si="153"/>
        <v>0</v>
      </c>
      <c r="N340" s="41">
        <f t="shared" si="153"/>
        <v>0</v>
      </c>
      <c r="O340" s="41">
        <f t="shared" si="153"/>
        <v>0</v>
      </c>
      <c r="P340" s="41">
        <f t="shared" si="153"/>
        <v>0</v>
      </c>
      <c r="Q340" s="41">
        <f t="shared" si="153"/>
        <v>0</v>
      </c>
      <c r="R340" s="41">
        <f t="shared" si="153"/>
        <v>0</v>
      </c>
      <c r="S340" s="41">
        <f t="shared" si="153"/>
        <v>0</v>
      </c>
      <c r="T340" s="41">
        <f t="shared" si="153"/>
        <v>0</v>
      </c>
      <c r="U340" s="41">
        <f t="shared" si="153"/>
        <v>0</v>
      </c>
      <c r="V340" s="41">
        <f t="shared" si="153"/>
        <v>0</v>
      </c>
      <c r="W340" s="41">
        <f t="shared" si="153"/>
        <v>0</v>
      </c>
      <c r="X340" s="41">
        <f t="shared" si="153"/>
        <v>0</v>
      </c>
    </row>
    <row r="341" spans="2:24">
      <c r="B341" s="37" t="s">
        <v>553</v>
      </c>
      <c r="C341" s="52"/>
      <c r="D341" s="52"/>
      <c r="E341" s="52"/>
      <c r="F341" s="52"/>
      <c r="G341" s="33">
        <f>SUM(G342+G348+G349)</f>
        <v>0</v>
      </c>
      <c r="H341" s="33">
        <f>SUM(H342+H348+H349)</f>
        <v>0</v>
      </c>
      <c r="I341" s="33">
        <f>SUM(I342+I348+I349)</f>
        <v>0</v>
      </c>
      <c r="J341" s="33">
        <f>SUM(J342+J348+J349)</f>
        <v>0</v>
      </c>
      <c r="K341" s="33">
        <f t="shared" ref="K341:X341" ca="1" si="154">SUM(K342+K348+K349)</f>
        <v>0</v>
      </c>
      <c r="L341" s="33">
        <f t="shared" ca="1" si="154"/>
        <v>0</v>
      </c>
      <c r="M341" s="33">
        <f t="shared" ca="1" si="154"/>
        <v>0</v>
      </c>
      <c r="N341" s="33">
        <f t="shared" ca="1" si="154"/>
        <v>0</v>
      </c>
      <c r="O341" s="33">
        <f t="shared" ca="1" si="154"/>
        <v>0</v>
      </c>
      <c r="P341" s="33">
        <f t="shared" ca="1" si="154"/>
        <v>0</v>
      </c>
      <c r="Q341" s="33">
        <f t="shared" ca="1" si="154"/>
        <v>0</v>
      </c>
      <c r="R341" s="33">
        <f t="shared" ca="1" si="154"/>
        <v>0</v>
      </c>
      <c r="S341" s="33">
        <f t="shared" ca="1" si="154"/>
        <v>0</v>
      </c>
      <c r="T341" s="33">
        <f t="shared" ca="1" si="154"/>
        <v>0</v>
      </c>
      <c r="U341" s="33">
        <f t="shared" ca="1" si="154"/>
        <v>0</v>
      </c>
      <c r="V341" s="33">
        <f t="shared" ca="1" si="154"/>
        <v>0</v>
      </c>
      <c r="W341" s="33">
        <f t="shared" ca="1" si="154"/>
        <v>0</v>
      </c>
      <c r="X341" s="33">
        <f t="shared" ca="1" si="154"/>
        <v>0</v>
      </c>
    </row>
    <row r="342" spans="2:24">
      <c r="B342" s="39" t="s">
        <v>554</v>
      </c>
      <c r="C342" s="40"/>
      <c r="D342" s="40"/>
      <c r="E342" s="40"/>
      <c r="F342" s="40"/>
      <c r="G342" s="41">
        <f>SUM(G343:G347)</f>
        <v>0</v>
      </c>
      <c r="H342" s="41">
        <f>SUM(H343:H347)</f>
        <v>0</v>
      </c>
      <c r="I342" s="41">
        <f>SUM(I343:I347)</f>
        <v>0</v>
      </c>
      <c r="J342" s="41">
        <f>SUM(J343:J347)</f>
        <v>0</v>
      </c>
      <c r="K342" s="41">
        <f t="shared" ref="K342:X342" ca="1" si="155">SUM(K343:K347)</f>
        <v>0</v>
      </c>
      <c r="L342" s="41">
        <f t="shared" ca="1" si="155"/>
        <v>0</v>
      </c>
      <c r="M342" s="41">
        <f t="shared" ca="1" si="155"/>
        <v>0</v>
      </c>
      <c r="N342" s="41">
        <f t="shared" ca="1" si="155"/>
        <v>0</v>
      </c>
      <c r="O342" s="41">
        <f t="shared" ca="1" si="155"/>
        <v>0</v>
      </c>
      <c r="P342" s="41">
        <f t="shared" ca="1" si="155"/>
        <v>0</v>
      </c>
      <c r="Q342" s="41">
        <f t="shared" ca="1" si="155"/>
        <v>0</v>
      </c>
      <c r="R342" s="41">
        <f t="shared" ca="1" si="155"/>
        <v>0</v>
      </c>
      <c r="S342" s="41">
        <f t="shared" ca="1" si="155"/>
        <v>0</v>
      </c>
      <c r="T342" s="41">
        <f t="shared" ca="1" si="155"/>
        <v>0</v>
      </c>
      <c r="U342" s="41">
        <f t="shared" ca="1" si="155"/>
        <v>0</v>
      </c>
      <c r="V342" s="41">
        <f t="shared" ca="1" si="155"/>
        <v>0</v>
      </c>
      <c r="W342" s="41">
        <f t="shared" ca="1" si="155"/>
        <v>0</v>
      </c>
      <c r="X342" s="41">
        <f t="shared" ca="1" si="155"/>
        <v>0</v>
      </c>
    </row>
    <row r="343" spans="2:24">
      <c r="B343" s="8" t="s">
        <v>555</v>
      </c>
      <c r="G343" s="5">
        <f t="shared" ref="G343:X343" si="156">G55+G199</f>
        <v>0</v>
      </c>
      <c r="H343" s="5">
        <f t="shared" si="156"/>
        <v>0</v>
      </c>
      <c r="I343" s="5">
        <f t="shared" si="156"/>
        <v>0</v>
      </c>
      <c r="J343" s="5">
        <f t="shared" si="156"/>
        <v>0</v>
      </c>
      <c r="K343" s="5">
        <f t="shared" ca="1" si="156"/>
        <v>0</v>
      </c>
      <c r="L343" s="5">
        <f t="shared" ca="1" si="156"/>
        <v>0</v>
      </c>
      <c r="M343" s="5">
        <f t="shared" ca="1" si="156"/>
        <v>0</v>
      </c>
      <c r="N343" s="5">
        <f t="shared" ca="1" si="156"/>
        <v>0</v>
      </c>
      <c r="O343" s="5">
        <f t="shared" ca="1" si="156"/>
        <v>0</v>
      </c>
      <c r="P343" s="5">
        <f t="shared" ca="1" si="156"/>
        <v>0</v>
      </c>
      <c r="Q343" s="5">
        <f t="shared" ca="1" si="156"/>
        <v>0</v>
      </c>
      <c r="R343" s="5">
        <f t="shared" ca="1" si="156"/>
        <v>0</v>
      </c>
      <c r="S343" s="5">
        <f t="shared" ca="1" si="156"/>
        <v>0</v>
      </c>
      <c r="T343" s="5">
        <f t="shared" ca="1" si="156"/>
        <v>0</v>
      </c>
      <c r="U343" s="5">
        <f t="shared" ca="1" si="156"/>
        <v>0</v>
      </c>
      <c r="V343" s="5">
        <f t="shared" ca="1" si="156"/>
        <v>0</v>
      </c>
      <c r="W343" s="5">
        <f t="shared" ca="1" si="156"/>
        <v>0</v>
      </c>
      <c r="X343" s="5">
        <f t="shared" ca="1" si="156"/>
        <v>0</v>
      </c>
    </row>
    <row r="344" spans="2:24">
      <c r="B344" s="8" t="s">
        <v>401</v>
      </c>
      <c r="G344" s="5">
        <f t="shared" ref="G344:X344" si="157">G56+G200</f>
        <v>0</v>
      </c>
      <c r="H344" s="5">
        <f t="shared" si="157"/>
        <v>0</v>
      </c>
      <c r="I344" s="5">
        <f t="shared" si="157"/>
        <v>0</v>
      </c>
      <c r="J344" s="5">
        <f t="shared" si="157"/>
        <v>0</v>
      </c>
      <c r="K344" s="5">
        <f t="shared" ca="1" si="157"/>
        <v>0</v>
      </c>
      <c r="L344" s="5">
        <f t="shared" ca="1" si="157"/>
        <v>0</v>
      </c>
      <c r="M344" s="5">
        <f t="shared" ca="1" si="157"/>
        <v>0</v>
      </c>
      <c r="N344" s="5">
        <f t="shared" ca="1" si="157"/>
        <v>0</v>
      </c>
      <c r="O344" s="5">
        <f t="shared" ca="1" si="157"/>
        <v>0</v>
      </c>
      <c r="P344" s="5">
        <f t="shared" ca="1" si="157"/>
        <v>0</v>
      </c>
      <c r="Q344" s="5">
        <f t="shared" ca="1" si="157"/>
        <v>0</v>
      </c>
      <c r="R344" s="5">
        <f t="shared" ca="1" si="157"/>
        <v>0</v>
      </c>
      <c r="S344" s="5">
        <f t="shared" ca="1" si="157"/>
        <v>0</v>
      </c>
      <c r="T344" s="5">
        <f t="shared" ca="1" si="157"/>
        <v>0</v>
      </c>
      <c r="U344" s="5">
        <f t="shared" ca="1" si="157"/>
        <v>0</v>
      </c>
      <c r="V344" s="5">
        <f t="shared" ca="1" si="157"/>
        <v>0</v>
      </c>
      <c r="W344" s="5">
        <f t="shared" ca="1" si="157"/>
        <v>0</v>
      </c>
      <c r="X344" s="5">
        <f t="shared" ca="1" si="157"/>
        <v>0</v>
      </c>
    </row>
    <row r="345" spans="2:24">
      <c r="B345" s="8" t="s">
        <v>402</v>
      </c>
      <c r="G345" s="5">
        <f t="shared" ref="G345:X345" si="158">G57+G201</f>
        <v>0</v>
      </c>
      <c r="H345" s="5">
        <f t="shared" si="158"/>
        <v>0</v>
      </c>
      <c r="I345" s="5">
        <f t="shared" si="158"/>
        <v>0</v>
      </c>
      <c r="J345" s="5">
        <f t="shared" si="158"/>
        <v>0</v>
      </c>
      <c r="K345" s="5">
        <f t="shared" ca="1" si="158"/>
        <v>0</v>
      </c>
      <c r="L345" s="5">
        <f t="shared" ca="1" si="158"/>
        <v>0</v>
      </c>
      <c r="M345" s="5">
        <f t="shared" ca="1" si="158"/>
        <v>0</v>
      </c>
      <c r="N345" s="5">
        <f t="shared" ca="1" si="158"/>
        <v>0</v>
      </c>
      <c r="O345" s="5">
        <f t="shared" ca="1" si="158"/>
        <v>0</v>
      </c>
      <c r="P345" s="5">
        <f t="shared" ca="1" si="158"/>
        <v>0</v>
      </c>
      <c r="Q345" s="5">
        <f t="shared" ca="1" si="158"/>
        <v>0</v>
      </c>
      <c r="R345" s="5">
        <f t="shared" ca="1" si="158"/>
        <v>0</v>
      </c>
      <c r="S345" s="5">
        <f t="shared" ca="1" si="158"/>
        <v>0</v>
      </c>
      <c r="T345" s="5">
        <f t="shared" ca="1" si="158"/>
        <v>0</v>
      </c>
      <c r="U345" s="5">
        <f t="shared" ca="1" si="158"/>
        <v>0</v>
      </c>
      <c r="V345" s="5">
        <f t="shared" ca="1" si="158"/>
        <v>0</v>
      </c>
      <c r="W345" s="5">
        <f t="shared" ca="1" si="158"/>
        <v>0</v>
      </c>
      <c r="X345" s="5">
        <f t="shared" ca="1" si="158"/>
        <v>0</v>
      </c>
    </row>
    <row r="346" spans="2:24">
      <c r="B346" s="8" t="s">
        <v>403</v>
      </c>
      <c r="G346" s="5">
        <f t="shared" ref="G346:X346" si="159">G58+G202</f>
        <v>0</v>
      </c>
      <c r="H346" s="5">
        <f t="shared" si="159"/>
        <v>0</v>
      </c>
      <c r="I346" s="5">
        <f t="shared" si="159"/>
        <v>0</v>
      </c>
      <c r="J346" s="5">
        <f t="shared" si="159"/>
        <v>0</v>
      </c>
      <c r="K346" s="5">
        <f t="shared" ca="1" si="159"/>
        <v>0</v>
      </c>
      <c r="L346" s="5">
        <f t="shared" ca="1" si="159"/>
        <v>0</v>
      </c>
      <c r="M346" s="5">
        <f t="shared" ca="1" si="159"/>
        <v>0</v>
      </c>
      <c r="N346" s="5">
        <f t="shared" ca="1" si="159"/>
        <v>0</v>
      </c>
      <c r="O346" s="5">
        <f t="shared" ca="1" si="159"/>
        <v>0</v>
      </c>
      <c r="P346" s="5">
        <f t="shared" ca="1" si="159"/>
        <v>0</v>
      </c>
      <c r="Q346" s="5">
        <f t="shared" ca="1" si="159"/>
        <v>0</v>
      </c>
      <c r="R346" s="5">
        <f t="shared" ca="1" si="159"/>
        <v>0</v>
      </c>
      <c r="S346" s="5">
        <f t="shared" ca="1" si="159"/>
        <v>0</v>
      </c>
      <c r="T346" s="5">
        <f t="shared" ca="1" si="159"/>
        <v>0</v>
      </c>
      <c r="U346" s="5">
        <f t="shared" ca="1" si="159"/>
        <v>0</v>
      </c>
      <c r="V346" s="5">
        <f t="shared" ca="1" si="159"/>
        <v>0</v>
      </c>
      <c r="W346" s="5">
        <f t="shared" ca="1" si="159"/>
        <v>0</v>
      </c>
      <c r="X346" s="5">
        <f t="shared" ca="1" si="159"/>
        <v>0</v>
      </c>
    </row>
    <row r="347" spans="2:24">
      <c r="B347" s="8" t="s">
        <v>404</v>
      </c>
      <c r="G347" s="5">
        <f t="shared" ref="G347:X347" si="160">G59+G203</f>
        <v>0</v>
      </c>
      <c r="H347" s="5">
        <f t="shared" si="160"/>
        <v>0</v>
      </c>
      <c r="I347" s="5">
        <f t="shared" si="160"/>
        <v>0</v>
      </c>
      <c r="J347" s="5">
        <f t="shared" si="160"/>
        <v>0</v>
      </c>
      <c r="K347" s="5">
        <f t="shared" ca="1" si="160"/>
        <v>0</v>
      </c>
      <c r="L347" s="5">
        <f t="shared" ca="1" si="160"/>
        <v>0</v>
      </c>
      <c r="M347" s="5">
        <f t="shared" ca="1" si="160"/>
        <v>0</v>
      </c>
      <c r="N347" s="5">
        <f t="shared" ca="1" si="160"/>
        <v>0</v>
      </c>
      <c r="O347" s="5">
        <f t="shared" ca="1" si="160"/>
        <v>0</v>
      </c>
      <c r="P347" s="5">
        <f t="shared" ca="1" si="160"/>
        <v>0</v>
      </c>
      <c r="Q347" s="5">
        <f t="shared" ca="1" si="160"/>
        <v>0</v>
      </c>
      <c r="R347" s="5">
        <f t="shared" ca="1" si="160"/>
        <v>0</v>
      </c>
      <c r="S347" s="5">
        <f t="shared" ca="1" si="160"/>
        <v>0</v>
      </c>
      <c r="T347" s="5">
        <f t="shared" ca="1" si="160"/>
        <v>0</v>
      </c>
      <c r="U347" s="5">
        <f t="shared" ca="1" si="160"/>
        <v>0</v>
      </c>
      <c r="V347" s="5">
        <f t="shared" ca="1" si="160"/>
        <v>0</v>
      </c>
      <c r="W347" s="5">
        <f t="shared" ca="1" si="160"/>
        <v>0</v>
      </c>
      <c r="X347" s="5">
        <f t="shared" ca="1" si="160"/>
        <v>0</v>
      </c>
    </row>
    <row r="348" spans="2:24">
      <c r="B348" s="39" t="s">
        <v>556</v>
      </c>
      <c r="C348" s="40"/>
      <c r="D348" s="40"/>
      <c r="E348" s="40"/>
      <c r="F348" s="40"/>
      <c r="G348" s="41">
        <f t="shared" ref="G348:X348" si="161">G60+G204</f>
        <v>0</v>
      </c>
      <c r="H348" s="41">
        <f t="shared" si="161"/>
        <v>0</v>
      </c>
      <c r="I348" s="41">
        <f t="shared" si="161"/>
        <v>0</v>
      </c>
      <c r="J348" s="41">
        <f t="shared" si="161"/>
        <v>0</v>
      </c>
      <c r="K348" s="41">
        <f t="shared" si="161"/>
        <v>0</v>
      </c>
      <c r="L348" s="41">
        <f t="shared" si="161"/>
        <v>0</v>
      </c>
      <c r="M348" s="41">
        <f t="shared" si="161"/>
        <v>0</v>
      </c>
      <c r="N348" s="41">
        <f t="shared" si="161"/>
        <v>0</v>
      </c>
      <c r="O348" s="41">
        <f t="shared" si="161"/>
        <v>0</v>
      </c>
      <c r="P348" s="41">
        <f t="shared" si="161"/>
        <v>0</v>
      </c>
      <c r="Q348" s="41">
        <f t="shared" si="161"/>
        <v>0</v>
      </c>
      <c r="R348" s="41">
        <f t="shared" si="161"/>
        <v>0</v>
      </c>
      <c r="S348" s="41">
        <f t="shared" si="161"/>
        <v>0</v>
      </c>
      <c r="T348" s="41">
        <f t="shared" si="161"/>
        <v>0</v>
      </c>
      <c r="U348" s="41">
        <f t="shared" si="161"/>
        <v>0</v>
      </c>
      <c r="V348" s="41">
        <f t="shared" si="161"/>
        <v>0</v>
      </c>
      <c r="W348" s="41">
        <f t="shared" si="161"/>
        <v>0</v>
      </c>
      <c r="X348" s="41">
        <f t="shared" si="161"/>
        <v>0</v>
      </c>
    </row>
    <row r="349" spans="2:24">
      <c r="B349" s="39" t="s">
        <v>557</v>
      </c>
      <c r="C349" s="40"/>
      <c r="D349" s="40"/>
      <c r="E349" s="40"/>
      <c r="F349" s="40"/>
      <c r="G349" s="41">
        <f t="shared" ref="G349:X349" si="162">G61+G205</f>
        <v>0</v>
      </c>
      <c r="H349" s="41">
        <f t="shared" si="162"/>
        <v>0</v>
      </c>
      <c r="I349" s="41">
        <f t="shared" si="162"/>
        <v>0</v>
      </c>
      <c r="J349" s="41">
        <f t="shared" si="162"/>
        <v>0</v>
      </c>
      <c r="K349" s="41">
        <f t="shared" si="162"/>
        <v>0</v>
      </c>
      <c r="L349" s="41">
        <f t="shared" si="162"/>
        <v>0</v>
      </c>
      <c r="M349" s="41">
        <f t="shared" si="162"/>
        <v>0</v>
      </c>
      <c r="N349" s="41">
        <f t="shared" si="162"/>
        <v>0</v>
      </c>
      <c r="O349" s="41">
        <f t="shared" si="162"/>
        <v>0</v>
      </c>
      <c r="P349" s="41">
        <f t="shared" si="162"/>
        <v>0</v>
      </c>
      <c r="Q349" s="41">
        <f t="shared" si="162"/>
        <v>0</v>
      </c>
      <c r="R349" s="41">
        <f t="shared" si="162"/>
        <v>0</v>
      </c>
      <c r="S349" s="41">
        <f t="shared" si="162"/>
        <v>0</v>
      </c>
      <c r="T349" s="41">
        <f t="shared" si="162"/>
        <v>0</v>
      </c>
      <c r="U349" s="41">
        <f t="shared" si="162"/>
        <v>0</v>
      </c>
      <c r="V349" s="41">
        <f t="shared" si="162"/>
        <v>0</v>
      </c>
      <c r="W349" s="41">
        <f t="shared" si="162"/>
        <v>0</v>
      </c>
      <c r="X349" s="41">
        <f t="shared" si="162"/>
        <v>0</v>
      </c>
    </row>
    <row r="350" spans="2:24">
      <c r="B350" s="37" t="s">
        <v>558</v>
      </c>
      <c r="C350" s="52"/>
      <c r="D350" s="52"/>
      <c r="E350" s="52"/>
      <c r="F350" s="52"/>
      <c r="G350" s="33">
        <f t="shared" ref="G350:X350" si="163">G62+G206</f>
        <v>0</v>
      </c>
      <c r="H350" s="33">
        <f t="shared" si="163"/>
        <v>0</v>
      </c>
      <c r="I350" s="33">
        <f t="shared" si="163"/>
        <v>0</v>
      </c>
      <c r="J350" s="33">
        <f t="shared" si="163"/>
        <v>0</v>
      </c>
      <c r="K350" s="33">
        <f t="shared" si="163"/>
        <v>0</v>
      </c>
      <c r="L350" s="33">
        <f t="shared" si="163"/>
        <v>0</v>
      </c>
      <c r="M350" s="33">
        <f t="shared" si="163"/>
        <v>0</v>
      </c>
      <c r="N350" s="33">
        <f t="shared" si="163"/>
        <v>0</v>
      </c>
      <c r="O350" s="33">
        <f t="shared" si="163"/>
        <v>0</v>
      </c>
      <c r="P350" s="33">
        <f t="shared" si="163"/>
        <v>0</v>
      </c>
      <c r="Q350" s="33">
        <f t="shared" si="163"/>
        <v>0</v>
      </c>
      <c r="R350" s="33">
        <f t="shared" si="163"/>
        <v>0</v>
      </c>
      <c r="S350" s="33">
        <f t="shared" si="163"/>
        <v>0</v>
      </c>
      <c r="T350" s="33">
        <f t="shared" si="163"/>
        <v>0</v>
      </c>
      <c r="U350" s="33">
        <f t="shared" si="163"/>
        <v>0</v>
      </c>
      <c r="V350" s="33">
        <f t="shared" si="163"/>
        <v>0</v>
      </c>
      <c r="W350" s="33">
        <f t="shared" si="163"/>
        <v>0</v>
      </c>
      <c r="X350" s="33">
        <f t="shared" si="163"/>
        <v>0</v>
      </c>
    </row>
    <row r="351" spans="2:24">
      <c r="B351" s="37" t="s">
        <v>559</v>
      </c>
      <c r="C351" s="52"/>
      <c r="D351" s="52"/>
      <c r="E351" s="52"/>
      <c r="F351" s="52"/>
      <c r="G351" s="33">
        <f t="shared" ref="G351:X351" si="164">G63+G207</f>
        <v>0</v>
      </c>
      <c r="H351" s="33">
        <f t="shared" si="164"/>
        <v>0</v>
      </c>
      <c r="I351" s="33">
        <f t="shared" si="164"/>
        <v>0</v>
      </c>
      <c r="J351" s="33">
        <f t="shared" si="164"/>
        <v>0</v>
      </c>
      <c r="K351" s="33">
        <f t="shared" si="164"/>
        <v>0</v>
      </c>
      <c r="L351" s="33">
        <f t="shared" si="164"/>
        <v>0</v>
      </c>
      <c r="M351" s="33">
        <f t="shared" si="164"/>
        <v>0</v>
      </c>
      <c r="N351" s="33">
        <f t="shared" si="164"/>
        <v>0</v>
      </c>
      <c r="O351" s="33">
        <f t="shared" si="164"/>
        <v>0</v>
      </c>
      <c r="P351" s="33">
        <f t="shared" si="164"/>
        <v>0</v>
      </c>
      <c r="Q351" s="33">
        <f t="shared" si="164"/>
        <v>0</v>
      </c>
      <c r="R351" s="33">
        <f t="shared" si="164"/>
        <v>0</v>
      </c>
      <c r="S351" s="33">
        <f t="shared" si="164"/>
        <v>0</v>
      </c>
      <c r="T351" s="33">
        <f t="shared" si="164"/>
        <v>0</v>
      </c>
      <c r="U351" s="33">
        <f t="shared" si="164"/>
        <v>0</v>
      </c>
      <c r="V351" s="33">
        <f t="shared" si="164"/>
        <v>0</v>
      </c>
      <c r="W351" s="33">
        <f t="shared" si="164"/>
        <v>0</v>
      </c>
      <c r="X351" s="33">
        <f t="shared" si="164"/>
        <v>0</v>
      </c>
    </row>
    <row r="352" spans="2:24">
      <c r="B352" s="105" t="s">
        <v>560</v>
      </c>
      <c r="C352" s="106"/>
      <c r="D352" s="106"/>
      <c r="E352" s="106"/>
      <c r="F352" s="106"/>
      <c r="G352" s="107">
        <f t="shared" ref="G352:X352" si="165">G64+G208</f>
        <v>0</v>
      </c>
      <c r="H352" s="107">
        <f t="shared" si="165"/>
        <v>0</v>
      </c>
      <c r="I352" s="107">
        <f t="shared" si="165"/>
        <v>0</v>
      </c>
      <c r="J352" s="107">
        <f t="shared" si="165"/>
        <v>0</v>
      </c>
      <c r="K352" s="107">
        <f>K64+K208</f>
        <v>0</v>
      </c>
      <c r="L352" s="107">
        <f t="shared" si="165"/>
        <v>0</v>
      </c>
      <c r="M352" s="107">
        <f t="shared" si="165"/>
        <v>0</v>
      </c>
      <c r="N352" s="107">
        <f t="shared" si="165"/>
        <v>0</v>
      </c>
      <c r="O352" s="107">
        <f t="shared" si="165"/>
        <v>0</v>
      </c>
      <c r="P352" s="107">
        <f t="shared" si="165"/>
        <v>0</v>
      </c>
      <c r="Q352" s="107">
        <f t="shared" si="165"/>
        <v>0</v>
      </c>
      <c r="R352" s="107">
        <f t="shared" si="165"/>
        <v>0</v>
      </c>
      <c r="S352" s="107">
        <f t="shared" si="165"/>
        <v>0</v>
      </c>
      <c r="T352" s="107">
        <f t="shared" si="165"/>
        <v>0</v>
      </c>
      <c r="U352" s="107">
        <f t="shared" si="165"/>
        <v>0</v>
      </c>
      <c r="V352" s="107">
        <f t="shared" si="165"/>
        <v>0</v>
      </c>
      <c r="W352" s="107">
        <f t="shared" si="165"/>
        <v>0</v>
      </c>
      <c r="X352" s="107">
        <f t="shared" si="165"/>
        <v>0</v>
      </c>
    </row>
    <row r="353" spans="2:24">
      <c r="B353" s="99" t="s">
        <v>153</v>
      </c>
      <c r="C353" s="97" t="s">
        <v>561</v>
      </c>
      <c r="D353" s="97"/>
      <c r="E353" s="97"/>
      <c r="F353" s="97"/>
      <c r="G353" s="98">
        <f>G354+G355+G357+G360</f>
        <v>0</v>
      </c>
      <c r="H353" s="98">
        <f>H354+H355+H357+H360</f>
        <v>0</v>
      </c>
      <c r="I353" s="98">
        <f>I354+I355+I357+I360</f>
        <v>0</v>
      </c>
      <c r="J353" s="98">
        <f>J354+J355+J357+J360</f>
        <v>0</v>
      </c>
      <c r="K353" s="98">
        <f t="shared" ref="K353:X353" ca="1" si="166">K354+K355+K357+K360</f>
        <v>0</v>
      </c>
      <c r="L353" s="98">
        <f t="shared" ca="1" si="166"/>
        <v>0</v>
      </c>
      <c r="M353" s="98">
        <f t="shared" ca="1" si="166"/>
        <v>0</v>
      </c>
      <c r="N353" s="98">
        <f t="shared" ca="1" si="166"/>
        <v>0</v>
      </c>
      <c r="O353" s="98">
        <f t="shared" ca="1" si="166"/>
        <v>0</v>
      </c>
      <c r="P353" s="98">
        <f t="shared" ca="1" si="166"/>
        <v>0</v>
      </c>
      <c r="Q353" s="98">
        <f t="shared" ca="1" si="166"/>
        <v>0</v>
      </c>
      <c r="R353" s="98">
        <f t="shared" ca="1" si="166"/>
        <v>0</v>
      </c>
      <c r="S353" s="98">
        <f t="shared" ca="1" si="166"/>
        <v>0</v>
      </c>
      <c r="T353" s="98">
        <f t="shared" ca="1" si="166"/>
        <v>0</v>
      </c>
      <c r="U353" s="98">
        <f t="shared" ca="1" si="166"/>
        <v>0</v>
      </c>
      <c r="V353" s="98">
        <f t="shared" ca="1" si="166"/>
        <v>0</v>
      </c>
      <c r="W353" s="98">
        <f t="shared" ca="1" si="166"/>
        <v>0</v>
      </c>
      <c r="X353" s="98">
        <f t="shared" ca="1" si="166"/>
        <v>0</v>
      </c>
    </row>
    <row r="354" spans="2:24">
      <c r="B354" s="104" t="s">
        <v>562</v>
      </c>
      <c r="C354" s="102" t="s">
        <v>563</v>
      </c>
      <c r="D354" s="102"/>
      <c r="E354" s="102"/>
      <c r="F354" s="102"/>
      <c r="G354" s="103">
        <f>'Kapitał pracujący'!G104</f>
        <v>0</v>
      </c>
      <c r="H354" s="103">
        <f>'Kapitał pracujący'!H104</f>
        <v>0</v>
      </c>
      <c r="I354" s="103">
        <f>'Kapitał pracujący'!I104</f>
        <v>0</v>
      </c>
      <c r="J354" s="103">
        <f>'Kapitał pracujący'!J104</f>
        <v>0</v>
      </c>
      <c r="K354" s="103">
        <f ca="1">'Kapitał pracujący'!K104</f>
        <v>0</v>
      </c>
      <c r="L354" s="103">
        <f ca="1">'Kapitał pracujący'!L104</f>
        <v>0</v>
      </c>
      <c r="M354" s="103">
        <f ca="1">'Kapitał pracujący'!M104</f>
        <v>0</v>
      </c>
      <c r="N354" s="103">
        <f ca="1">'Kapitał pracujący'!N104</f>
        <v>0</v>
      </c>
      <c r="O354" s="103">
        <f ca="1">'Kapitał pracujący'!O104</f>
        <v>0</v>
      </c>
      <c r="P354" s="103">
        <f ca="1">'Kapitał pracujący'!P104</f>
        <v>0</v>
      </c>
      <c r="Q354" s="103">
        <f ca="1">'Kapitał pracujący'!Q104</f>
        <v>0</v>
      </c>
      <c r="R354" s="103">
        <f ca="1">'Kapitał pracujący'!R104</f>
        <v>0</v>
      </c>
      <c r="S354" s="103">
        <f ca="1">'Kapitał pracujący'!S104</f>
        <v>0</v>
      </c>
      <c r="T354" s="103">
        <f ca="1">'Kapitał pracujący'!T104</f>
        <v>0</v>
      </c>
      <c r="U354" s="103">
        <f ca="1">'Kapitał pracujący'!U104</f>
        <v>0</v>
      </c>
      <c r="V354" s="103">
        <f ca="1">'Kapitał pracujący'!V104</f>
        <v>0</v>
      </c>
      <c r="W354" s="103">
        <f ca="1">'Kapitał pracujący'!W104</f>
        <v>0</v>
      </c>
      <c r="X354" s="103">
        <f ca="1">'Kapitał pracujący'!X104</f>
        <v>0</v>
      </c>
    </row>
    <row r="355" spans="2:24">
      <c r="B355" s="37" t="s">
        <v>564</v>
      </c>
      <c r="C355" s="52"/>
      <c r="D355" s="52"/>
      <c r="E355" s="52"/>
      <c r="F355" s="52"/>
      <c r="G355" s="33">
        <f>G356</f>
        <v>0</v>
      </c>
      <c r="H355" s="33">
        <f>H356</f>
        <v>0</v>
      </c>
      <c r="I355" s="33">
        <f>I356</f>
        <v>0</v>
      </c>
      <c r="J355" s="33">
        <f>J356</f>
        <v>0</v>
      </c>
      <c r="K355" s="33">
        <f ca="1">K356</f>
        <v>0</v>
      </c>
      <c r="L355" s="33">
        <f t="shared" ref="L355:X355" ca="1" si="167">L356</f>
        <v>0</v>
      </c>
      <c r="M355" s="33">
        <f t="shared" ca="1" si="167"/>
        <v>0</v>
      </c>
      <c r="N355" s="33">
        <f t="shared" ca="1" si="167"/>
        <v>0</v>
      </c>
      <c r="O355" s="33">
        <f t="shared" ca="1" si="167"/>
        <v>0</v>
      </c>
      <c r="P355" s="33">
        <f t="shared" ca="1" si="167"/>
        <v>0</v>
      </c>
      <c r="Q355" s="33">
        <f t="shared" ca="1" si="167"/>
        <v>0</v>
      </c>
      <c r="R355" s="33">
        <f t="shared" ca="1" si="167"/>
        <v>0</v>
      </c>
      <c r="S355" s="33">
        <f t="shared" ca="1" si="167"/>
        <v>0</v>
      </c>
      <c r="T355" s="33">
        <f t="shared" ca="1" si="167"/>
        <v>0</v>
      </c>
      <c r="U355" s="33">
        <f t="shared" ca="1" si="167"/>
        <v>0</v>
      </c>
      <c r="V355" s="33">
        <f t="shared" ca="1" si="167"/>
        <v>0</v>
      </c>
      <c r="W355" s="33">
        <f t="shared" ca="1" si="167"/>
        <v>0</v>
      </c>
      <c r="X355" s="33">
        <f t="shared" ca="1" si="167"/>
        <v>0</v>
      </c>
    </row>
    <row r="356" spans="2:24">
      <c r="B356" s="39" t="s">
        <v>565</v>
      </c>
      <c r="C356" s="1" t="s">
        <v>566</v>
      </c>
      <c r="G356" s="41">
        <f>'Kapitał pracujący'!G113</f>
        <v>0</v>
      </c>
      <c r="H356" s="41">
        <f>'Kapitał pracujący'!H113</f>
        <v>0</v>
      </c>
      <c r="I356" s="41">
        <f>'Kapitał pracujący'!I113</f>
        <v>0</v>
      </c>
      <c r="J356" s="41">
        <f>'Kapitał pracujący'!J113</f>
        <v>0</v>
      </c>
      <c r="K356" s="41">
        <f ca="1">'Kapitał pracujący'!K113</f>
        <v>0</v>
      </c>
      <c r="L356" s="41">
        <f ca="1">'Kapitał pracujący'!L113</f>
        <v>0</v>
      </c>
      <c r="M356" s="41">
        <f ca="1">'Kapitał pracujący'!M113</f>
        <v>0</v>
      </c>
      <c r="N356" s="41">
        <f ca="1">'Kapitał pracujący'!N113</f>
        <v>0</v>
      </c>
      <c r="O356" s="41">
        <f ca="1">'Kapitał pracujący'!O113</f>
        <v>0</v>
      </c>
      <c r="P356" s="41">
        <f ca="1">'Kapitał pracujący'!P113</f>
        <v>0</v>
      </c>
      <c r="Q356" s="41">
        <f ca="1">'Kapitał pracujący'!Q113</f>
        <v>0</v>
      </c>
      <c r="R356" s="41">
        <f ca="1">'Kapitał pracujący'!R113</f>
        <v>0</v>
      </c>
      <c r="S356" s="41">
        <f ca="1">'Kapitał pracujący'!S113</f>
        <v>0</v>
      </c>
      <c r="T356" s="41">
        <f ca="1">'Kapitał pracujący'!T113</f>
        <v>0</v>
      </c>
      <c r="U356" s="41">
        <f ca="1">'Kapitał pracujący'!U113</f>
        <v>0</v>
      </c>
      <c r="V356" s="41">
        <f ca="1">'Kapitał pracujący'!V113</f>
        <v>0</v>
      </c>
      <c r="W356" s="41">
        <f ca="1">'Kapitał pracujący'!W113</f>
        <v>0</v>
      </c>
      <c r="X356" s="41">
        <f ca="1">'Kapitał pracujący'!X113</f>
        <v>0</v>
      </c>
    </row>
    <row r="357" spans="2:24">
      <c r="B357" s="37" t="s">
        <v>567</v>
      </c>
      <c r="C357" s="52"/>
      <c r="D357" s="52"/>
      <c r="E357" s="52"/>
      <c r="F357" s="52"/>
      <c r="G357" s="33">
        <f>G358+G359</f>
        <v>0</v>
      </c>
      <c r="H357" s="33">
        <f>H358+H359</f>
        <v>0</v>
      </c>
      <c r="I357" s="33">
        <f>I358+I359</f>
        <v>0</v>
      </c>
      <c r="J357" s="33">
        <f>J358+J359</f>
        <v>0</v>
      </c>
      <c r="K357" s="33">
        <f t="shared" ref="K357:X357" ca="1" si="168">K358+K359</f>
        <v>0</v>
      </c>
      <c r="L357" s="33">
        <f t="shared" ca="1" si="168"/>
        <v>0</v>
      </c>
      <c r="M357" s="33">
        <f t="shared" ca="1" si="168"/>
        <v>0</v>
      </c>
      <c r="N357" s="33">
        <f t="shared" ca="1" si="168"/>
        <v>0</v>
      </c>
      <c r="O357" s="33">
        <f t="shared" ca="1" si="168"/>
        <v>0</v>
      </c>
      <c r="P357" s="33">
        <f t="shared" ca="1" si="168"/>
        <v>0</v>
      </c>
      <c r="Q357" s="33">
        <f t="shared" ca="1" si="168"/>
        <v>0</v>
      </c>
      <c r="R357" s="33">
        <f t="shared" ca="1" si="168"/>
        <v>0</v>
      </c>
      <c r="S357" s="33">
        <f t="shared" ca="1" si="168"/>
        <v>0</v>
      </c>
      <c r="T357" s="33">
        <f t="shared" ca="1" si="168"/>
        <v>0</v>
      </c>
      <c r="U357" s="33">
        <f t="shared" ca="1" si="168"/>
        <v>0</v>
      </c>
      <c r="V357" s="33">
        <f t="shared" ca="1" si="168"/>
        <v>0</v>
      </c>
      <c r="W357" s="33">
        <f t="shared" ca="1" si="168"/>
        <v>0</v>
      </c>
      <c r="X357" s="33">
        <f t="shared" ca="1" si="168"/>
        <v>0</v>
      </c>
    </row>
    <row r="358" spans="2:24">
      <c r="B358" s="39" t="s">
        <v>568</v>
      </c>
      <c r="C358" s="40"/>
      <c r="D358" s="40"/>
      <c r="E358" s="40"/>
      <c r="F358" s="40"/>
      <c r="G358" s="41">
        <f>G409-G359</f>
        <v>0</v>
      </c>
      <c r="H358" s="41">
        <f>H409-H359</f>
        <v>0</v>
      </c>
      <c r="I358" s="41">
        <f>I409-I359</f>
        <v>0</v>
      </c>
      <c r="J358" s="41">
        <f>J409-J359</f>
        <v>0</v>
      </c>
      <c r="K358" s="41">
        <f t="shared" ref="K358:X358" ca="1" si="169">IF(LataProjekcji&lt;=Koniec,K409-K359,0)</f>
        <v>0</v>
      </c>
      <c r="L358" s="41">
        <f t="shared" ca="1" si="169"/>
        <v>0</v>
      </c>
      <c r="M358" s="41">
        <f t="shared" ca="1" si="169"/>
        <v>0</v>
      </c>
      <c r="N358" s="41">
        <f t="shared" ca="1" si="169"/>
        <v>0</v>
      </c>
      <c r="O358" s="41">
        <f t="shared" ca="1" si="169"/>
        <v>0</v>
      </c>
      <c r="P358" s="41">
        <f t="shared" ca="1" si="169"/>
        <v>0</v>
      </c>
      <c r="Q358" s="41">
        <f t="shared" ca="1" si="169"/>
        <v>0</v>
      </c>
      <c r="R358" s="41">
        <f t="shared" ca="1" si="169"/>
        <v>0</v>
      </c>
      <c r="S358" s="41">
        <f t="shared" ca="1" si="169"/>
        <v>0</v>
      </c>
      <c r="T358" s="41">
        <f t="shared" ca="1" si="169"/>
        <v>0</v>
      </c>
      <c r="U358" s="41">
        <f t="shared" ca="1" si="169"/>
        <v>0</v>
      </c>
      <c r="V358" s="41">
        <f t="shared" ca="1" si="169"/>
        <v>0</v>
      </c>
      <c r="W358" s="41">
        <f t="shared" ca="1" si="169"/>
        <v>0</v>
      </c>
      <c r="X358" s="41">
        <f t="shared" ca="1" si="169"/>
        <v>0</v>
      </c>
    </row>
    <row r="359" spans="2:24">
      <c r="B359" s="39" t="s">
        <v>569</v>
      </c>
      <c r="C359" s="40"/>
      <c r="D359" s="40"/>
      <c r="E359" s="40"/>
      <c r="F359" s="40"/>
      <c r="G359" s="41">
        <f t="shared" ref="G359:X359" si="170">G71+G215</f>
        <v>0</v>
      </c>
      <c r="H359" s="41">
        <f t="shared" si="170"/>
        <v>0</v>
      </c>
      <c r="I359" s="41">
        <f t="shared" si="170"/>
        <v>0</v>
      </c>
      <c r="J359" s="41">
        <f t="shared" si="170"/>
        <v>0</v>
      </c>
      <c r="K359" s="41">
        <f t="shared" si="170"/>
        <v>0</v>
      </c>
      <c r="L359" s="41">
        <f t="shared" si="170"/>
        <v>0</v>
      </c>
      <c r="M359" s="41">
        <f t="shared" si="170"/>
        <v>0</v>
      </c>
      <c r="N359" s="41">
        <f t="shared" si="170"/>
        <v>0</v>
      </c>
      <c r="O359" s="41">
        <f t="shared" si="170"/>
        <v>0</v>
      </c>
      <c r="P359" s="41">
        <f t="shared" si="170"/>
        <v>0</v>
      </c>
      <c r="Q359" s="41">
        <f t="shared" si="170"/>
        <v>0</v>
      </c>
      <c r="R359" s="41">
        <f t="shared" si="170"/>
        <v>0</v>
      </c>
      <c r="S359" s="41">
        <f t="shared" si="170"/>
        <v>0</v>
      </c>
      <c r="T359" s="41">
        <f t="shared" si="170"/>
        <v>0</v>
      </c>
      <c r="U359" s="41">
        <f t="shared" si="170"/>
        <v>0</v>
      </c>
      <c r="V359" s="41">
        <f t="shared" si="170"/>
        <v>0</v>
      </c>
      <c r="W359" s="41">
        <f t="shared" si="170"/>
        <v>0</v>
      </c>
      <c r="X359" s="41">
        <f t="shared" si="170"/>
        <v>0</v>
      </c>
    </row>
    <row r="360" spans="2:24">
      <c r="B360" s="106" t="s">
        <v>178</v>
      </c>
      <c r="C360" s="106"/>
      <c r="D360" s="106"/>
      <c r="E360" s="106"/>
      <c r="F360" s="106"/>
      <c r="G360" s="107">
        <f t="shared" ref="G360:X360" si="171">G72+G216</f>
        <v>0</v>
      </c>
      <c r="H360" s="107">
        <f t="shared" si="171"/>
        <v>0</v>
      </c>
      <c r="I360" s="107">
        <f t="shared" si="171"/>
        <v>0</v>
      </c>
      <c r="J360" s="107">
        <f t="shared" si="171"/>
        <v>0</v>
      </c>
      <c r="K360" s="107">
        <f t="shared" si="171"/>
        <v>0</v>
      </c>
      <c r="L360" s="107">
        <f t="shared" si="171"/>
        <v>0</v>
      </c>
      <c r="M360" s="107">
        <f t="shared" si="171"/>
        <v>0</v>
      </c>
      <c r="N360" s="107">
        <f t="shared" si="171"/>
        <v>0</v>
      </c>
      <c r="O360" s="107">
        <f t="shared" si="171"/>
        <v>0</v>
      </c>
      <c r="P360" s="107">
        <f t="shared" si="171"/>
        <v>0</v>
      </c>
      <c r="Q360" s="107">
        <f t="shared" si="171"/>
        <v>0</v>
      </c>
      <c r="R360" s="107">
        <f t="shared" si="171"/>
        <v>0</v>
      </c>
      <c r="S360" s="107">
        <f t="shared" si="171"/>
        <v>0</v>
      </c>
      <c r="T360" s="107">
        <f t="shared" si="171"/>
        <v>0</v>
      </c>
      <c r="U360" s="107">
        <f t="shared" si="171"/>
        <v>0</v>
      </c>
      <c r="V360" s="107">
        <f t="shared" si="171"/>
        <v>0</v>
      </c>
      <c r="W360" s="107">
        <f t="shared" si="171"/>
        <v>0</v>
      </c>
      <c r="X360" s="107">
        <f t="shared" si="171"/>
        <v>0</v>
      </c>
    </row>
    <row r="361" spans="2:24">
      <c r="B361" s="99" t="s">
        <v>179</v>
      </c>
      <c r="C361" s="97"/>
      <c r="D361" s="97"/>
      <c r="E361" s="97"/>
      <c r="F361" s="97"/>
      <c r="G361" s="98">
        <f>G353+G335</f>
        <v>0</v>
      </c>
      <c r="H361" s="98">
        <f>H353+H335</f>
        <v>0</v>
      </c>
      <c r="I361" s="98">
        <f>I353+I335</f>
        <v>0</v>
      </c>
      <c r="J361" s="98">
        <f>J353+J335</f>
        <v>0</v>
      </c>
      <c r="K361" s="98">
        <f t="shared" ref="K361:X361" ca="1" si="172">K353+K335</f>
        <v>0</v>
      </c>
      <c r="L361" s="98">
        <f t="shared" ca="1" si="172"/>
        <v>0</v>
      </c>
      <c r="M361" s="98">
        <f t="shared" ca="1" si="172"/>
        <v>0</v>
      </c>
      <c r="N361" s="98">
        <f t="shared" ca="1" si="172"/>
        <v>0</v>
      </c>
      <c r="O361" s="98">
        <f t="shared" ca="1" si="172"/>
        <v>0</v>
      </c>
      <c r="P361" s="98">
        <f t="shared" ca="1" si="172"/>
        <v>0</v>
      </c>
      <c r="Q361" s="98">
        <f t="shared" ca="1" si="172"/>
        <v>0</v>
      </c>
      <c r="R361" s="98">
        <f t="shared" ca="1" si="172"/>
        <v>0</v>
      </c>
      <c r="S361" s="98">
        <f t="shared" ca="1" si="172"/>
        <v>0</v>
      </c>
      <c r="T361" s="98">
        <f t="shared" ca="1" si="172"/>
        <v>0</v>
      </c>
      <c r="U361" s="98">
        <f t="shared" ca="1" si="172"/>
        <v>0</v>
      </c>
      <c r="V361" s="98">
        <f t="shared" ca="1" si="172"/>
        <v>0</v>
      </c>
      <c r="W361" s="98">
        <f t="shared" ca="1" si="172"/>
        <v>0</v>
      </c>
      <c r="X361" s="98">
        <f t="shared" ca="1" si="172"/>
        <v>0</v>
      </c>
    </row>
    <row r="362" spans="2:24">
      <c r="G362" s="5"/>
      <c r="H362" s="5"/>
      <c r="I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ht="13.8">
      <c r="B363" s="154" t="s">
        <v>570</v>
      </c>
      <c r="C363" s="218"/>
      <c r="D363" s="218"/>
      <c r="E363" s="218"/>
      <c r="F363" s="218"/>
      <c r="G363" s="223">
        <f t="shared" ref="G363:X363" ca="1" si="173">LataProjekcji</f>
        <v>0</v>
      </c>
      <c r="H363" s="223">
        <f t="shared" ca="1" si="173"/>
        <v>0</v>
      </c>
      <c r="I363" s="223">
        <f t="shared" ca="1" si="173"/>
        <v>0</v>
      </c>
      <c r="J363" s="224" t="str">
        <f t="shared" si="173"/>
        <v/>
      </c>
      <c r="K363" s="223" t="str">
        <f t="shared" si="173"/>
        <v>Uzupełnij dane</v>
      </c>
      <c r="L363" s="223" t="str">
        <f t="shared" si="173"/>
        <v/>
      </c>
      <c r="M363" s="223" t="str">
        <f t="shared" si="173"/>
        <v/>
      </c>
      <c r="N363" s="223" t="str">
        <f t="shared" si="173"/>
        <v/>
      </c>
      <c r="O363" s="223" t="str">
        <f t="shared" si="173"/>
        <v/>
      </c>
      <c r="P363" s="223" t="str">
        <f t="shared" si="173"/>
        <v/>
      </c>
      <c r="Q363" s="223" t="str">
        <f t="shared" si="173"/>
        <v/>
      </c>
      <c r="R363" s="223" t="str">
        <f t="shared" si="173"/>
        <v/>
      </c>
      <c r="S363" s="223" t="str">
        <f t="shared" si="173"/>
        <v/>
      </c>
      <c r="T363" s="223" t="str">
        <f t="shared" si="173"/>
        <v/>
      </c>
      <c r="U363" s="223" t="str">
        <f t="shared" si="173"/>
        <v/>
      </c>
      <c r="V363" s="223" t="str">
        <f t="shared" si="173"/>
        <v/>
      </c>
      <c r="W363" s="223" t="str">
        <f t="shared" si="173"/>
        <v/>
      </c>
      <c r="X363" s="223" t="str">
        <f t="shared" si="173"/>
        <v/>
      </c>
    </row>
    <row r="364" spans="2:24">
      <c r="B364" s="99" t="s">
        <v>571</v>
      </c>
      <c r="C364" s="97" t="s">
        <v>572</v>
      </c>
      <c r="D364" s="97"/>
      <c r="E364" s="97"/>
      <c r="F364" s="97"/>
      <c r="G364" s="98">
        <f>SUM(G365:G368)</f>
        <v>0</v>
      </c>
      <c r="H364" s="98">
        <f>SUM(H365:H368)</f>
        <v>0</v>
      </c>
      <c r="I364" s="98">
        <f>SUM(I365:I368)</f>
        <v>0</v>
      </c>
      <c r="J364" s="98">
        <f>SUM(J365:J368)</f>
        <v>0</v>
      </c>
      <c r="K364" s="98">
        <f t="shared" ref="K364:X364" ca="1" si="174">SUM(K365:K368)</f>
        <v>0</v>
      </c>
      <c r="L364" s="98">
        <f t="shared" ca="1" si="174"/>
        <v>0</v>
      </c>
      <c r="M364" s="98">
        <f t="shared" ca="1" si="174"/>
        <v>0</v>
      </c>
      <c r="N364" s="98">
        <f t="shared" ca="1" si="174"/>
        <v>0</v>
      </c>
      <c r="O364" s="98">
        <f t="shared" ca="1" si="174"/>
        <v>0</v>
      </c>
      <c r="P364" s="98">
        <f t="shared" ca="1" si="174"/>
        <v>0</v>
      </c>
      <c r="Q364" s="98">
        <f t="shared" ca="1" si="174"/>
        <v>0</v>
      </c>
      <c r="R364" s="98">
        <f t="shared" ca="1" si="174"/>
        <v>0</v>
      </c>
      <c r="S364" s="98">
        <f t="shared" ca="1" si="174"/>
        <v>0</v>
      </c>
      <c r="T364" s="98">
        <f t="shared" ca="1" si="174"/>
        <v>0</v>
      </c>
      <c r="U364" s="98">
        <f t="shared" ca="1" si="174"/>
        <v>0</v>
      </c>
      <c r="V364" s="98">
        <f t="shared" ca="1" si="174"/>
        <v>0</v>
      </c>
      <c r="W364" s="98">
        <f t="shared" ca="1" si="174"/>
        <v>0</v>
      </c>
      <c r="X364" s="98">
        <f t="shared" ca="1" si="174"/>
        <v>0</v>
      </c>
    </row>
    <row r="365" spans="2:24">
      <c r="B365" s="104" t="s">
        <v>573</v>
      </c>
      <c r="C365" s="102"/>
      <c r="D365" s="102"/>
      <c r="E365" s="102"/>
      <c r="F365" s="102"/>
      <c r="G365" s="103">
        <f t="shared" ref="G365:X365" si="175">G77+G221</f>
        <v>0</v>
      </c>
      <c r="H365" s="103">
        <f t="shared" si="175"/>
        <v>0</v>
      </c>
      <c r="I365" s="103">
        <f t="shared" si="175"/>
        <v>0</v>
      </c>
      <c r="J365" s="103">
        <f t="shared" si="175"/>
        <v>0</v>
      </c>
      <c r="K365" s="103">
        <f t="shared" si="175"/>
        <v>0</v>
      </c>
      <c r="L365" s="103">
        <f t="shared" si="175"/>
        <v>0</v>
      </c>
      <c r="M365" s="103">
        <f t="shared" si="175"/>
        <v>0</v>
      </c>
      <c r="N365" s="103">
        <f t="shared" si="175"/>
        <v>0</v>
      </c>
      <c r="O365" s="103">
        <f t="shared" si="175"/>
        <v>0</v>
      </c>
      <c r="P365" s="103">
        <f t="shared" si="175"/>
        <v>0</v>
      </c>
      <c r="Q365" s="103">
        <f t="shared" si="175"/>
        <v>0</v>
      </c>
      <c r="R365" s="103">
        <f t="shared" si="175"/>
        <v>0</v>
      </c>
      <c r="S365" s="103">
        <f t="shared" si="175"/>
        <v>0</v>
      </c>
      <c r="T365" s="103">
        <f t="shared" si="175"/>
        <v>0</v>
      </c>
      <c r="U365" s="103">
        <f t="shared" si="175"/>
        <v>0</v>
      </c>
      <c r="V365" s="103">
        <f t="shared" si="175"/>
        <v>0</v>
      </c>
      <c r="W365" s="103">
        <f t="shared" si="175"/>
        <v>0</v>
      </c>
      <c r="X365" s="103">
        <f t="shared" si="175"/>
        <v>0</v>
      </c>
    </row>
    <row r="366" spans="2:24">
      <c r="B366" s="37" t="s">
        <v>575</v>
      </c>
      <c r="C366" s="52"/>
      <c r="D366" s="52"/>
      <c r="E366" s="52"/>
      <c r="F366" s="52"/>
      <c r="G366" s="33">
        <f t="shared" ref="G366:X366" si="176">G79+G223</f>
        <v>0</v>
      </c>
      <c r="H366" s="33">
        <f t="shared" si="176"/>
        <v>0</v>
      </c>
      <c r="I366" s="33">
        <f t="shared" si="176"/>
        <v>0</v>
      </c>
      <c r="J366" s="33">
        <f t="shared" si="176"/>
        <v>0</v>
      </c>
      <c r="K366" s="33">
        <f t="shared" si="176"/>
        <v>0</v>
      </c>
      <c r="L366" s="33">
        <f t="shared" si="176"/>
        <v>0</v>
      </c>
      <c r="M366" s="33">
        <f t="shared" si="176"/>
        <v>0</v>
      </c>
      <c r="N366" s="33">
        <f t="shared" si="176"/>
        <v>0</v>
      </c>
      <c r="O366" s="33">
        <f t="shared" si="176"/>
        <v>0</v>
      </c>
      <c r="P366" s="33">
        <f t="shared" si="176"/>
        <v>0</v>
      </c>
      <c r="Q366" s="33">
        <f t="shared" si="176"/>
        <v>0</v>
      </c>
      <c r="R366" s="33">
        <f t="shared" si="176"/>
        <v>0</v>
      </c>
      <c r="S366" s="33">
        <f t="shared" si="176"/>
        <v>0</v>
      </c>
      <c r="T366" s="33">
        <f t="shared" si="176"/>
        <v>0</v>
      </c>
      <c r="U366" s="33">
        <f t="shared" si="176"/>
        <v>0</v>
      </c>
      <c r="V366" s="33">
        <f t="shared" si="176"/>
        <v>0</v>
      </c>
      <c r="W366" s="33">
        <f t="shared" si="176"/>
        <v>0</v>
      </c>
      <c r="X366" s="33">
        <f t="shared" si="176"/>
        <v>0</v>
      </c>
    </row>
    <row r="367" spans="2:24">
      <c r="B367" s="37" t="s">
        <v>576</v>
      </c>
      <c r="C367" s="52"/>
      <c r="D367" s="52"/>
      <c r="E367" s="52"/>
      <c r="F367" s="52"/>
      <c r="G367" s="33">
        <f>G80+G224</f>
        <v>0</v>
      </c>
      <c r="H367" s="33">
        <f>H80+H224</f>
        <v>0</v>
      </c>
      <c r="I367" s="33">
        <f>I80+I224</f>
        <v>0</v>
      </c>
      <c r="J367" s="33">
        <f>J80+J224</f>
        <v>0</v>
      </c>
      <c r="K367" s="33">
        <f t="shared" ref="K367:X367" si="177">IF(LataProjekcji&lt;=Koniec,K494,0)</f>
        <v>0</v>
      </c>
      <c r="L367" s="33">
        <f t="shared" ca="1" si="177"/>
        <v>0</v>
      </c>
      <c r="M367" s="33">
        <f t="shared" ca="1" si="177"/>
        <v>0</v>
      </c>
      <c r="N367" s="33">
        <f t="shared" ca="1" si="177"/>
        <v>0</v>
      </c>
      <c r="O367" s="33">
        <f t="shared" ca="1" si="177"/>
        <v>0</v>
      </c>
      <c r="P367" s="33">
        <f t="shared" ca="1" si="177"/>
        <v>0</v>
      </c>
      <c r="Q367" s="33">
        <f t="shared" ca="1" si="177"/>
        <v>0</v>
      </c>
      <c r="R367" s="33">
        <f t="shared" ca="1" si="177"/>
        <v>0</v>
      </c>
      <c r="S367" s="33">
        <f t="shared" ca="1" si="177"/>
        <v>0</v>
      </c>
      <c r="T367" s="33">
        <f t="shared" ca="1" si="177"/>
        <v>0</v>
      </c>
      <c r="U367" s="33">
        <f t="shared" ca="1" si="177"/>
        <v>0</v>
      </c>
      <c r="V367" s="33">
        <f t="shared" ca="1" si="177"/>
        <v>0</v>
      </c>
      <c r="W367" s="33">
        <f t="shared" ca="1" si="177"/>
        <v>0</v>
      </c>
      <c r="X367" s="33">
        <f t="shared" ca="1" si="177"/>
        <v>0</v>
      </c>
    </row>
    <row r="368" spans="2:24">
      <c r="B368" s="105" t="s">
        <v>577</v>
      </c>
      <c r="C368" s="106"/>
      <c r="D368" s="106"/>
      <c r="E368" s="106"/>
      <c r="F368" s="106"/>
      <c r="G368" s="107">
        <f>G330</f>
        <v>0</v>
      </c>
      <c r="H368" s="107">
        <f>H330</f>
        <v>0</v>
      </c>
      <c r="I368" s="107">
        <f>I330</f>
        <v>0</v>
      </c>
      <c r="J368" s="107">
        <f>J330</f>
        <v>0</v>
      </c>
      <c r="K368" s="107">
        <f t="shared" ref="K368:X368" ca="1" si="178">K330</f>
        <v>0</v>
      </c>
      <c r="L368" s="107">
        <f t="shared" ca="1" si="178"/>
        <v>0</v>
      </c>
      <c r="M368" s="107">
        <f t="shared" ca="1" si="178"/>
        <v>0</v>
      </c>
      <c r="N368" s="107">
        <f t="shared" ca="1" si="178"/>
        <v>0</v>
      </c>
      <c r="O368" s="107">
        <f t="shared" ca="1" si="178"/>
        <v>0</v>
      </c>
      <c r="P368" s="107">
        <f t="shared" ca="1" si="178"/>
        <v>0</v>
      </c>
      <c r="Q368" s="107">
        <f t="shared" ca="1" si="178"/>
        <v>0</v>
      </c>
      <c r="R368" s="107">
        <f t="shared" ca="1" si="178"/>
        <v>0</v>
      </c>
      <c r="S368" s="107">
        <f t="shared" ca="1" si="178"/>
        <v>0</v>
      </c>
      <c r="T368" s="107">
        <f t="shared" ca="1" si="178"/>
        <v>0</v>
      </c>
      <c r="U368" s="107">
        <f t="shared" ca="1" si="178"/>
        <v>0</v>
      </c>
      <c r="V368" s="107">
        <f t="shared" ca="1" si="178"/>
        <v>0</v>
      </c>
      <c r="W368" s="107">
        <f t="shared" ca="1" si="178"/>
        <v>0</v>
      </c>
      <c r="X368" s="107">
        <f t="shared" ca="1" si="178"/>
        <v>0</v>
      </c>
    </row>
    <row r="369" spans="2:24">
      <c r="B369" s="99" t="s">
        <v>578</v>
      </c>
      <c r="C369" s="97" t="s">
        <v>579</v>
      </c>
      <c r="D369" s="97"/>
      <c r="E369" s="97"/>
      <c r="F369" s="97"/>
      <c r="G369" s="98">
        <f t="shared" ref="G369:X369" si="179">G370+G371+G374+G378</f>
        <v>0</v>
      </c>
      <c r="H369" s="98">
        <f t="shared" si="179"/>
        <v>0</v>
      </c>
      <c r="I369" s="98">
        <f t="shared" si="179"/>
        <v>0</v>
      </c>
      <c r="J369" s="98">
        <f t="shared" si="179"/>
        <v>0</v>
      </c>
      <c r="K369" s="98">
        <f t="shared" ca="1" si="179"/>
        <v>0</v>
      </c>
      <c r="L369" s="98">
        <f t="shared" ca="1" si="179"/>
        <v>0</v>
      </c>
      <c r="M369" s="98">
        <f t="shared" ca="1" si="179"/>
        <v>0</v>
      </c>
      <c r="N369" s="98">
        <f t="shared" ca="1" si="179"/>
        <v>0</v>
      </c>
      <c r="O369" s="98">
        <f t="shared" ca="1" si="179"/>
        <v>0</v>
      </c>
      <c r="P369" s="98">
        <f t="shared" ca="1" si="179"/>
        <v>0</v>
      </c>
      <c r="Q369" s="98">
        <f t="shared" ca="1" si="179"/>
        <v>0</v>
      </c>
      <c r="R369" s="98">
        <f t="shared" ca="1" si="179"/>
        <v>0</v>
      </c>
      <c r="S369" s="98">
        <f t="shared" ca="1" si="179"/>
        <v>0</v>
      </c>
      <c r="T369" s="98">
        <f t="shared" ca="1" si="179"/>
        <v>0</v>
      </c>
      <c r="U369" s="98">
        <f t="shared" ca="1" si="179"/>
        <v>0</v>
      </c>
      <c r="V369" s="98">
        <f t="shared" ca="1" si="179"/>
        <v>0</v>
      </c>
      <c r="W369" s="98">
        <f t="shared" ca="1" si="179"/>
        <v>0</v>
      </c>
      <c r="X369" s="98">
        <f t="shared" ca="1" si="179"/>
        <v>0</v>
      </c>
    </row>
    <row r="370" spans="2:24">
      <c r="B370" s="8" t="s">
        <v>580</v>
      </c>
      <c r="G370" s="33">
        <f t="shared" ref="G370:X370" si="180">G227+G83</f>
        <v>0</v>
      </c>
      <c r="H370" s="33">
        <f t="shared" si="180"/>
        <v>0</v>
      </c>
      <c r="I370" s="33">
        <f t="shared" si="180"/>
        <v>0</v>
      </c>
      <c r="J370" s="33">
        <f t="shared" si="180"/>
        <v>0</v>
      </c>
      <c r="K370" s="33">
        <f t="shared" si="180"/>
        <v>0</v>
      </c>
      <c r="L370" s="33">
        <f t="shared" si="180"/>
        <v>0</v>
      </c>
      <c r="M370" s="33">
        <f t="shared" si="180"/>
        <v>0</v>
      </c>
      <c r="N370" s="33">
        <f t="shared" si="180"/>
        <v>0</v>
      </c>
      <c r="O370" s="33">
        <f t="shared" si="180"/>
        <v>0</v>
      </c>
      <c r="P370" s="33">
        <f t="shared" si="180"/>
        <v>0</v>
      </c>
      <c r="Q370" s="33">
        <f t="shared" si="180"/>
        <v>0</v>
      </c>
      <c r="R370" s="33">
        <f t="shared" si="180"/>
        <v>0</v>
      </c>
      <c r="S370" s="33">
        <f t="shared" si="180"/>
        <v>0</v>
      </c>
      <c r="T370" s="33">
        <f t="shared" si="180"/>
        <v>0</v>
      </c>
      <c r="U370" s="33">
        <f t="shared" si="180"/>
        <v>0</v>
      </c>
      <c r="V370" s="33">
        <f t="shared" si="180"/>
        <v>0</v>
      </c>
      <c r="W370" s="33">
        <f t="shared" si="180"/>
        <v>0</v>
      </c>
      <c r="X370" s="33">
        <f t="shared" si="180"/>
        <v>0</v>
      </c>
    </row>
    <row r="371" spans="2:24">
      <c r="B371" s="37" t="s">
        <v>581</v>
      </c>
      <c r="C371" s="52"/>
      <c r="D371" s="52"/>
      <c r="E371" s="52"/>
      <c r="F371" s="52"/>
      <c r="G371" s="33">
        <f>SUM(G372:G373)</f>
        <v>0</v>
      </c>
      <c r="H371" s="33">
        <f>SUM(H372:H373)</f>
        <v>0</v>
      </c>
      <c r="I371" s="33">
        <f>SUM(I372:I373)</f>
        <v>0</v>
      </c>
      <c r="J371" s="33">
        <f>SUM(J372:J373)</f>
        <v>0</v>
      </c>
      <c r="K371" s="33">
        <f t="shared" ref="K371:X371" si="181">SUM(K372:K373)</f>
        <v>0</v>
      </c>
      <c r="L371" s="33">
        <f t="shared" si="181"/>
        <v>0</v>
      </c>
      <c r="M371" s="33">
        <f t="shared" si="181"/>
        <v>0</v>
      </c>
      <c r="N371" s="33">
        <f t="shared" si="181"/>
        <v>0</v>
      </c>
      <c r="O371" s="33">
        <f t="shared" si="181"/>
        <v>0</v>
      </c>
      <c r="P371" s="33">
        <f t="shared" si="181"/>
        <v>0</v>
      </c>
      <c r="Q371" s="33">
        <f t="shared" si="181"/>
        <v>0</v>
      </c>
      <c r="R371" s="33">
        <f t="shared" si="181"/>
        <v>0</v>
      </c>
      <c r="S371" s="33">
        <f t="shared" si="181"/>
        <v>0</v>
      </c>
      <c r="T371" s="33">
        <f t="shared" si="181"/>
        <v>0</v>
      </c>
      <c r="U371" s="33">
        <f t="shared" si="181"/>
        <v>0</v>
      </c>
      <c r="V371" s="33">
        <f t="shared" si="181"/>
        <v>0</v>
      </c>
      <c r="W371" s="33">
        <f t="shared" si="181"/>
        <v>0</v>
      </c>
      <c r="X371" s="33">
        <f t="shared" si="181"/>
        <v>0</v>
      </c>
    </row>
    <row r="372" spans="2:24">
      <c r="B372" s="39" t="s">
        <v>582</v>
      </c>
      <c r="C372" s="40"/>
      <c r="D372" s="40"/>
      <c r="E372" s="40"/>
      <c r="F372" s="40"/>
      <c r="G372" s="41">
        <f t="shared" ref="G372:X372" si="182">G229+G85</f>
        <v>0</v>
      </c>
      <c r="H372" s="41">
        <f t="shared" si="182"/>
        <v>0</v>
      </c>
      <c r="I372" s="41">
        <f t="shared" si="182"/>
        <v>0</v>
      </c>
      <c r="J372" s="41">
        <f t="shared" si="182"/>
        <v>0</v>
      </c>
      <c r="K372" s="41">
        <f t="shared" si="182"/>
        <v>0</v>
      </c>
      <c r="L372" s="41">
        <f t="shared" si="182"/>
        <v>0</v>
      </c>
      <c r="M372" s="41">
        <f t="shared" si="182"/>
        <v>0</v>
      </c>
      <c r="N372" s="41">
        <f t="shared" si="182"/>
        <v>0</v>
      </c>
      <c r="O372" s="41">
        <f t="shared" si="182"/>
        <v>0</v>
      </c>
      <c r="P372" s="41">
        <f t="shared" si="182"/>
        <v>0</v>
      </c>
      <c r="Q372" s="41">
        <f t="shared" si="182"/>
        <v>0</v>
      </c>
      <c r="R372" s="41">
        <f t="shared" si="182"/>
        <v>0</v>
      </c>
      <c r="S372" s="41">
        <f t="shared" si="182"/>
        <v>0</v>
      </c>
      <c r="T372" s="41">
        <f t="shared" si="182"/>
        <v>0</v>
      </c>
      <c r="U372" s="41">
        <f t="shared" si="182"/>
        <v>0</v>
      </c>
      <c r="V372" s="41">
        <f t="shared" si="182"/>
        <v>0</v>
      </c>
      <c r="W372" s="41">
        <f t="shared" si="182"/>
        <v>0</v>
      </c>
      <c r="X372" s="41">
        <f t="shared" si="182"/>
        <v>0</v>
      </c>
    </row>
    <row r="373" spans="2:24">
      <c r="B373" s="39" t="s">
        <v>583</v>
      </c>
      <c r="C373" s="40"/>
      <c r="D373" s="40"/>
      <c r="E373" s="40"/>
      <c r="F373" s="40"/>
      <c r="G373" s="41">
        <f t="shared" ref="G373:X373" si="183">G230+G86</f>
        <v>0</v>
      </c>
      <c r="H373" s="41">
        <f t="shared" si="183"/>
        <v>0</v>
      </c>
      <c r="I373" s="41">
        <f t="shared" si="183"/>
        <v>0</v>
      </c>
      <c r="J373" s="41">
        <f t="shared" si="183"/>
        <v>0</v>
      </c>
      <c r="K373" s="41">
        <f t="shared" si="183"/>
        <v>0</v>
      </c>
      <c r="L373" s="41">
        <f t="shared" si="183"/>
        <v>0</v>
      </c>
      <c r="M373" s="41">
        <f t="shared" si="183"/>
        <v>0</v>
      </c>
      <c r="N373" s="41">
        <f t="shared" si="183"/>
        <v>0</v>
      </c>
      <c r="O373" s="41">
        <f t="shared" si="183"/>
        <v>0</v>
      </c>
      <c r="P373" s="41">
        <f t="shared" si="183"/>
        <v>0</v>
      </c>
      <c r="Q373" s="41">
        <f t="shared" si="183"/>
        <v>0</v>
      </c>
      <c r="R373" s="41">
        <f t="shared" si="183"/>
        <v>0</v>
      </c>
      <c r="S373" s="41">
        <f t="shared" si="183"/>
        <v>0</v>
      </c>
      <c r="T373" s="41">
        <f t="shared" si="183"/>
        <v>0</v>
      </c>
      <c r="U373" s="41">
        <f t="shared" si="183"/>
        <v>0</v>
      </c>
      <c r="V373" s="41">
        <f t="shared" si="183"/>
        <v>0</v>
      </c>
      <c r="W373" s="41">
        <f t="shared" si="183"/>
        <v>0</v>
      </c>
      <c r="X373" s="41">
        <f t="shared" si="183"/>
        <v>0</v>
      </c>
    </row>
    <row r="374" spans="2:24">
      <c r="B374" s="37" t="s">
        <v>584</v>
      </c>
      <c r="C374" s="52"/>
      <c r="D374" s="52"/>
      <c r="E374" s="52"/>
      <c r="F374" s="52"/>
      <c r="G374" s="33">
        <f t="shared" ref="G374:X374" si="184">SUM(G375:G377)</f>
        <v>0</v>
      </c>
      <c r="H374" s="33">
        <f t="shared" si="184"/>
        <v>0</v>
      </c>
      <c r="I374" s="33">
        <f t="shared" si="184"/>
        <v>0</v>
      </c>
      <c r="J374" s="33">
        <f t="shared" si="184"/>
        <v>0</v>
      </c>
      <c r="K374" s="33">
        <f t="shared" ca="1" si="184"/>
        <v>0</v>
      </c>
      <c r="L374" s="33">
        <f t="shared" ca="1" si="184"/>
        <v>0</v>
      </c>
      <c r="M374" s="33">
        <f t="shared" ca="1" si="184"/>
        <v>0</v>
      </c>
      <c r="N374" s="33">
        <f t="shared" ca="1" si="184"/>
        <v>0</v>
      </c>
      <c r="O374" s="33">
        <f t="shared" ca="1" si="184"/>
        <v>0</v>
      </c>
      <c r="P374" s="33">
        <f t="shared" ca="1" si="184"/>
        <v>0</v>
      </c>
      <c r="Q374" s="33">
        <f t="shared" ca="1" si="184"/>
        <v>0</v>
      </c>
      <c r="R374" s="33">
        <f t="shared" ca="1" si="184"/>
        <v>0</v>
      </c>
      <c r="S374" s="33">
        <f t="shared" ca="1" si="184"/>
        <v>0</v>
      </c>
      <c r="T374" s="33">
        <f t="shared" ca="1" si="184"/>
        <v>0</v>
      </c>
      <c r="U374" s="33">
        <f t="shared" ca="1" si="184"/>
        <v>0</v>
      </c>
      <c r="V374" s="33">
        <f t="shared" ca="1" si="184"/>
        <v>0</v>
      </c>
      <c r="W374" s="33">
        <f t="shared" ca="1" si="184"/>
        <v>0</v>
      </c>
      <c r="X374" s="33">
        <f t="shared" ca="1" si="184"/>
        <v>0</v>
      </c>
    </row>
    <row r="375" spans="2:24">
      <c r="B375" s="39" t="s">
        <v>585</v>
      </c>
      <c r="C375" s="40" t="s">
        <v>586</v>
      </c>
      <c r="D375" s="40"/>
      <c r="E375" s="40"/>
      <c r="F375" s="40"/>
      <c r="G375" s="41">
        <f>'Kapitał pracujący'!G122</f>
        <v>0</v>
      </c>
      <c r="H375" s="41">
        <f>'Kapitał pracujący'!H122</f>
        <v>0</v>
      </c>
      <c r="I375" s="41">
        <f>'Kapitał pracujący'!I122</f>
        <v>0</v>
      </c>
      <c r="J375" s="41">
        <f>'Kapitał pracujący'!J122</f>
        <v>0</v>
      </c>
      <c r="K375" s="41">
        <f ca="1">'Kapitał pracujący'!K122</f>
        <v>0</v>
      </c>
      <c r="L375" s="41">
        <f ca="1">'Kapitał pracujący'!L122</f>
        <v>0</v>
      </c>
      <c r="M375" s="41">
        <f ca="1">'Kapitał pracujący'!M122</f>
        <v>0</v>
      </c>
      <c r="N375" s="41">
        <f ca="1">'Kapitał pracujący'!N122</f>
        <v>0</v>
      </c>
      <c r="O375" s="41">
        <f ca="1">'Kapitał pracujący'!O122</f>
        <v>0</v>
      </c>
      <c r="P375" s="41">
        <f ca="1">'Kapitał pracujący'!P122</f>
        <v>0</v>
      </c>
      <c r="Q375" s="41">
        <f ca="1">'Kapitał pracujący'!Q122</f>
        <v>0</v>
      </c>
      <c r="R375" s="41">
        <f ca="1">'Kapitał pracujący'!R122</f>
        <v>0</v>
      </c>
      <c r="S375" s="41">
        <f ca="1">'Kapitał pracujący'!S122</f>
        <v>0</v>
      </c>
      <c r="T375" s="41">
        <f ca="1">'Kapitał pracujący'!T122</f>
        <v>0</v>
      </c>
      <c r="U375" s="41">
        <f ca="1">'Kapitał pracujący'!U122</f>
        <v>0</v>
      </c>
      <c r="V375" s="41">
        <f ca="1">'Kapitał pracujący'!V122</f>
        <v>0</v>
      </c>
      <c r="W375" s="41">
        <f ca="1">'Kapitał pracujący'!W122</f>
        <v>0</v>
      </c>
      <c r="X375" s="41">
        <f ca="1">'Kapitał pracujący'!X122</f>
        <v>0</v>
      </c>
    </row>
    <row r="376" spans="2:24">
      <c r="B376" s="39" t="s">
        <v>587</v>
      </c>
      <c r="C376" s="40"/>
      <c r="D376" s="40"/>
      <c r="E376" s="40"/>
      <c r="F376" s="40"/>
      <c r="G376" s="41">
        <f t="shared" ref="G376:X376" si="185">G233+G89</f>
        <v>0</v>
      </c>
      <c r="H376" s="41">
        <f t="shared" si="185"/>
        <v>0</v>
      </c>
      <c r="I376" s="41">
        <f t="shared" si="185"/>
        <v>0</v>
      </c>
      <c r="J376" s="41">
        <f t="shared" si="185"/>
        <v>0</v>
      </c>
      <c r="K376" s="41">
        <f t="shared" si="185"/>
        <v>0</v>
      </c>
      <c r="L376" s="41">
        <f t="shared" si="185"/>
        <v>0</v>
      </c>
      <c r="M376" s="41">
        <f t="shared" si="185"/>
        <v>0</v>
      </c>
      <c r="N376" s="41">
        <f t="shared" si="185"/>
        <v>0</v>
      </c>
      <c r="O376" s="41">
        <f t="shared" si="185"/>
        <v>0</v>
      </c>
      <c r="P376" s="41">
        <f t="shared" si="185"/>
        <v>0</v>
      </c>
      <c r="Q376" s="41">
        <f t="shared" si="185"/>
        <v>0</v>
      </c>
      <c r="R376" s="41">
        <f t="shared" si="185"/>
        <v>0</v>
      </c>
      <c r="S376" s="41">
        <f t="shared" si="185"/>
        <v>0</v>
      </c>
      <c r="T376" s="41">
        <f t="shared" si="185"/>
        <v>0</v>
      </c>
      <c r="U376" s="41">
        <f t="shared" si="185"/>
        <v>0</v>
      </c>
      <c r="V376" s="41">
        <f t="shared" si="185"/>
        <v>0</v>
      </c>
      <c r="W376" s="41">
        <f t="shared" si="185"/>
        <v>0</v>
      </c>
      <c r="X376" s="41">
        <f t="shared" si="185"/>
        <v>0</v>
      </c>
    </row>
    <row r="377" spans="2:24">
      <c r="B377" s="39" t="s">
        <v>588</v>
      </c>
      <c r="C377" s="40"/>
      <c r="D377" s="40"/>
      <c r="E377" s="40"/>
      <c r="F377" s="40"/>
      <c r="G377" s="41">
        <f t="shared" ref="G377:X377" si="186">G234+G90</f>
        <v>0</v>
      </c>
      <c r="H377" s="41">
        <f t="shared" si="186"/>
        <v>0</v>
      </c>
      <c r="I377" s="41">
        <f t="shared" si="186"/>
        <v>0</v>
      </c>
      <c r="J377" s="41">
        <f t="shared" si="186"/>
        <v>0</v>
      </c>
      <c r="K377" s="41">
        <f t="shared" si="186"/>
        <v>0</v>
      </c>
      <c r="L377" s="41">
        <f t="shared" si="186"/>
        <v>0</v>
      </c>
      <c r="M377" s="41">
        <f t="shared" si="186"/>
        <v>0</v>
      </c>
      <c r="N377" s="41">
        <f t="shared" si="186"/>
        <v>0</v>
      </c>
      <c r="O377" s="41">
        <f t="shared" si="186"/>
        <v>0</v>
      </c>
      <c r="P377" s="41">
        <f t="shared" si="186"/>
        <v>0</v>
      </c>
      <c r="Q377" s="41">
        <f t="shared" si="186"/>
        <v>0</v>
      </c>
      <c r="R377" s="41">
        <f t="shared" si="186"/>
        <v>0</v>
      </c>
      <c r="S377" s="41">
        <f t="shared" si="186"/>
        <v>0</v>
      </c>
      <c r="T377" s="41">
        <f t="shared" si="186"/>
        <v>0</v>
      </c>
      <c r="U377" s="41">
        <f t="shared" si="186"/>
        <v>0</v>
      </c>
      <c r="V377" s="41">
        <f t="shared" si="186"/>
        <v>0</v>
      </c>
      <c r="W377" s="41">
        <f t="shared" si="186"/>
        <v>0</v>
      </c>
      <c r="X377" s="41">
        <f t="shared" si="186"/>
        <v>0</v>
      </c>
    </row>
    <row r="378" spans="2:24">
      <c r="B378" s="37" t="s">
        <v>589</v>
      </c>
      <c r="C378" s="52"/>
      <c r="D378" s="52"/>
      <c r="E378" s="52"/>
      <c r="F378" s="52"/>
      <c r="G378" s="33">
        <f>G379+G380</f>
        <v>0</v>
      </c>
      <c r="H378" s="33">
        <f>H379+H380</f>
        <v>0</v>
      </c>
      <c r="I378" s="33">
        <f>I379+I380</f>
        <v>0</v>
      </c>
      <c r="J378" s="33">
        <f>J379+J380</f>
        <v>0</v>
      </c>
      <c r="K378" s="33">
        <f t="shared" ref="K378:X378" ca="1" si="187">K379+K380</f>
        <v>0</v>
      </c>
      <c r="L378" s="33">
        <f t="shared" ca="1" si="187"/>
        <v>0</v>
      </c>
      <c r="M378" s="33">
        <f t="shared" ca="1" si="187"/>
        <v>0</v>
      </c>
      <c r="N378" s="33">
        <f t="shared" ca="1" si="187"/>
        <v>0</v>
      </c>
      <c r="O378" s="33">
        <f t="shared" ca="1" si="187"/>
        <v>0</v>
      </c>
      <c r="P378" s="33">
        <f t="shared" ca="1" si="187"/>
        <v>0</v>
      </c>
      <c r="Q378" s="33">
        <f t="shared" ca="1" si="187"/>
        <v>0</v>
      </c>
      <c r="R378" s="33">
        <f t="shared" ca="1" si="187"/>
        <v>0</v>
      </c>
      <c r="S378" s="33">
        <f t="shared" ca="1" si="187"/>
        <v>0</v>
      </c>
      <c r="T378" s="33">
        <f t="shared" ca="1" si="187"/>
        <v>0</v>
      </c>
      <c r="U378" s="33">
        <f t="shared" ca="1" si="187"/>
        <v>0</v>
      </c>
      <c r="V378" s="33">
        <f t="shared" ca="1" si="187"/>
        <v>0</v>
      </c>
      <c r="W378" s="33">
        <f t="shared" ca="1" si="187"/>
        <v>0</v>
      </c>
      <c r="X378" s="33">
        <f t="shared" ca="1" si="187"/>
        <v>0</v>
      </c>
    </row>
    <row r="379" spans="2:24">
      <c r="B379" s="39" t="s">
        <v>590</v>
      </c>
      <c r="C379" s="40"/>
      <c r="D379" s="40"/>
      <c r="E379" s="40"/>
      <c r="F379" s="40"/>
      <c r="G379" s="41">
        <f t="shared" ref="G379:X379" si="188">G92+G236</f>
        <v>0</v>
      </c>
      <c r="H379" s="41">
        <f t="shared" si="188"/>
        <v>0</v>
      </c>
      <c r="I379" s="41">
        <f t="shared" si="188"/>
        <v>0</v>
      </c>
      <c r="J379" s="41">
        <f t="shared" si="188"/>
        <v>0</v>
      </c>
      <c r="K379" s="41">
        <f t="shared" ca="1" si="188"/>
        <v>0</v>
      </c>
      <c r="L379" s="41">
        <f t="shared" ca="1" si="188"/>
        <v>0</v>
      </c>
      <c r="M379" s="41">
        <f t="shared" ca="1" si="188"/>
        <v>0</v>
      </c>
      <c r="N379" s="41">
        <f t="shared" ca="1" si="188"/>
        <v>0</v>
      </c>
      <c r="O379" s="41">
        <f t="shared" ca="1" si="188"/>
        <v>0</v>
      </c>
      <c r="P379" s="41">
        <f t="shared" ca="1" si="188"/>
        <v>0</v>
      </c>
      <c r="Q379" s="41">
        <f t="shared" ca="1" si="188"/>
        <v>0</v>
      </c>
      <c r="R379" s="41">
        <f t="shared" ca="1" si="188"/>
        <v>0</v>
      </c>
      <c r="S379" s="41">
        <f t="shared" ca="1" si="188"/>
        <v>0</v>
      </c>
      <c r="T379" s="41">
        <f t="shared" ca="1" si="188"/>
        <v>0</v>
      </c>
      <c r="U379" s="41">
        <f t="shared" ca="1" si="188"/>
        <v>0</v>
      </c>
      <c r="V379" s="41">
        <f t="shared" ca="1" si="188"/>
        <v>0</v>
      </c>
      <c r="W379" s="41">
        <f t="shared" ca="1" si="188"/>
        <v>0</v>
      </c>
      <c r="X379" s="41">
        <f t="shared" ca="1" si="188"/>
        <v>0</v>
      </c>
    </row>
    <row r="380" spans="2:24">
      <c r="B380" s="39" t="s">
        <v>583</v>
      </c>
      <c r="C380" s="40"/>
      <c r="D380" s="40"/>
      <c r="E380" s="40"/>
      <c r="F380" s="40"/>
      <c r="G380" s="41">
        <f t="shared" ref="G380:X380" si="189">G93+G237</f>
        <v>0</v>
      </c>
      <c r="H380" s="41">
        <f t="shared" si="189"/>
        <v>0</v>
      </c>
      <c r="I380" s="41">
        <f t="shared" si="189"/>
        <v>0</v>
      </c>
      <c r="J380" s="41">
        <f t="shared" si="189"/>
        <v>0</v>
      </c>
      <c r="K380" s="41">
        <f t="shared" si="189"/>
        <v>0</v>
      </c>
      <c r="L380" s="41">
        <f t="shared" si="189"/>
        <v>0</v>
      </c>
      <c r="M380" s="41">
        <f t="shared" si="189"/>
        <v>0</v>
      </c>
      <c r="N380" s="41">
        <f t="shared" si="189"/>
        <v>0</v>
      </c>
      <c r="O380" s="41">
        <f t="shared" si="189"/>
        <v>0</v>
      </c>
      <c r="P380" s="41">
        <f t="shared" si="189"/>
        <v>0</v>
      </c>
      <c r="Q380" s="41">
        <f t="shared" si="189"/>
        <v>0</v>
      </c>
      <c r="R380" s="41">
        <f t="shared" si="189"/>
        <v>0</v>
      </c>
      <c r="S380" s="41">
        <f t="shared" si="189"/>
        <v>0</v>
      </c>
      <c r="T380" s="41">
        <f t="shared" si="189"/>
        <v>0</v>
      </c>
      <c r="U380" s="41">
        <f t="shared" si="189"/>
        <v>0</v>
      </c>
      <c r="V380" s="41">
        <f t="shared" si="189"/>
        <v>0</v>
      </c>
      <c r="W380" s="41">
        <f t="shared" si="189"/>
        <v>0</v>
      </c>
      <c r="X380" s="41">
        <f t="shared" si="189"/>
        <v>0</v>
      </c>
    </row>
    <row r="381" spans="2:24">
      <c r="B381" s="99" t="s">
        <v>218</v>
      </c>
      <c r="C381" s="97"/>
      <c r="D381" s="97"/>
      <c r="E381" s="97"/>
      <c r="F381" s="97"/>
      <c r="G381" s="98">
        <f t="shared" ref="G381:X381" si="190">G369+G364</f>
        <v>0</v>
      </c>
      <c r="H381" s="98">
        <f t="shared" si="190"/>
        <v>0</v>
      </c>
      <c r="I381" s="98">
        <f t="shared" si="190"/>
        <v>0</v>
      </c>
      <c r="J381" s="98">
        <f t="shared" si="190"/>
        <v>0</v>
      </c>
      <c r="K381" s="98">
        <f t="shared" ca="1" si="190"/>
        <v>0</v>
      </c>
      <c r="L381" s="98">
        <f t="shared" ca="1" si="190"/>
        <v>0</v>
      </c>
      <c r="M381" s="98">
        <f t="shared" ca="1" si="190"/>
        <v>0</v>
      </c>
      <c r="N381" s="98">
        <f t="shared" ca="1" si="190"/>
        <v>0</v>
      </c>
      <c r="O381" s="98">
        <f t="shared" ca="1" si="190"/>
        <v>0</v>
      </c>
      <c r="P381" s="98">
        <f t="shared" ca="1" si="190"/>
        <v>0</v>
      </c>
      <c r="Q381" s="98">
        <f t="shared" ca="1" si="190"/>
        <v>0</v>
      </c>
      <c r="R381" s="98">
        <f t="shared" ca="1" si="190"/>
        <v>0</v>
      </c>
      <c r="S381" s="98">
        <f t="shared" ca="1" si="190"/>
        <v>0</v>
      </c>
      <c r="T381" s="98">
        <f t="shared" ca="1" si="190"/>
        <v>0</v>
      </c>
      <c r="U381" s="98">
        <f t="shared" ca="1" si="190"/>
        <v>0</v>
      </c>
      <c r="V381" s="98">
        <f t="shared" ca="1" si="190"/>
        <v>0</v>
      </c>
      <c r="W381" s="98">
        <f t="shared" ca="1" si="190"/>
        <v>0</v>
      </c>
      <c r="X381" s="98">
        <f t="shared" ca="1" si="190"/>
        <v>0</v>
      </c>
    </row>
    <row r="382" spans="2:24">
      <c r="B382" s="109" t="s">
        <v>591</v>
      </c>
      <c r="C382" s="109"/>
      <c r="D382" s="109"/>
      <c r="E382" s="109"/>
      <c r="F382" s="109"/>
      <c r="G382" s="109" t="b">
        <f t="shared" ref="G382:X382" si="191">G381=G361</f>
        <v>1</v>
      </c>
      <c r="H382" s="109" t="b">
        <f t="shared" si="191"/>
        <v>1</v>
      </c>
      <c r="I382" s="109" t="b">
        <f t="shared" si="191"/>
        <v>1</v>
      </c>
      <c r="J382" s="53" t="b">
        <f t="shared" si="191"/>
        <v>1</v>
      </c>
      <c r="K382" s="109" t="b">
        <f t="shared" ca="1" si="191"/>
        <v>1</v>
      </c>
      <c r="L382" s="109" t="b">
        <f t="shared" ca="1" si="191"/>
        <v>1</v>
      </c>
      <c r="M382" s="109" t="b">
        <f t="shared" ca="1" si="191"/>
        <v>1</v>
      </c>
      <c r="N382" s="109" t="b">
        <f t="shared" ca="1" si="191"/>
        <v>1</v>
      </c>
      <c r="O382" s="109" t="b">
        <f t="shared" ca="1" si="191"/>
        <v>1</v>
      </c>
      <c r="P382" s="109" t="b">
        <f t="shared" ca="1" si="191"/>
        <v>1</v>
      </c>
      <c r="Q382" s="109" t="b">
        <f t="shared" ca="1" si="191"/>
        <v>1</v>
      </c>
      <c r="R382" s="109" t="b">
        <f t="shared" ca="1" si="191"/>
        <v>1</v>
      </c>
      <c r="S382" s="109" t="b">
        <f t="shared" ca="1" si="191"/>
        <v>1</v>
      </c>
      <c r="T382" s="109" t="b">
        <f t="shared" ca="1" si="191"/>
        <v>1</v>
      </c>
      <c r="U382" s="109" t="b">
        <f t="shared" ca="1" si="191"/>
        <v>1</v>
      </c>
      <c r="V382" s="109" t="b">
        <f t="shared" ca="1" si="191"/>
        <v>1</v>
      </c>
      <c r="W382" s="109" t="b">
        <f t="shared" ca="1" si="191"/>
        <v>1</v>
      </c>
      <c r="X382" s="109" t="b">
        <f t="shared" ca="1" si="191"/>
        <v>1</v>
      </c>
    </row>
    <row r="383" spans="2:24">
      <c r="B383" s="53"/>
      <c r="C383" s="53"/>
      <c r="D383" s="53"/>
      <c r="E383" s="53"/>
      <c r="F383" s="53"/>
      <c r="G383" s="110">
        <f>G361-G381</f>
        <v>0</v>
      </c>
      <c r="H383" s="110">
        <f>H361-H381</f>
        <v>0</v>
      </c>
      <c r="I383" s="110">
        <f>I361-I381</f>
        <v>0</v>
      </c>
      <c r="J383" s="110">
        <f>J361-J381</f>
        <v>0</v>
      </c>
      <c r="K383" s="110">
        <f t="shared" ref="K383:X383" ca="1" si="192">K361-K381</f>
        <v>0</v>
      </c>
      <c r="L383" s="110">
        <f t="shared" ca="1" si="192"/>
        <v>0</v>
      </c>
      <c r="M383" s="110">
        <f t="shared" ca="1" si="192"/>
        <v>0</v>
      </c>
      <c r="N383" s="110">
        <f t="shared" ca="1" si="192"/>
        <v>0</v>
      </c>
      <c r="O383" s="110">
        <f t="shared" ca="1" si="192"/>
        <v>0</v>
      </c>
      <c r="P383" s="110">
        <f t="shared" ca="1" si="192"/>
        <v>0</v>
      </c>
      <c r="Q383" s="110">
        <f t="shared" ca="1" si="192"/>
        <v>0</v>
      </c>
      <c r="R383" s="110">
        <f t="shared" ca="1" si="192"/>
        <v>0</v>
      </c>
      <c r="S383" s="110">
        <f t="shared" ca="1" si="192"/>
        <v>0</v>
      </c>
      <c r="T383" s="110">
        <f t="shared" ca="1" si="192"/>
        <v>0</v>
      </c>
      <c r="U383" s="110">
        <f t="shared" ca="1" si="192"/>
        <v>0</v>
      </c>
      <c r="V383" s="110">
        <f t="shared" ca="1" si="192"/>
        <v>0</v>
      </c>
      <c r="W383" s="110">
        <f t="shared" ca="1" si="192"/>
        <v>0</v>
      </c>
      <c r="X383" s="110">
        <f t="shared" ca="1" si="192"/>
        <v>0</v>
      </c>
    </row>
    <row r="384" spans="2:24">
      <c r="L384" s="5"/>
    </row>
    <row r="385" spans="2:24" ht="14.4">
      <c r="B385" s="153" t="s">
        <v>592</v>
      </c>
      <c r="C385" s="155"/>
      <c r="D385" s="155"/>
      <c r="E385" s="155"/>
      <c r="F385" s="155"/>
      <c r="G385" s="225">
        <f t="shared" ref="G385:X385" ca="1" si="193">LataProjekcji</f>
        <v>0</v>
      </c>
      <c r="H385" s="225">
        <f t="shared" ca="1" si="193"/>
        <v>0</v>
      </c>
      <c r="I385" s="225">
        <f t="shared" ca="1" si="193"/>
        <v>0</v>
      </c>
      <c r="J385" s="226" t="str">
        <f t="shared" si="193"/>
        <v/>
      </c>
      <c r="K385" s="225" t="str">
        <f t="shared" si="193"/>
        <v>Uzupełnij dane</v>
      </c>
      <c r="L385" s="225" t="str">
        <f t="shared" si="193"/>
        <v/>
      </c>
      <c r="M385" s="225" t="str">
        <f t="shared" si="193"/>
        <v/>
      </c>
      <c r="N385" s="225" t="str">
        <f t="shared" si="193"/>
        <v/>
      </c>
      <c r="O385" s="225" t="str">
        <f t="shared" si="193"/>
        <v/>
      </c>
      <c r="P385" s="225" t="str">
        <f t="shared" si="193"/>
        <v/>
      </c>
      <c r="Q385" s="225" t="str">
        <f t="shared" si="193"/>
        <v/>
      </c>
      <c r="R385" s="225" t="str">
        <f t="shared" si="193"/>
        <v/>
      </c>
      <c r="S385" s="225" t="str">
        <f t="shared" si="193"/>
        <v/>
      </c>
      <c r="T385" s="225" t="str">
        <f t="shared" si="193"/>
        <v/>
      </c>
      <c r="U385" s="225" t="str">
        <f t="shared" si="193"/>
        <v/>
      </c>
      <c r="V385" s="225" t="str">
        <f t="shared" si="193"/>
        <v/>
      </c>
      <c r="W385" s="225" t="str">
        <f t="shared" si="193"/>
        <v/>
      </c>
      <c r="X385" s="225" t="str">
        <f t="shared" si="193"/>
        <v/>
      </c>
    </row>
    <row r="386" spans="2:24">
      <c r="B386" s="96" t="s">
        <v>593</v>
      </c>
      <c r="C386" s="97"/>
      <c r="D386" s="97"/>
      <c r="E386" s="97"/>
      <c r="F386" s="97"/>
      <c r="G386" s="98">
        <f>SUM(G387:G393)</f>
        <v>0</v>
      </c>
      <c r="H386" s="98">
        <f t="shared" ref="H386:X386" si="194">SUM(H387:H393)</f>
        <v>0</v>
      </c>
      <c r="I386" s="98">
        <f t="shared" si="194"/>
        <v>0</v>
      </c>
      <c r="J386" s="98">
        <f t="shared" si="194"/>
        <v>0</v>
      </c>
      <c r="K386" s="98">
        <f t="shared" ca="1" si="194"/>
        <v>0</v>
      </c>
      <c r="L386" s="98">
        <f t="shared" ca="1" si="194"/>
        <v>0</v>
      </c>
      <c r="M386" s="98">
        <f t="shared" ca="1" si="194"/>
        <v>0</v>
      </c>
      <c r="N386" s="98">
        <f t="shared" ca="1" si="194"/>
        <v>0</v>
      </c>
      <c r="O386" s="98">
        <f t="shared" ca="1" si="194"/>
        <v>0</v>
      </c>
      <c r="P386" s="98">
        <f t="shared" ca="1" si="194"/>
        <v>0</v>
      </c>
      <c r="Q386" s="98">
        <f t="shared" ca="1" si="194"/>
        <v>0</v>
      </c>
      <c r="R386" s="98">
        <f t="shared" ca="1" si="194"/>
        <v>0</v>
      </c>
      <c r="S386" s="98">
        <f t="shared" ca="1" si="194"/>
        <v>0</v>
      </c>
      <c r="T386" s="98">
        <f t="shared" ca="1" si="194"/>
        <v>0</v>
      </c>
      <c r="U386" s="98">
        <f t="shared" ca="1" si="194"/>
        <v>0</v>
      </c>
      <c r="V386" s="98">
        <f t="shared" ca="1" si="194"/>
        <v>0</v>
      </c>
      <c r="W386" s="98">
        <f t="shared" ca="1" si="194"/>
        <v>0</v>
      </c>
      <c r="X386" s="98">
        <f t="shared" ca="1" si="194"/>
        <v>0</v>
      </c>
    </row>
    <row r="387" spans="2:24">
      <c r="B387" s="94" t="s">
        <v>594</v>
      </c>
      <c r="C387" s="19"/>
      <c r="D387" s="19"/>
      <c r="E387" s="19"/>
      <c r="F387" s="19"/>
      <c r="G387" s="95">
        <f t="shared" ref="G387:X387" si="195">G330</f>
        <v>0</v>
      </c>
      <c r="H387" s="95">
        <f t="shared" si="195"/>
        <v>0</v>
      </c>
      <c r="I387" s="95">
        <f t="shared" si="195"/>
        <v>0</v>
      </c>
      <c r="J387" s="95">
        <f>IF(Rok_n="",0,J330)</f>
        <v>0</v>
      </c>
      <c r="K387" s="95">
        <f t="shared" ca="1" si="195"/>
        <v>0</v>
      </c>
      <c r="L387" s="95">
        <f t="shared" ca="1" si="195"/>
        <v>0</v>
      </c>
      <c r="M387" s="95">
        <f t="shared" ca="1" si="195"/>
        <v>0</v>
      </c>
      <c r="N387" s="95">
        <f t="shared" ca="1" si="195"/>
        <v>0</v>
      </c>
      <c r="O387" s="95">
        <f t="shared" ca="1" si="195"/>
        <v>0</v>
      </c>
      <c r="P387" s="95">
        <f t="shared" ca="1" si="195"/>
        <v>0</v>
      </c>
      <c r="Q387" s="95">
        <f t="shared" ca="1" si="195"/>
        <v>0</v>
      </c>
      <c r="R387" s="95">
        <f t="shared" ca="1" si="195"/>
        <v>0</v>
      </c>
      <c r="S387" s="95">
        <f t="shared" ca="1" si="195"/>
        <v>0</v>
      </c>
      <c r="T387" s="95">
        <f t="shared" ca="1" si="195"/>
        <v>0</v>
      </c>
      <c r="U387" s="95">
        <f t="shared" ca="1" si="195"/>
        <v>0</v>
      </c>
      <c r="V387" s="95">
        <f t="shared" ca="1" si="195"/>
        <v>0</v>
      </c>
      <c r="W387" s="95">
        <f t="shared" ca="1" si="195"/>
        <v>0</v>
      </c>
      <c r="X387" s="95">
        <f t="shared" ca="1" si="195"/>
        <v>0</v>
      </c>
    </row>
    <row r="388" spans="2:24">
      <c r="B388" s="37" t="s">
        <v>595</v>
      </c>
      <c r="C388" s="52"/>
      <c r="D388" s="52"/>
      <c r="E388" s="52"/>
      <c r="F388" s="52"/>
      <c r="G388" s="33">
        <f t="shared" ref="G388:X388" si="196">G309</f>
        <v>0</v>
      </c>
      <c r="H388" s="33">
        <f t="shared" si="196"/>
        <v>0</v>
      </c>
      <c r="I388" s="33">
        <f t="shared" si="196"/>
        <v>0</v>
      </c>
      <c r="J388" s="33">
        <f>IF(Rok_n="",0,J309)</f>
        <v>0</v>
      </c>
      <c r="K388" s="33">
        <f t="shared" ca="1" si="196"/>
        <v>0</v>
      </c>
      <c r="L388" s="33">
        <f t="shared" ca="1" si="196"/>
        <v>0</v>
      </c>
      <c r="M388" s="33">
        <f t="shared" ca="1" si="196"/>
        <v>0</v>
      </c>
      <c r="N388" s="33">
        <f t="shared" ca="1" si="196"/>
        <v>0</v>
      </c>
      <c r="O388" s="33">
        <f t="shared" ca="1" si="196"/>
        <v>0</v>
      </c>
      <c r="P388" s="33">
        <f t="shared" ca="1" si="196"/>
        <v>0</v>
      </c>
      <c r="Q388" s="33">
        <f t="shared" ca="1" si="196"/>
        <v>0</v>
      </c>
      <c r="R388" s="33">
        <f t="shared" ca="1" si="196"/>
        <v>0</v>
      </c>
      <c r="S388" s="33">
        <f t="shared" ca="1" si="196"/>
        <v>0</v>
      </c>
      <c r="T388" s="33">
        <f t="shared" ca="1" si="196"/>
        <v>0</v>
      </c>
      <c r="U388" s="33">
        <f t="shared" ca="1" si="196"/>
        <v>0</v>
      </c>
      <c r="V388" s="33">
        <f t="shared" ca="1" si="196"/>
        <v>0</v>
      </c>
      <c r="W388" s="33">
        <f t="shared" ca="1" si="196"/>
        <v>0</v>
      </c>
      <c r="X388" s="33">
        <f t="shared" ca="1" si="196"/>
        <v>0</v>
      </c>
    </row>
    <row r="389" spans="2:24">
      <c r="B389" s="37" t="s">
        <v>596</v>
      </c>
      <c r="C389" s="52"/>
      <c r="D389" s="52"/>
      <c r="E389" s="52"/>
      <c r="F389" s="52"/>
      <c r="G389" s="33">
        <f>E354-G354</f>
        <v>0</v>
      </c>
      <c r="H389" s="33">
        <f>G354-H354</f>
        <v>0</v>
      </c>
      <c r="I389" s="33">
        <f>H354-I354</f>
        <v>0</v>
      </c>
      <c r="J389" s="33">
        <f>IF(Rok_n="",0,I354-J354)</f>
        <v>0</v>
      </c>
      <c r="K389" s="33">
        <f ca="1">IF(LataProjekcji&lt;=Koniec,IF(Założenia!$J$32=12,J354-K354,I354-K354),0)</f>
        <v>0</v>
      </c>
      <c r="L389" s="33">
        <f t="shared" ref="L389:X389" ca="1" si="197">IF(LataProjekcji&lt;=Koniec,K354-L354,0)</f>
        <v>0</v>
      </c>
      <c r="M389" s="33">
        <f t="shared" ca="1" si="197"/>
        <v>0</v>
      </c>
      <c r="N389" s="33">
        <f t="shared" ca="1" si="197"/>
        <v>0</v>
      </c>
      <c r="O389" s="33">
        <f t="shared" ca="1" si="197"/>
        <v>0</v>
      </c>
      <c r="P389" s="33">
        <f t="shared" ca="1" si="197"/>
        <v>0</v>
      </c>
      <c r="Q389" s="33">
        <f t="shared" ca="1" si="197"/>
        <v>0</v>
      </c>
      <c r="R389" s="33">
        <f t="shared" ca="1" si="197"/>
        <v>0</v>
      </c>
      <c r="S389" s="33">
        <f t="shared" ca="1" si="197"/>
        <v>0</v>
      </c>
      <c r="T389" s="33">
        <f t="shared" ca="1" si="197"/>
        <v>0</v>
      </c>
      <c r="U389" s="33">
        <f t="shared" ca="1" si="197"/>
        <v>0</v>
      </c>
      <c r="V389" s="33">
        <f t="shared" ca="1" si="197"/>
        <v>0</v>
      </c>
      <c r="W389" s="33">
        <f t="shared" ca="1" si="197"/>
        <v>0</v>
      </c>
      <c r="X389" s="33">
        <f t="shared" ca="1" si="197"/>
        <v>0</v>
      </c>
    </row>
    <row r="390" spans="2:24">
      <c r="B390" s="37" t="s">
        <v>597</v>
      </c>
      <c r="C390" s="52"/>
      <c r="D390" s="52"/>
      <c r="E390" s="52"/>
      <c r="F390" s="52"/>
      <c r="G390" s="33">
        <f>E355-G355</f>
        <v>0</v>
      </c>
      <c r="H390" s="33">
        <f>G355-H355</f>
        <v>0</v>
      </c>
      <c r="I390" s="33">
        <f>H355-I355</f>
        <v>0</v>
      </c>
      <c r="J390" s="33">
        <f>IF(Rok_n="",0,I355-J355)</f>
        <v>0</v>
      </c>
      <c r="K390" s="33">
        <f ca="1">IF(LataProjekcji&lt;=Koniec,IF(Założenia!$J$32=12,J355-K355,I355-K355),0)</f>
        <v>0</v>
      </c>
      <c r="L390" s="33">
        <f t="shared" ref="L390:X390" ca="1" si="198">IF(LataProjekcji&lt;=Koniec,K355-L355,0)</f>
        <v>0</v>
      </c>
      <c r="M390" s="33">
        <f t="shared" ca="1" si="198"/>
        <v>0</v>
      </c>
      <c r="N390" s="33">
        <f t="shared" ca="1" si="198"/>
        <v>0</v>
      </c>
      <c r="O390" s="33">
        <f t="shared" ca="1" si="198"/>
        <v>0</v>
      </c>
      <c r="P390" s="33">
        <f t="shared" ca="1" si="198"/>
        <v>0</v>
      </c>
      <c r="Q390" s="33">
        <f t="shared" ca="1" si="198"/>
        <v>0</v>
      </c>
      <c r="R390" s="33">
        <f t="shared" ca="1" si="198"/>
        <v>0</v>
      </c>
      <c r="S390" s="33">
        <f t="shared" ca="1" si="198"/>
        <v>0</v>
      </c>
      <c r="T390" s="33">
        <f t="shared" ca="1" si="198"/>
        <v>0</v>
      </c>
      <c r="U390" s="33">
        <f t="shared" ca="1" si="198"/>
        <v>0</v>
      </c>
      <c r="V390" s="33">
        <f t="shared" ca="1" si="198"/>
        <v>0</v>
      </c>
      <c r="W390" s="33">
        <f t="shared" ca="1" si="198"/>
        <v>0</v>
      </c>
      <c r="X390" s="33">
        <f t="shared" ca="1" si="198"/>
        <v>0</v>
      </c>
    </row>
    <row r="391" spans="2:24">
      <c r="B391" s="37" t="s">
        <v>598</v>
      </c>
      <c r="C391" s="52"/>
      <c r="D391" s="52"/>
      <c r="E391" s="52"/>
      <c r="F391" s="52"/>
      <c r="G391" s="33">
        <f>(G374-E374)-(G376-E376)</f>
        <v>0</v>
      </c>
      <c r="H391" s="33">
        <f>(H374-G374)-(H376-G376)</f>
        <v>0</v>
      </c>
      <c r="I391" s="33">
        <f>(I374-H374)-(I376-H376)</f>
        <v>0</v>
      </c>
      <c r="J391" s="33">
        <f>IF(Rok_n="",0,(J374-I374)-(J376-I376))</f>
        <v>0</v>
      </c>
      <c r="K391" s="33">
        <f ca="1">IF(LataProjekcji&lt;=Koniec,IF(Założenia!$J$32=12,(K374-J374)-(K376-J376),(K374-I374)-(K376-I376)),0)</f>
        <v>0</v>
      </c>
      <c r="L391" s="33">
        <f t="shared" ref="L391:X391" ca="1" si="199">IF(LataProjekcji&lt;=Koniec,(L374-K374)-(L376-K376),0)</f>
        <v>0</v>
      </c>
      <c r="M391" s="33">
        <f t="shared" ca="1" si="199"/>
        <v>0</v>
      </c>
      <c r="N391" s="33">
        <f t="shared" ca="1" si="199"/>
        <v>0</v>
      </c>
      <c r="O391" s="33">
        <f t="shared" ca="1" si="199"/>
        <v>0</v>
      </c>
      <c r="P391" s="33">
        <f t="shared" ca="1" si="199"/>
        <v>0</v>
      </c>
      <c r="Q391" s="33">
        <f t="shared" ca="1" si="199"/>
        <v>0</v>
      </c>
      <c r="R391" s="33">
        <f t="shared" ca="1" si="199"/>
        <v>0</v>
      </c>
      <c r="S391" s="33">
        <f t="shared" ca="1" si="199"/>
        <v>0</v>
      </c>
      <c r="T391" s="33">
        <f t="shared" ca="1" si="199"/>
        <v>0</v>
      </c>
      <c r="U391" s="33">
        <f t="shared" ca="1" si="199"/>
        <v>0</v>
      </c>
      <c r="V391" s="33">
        <f t="shared" ca="1" si="199"/>
        <v>0</v>
      </c>
      <c r="W391" s="33">
        <f t="shared" ca="1" si="199"/>
        <v>0</v>
      </c>
      <c r="X391" s="33">
        <f t="shared" ca="1" si="199"/>
        <v>0</v>
      </c>
    </row>
    <row r="392" spans="2:24">
      <c r="B392" s="37" t="s">
        <v>599</v>
      </c>
      <c r="C392" s="52"/>
      <c r="D392" s="52"/>
      <c r="E392" s="52"/>
      <c r="F392" s="52"/>
      <c r="G392" s="33">
        <f>(E352-G352)+(E360-G360)+(G378-E378)-G404</f>
        <v>0</v>
      </c>
      <c r="H392" s="33">
        <f>(G352-H352)+(G360-H360)+(H378-G378)-H404</f>
        <v>0</v>
      </c>
      <c r="I392" s="33">
        <f>(H352-I352)+(H360-I360)+(I378-H378)-I404</f>
        <v>0</v>
      </c>
      <c r="J392" s="33">
        <f>IF(Rok_n="",0,(I352-J352)+(I360-J360)+(J378-I378)-J404)</f>
        <v>0</v>
      </c>
      <c r="K392" s="33">
        <f t="shared" ref="K392:X392" ca="1" si="200">IF(LataProjekcji&lt;=Koniec,(K249+K105),0)</f>
        <v>0</v>
      </c>
      <c r="L392" s="33">
        <f t="shared" ca="1" si="200"/>
        <v>0</v>
      </c>
      <c r="M392" s="33">
        <f t="shared" ca="1" si="200"/>
        <v>0</v>
      </c>
      <c r="N392" s="33">
        <f t="shared" ca="1" si="200"/>
        <v>0</v>
      </c>
      <c r="O392" s="33">
        <f t="shared" ca="1" si="200"/>
        <v>0</v>
      </c>
      <c r="P392" s="33">
        <f t="shared" ca="1" si="200"/>
        <v>0</v>
      </c>
      <c r="Q392" s="33">
        <f t="shared" ca="1" si="200"/>
        <v>0</v>
      </c>
      <c r="R392" s="33">
        <f t="shared" ca="1" si="200"/>
        <v>0</v>
      </c>
      <c r="S392" s="33">
        <f t="shared" ca="1" si="200"/>
        <v>0</v>
      </c>
      <c r="T392" s="33">
        <f t="shared" ca="1" si="200"/>
        <v>0</v>
      </c>
      <c r="U392" s="33">
        <f t="shared" ca="1" si="200"/>
        <v>0</v>
      </c>
      <c r="V392" s="33">
        <f t="shared" ca="1" si="200"/>
        <v>0</v>
      </c>
      <c r="W392" s="33">
        <f t="shared" ca="1" si="200"/>
        <v>0</v>
      </c>
      <c r="X392" s="33">
        <f t="shared" ca="1" si="200"/>
        <v>0</v>
      </c>
    </row>
    <row r="393" spans="2:24">
      <c r="B393" s="37" t="s">
        <v>600</v>
      </c>
      <c r="C393" s="52"/>
      <c r="D393" s="52"/>
      <c r="E393" s="52"/>
      <c r="F393" s="19"/>
      <c r="G393" s="95">
        <f t="shared" ref="G393:X393" si="201">G250+G106</f>
        <v>0</v>
      </c>
      <c r="H393" s="95">
        <f t="shared" si="201"/>
        <v>0</v>
      </c>
      <c r="I393" s="95">
        <f t="shared" si="201"/>
        <v>0</v>
      </c>
      <c r="J393" s="95">
        <f>IF(Rok_n="",0,J250+J106)</f>
        <v>0</v>
      </c>
      <c r="K393" s="33">
        <f t="shared" si="201"/>
        <v>0</v>
      </c>
      <c r="L393" s="33">
        <f t="shared" si="201"/>
        <v>0</v>
      </c>
      <c r="M393" s="33">
        <f t="shared" si="201"/>
        <v>0</v>
      </c>
      <c r="N393" s="33">
        <f t="shared" si="201"/>
        <v>0</v>
      </c>
      <c r="O393" s="33">
        <f t="shared" si="201"/>
        <v>0</v>
      </c>
      <c r="P393" s="33">
        <f t="shared" si="201"/>
        <v>0</v>
      </c>
      <c r="Q393" s="33">
        <f t="shared" si="201"/>
        <v>0</v>
      </c>
      <c r="R393" s="33">
        <f t="shared" si="201"/>
        <v>0</v>
      </c>
      <c r="S393" s="33">
        <f t="shared" si="201"/>
        <v>0</v>
      </c>
      <c r="T393" s="33">
        <f t="shared" si="201"/>
        <v>0</v>
      </c>
      <c r="U393" s="33">
        <f t="shared" si="201"/>
        <v>0</v>
      </c>
      <c r="V393" s="33">
        <f t="shared" si="201"/>
        <v>0</v>
      </c>
      <c r="W393" s="33">
        <f t="shared" si="201"/>
        <v>0</v>
      </c>
      <c r="X393" s="33">
        <f t="shared" si="201"/>
        <v>0</v>
      </c>
    </row>
    <row r="394" spans="2:24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>
      <c r="B395" s="96" t="s">
        <v>601</v>
      </c>
      <c r="C395" s="97"/>
      <c r="D395" s="97"/>
      <c r="E395" s="97"/>
      <c r="F395" s="97"/>
      <c r="G395" s="98">
        <f>SUM(G396:G397)</f>
        <v>0</v>
      </c>
      <c r="H395" s="98">
        <f t="shared" ref="H395:X395" si="202">SUM(H396:H397)</f>
        <v>0</v>
      </c>
      <c r="I395" s="98">
        <f t="shared" si="202"/>
        <v>0</v>
      </c>
      <c r="J395" s="98">
        <f t="shared" si="202"/>
        <v>0</v>
      </c>
      <c r="K395" s="98">
        <f t="shared" ca="1" si="202"/>
        <v>0</v>
      </c>
      <c r="L395" s="98">
        <f t="shared" ca="1" si="202"/>
        <v>0</v>
      </c>
      <c r="M395" s="98">
        <f t="shared" ca="1" si="202"/>
        <v>0</v>
      </c>
      <c r="N395" s="98">
        <f t="shared" ca="1" si="202"/>
        <v>0</v>
      </c>
      <c r="O395" s="98">
        <f t="shared" ca="1" si="202"/>
        <v>0</v>
      </c>
      <c r="P395" s="98">
        <f t="shared" ca="1" si="202"/>
        <v>0</v>
      </c>
      <c r="Q395" s="98">
        <f t="shared" ca="1" si="202"/>
        <v>0</v>
      </c>
      <c r="R395" s="98">
        <f t="shared" ca="1" si="202"/>
        <v>0</v>
      </c>
      <c r="S395" s="98">
        <f t="shared" ca="1" si="202"/>
        <v>0</v>
      </c>
      <c r="T395" s="98">
        <f t="shared" ca="1" si="202"/>
        <v>0</v>
      </c>
      <c r="U395" s="98">
        <f t="shared" ca="1" si="202"/>
        <v>0</v>
      </c>
      <c r="V395" s="98">
        <f t="shared" ca="1" si="202"/>
        <v>0</v>
      </c>
      <c r="W395" s="98">
        <f t="shared" ca="1" si="202"/>
        <v>0</v>
      </c>
      <c r="X395" s="98">
        <f t="shared" ca="1" si="202"/>
        <v>0</v>
      </c>
    </row>
    <row r="396" spans="2:24">
      <c r="B396" s="94" t="s">
        <v>602</v>
      </c>
      <c r="C396" s="19"/>
      <c r="D396" s="19"/>
      <c r="E396" s="19"/>
      <c r="F396" s="19"/>
      <c r="G396" s="95">
        <f>(E336+E341)-(G336+G341)-G309</f>
        <v>0</v>
      </c>
      <c r="H396" s="95">
        <f>(G336+G341)-(H336+H341)-H309</f>
        <v>0</v>
      </c>
      <c r="I396" s="95">
        <f>(H336+H341)-(I336+I341)-I309</f>
        <v>0</v>
      </c>
      <c r="J396" s="95">
        <f>IF(Rok_n="",0,(I336+I341)-(J336+J341)-J309)</f>
        <v>0</v>
      </c>
      <c r="K396" s="95">
        <f ca="1">K253+K109</f>
        <v>0</v>
      </c>
      <c r="L396" s="95">
        <f t="shared" ref="L396:X396" ca="1" si="203">L253+L109</f>
        <v>0</v>
      </c>
      <c r="M396" s="95">
        <f t="shared" ca="1" si="203"/>
        <v>0</v>
      </c>
      <c r="N396" s="95">
        <f t="shared" ca="1" si="203"/>
        <v>0</v>
      </c>
      <c r="O396" s="95">
        <f t="shared" ca="1" si="203"/>
        <v>0</v>
      </c>
      <c r="P396" s="95">
        <f t="shared" ca="1" si="203"/>
        <v>0</v>
      </c>
      <c r="Q396" s="95">
        <f t="shared" ca="1" si="203"/>
        <v>0</v>
      </c>
      <c r="R396" s="95">
        <f t="shared" ca="1" si="203"/>
        <v>0</v>
      </c>
      <c r="S396" s="95">
        <f t="shared" ca="1" si="203"/>
        <v>0</v>
      </c>
      <c r="T396" s="95">
        <f t="shared" ca="1" si="203"/>
        <v>0</v>
      </c>
      <c r="U396" s="95">
        <f t="shared" ca="1" si="203"/>
        <v>0</v>
      </c>
      <c r="V396" s="95">
        <f t="shared" ca="1" si="203"/>
        <v>0</v>
      </c>
      <c r="W396" s="95">
        <f t="shared" ca="1" si="203"/>
        <v>0</v>
      </c>
      <c r="X396" s="95">
        <f t="shared" ca="1" si="203"/>
        <v>0</v>
      </c>
    </row>
    <row r="397" spans="2:24">
      <c r="B397" s="37" t="s">
        <v>603</v>
      </c>
      <c r="C397" s="52"/>
      <c r="D397" s="52"/>
      <c r="E397" s="52"/>
      <c r="F397" s="52"/>
      <c r="G397" s="33">
        <f>(E350+E351)-(G350+G351)</f>
        <v>0</v>
      </c>
      <c r="H397" s="33">
        <f>(G350+G351)-(H350+H351)</f>
        <v>0</v>
      </c>
      <c r="I397" s="33">
        <f>(H350+H351)-(I350+I351)</f>
        <v>0</v>
      </c>
      <c r="J397" s="33">
        <f>IF(Rok_n="",0,(I350+I351)-(J350+J351))</f>
        <v>0</v>
      </c>
      <c r="K397" s="95">
        <f t="shared" ref="K397:X397" si="204">K254+K110</f>
        <v>0</v>
      </c>
      <c r="L397" s="95">
        <f t="shared" si="204"/>
        <v>0</v>
      </c>
      <c r="M397" s="95">
        <f t="shared" si="204"/>
        <v>0</v>
      </c>
      <c r="N397" s="95">
        <f t="shared" si="204"/>
        <v>0</v>
      </c>
      <c r="O397" s="95">
        <f t="shared" si="204"/>
        <v>0</v>
      </c>
      <c r="P397" s="95">
        <f t="shared" si="204"/>
        <v>0</v>
      </c>
      <c r="Q397" s="95">
        <f t="shared" si="204"/>
        <v>0</v>
      </c>
      <c r="R397" s="95">
        <f t="shared" si="204"/>
        <v>0</v>
      </c>
      <c r="S397" s="95">
        <f t="shared" si="204"/>
        <v>0</v>
      </c>
      <c r="T397" s="95">
        <f t="shared" si="204"/>
        <v>0</v>
      </c>
      <c r="U397" s="95">
        <f t="shared" si="204"/>
        <v>0</v>
      </c>
      <c r="V397" s="95">
        <f t="shared" si="204"/>
        <v>0</v>
      </c>
      <c r="W397" s="95">
        <f t="shared" si="204"/>
        <v>0</v>
      </c>
      <c r="X397" s="95">
        <f t="shared" si="204"/>
        <v>0</v>
      </c>
    </row>
    <row r="398" spans="2:24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>
      <c r="B399" s="96" t="s">
        <v>604</v>
      </c>
      <c r="C399" s="97"/>
      <c r="D399" s="97"/>
      <c r="E399" s="97"/>
      <c r="F399" s="97"/>
      <c r="G399" s="98">
        <f>SUM(G400:G405)</f>
        <v>0</v>
      </c>
      <c r="H399" s="98">
        <f t="shared" ref="H399:X399" si="205">SUM(H400:H405)</f>
        <v>0</v>
      </c>
      <c r="I399" s="98">
        <f t="shared" si="205"/>
        <v>0</v>
      </c>
      <c r="J399" s="98">
        <f t="shared" si="205"/>
        <v>0</v>
      </c>
      <c r="K399" s="98">
        <f t="shared" ca="1" si="205"/>
        <v>0</v>
      </c>
      <c r="L399" s="98">
        <f t="shared" ca="1" si="205"/>
        <v>0</v>
      </c>
      <c r="M399" s="98">
        <f t="shared" ca="1" si="205"/>
        <v>0</v>
      </c>
      <c r="N399" s="98">
        <f t="shared" ca="1" si="205"/>
        <v>0</v>
      </c>
      <c r="O399" s="98">
        <f t="shared" ca="1" si="205"/>
        <v>0</v>
      </c>
      <c r="P399" s="98">
        <f t="shared" ca="1" si="205"/>
        <v>0</v>
      </c>
      <c r="Q399" s="98">
        <f t="shared" ca="1" si="205"/>
        <v>0</v>
      </c>
      <c r="R399" s="98">
        <f t="shared" ca="1" si="205"/>
        <v>0</v>
      </c>
      <c r="S399" s="98">
        <f t="shared" ca="1" si="205"/>
        <v>0</v>
      </c>
      <c r="T399" s="98">
        <f t="shared" ca="1" si="205"/>
        <v>0</v>
      </c>
      <c r="U399" s="98">
        <f t="shared" ca="1" si="205"/>
        <v>0</v>
      </c>
      <c r="V399" s="98">
        <f t="shared" ca="1" si="205"/>
        <v>0</v>
      </c>
      <c r="W399" s="98">
        <f t="shared" ca="1" si="205"/>
        <v>0</v>
      </c>
      <c r="X399" s="98">
        <f t="shared" ca="1" si="205"/>
        <v>0</v>
      </c>
    </row>
    <row r="400" spans="2:24">
      <c r="B400" s="94" t="s">
        <v>605</v>
      </c>
      <c r="C400" s="19"/>
      <c r="D400" s="19"/>
      <c r="E400" s="19"/>
      <c r="F400" s="19"/>
      <c r="G400" s="95">
        <f>(G376-E376)</f>
        <v>0</v>
      </c>
      <c r="H400" s="95">
        <f>(H376-G376)</f>
        <v>0</v>
      </c>
      <c r="I400" s="95">
        <f>(I376-H376)</f>
        <v>0</v>
      </c>
      <c r="J400" s="95">
        <f>IF(Rok_n="",0,(J376-I376))</f>
        <v>0</v>
      </c>
      <c r="K400" s="95">
        <f t="shared" ref="K400:X400" si="206">K257+K113</f>
        <v>0</v>
      </c>
      <c r="L400" s="95">
        <f t="shared" si="206"/>
        <v>0</v>
      </c>
      <c r="M400" s="95">
        <f t="shared" si="206"/>
        <v>0</v>
      </c>
      <c r="N400" s="95">
        <f t="shared" si="206"/>
        <v>0</v>
      </c>
      <c r="O400" s="95">
        <f t="shared" si="206"/>
        <v>0</v>
      </c>
      <c r="P400" s="95">
        <f t="shared" si="206"/>
        <v>0</v>
      </c>
      <c r="Q400" s="95">
        <f t="shared" si="206"/>
        <v>0</v>
      </c>
      <c r="R400" s="95">
        <f t="shared" si="206"/>
        <v>0</v>
      </c>
      <c r="S400" s="95">
        <f t="shared" si="206"/>
        <v>0</v>
      </c>
      <c r="T400" s="95">
        <f t="shared" si="206"/>
        <v>0</v>
      </c>
      <c r="U400" s="95">
        <f t="shared" si="206"/>
        <v>0</v>
      </c>
      <c r="V400" s="95">
        <f t="shared" si="206"/>
        <v>0</v>
      </c>
      <c r="W400" s="95">
        <f t="shared" si="206"/>
        <v>0</v>
      </c>
      <c r="X400" s="95">
        <f t="shared" si="206"/>
        <v>0</v>
      </c>
    </row>
    <row r="401" spans="2:24">
      <c r="B401" s="37" t="s">
        <v>606</v>
      </c>
      <c r="C401" s="52"/>
      <c r="D401" s="52"/>
      <c r="E401" s="52"/>
      <c r="F401" s="52"/>
      <c r="G401" s="33">
        <f>G372</f>
        <v>0</v>
      </c>
      <c r="H401" s="33">
        <f>H372-G372</f>
        <v>0</v>
      </c>
      <c r="I401" s="33">
        <f>I372-H372</f>
        <v>0</v>
      </c>
      <c r="J401" s="33">
        <f>IF(Rok_n="",0,J372-I372)</f>
        <v>0</v>
      </c>
      <c r="K401" s="95">
        <f t="shared" ref="K401:X401" si="207">K258+K114</f>
        <v>0</v>
      </c>
      <c r="L401" s="33">
        <f t="shared" si="207"/>
        <v>0</v>
      </c>
      <c r="M401" s="33">
        <f t="shared" si="207"/>
        <v>0</v>
      </c>
      <c r="N401" s="33">
        <f t="shared" si="207"/>
        <v>0</v>
      </c>
      <c r="O401" s="33">
        <f t="shared" si="207"/>
        <v>0</v>
      </c>
      <c r="P401" s="33">
        <f t="shared" si="207"/>
        <v>0</v>
      </c>
      <c r="Q401" s="33">
        <f t="shared" si="207"/>
        <v>0</v>
      </c>
      <c r="R401" s="33">
        <f t="shared" si="207"/>
        <v>0</v>
      </c>
      <c r="S401" s="33">
        <f t="shared" si="207"/>
        <v>0</v>
      </c>
      <c r="T401" s="33">
        <f t="shared" si="207"/>
        <v>0</v>
      </c>
      <c r="U401" s="33">
        <f t="shared" si="207"/>
        <v>0</v>
      </c>
      <c r="V401" s="33">
        <f t="shared" si="207"/>
        <v>0</v>
      </c>
      <c r="W401" s="33">
        <f t="shared" si="207"/>
        <v>0</v>
      </c>
      <c r="X401" s="33">
        <f t="shared" si="207"/>
        <v>0</v>
      </c>
    </row>
    <row r="402" spans="2:24">
      <c r="B402" s="37" t="s">
        <v>607</v>
      </c>
      <c r="C402" s="52"/>
      <c r="D402" s="52"/>
      <c r="E402" s="52"/>
      <c r="F402" s="52"/>
      <c r="G402" s="33">
        <f t="shared" ref="G402:V402" si="208">G259+G115</f>
        <v>0</v>
      </c>
      <c r="H402" s="33">
        <f t="shared" si="208"/>
        <v>0</v>
      </c>
      <c r="I402" s="33">
        <f t="shared" si="208"/>
        <v>0</v>
      </c>
      <c r="J402" s="33">
        <f>IF(Rok_n="",0,J259+J115)</f>
        <v>0</v>
      </c>
      <c r="K402" s="33">
        <f t="shared" si="208"/>
        <v>0</v>
      </c>
      <c r="L402" s="33">
        <f t="shared" si="208"/>
        <v>0</v>
      </c>
      <c r="M402" s="33">
        <f t="shared" si="208"/>
        <v>0</v>
      </c>
      <c r="N402" s="33">
        <f t="shared" si="208"/>
        <v>0</v>
      </c>
      <c r="O402" s="33">
        <f t="shared" si="208"/>
        <v>0</v>
      </c>
      <c r="P402" s="33">
        <f t="shared" si="208"/>
        <v>0</v>
      </c>
      <c r="Q402" s="33">
        <f t="shared" si="208"/>
        <v>0</v>
      </c>
      <c r="R402" s="33">
        <f t="shared" si="208"/>
        <v>0</v>
      </c>
      <c r="S402" s="33">
        <f t="shared" si="208"/>
        <v>0</v>
      </c>
      <c r="T402" s="33">
        <f t="shared" si="208"/>
        <v>0</v>
      </c>
      <c r="U402" s="33">
        <f t="shared" si="208"/>
        <v>0</v>
      </c>
      <c r="V402" s="33">
        <f t="shared" si="208"/>
        <v>0</v>
      </c>
      <c r="W402" s="33">
        <f t="shared" ref="W402:X404" si="209">W259+W115</f>
        <v>0</v>
      </c>
      <c r="X402" s="33">
        <f t="shared" si="209"/>
        <v>0</v>
      </c>
    </row>
    <row r="403" spans="2:24">
      <c r="B403" s="37" t="s">
        <v>608</v>
      </c>
      <c r="C403" s="52"/>
      <c r="D403" s="52"/>
      <c r="E403" s="52"/>
      <c r="F403" s="52"/>
      <c r="G403" s="33">
        <f t="shared" ref="G403:V403" si="210">G260+G116</f>
        <v>0</v>
      </c>
      <c r="H403" s="33">
        <f t="shared" si="210"/>
        <v>0</v>
      </c>
      <c r="I403" s="33">
        <f t="shared" si="210"/>
        <v>0</v>
      </c>
      <c r="J403" s="33">
        <f>IF(Rok_n="",0,J260+J116)</f>
        <v>0</v>
      </c>
      <c r="K403" s="33">
        <f t="shared" si="210"/>
        <v>0</v>
      </c>
      <c r="L403" s="33">
        <f t="shared" si="210"/>
        <v>0</v>
      </c>
      <c r="M403" s="33">
        <f t="shared" si="210"/>
        <v>0</v>
      </c>
      <c r="N403" s="33">
        <f t="shared" si="210"/>
        <v>0</v>
      </c>
      <c r="O403" s="33">
        <f t="shared" si="210"/>
        <v>0</v>
      </c>
      <c r="P403" s="33">
        <f t="shared" si="210"/>
        <v>0</v>
      </c>
      <c r="Q403" s="33">
        <f t="shared" si="210"/>
        <v>0</v>
      </c>
      <c r="R403" s="33">
        <f t="shared" si="210"/>
        <v>0</v>
      </c>
      <c r="S403" s="33">
        <f t="shared" si="210"/>
        <v>0</v>
      </c>
      <c r="T403" s="33">
        <f t="shared" si="210"/>
        <v>0</v>
      </c>
      <c r="U403" s="33">
        <f t="shared" si="210"/>
        <v>0</v>
      </c>
      <c r="V403" s="33">
        <f t="shared" si="210"/>
        <v>0</v>
      </c>
      <c r="W403" s="33">
        <f t="shared" si="209"/>
        <v>0</v>
      </c>
      <c r="X403" s="33">
        <f t="shared" si="209"/>
        <v>0</v>
      </c>
    </row>
    <row r="404" spans="2:24">
      <c r="B404" s="37" t="s">
        <v>609</v>
      </c>
      <c r="C404" s="52"/>
      <c r="D404" s="52"/>
      <c r="E404" s="52"/>
      <c r="F404" s="52"/>
      <c r="G404" s="33">
        <f t="shared" ref="G404:V404" si="211">G261+G117</f>
        <v>0</v>
      </c>
      <c r="H404" s="33">
        <f t="shared" si="211"/>
        <v>0</v>
      </c>
      <c r="I404" s="33">
        <f t="shared" si="211"/>
        <v>0</v>
      </c>
      <c r="J404" s="33">
        <f>IF(Rok_n="",0,J261+J117)</f>
        <v>0</v>
      </c>
      <c r="K404" s="33">
        <f t="shared" ca="1" si="211"/>
        <v>0</v>
      </c>
      <c r="L404" s="33">
        <f t="shared" ca="1" si="211"/>
        <v>0</v>
      </c>
      <c r="M404" s="33">
        <f t="shared" ca="1" si="211"/>
        <v>0</v>
      </c>
      <c r="N404" s="33">
        <f t="shared" ca="1" si="211"/>
        <v>0</v>
      </c>
      <c r="O404" s="33">
        <f t="shared" ca="1" si="211"/>
        <v>0</v>
      </c>
      <c r="P404" s="33">
        <f t="shared" ca="1" si="211"/>
        <v>0</v>
      </c>
      <c r="Q404" s="33">
        <f t="shared" ca="1" si="211"/>
        <v>0</v>
      </c>
      <c r="R404" s="33">
        <f t="shared" ca="1" si="211"/>
        <v>0</v>
      </c>
      <c r="S404" s="33">
        <f t="shared" ca="1" si="211"/>
        <v>0</v>
      </c>
      <c r="T404" s="33">
        <f t="shared" ca="1" si="211"/>
        <v>0</v>
      </c>
      <c r="U404" s="33">
        <f t="shared" ca="1" si="211"/>
        <v>0</v>
      </c>
      <c r="V404" s="33">
        <f t="shared" ca="1" si="211"/>
        <v>0</v>
      </c>
      <c r="W404" s="33">
        <f t="shared" ca="1" si="209"/>
        <v>0</v>
      </c>
      <c r="X404" s="33">
        <f t="shared" ca="1" si="209"/>
        <v>0</v>
      </c>
    </row>
    <row r="405" spans="2:24">
      <c r="B405" s="37" t="s">
        <v>610</v>
      </c>
      <c r="C405" s="52"/>
      <c r="D405" s="52"/>
      <c r="E405" s="52"/>
      <c r="F405" s="52"/>
      <c r="G405" s="33">
        <f>(G370-E370)+(G371-E371)-(G372-E372)</f>
        <v>0</v>
      </c>
      <c r="H405" s="33">
        <f>(H370-G370)+(H371-G371)-(H372-G372)</f>
        <v>0</v>
      </c>
      <c r="I405" s="33">
        <f>(I370-H370)+(I371-H371)-(I372-H372)</f>
        <v>0</v>
      </c>
      <c r="J405" s="33">
        <f>IF(Rok_n="",0,(J370-I370)+(J371-I371)-(J372-I372))</f>
        <v>0</v>
      </c>
      <c r="K405" s="33">
        <f t="shared" ref="K405:X405" si="212">K262+K118</f>
        <v>0</v>
      </c>
      <c r="L405" s="33">
        <f t="shared" si="212"/>
        <v>0</v>
      </c>
      <c r="M405" s="33">
        <f t="shared" si="212"/>
        <v>0</v>
      </c>
      <c r="N405" s="33">
        <f t="shared" si="212"/>
        <v>0</v>
      </c>
      <c r="O405" s="33">
        <f t="shared" si="212"/>
        <v>0</v>
      </c>
      <c r="P405" s="33">
        <f t="shared" si="212"/>
        <v>0</v>
      </c>
      <c r="Q405" s="33">
        <f t="shared" si="212"/>
        <v>0</v>
      </c>
      <c r="R405" s="33">
        <f t="shared" si="212"/>
        <v>0</v>
      </c>
      <c r="S405" s="33">
        <f t="shared" si="212"/>
        <v>0</v>
      </c>
      <c r="T405" s="33">
        <f t="shared" si="212"/>
        <v>0</v>
      </c>
      <c r="U405" s="33">
        <f t="shared" si="212"/>
        <v>0</v>
      </c>
      <c r="V405" s="33">
        <f t="shared" si="212"/>
        <v>0</v>
      </c>
      <c r="W405" s="33">
        <f t="shared" si="212"/>
        <v>0</v>
      </c>
      <c r="X405" s="33">
        <f t="shared" si="212"/>
        <v>0</v>
      </c>
    </row>
    <row r="406" spans="2:24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>
      <c r="B407" s="99" t="s">
        <v>612</v>
      </c>
      <c r="C407" s="99"/>
      <c r="D407" s="99"/>
      <c r="E407" s="99"/>
      <c r="F407" s="99"/>
      <c r="G407" s="98">
        <f>G386+G395+G399</f>
        <v>0</v>
      </c>
      <c r="H407" s="98">
        <f>H386+H395+H399</f>
        <v>0</v>
      </c>
      <c r="I407" s="98">
        <f>I386+I395+I399</f>
        <v>0</v>
      </c>
      <c r="J407" s="98">
        <f>J386+J395+J399</f>
        <v>0</v>
      </c>
      <c r="K407" s="98">
        <f ca="1">K386+K395+K399</f>
        <v>0</v>
      </c>
      <c r="L407" s="98">
        <f t="shared" ref="L407:X407" ca="1" si="213">IF(LataProjekcji&lt;=Koniec,L386+L395+L399,0)</f>
        <v>0</v>
      </c>
      <c r="M407" s="98">
        <f t="shared" ca="1" si="213"/>
        <v>0</v>
      </c>
      <c r="N407" s="98">
        <f t="shared" ca="1" si="213"/>
        <v>0</v>
      </c>
      <c r="O407" s="98">
        <f t="shared" ca="1" si="213"/>
        <v>0</v>
      </c>
      <c r="P407" s="98">
        <f t="shared" ca="1" si="213"/>
        <v>0</v>
      </c>
      <c r="Q407" s="98">
        <f t="shared" ca="1" si="213"/>
        <v>0</v>
      </c>
      <c r="R407" s="98">
        <f t="shared" ca="1" si="213"/>
        <v>0</v>
      </c>
      <c r="S407" s="98">
        <f t="shared" ca="1" si="213"/>
        <v>0</v>
      </c>
      <c r="T407" s="98">
        <f t="shared" ca="1" si="213"/>
        <v>0</v>
      </c>
      <c r="U407" s="98">
        <f t="shared" ca="1" si="213"/>
        <v>0</v>
      </c>
      <c r="V407" s="98">
        <f t="shared" ca="1" si="213"/>
        <v>0</v>
      </c>
      <c r="W407" s="98">
        <f t="shared" ca="1" si="213"/>
        <v>0</v>
      </c>
      <c r="X407" s="98">
        <f t="shared" ca="1" si="213"/>
        <v>0</v>
      </c>
    </row>
    <row r="408" spans="2:24">
      <c r="B408" s="7" t="s">
        <v>613</v>
      </c>
      <c r="C408" s="7"/>
      <c r="D408" s="7"/>
      <c r="E408" s="7"/>
      <c r="F408" s="7"/>
      <c r="G408" s="13"/>
      <c r="H408" s="13">
        <f>G409</f>
        <v>0</v>
      </c>
      <c r="I408" s="13">
        <f>H409</f>
        <v>0</v>
      </c>
      <c r="J408" s="13">
        <f>IF(Rok_n="",0,I409)</f>
        <v>0</v>
      </c>
      <c r="K408" s="13">
        <f>IF(Rok_n="",I409,IF(Założenia!$J$32=12,'Ocena kondycji finansowej'!J409,'Ocena kondycji finansowej'!I409))</f>
        <v>0</v>
      </c>
      <c r="L408" s="13">
        <f t="shared" ref="L408:X408" ca="1" si="214">IF(LataProjekcji&lt;=Koniec,K409,0)</f>
        <v>0</v>
      </c>
      <c r="M408" s="13">
        <f t="shared" ca="1" si="214"/>
        <v>0</v>
      </c>
      <c r="N408" s="13">
        <f t="shared" ca="1" si="214"/>
        <v>0</v>
      </c>
      <c r="O408" s="13">
        <f t="shared" ca="1" si="214"/>
        <v>0</v>
      </c>
      <c r="P408" s="13">
        <f t="shared" ca="1" si="214"/>
        <v>0</v>
      </c>
      <c r="Q408" s="13">
        <f t="shared" ca="1" si="214"/>
        <v>0</v>
      </c>
      <c r="R408" s="13">
        <f t="shared" ca="1" si="214"/>
        <v>0</v>
      </c>
      <c r="S408" s="13">
        <f t="shared" ca="1" si="214"/>
        <v>0</v>
      </c>
      <c r="T408" s="13">
        <f t="shared" ca="1" si="214"/>
        <v>0</v>
      </c>
      <c r="U408" s="13">
        <f t="shared" ca="1" si="214"/>
        <v>0</v>
      </c>
      <c r="V408" s="13">
        <f t="shared" ca="1" si="214"/>
        <v>0</v>
      </c>
      <c r="W408" s="13">
        <f t="shared" ca="1" si="214"/>
        <v>0</v>
      </c>
      <c r="X408" s="13">
        <f t="shared" ca="1" si="214"/>
        <v>0</v>
      </c>
    </row>
    <row r="409" spans="2:24">
      <c r="B409" s="99" t="s">
        <v>614</v>
      </c>
      <c r="C409" s="99"/>
      <c r="D409" s="99"/>
      <c r="E409" s="99"/>
      <c r="F409" s="99"/>
      <c r="G409" s="98">
        <f>G407+G408</f>
        <v>0</v>
      </c>
      <c r="H409" s="98">
        <f>H407+H408</f>
        <v>0</v>
      </c>
      <c r="I409" s="98">
        <f>I407+I408</f>
        <v>0</v>
      </c>
      <c r="J409" s="98">
        <f>J407+J408</f>
        <v>0</v>
      </c>
      <c r="K409" s="98">
        <f ca="1">K407+K408</f>
        <v>0</v>
      </c>
      <c r="L409" s="98">
        <f t="shared" ref="L409:X409" ca="1" si="215">IF(LataProjekcji&lt;=Koniec,L407+L408,0)</f>
        <v>0</v>
      </c>
      <c r="M409" s="98">
        <f t="shared" ca="1" si="215"/>
        <v>0</v>
      </c>
      <c r="N409" s="98">
        <f t="shared" ca="1" si="215"/>
        <v>0</v>
      </c>
      <c r="O409" s="98">
        <f t="shared" ca="1" si="215"/>
        <v>0</v>
      </c>
      <c r="P409" s="98">
        <f t="shared" ca="1" si="215"/>
        <v>0</v>
      </c>
      <c r="Q409" s="98">
        <f t="shared" ca="1" si="215"/>
        <v>0</v>
      </c>
      <c r="R409" s="98">
        <f t="shared" ca="1" si="215"/>
        <v>0</v>
      </c>
      <c r="S409" s="98">
        <f t="shared" ca="1" si="215"/>
        <v>0</v>
      </c>
      <c r="T409" s="98">
        <f t="shared" ca="1" si="215"/>
        <v>0</v>
      </c>
      <c r="U409" s="98">
        <f t="shared" ca="1" si="215"/>
        <v>0</v>
      </c>
      <c r="V409" s="98">
        <f t="shared" ca="1" si="215"/>
        <v>0</v>
      </c>
      <c r="W409" s="98">
        <f t="shared" ca="1" si="215"/>
        <v>0</v>
      </c>
      <c r="X409" s="98">
        <f t="shared" ca="1" si="215"/>
        <v>0</v>
      </c>
    </row>
    <row r="410" spans="2:24">
      <c r="G410" s="109" t="b">
        <f>G409=G357</f>
        <v>1</v>
      </c>
      <c r="H410" s="109" t="b">
        <f>H409=H357</f>
        <v>1</v>
      </c>
      <c r="I410" s="109" t="b">
        <f>I409=I357</f>
        <v>1</v>
      </c>
      <c r="J410" s="109" t="b">
        <f>J409=J357</f>
        <v>1</v>
      </c>
      <c r="K410" s="109" t="b">
        <f ca="1">K409=K357</f>
        <v>1</v>
      </c>
      <c r="L410" s="109" t="b">
        <f t="shared" ref="L410:X410" ca="1" si="216">L409=L357</f>
        <v>1</v>
      </c>
      <c r="M410" s="109" t="b">
        <f t="shared" ca="1" si="216"/>
        <v>1</v>
      </c>
      <c r="N410" s="109" t="b">
        <f t="shared" ca="1" si="216"/>
        <v>1</v>
      </c>
      <c r="O410" s="109" t="b">
        <f t="shared" ca="1" si="216"/>
        <v>1</v>
      </c>
      <c r="P410" s="109" t="b">
        <f t="shared" ca="1" si="216"/>
        <v>1</v>
      </c>
      <c r="Q410" s="109" t="b">
        <f t="shared" ca="1" si="216"/>
        <v>1</v>
      </c>
      <c r="R410" s="109" t="b">
        <f t="shared" ca="1" si="216"/>
        <v>1</v>
      </c>
      <c r="S410" s="109" t="b">
        <f t="shared" ca="1" si="216"/>
        <v>1</v>
      </c>
      <c r="T410" s="109" t="b">
        <f t="shared" ca="1" si="216"/>
        <v>1</v>
      </c>
      <c r="U410" s="109" t="b">
        <f t="shared" ca="1" si="216"/>
        <v>1</v>
      </c>
      <c r="V410" s="109" t="b">
        <f t="shared" ca="1" si="216"/>
        <v>1</v>
      </c>
      <c r="W410" s="109" t="b">
        <f t="shared" ca="1" si="216"/>
        <v>1</v>
      </c>
      <c r="X410" s="109" t="b">
        <f t="shared" ca="1" si="216"/>
        <v>1</v>
      </c>
    </row>
    <row r="411" spans="2:24">
      <c r="K411" s="110">
        <f ca="1">K409-K357</f>
        <v>0</v>
      </c>
      <c r="L411" s="110">
        <f t="shared" ref="L411:X411" ca="1" si="217">L409-L357</f>
        <v>0</v>
      </c>
      <c r="M411" s="110">
        <f t="shared" ca="1" si="217"/>
        <v>0</v>
      </c>
      <c r="N411" s="110">
        <f t="shared" ca="1" si="217"/>
        <v>0</v>
      </c>
      <c r="O411" s="110">
        <f t="shared" ca="1" si="217"/>
        <v>0</v>
      </c>
      <c r="P411" s="110">
        <f t="shared" ca="1" si="217"/>
        <v>0</v>
      </c>
      <c r="Q411" s="110">
        <f t="shared" ca="1" si="217"/>
        <v>0</v>
      </c>
      <c r="R411" s="110">
        <f t="shared" ca="1" si="217"/>
        <v>0</v>
      </c>
      <c r="S411" s="110">
        <f t="shared" ca="1" si="217"/>
        <v>0</v>
      </c>
      <c r="T411" s="110">
        <f t="shared" ca="1" si="217"/>
        <v>0</v>
      </c>
      <c r="U411" s="110">
        <f t="shared" ca="1" si="217"/>
        <v>0</v>
      </c>
      <c r="V411" s="110">
        <f t="shared" ca="1" si="217"/>
        <v>0</v>
      </c>
      <c r="W411" s="110">
        <f t="shared" ca="1" si="217"/>
        <v>0</v>
      </c>
      <c r="X411" s="110">
        <f t="shared" ca="1" si="217"/>
        <v>0</v>
      </c>
    </row>
    <row r="412" spans="2:24">
      <c r="G412" s="5"/>
      <c r="K412" s="110"/>
    </row>
    <row r="413" spans="2:24" ht="14.4">
      <c r="B413" s="153" t="s">
        <v>654</v>
      </c>
      <c r="G413" s="225">
        <f t="shared" ref="G413:X413" ca="1" si="218">LataProjekcji</f>
        <v>0</v>
      </c>
      <c r="H413" s="225">
        <f t="shared" ca="1" si="218"/>
        <v>0</v>
      </c>
      <c r="I413" s="225">
        <f t="shared" ca="1" si="218"/>
        <v>0</v>
      </c>
      <c r="J413" s="226" t="str">
        <f t="shared" si="218"/>
        <v/>
      </c>
      <c r="K413" s="225" t="str">
        <f t="shared" si="218"/>
        <v>Uzupełnij dane</v>
      </c>
      <c r="L413" s="225" t="str">
        <f t="shared" si="218"/>
        <v/>
      </c>
      <c r="M413" s="225" t="str">
        <f t="shared" si="218"/>
        <v/>
      </c>
      <c r="N413" s="225" t="str">
        <f t="shared" si="218"/>
        <v/>
      </c>
      <c r="O413" s="225" t="str">
        <f t="shared" si="218"/>
        <v/>
      </c>
      <c r="P413" s="225" t="str">
        <f t="shared" si="218"/>
        <v/>
      </c>
      <c r="Q413" s="225" t="str">
        <f t="shared" si="218"/>
        <v/>
      </c>
      <c r="R413" s="225" t="str">
        <f t="shared" si="218"/>
        <v/>
      </c>
      <c r="S413" s="225" t="str">
        <f t="shared" si="218"/>
        <v/>
      </c>
      <c r="T413" s="225" t="str">
        <f t="shared" si="218"/>
        <v/>
      </c>
      <c r="U413" s="225" t="str">
        <f t="shared" si="218"/>
        <v/>
      </c>
      <c r="V413" s="225" t="str">
        <f t="shared" si="218"/>
        <v/>
      </c>
      <c r="W413" s="225" t="str">
        <f t="shared" si="218"/>
        <v/>
      </c>
      <c r="X413" s="225" t="str">
        <f t="shared" si="218"/>
        <v/>
      </c>
    </row>
    <row r="414" spans="2:24">
      <c r="V414" s="3"/>
      <c r="W414" s="3"/>
      <c r="X414" s="3"/>
    </row>
    <row r="415" spans="2:24">
      <c r="B415" s="29" t="s">
        <v>616</v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2:24">
      <c r="B416" s="94" t="s">
        <v>617</v>
      </c>
      <c r="C416" s="19" t="s">
        <v>618</v>
      </c>
      <c r="D416" s="19" t="s">
        <v>619</v>
      </c>
      <c r="E416" s="19"/>
      <c r="F416" s="19"/>
      <c r="G416" s="169" t="str">
        <f t="shared" ref="G416:X416" si="219">IFERROR(ROUND((G317/G303),4),"bd.")</f>
        <v>bd.</v>
      </c>
      <c r="H416" s="169" t="str">
        <f t="shared" si="219"/>
        <v>bd.</v>
      </c>
      <c r="I416" s="169" t="str">
        <f t="shared" si="219"/>
        <v>bd.</v>
      </c>
      <c r="J416" s="169" t="str">
        <f t="shared" si="219"/>
        <v>bd.</v>
      </c>
      <c r="K416" s="169" t="str">
        <f t="shared" ca="1" si="219"/>
        <v>bd.</v>
      </c>
      <c r="L416" s="169" t="str">
        <f t="shared" ca="1" si="219"/>
        <v>bd.</v>
      </c>
      <c r="M416" s="169" t="str">
        <f t="shared" ca="1" si="219"/>
        <v>bd.</v>
      </c>
      <c r="N416" s="169" t="str">
        <f t="shared" ca="1" si="219"/>
        <v>bd.</v>
      </c>
      <c r="O416" s="169" t="str">
        <f t="shared" ca="1" si="219"/>
        <v>bd.</v>
      </c>
      <c r="P416" s="169" t="str">
        <f t="shared" ca="1" si="219"/>
        <v>bd.</v>
      </c>
      <c r="Q416" s="169" t="str">
        <f t="shared" ca="1" si="219"/>
        <v>bd.</v>
      </c>
      <c r="R416" s="169" t="str">
        <f t="shared" ca="1" si="219"/>
        <v>bd.</v>
      </c>
      <c r="S416" s="169" t="str">
        <f t="shared" ca="1" si="219"/>
        <v>bd.</v>
      </c>
      <c r="T416" s="169" t="str">
        <f t="shared" ca="1" si="219"/>
        <v>bd.</v>
      </c>
      <c r="U416" s="169" t="str">
        <f t="shared" ca="1" si="219"/>
        <v>bd.</v>
      </c>
      <c r="V416" s="169" t="str">
        <f t="shared" ca="1" si="219"/>
        <v>bd.</v>
      </c>
      <c r="W416" s="169" t="str">
        <f t="shared" ca="1" si="219"/>
        <v>bd.</v>
      </c>
      <c r="X416" s="169" t="str">
        <f t="shared" ca="1" si="219"/>
        <v>bd.</v>
      </c>
    </row>
    <row r="417" spans="2:24">
      <c r="B417" s="37" t="s">
        <v>620</v>
      </c>
      <c r="C417" s="52" t="s">
        <v>621</v>
      </c>
      <c r="D417" s="52" t="s">
        <v>619</v>
      </c>
      <c r="E417" s="52"/>
      <c r="F417" s="52"/>
      <c r="G417" s="168" t="str">
        <f t="shared" ref="G417:X417" si="220">IFERROR(ROUND((G330/G303),4),"bd.")</f>
        <v>bd.</v>
      </c>
      <c r="H417" s="168" t="str">
        <f t="shared" si="220"/>
        <v>bd.</v>
      </c>
      <c r="I417" s="168" t="str">
        <f t="shared" si="220"/>
        <v>bd.</v>
      </c>
      <c r="J417" s="168" t="str">
        <f t="shared" si="220"/>
        <v>bd.</v>
      </c>
      <c r="K417" s="168" t="str">
        <f t="shared" ca="1" si="220"/>
        <v>bd.</v>
      </c>
      <c r="L417" s="168" t="str">
        <f t="shared" ca="1" si="220"/>
        <v>bd.</v>
      </c>
      <c r="M417" s="168" t="str">
        <f t="shared" ca="1" si="220"/>
        <v>bd.</v>
      </c>
      <c r="N417" s="168" t="str">
        <f t="shared" ca="1" si="220"/>
        <v>bd.</v>
      </c>
      <c r="O417" s="168" t="str">
        <f t="shared" ca="1" si="220"/>
        <v>bd.</v>
      </c>
      <c r="P417" s="168" t="str">
        <f t="shared" ca="1" si="220"/>
        <v>bd.</v>
      </c>
      <c r="Q417" s="168" t="str">
        <f t="shared" ca="1" si="220"/>
        <v>bd.</v>
      </c>
      <c r="R417" s="168" t="str">
        <f t="shared" ca="1" si="220"/>
        <v>bd.</v>
      </c>
      <c r="S417" s="168" t="str">
        <f t="shared" ca="1" si="220"/>
        <v>bd.</v>
      </c>
      <c r="T417" s="168" t="str">
        <f t="shared" ca="1" si="220"/>
        <v>bd.</v>
      </c>
      <c r="U417" s="168" t="str">
        <f t="shared" ca="1" si="220"/>
        <v>bd.</v>
      </c>
      <c r="V417" s="168" t="str">
        <f t="shared" ca="1" si="220"/>
        <v>bd.</v>
      </c>
      <c r="W417" s="168" t="str">
        <f t="shared" ca="1" si="220"/>
        <v>bd.</v>
      </c>
      <c r="X417" s="168" t="str">
        <f t="shared" ca="1" si="220"/>
        <v>bd.</v>
      </c>
    </row>
    <row r="418" spans="2:24">
      <c r="B418" s="37" t="s">
        <v>622</v>
      </c>
      <c r="C418" s="52" t="s">
        <v>623</v>
      </c>
      <c r="D418" s="52" t="s">
        <v>624</v>
      </c>
      <c r="E418" s="52"/>
      <c r="F418" s="52"/>
      <c r="G418" s="168" t="str">
        <f t="shared" ref="G418:X418" si="221">IFERROR(ROUND((G330/G361),4),"bd.")</f>
        <v>bd.</v>
      </c>
      <c r="H418" s="168" t="str">
        <f t="shared" si="221"/>
        <v>bd.</v>
      </c>
      <c r="I418" s="168" t="str">
        <f t="shared" si="221"/>
        <v>bd.</v>
      </c>
      <c r="J418" s="168" t="str">
        <f t="shared" si="221"/>
        <v>bd.</v>
      </c>
      <c r="K418" s="168" t="str">
        <f t="shared" ca="1" si="221"/>
        <v>bd.</v>
      </c>
      <c r="L418" s="168" t="str">
        <f t="shared" ca="1" si="221"/>
        <v>bd.</v>
      </c>
      <c r="M418" s="168" t="str">
        <f t="shared" ca="1" si="221"/>
        <v>bd.</v>
      </c>
      <c r="N418" s="168" t="str">
        <f t="shared" ca="1" si="221"/>
        <v>bd.</v>
      </c>
      <c r="O418" s="168" t="str">
        <f t="shared" ca="1" si="221"/>
        <v>bd.</v>
      </c>
      <c r="P418" s="168" t="str">
        <f t="shared" ca="1" si="221"/>
        <v>bd.</v>
      </c>
      <c r="Q418" s="168" t="str">
        <f t="shared" ca="1" si="221"/>
        <v>bd.</v>
      </c>
      <c r="R418" s="168" t="str">
        <f t="shared" ca="1" si="221"/>
        <v>bd.</v>
      </c>
      <c r="S418" s="168" t="str">
        <f t="shared" ca="1" si="221"/>
        <v>bd.</v>
      </c>
      <c r="T418" s="168" t="str">
        <f t="shared" ca="1" si="221"/>
        <v>bd.</v>
      </c>
      <c r="U418" s="168" t="str">
        <f t="shared" ca="1" si="221"/>
        <v>bd.</v>
      </c>
      <c r="V418" s="168" t="str">
        <f t="shared" ca="1" si="221"/>
        <v>bd.</v>
      </c>
      <c r="W418" s="168" t="str">
        <f t="shared" ca="1" si="221"/>
        <v>bd.</v>
      </c>
      <c r="X418" s="168" t="str">
        <f t="shared" ca="1" si="221"/>
        <v>bd.</v>
      </c>
    </row>
    <row r="419" spans="2:24"/>
    <row r="420" spans="2:24">
      <c r="B420" s="29" t="s">
        <v>625</v>
      </c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2:24">
      <c r="B421" s="94" t="s">
        <v>626</v>
      </c>
      <c r="C421" s="19" t="s">
        <v>627</v>
      </c>
      <c r="D421" s="19" t="s">
        <v>628</v>
      </c>
      <c r="E421" s="19"/>
      <c r="F421" s="19"/>
      <c r="G421" s="170" t="str">
        <f t="shared" ref="G421:X421" si="222">IFERROR(ROUND(G364/G381,4),"bd.")</f>
        <v>bd.</v>
      </c>
      <c r="H421" s="170" t="str">
        <f t="shared" si="222"/>
        <v>bd.</v>
      </c>
      <c r="I421" s="170" t="str">
        <f t="shared" si="222"/>
        <v>bd.</v>
      </c>
      <c r="J421" s="170" t="str">
        <f t="shared" si="222"/>
        <v>bd.</v>
      </c>
      <c r="K421" s="170" t="str">
        <f t="shared" ca="1" si="222"/>
        <v>bd.</v>
      </c>
      <c r="L421" s="170" t="str">
        <f t="shared" ca="1" si="222"/>
        <v>bd.</v>
      </c>
      <c r="M421" s="170" t="str">
        <f t="shared" ca="1" si="222"/>
        <v>bd.</v>
      </c>
      <c r="N421" s="170" t="str">
        <f t="shared" ca="1" si="222"/>
        <v>bd.</v>
      </c>
      <c r="O421" s="170" t="str">
        <f t="shared" ca="1" si="222"/>
        <v>bd.</v>
      </c>
      <c r="P421" s="170" t="str">
        <f t="shared" ca="1" si="222"/>
        <v>bd.</v>
      </c>
      <c r="Q421" s="170" t="str">
        <f t="shared" ca="1" si="222"/>
        <v>bd.</v>
      </c>
      <c r="R421" s="170" t="str">
        <f t="shared" ca="1" si="222"/>
        <v>bd.</v>
      </c>
      <c r="S421" s="170" t="str">
        <f t="shared" ca="1" si="222"/>
        <v>bd.</v>
      </c>
      <c r="T421" s="170" t="str">
        <f t="shared" ca="1" si="222"/>
        <v>bd.</v>
      </c>
      <c r="U421" s="170" t="str">
        <f t="shared" ca="1" si="222"/>
        <v>bd.</v>
      </c>
      <c r="V421" s="170" t="str">
        <f t="shared" ca="1" si="222"/>
        <v>bd.</v>
      </c>
      <c r="W421" s="170" t="str">
        <f t="shared" ca="1" si="222"/>
        <v>bd.</v>
      </c>
      <c r="X421" s="170" t="str">
        <f t="shared" ca="1" si="222"/>
        <v>bd.</v>
      </c>
    </row>
    <row r="422" spans="2:24">
      <c r="B422" s="37" t="s">
        <v>629</v>
      </c>
      <c r="C422" s="52" t="s">
        <v>630</v>
      </c>
      <c r="D422" s="52" t="s">
        <v>631</v>
      </c>
      <c r="E422" s="52"/>
      <c r="F422" s="52"/>
      <c r="G422" s="171" t="str">
        <f t="shared" ref="G422:X422" si="223">IFERROR(ROUND((G364+G371+G370+G378)/G335,4),"bd.")</f>
        <v>bd.</v>
      </c>
      <c r="H422" s="171" t="str">
        <f t="shared" si="223"/>
        <v>bd.</v>
      </c>
      <c r="I422" s="171" t="str">
        <f t="shared" si="223"/>
        <v>bd.</v>
      </c>
      <c r="J422" s="171" t="str">
        <f t="shared" si="223"/>
        <v>bd.</v>
      </c>
      <c r="K422" s="171" t="str">
        <f t="shared" ca="1" si="223"/>
        <v>bd.</v>
      </c>
      <c r="L422" s="171" t="str">
        <f t="shared" ca="1" si="223"/>
        <v>bd.</v>
      </c>
      <c r="M422" s="171" t="str">
        <f t="shared" ca="1" si="223"/>
        <v>bd.</v>
      </c>
      <c r="N422" s="171" t="str">
        <f t="shared" ca="1" si="223"/>
        <v>bd.</v>
      </c>
      <c r="O422" s="171" t="str">
        <f t="shared" ca="1" si="223"/>
        <v>bd.</v>
      </c>
      <c r="P422" s="171" t="str">
        <f t="shared" ca="1" si="223"/>
        <v>bd.</v>
      </c>
      <c r="Q422" s="171" t="str">
        <f t="shared" ca="1" si="223"/>
        <v>bd.</v>
      </c>
      <c r="R422" s="171" t="str">
        <f t="shared" ca="1" si="223"/>
        <v>bd.</v>
      </c>
      <c r="S422" s="171" t="str">
        <f t="shared" ca="1" si="223"/>
        <v>bd.</v>
      </c>
      <c r="T422" s="171" t="str">
        <f t="shared" ca="1" si="223"/>
        <v>bd.</v>
      </c>
      <c r="U422" s="171" t="str">
        <f t="shared" ca="1" si="223"/>
        <v>bd.</v>
      </c>
      <c r="V422" s="171" t="str">
        <f t="shared" ca="1" si="223"/>
        <v>bd.</v>
      </c>
      <c r="W422" s="171" t="str">
        <f t="shared" ca="1" si="223"/>
        <v>bd.</v>
      </c>
      <c r="X422" s="171" t="str">
        <f t="shared" ca="1" si="223"/>
        <v>bd.</v>
      </c>
    </row>
    <row r="423" spans="2:24">
      <c r="B423" s="37" t="s">
        <v>632</v>
      </c>
      <c r="C423" s="52" t="s">
        <v>633</v>
      </c>
      <c r="D423" s="52" t="s">
        <v>631</v>
      </c>
      <c r="E423" s="52"/>
      <c r="F423" s="52"/>
      <c r="G423" s="171" t="str">
        <f t="shared" ref="G423:X423" si="224">IFERROR(ROUND(G369/G381,4),"bd.")</f>
        <v>bd.</v>
      </c>
      <c r="H423" s="171" t="str">
        <f t="shared" si="224"/>
        <v>bd.</v>
      </c>
      <c r="I423" s="171" t="str">
        <f t="shared" si="224"/>
        <v>bd.</v>
      </c>
      <c r="J423" s="171" t="str">
        <f t="shared" si="224"/>
        <v>bd.</v>
      </c>
      <c r="K423" s="171" t="str">
        <f t="shared" ca="1" si="224"/>
        <v>bd.</v>
      </c>
      <c r="L423" s="171" t="str">
        <f t="shared" ca="1" si="224"/>
        <v>bd.</v>
      </c>
      <c r="M423" s="171" t="str">
        <f t="shared" ca="1" si="224"/>
        <v>bd.</v>
      </c>
      <c r="N423" s="171" t="str">
        <f t="shared" ca="1" si="224"/>
        <v>bd.</v>
      </c>
      <c r="O423" s="171" t="str">
        <f t="shared" ca="1" si="224"/>
        <v>bd.</v>
      </c>
      <c r="P423" s="171" t="str">
        <f t="shared" ca="1" si="224"/>
        <v>bd.</v>
      </c>
      <c r="Q423" s="171" t="str">
        <f t="shared" ca="1" si="224"/>
        <v>bd.</v>
      </c>
      <c r="R423" s="171" t="str">
        <f t="shared" ca="1" si="224"/>
        <v>bd.</v>
      </c>
      <c r="S423" s="171" t="str">
        <f t="shared" ca="1" si="224"/>
        <v>bd.</v>
      </c>
      <c r="T423" s="171" t="str">
        <f t="shared" ca="1" si="224"/>
        <v>bd.</v>
      </c>
      <c r="U423" s="171" t="str">
        <f t="shared" ca="1" si="224"/>
        <v>bd.</v>
      </c>
      <c r="V423" s="171" t="str">
        <f t="shared" ca="1" si="224"/>
        <v>bd.</v>
      </c>
      <c r="W423" s="171" t="str">
        <f t="shared" ca="1" si="224"/>
        <v>bd.</v>
      </c>
      <c r="X423" s="171" t="str">
        <f t="shared" ca="1" si="224"/>
        <v>bd.</v>
      </c>
    </row>
    <row r="424" spans="2:24">
      <c r="B424" s="37" t="s">
        <v>634</v>
      </c>
      <c r="C424" s="52" t="s">
        <v>635</v>
      </c>
      <c r="D424" s="52" t="s">
        <v>636</v>
      </c>
      <c r="E424" s="52"/>
      <c r="F424" s="52"/>
      <c r="G424" s="172" t="str">
        <f>IFERROR(ROUND((G330+G309+G324+G328)/(G324+Finansowanie!F106+Finansowanie!F115+Finansowanie!F124+Finansowanie!F62+Finansowanie!F53+Finansowanie!F44),4),"bd.")</f>
        <v>bd.</v>
      </c>
      <c r="H424" s="172" t="str">
        <f>IFERROR(ROUND((H330+H309+H324+H328)/(H324+Finansowanie!G106+Finansowanie!G115+Finansowanie!G124+Finansowanie!G62+Finansowanie!G53+Finansowanie!G44),4),"bd.")</f>
        <v>bd.</v>
      </c>
      <c r="I424" s="172" t="str">
        <f>IFERROR(ROUND((I330+I309+I324+I328)/(I324+Finansowanie!H106+Finansowanie!H115+Finansowanie!H124+Finansowanie!H62+Finansowanie!H53+Finansowanie!H44),4),"bd.")</f>
        <v>bd.</v>
      </c>
      <c r="J424" s="172" t="str">
        <f>IFERROR(ROUND((J330+J309+J324+J328)/(J324+Finansowanie!J106+Finansowanie!J115+Finansowanie!J124+Finansowanie!J62+Finansowanie!J53+Finansowanie!J44),4),"bd.")</f>
        <v>bd.</v>
      </c>
      <c r="K424" s="172" t="str">
        <f ca="1">IFERROR(ROUND((K330+K309+K324+K328)/(K324+Finansowanie!K106+Finansowanie!K115+Finansowanie!K124+Finansowanie!K62+Finansowanie!K53+Finansowanie!K44),4),"bd.")</f>
        <v>bd.</v>
      </c>
      <c r="L424" s="172" t="str">
        <f ca="1">IFERROR(ROUND((L330+L309+L324+L328)/(L324+Finansowanie!L106+Finansowanie!L115+Finansowanie!L124+Finansowanie!L62+Finansowanie!L53+Finansowanie!L44),4),"bd.")</f>
        <v>bd.</v>
      </c>
      <c r="M424" s="172" t="str">
        <f ca="1">IFERROR(ROUND((M330+M309+M324+M328)/(M324+Finansowanie!M106+Finansowanie!M115+Finansowanie!M124+Finansowanie!M62+Finansowanie!M53+Finansowanie!M44),4),"bd.")</f>
        <v>bd.</v>
      </c>
      <c r="N424" s="172" t="str">
        <f ca="1">IFERROR(ROUND((N330+N309+N324+N328)/(N324+Finansowanie!N106+Finansowanie!N115+Finansowanie!N124+Finansowanie!N62+Finansowanie!N53+Finansowanie!N44),4),"bd.")</f>
        <v>bd.</v>
      </c>
      <c r="O424" s="172" t="str">
        <f ca="1">IFERROR(ROUND((O330+O309+O324+O328)/(O324+Finansowanie!O106+Finansowanie!O115+Finansowanie!O124+Finansowanie!O62+Finansowanie!O53+Finansowanie!O44),4),"bd.")</f>
        <v>bd.</v>
      </c>
      <c r="P424" s="172" t="str">
        <f ca="1">IFERROR(ROUND((P330+P309+P324+P328)/(P324+Finansowanie!P106+Finansowanie!P115+Finansowanie!P124+Finansowanie!P62+Finansowanie!P53+Finansowanie!P44),4),"bd.")</f>
        <v>bd.</v>
      </c>
      <c r="Q424" s="172" t="str">
        <f ca="1">IFERROR(ROUND((Q330+Q309+Q324+Q328)/(Q324+Finansowanie!Q106+Finansowanie!Q115+Finansowanie!Q124+Finansowanie!Q62+Finansowanie!Q53+Finansowanie!Q44),4),"bd.")</f>
        <v>bd.</v>
      </c>
      <c r="R424" s="172" t="str">
        <f ca="1">IFERROR(ROUND((R330+R309+R324+R328)/(R324+Finansowanie!R106+Finansowanie!R115+Finansowanie!R124+Finansowanie!R62+Finansowanie!R53+Finansowanie!R44),4),"bd.")</f>
        <v>bd.</v>
      </c>
      <c r="S424" s="172" t="str">
        <f ca="1">IFERROR(ROUND((S330+S309+S324+S328)/(S324+Finansowanie!S106+Finansowanie!S115+Finansowanie!S124+Finansowanie!S62+Finansowanie!S53+Finansowanie!S44),4),"bd.")</f>
        <v>bd.</v>
      </c>
      <c r="T424" s="172" t="str">
        <f ca="1">IFERROR(ROUND((T330+T309+T324+T328)/(T324+Finansowanie!T106+Finansowanie!T115+Finansowanie!T124+Finansowanie!T62+Finansowanie!T53+Finansowanie!T44),4),"bd.")</f>
        <v>bd.</v>
      </c>
      <c r="U424" s="172" t="str">
        <f ca="1">IFERROR(ROUND((U330+U309+U324+U328)/(U324+Finansowanie!U106+Finansowanie!U115+Finansowanie!U124+Finansowanie!U62+Finansowanie!U53+Finansowanie!U44),4),"bd.")</f>
        <v>bd.</v>
      </c>
      <c r="V424" s="172" t="str">
        <f ca="1">IFERROR(ROUND((V330+V309+V324+V328)/(V324+Finansowanie!V106+Finansowanie!V115+Finansowanie!V124+Finansowanie!V62+Finansowanie!V53+Finansowanie!V44),4),"bd.")</f>
        <v>bd.</v>
      </c>
      <c r="W424" s="172" t="str">
        <f ca="1">IFERROR(ROUND((W330+W309+W324+W328)/(W324+Finansowanie!W106+Finansowanie!W115+Finansowanie!W124+Finansowanie!W62+Finansowanie!W53+Finansowanie!W44),4),"bd.")</f>
        <v>bd.</v>
      </c>
      <c r="X424" s="172" t="str">
        <f ca="1">IFERROR(ROUND((X330+X309+X324+X328)/(X324+Finansowanie!X106+Finansowanie!X115+Finansowanie!X124+Finansowanie!X62+Finansowanie!X53+Finansowanie!X44),4),"bd.")</f>
        <v>bd.</v>
      </c>
    </row>
    <row r="425" spans="2:24"/>
    <row r="426" spans="2:24">
      <c r="B426" s="29" t="s">
        <v>637</v>
      </c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2:24">
      <c r="B427" s="94" t="s">
        <v>638</v>
      </c>
      <c r="C427" s="19" t="s">
        <v>639</v>
      </c>
      <c r="D427" s="19" t="s">
        <v>636</v>
      </c>
      <c r="E427" s="19"/>
      <c r="F427" s="19"/>
      <c r="G427" s="173" t="str">
        <f t="shared" ref="G427:X427" si="225">IFERROR(ROUND(G353/G374,4),"bd.")</f>
        <v>bd.</v>
      </c>
      <c r="H427" s="173" t="str">
        <f t="shared" si="225"/>
        <v>bd.</v>
      </c>
      <c r="I427" s="173" t="str">
        <f t="shared" si="225"/>
        <v>bd.</v>
      </c>
      <c r="J427" s="173" t="str">
        <f t="shared" si="225"/>
        <v>bd.</v>
      </c>
      <c r="K427" s="173" t="str">
        <f t="shared" ca="1" si="225"/>
        <v>bd.</v>
      </c>
      <c r="L427" s="173" t="str">
        <f t="shared" ca="1" si="225"/>
        <v>bd.</v>
      </c>
      <c r="M427" s="173" t="str">
        <f t="shared" ca="1" si="225"/>
        <v>bd.</v>
      </c>
      <c r="N427" s="173" t="str">
        <f t="shared" ca="1" si="225"/>
        <v>bd.</v>
      </c>
      <c r="O427" s="173" t="str">
        <f t="shared" ca="1" si="225"/>
        <v>bd.</v>
      </c>
      <c r="P427" s="173" t="str">
        <f t="shared" ca="1" si="225"/>
        <v>bd.</v>
      </c>
      <c r="Q427" s="173" t="str">
        <f t="shared" ca="1" si="225"/>
        <v>bd.</v>
      </c>
      <c r="R427" s="173" t="str">
        <f t="shared" ca="1" si="225"/>
        <v>bd.</v>
      </c>
      <c r="S427" s="173" t="str">
        <f t="shared" ca="1" si="225"/>
        <v>bd.</v>
      </c>
      <c r="T427" s="173" t="str">
        <f t="shared" ca="1" si="225"/>
        <v>bd.</v>
      </c>
      <c r="U427" s="173" t="str">
        <f t="shared" ca="1" si="225"/>
        <v>bd.</v>
      </c>
      <c r="V427" s="173" t="str">
        <f t="shared" ca="1" si="225"/>
        <v>bd.</v>
      </c>
      <c r="W427" s="173" t="str">
        <f t="shared" ca="1" si="225"/>
        <v>bd.</v>
      </c>
      <c r="X427" s="173" t="str">
        <f t="shared" ca="1" si="225"/>
        <v>bd.</v>
      </c>
    </row>
    <row r="428" spans="2:24">
      <c r="B428" s="37" t="s">
        <v>640</v>
      </c>
      <c r="C428" s="52" t="s">
        <v>641</v>
      </c>
      <c r="D428" s="52" t="s">
        <v>642</v>
      </c>
      <c r="E428" s="52"/>
      <c r="F428" s="52"/>
      <c r="G428" s="172" t="str">
        <f t="shared" ref="G428:X428" si="226">IFERROR(ROUND((G353-G354)/G374,4),"bd.")</f>
        <v>bd.</v>
      </c>
      <c r="H428" s="172" t="str">
        <f t="shared" si="226"/>
        <v>bd.</v>
      </c>
      <c r="I428" s="172" t="str">
        <f t="shared" si="226"/>
        <v>bd.</v>
      </c>
      <c r="J428" s="172" t="str">
        <f t="shared" si="226"/>
        <v>bd.</v>
      </c>
      <c r="K428" s="172" t="str">
        <f t="shared" ca="1" si="226"/>
        <v>bd.</v>
      </c>
      <c r="L428" s="172" t="str">
        <f t="shared" ca="1" si="226"/>
        <v>bd.</v>
      </c>
      <c r="M428" s="172" t="str">
        <f t="shared" ca="1" si="226"/>
        <v>bd.</v>
      </c>
      <c r="N428" s="172" t="str">
        <f t="shared" ca="1" si="226"/>
        <v>bd.</v>
      </c>
      <c r="O428" s="172" t="str">
        <f t="shared" ca="1" si="226"/>
        <v>bd.</v>
      </c>
      <c r="P428" s="172" t="str">
        <f t="shared" ca="1" si="226"/>
        <v>bd.</v>
      </c>
      <c r="Q428" s="172" t="str">
        <f t="shared" ca="1" si="226"/>
        <v>bd.</v>
      </c>
      <c r="R428" s="172" t="str">
        <f t="shared" ca="1" si="226"/>
        <v>bd.</v>
      </c>
      <c r="S428" s="172" t="str">
        <f t="shared" ca="1" si="226"/>
        <v>bd.</v>
      </c>
      <c r="T428" s="172" t="str">
        <f t="shared" ca="1" si="226"/>
        <v>bd.</v>
      </c>
      <c r="U428" s="172" t="str">
        <f t="shared" ca="1" si="226"/>
        <v>bd.</v>
      </c>
      <c r="V428" s="172" t="str">
        <f t="shared" ca="1" si="226"/>
        <v>bd.</v>
      </c>
      <c r="W428" s="172" t="str">
        <f t="shared" ca="1" si="226"/>
        <v>bd.</v>
      </c>
      <c r="X428" s="172" t="str">
        <f t="shared" ca="1" si="226"/>
        <v>bd.</v>
      </c>
    </row>
    <row r="429" spans="2:24"/>
    <row r="430" spans="2:24">
      <c r="B430" s="29" t="s">
        <v>643</v>
      </c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2:24">
      <c r="B431" s="94" t="s">
        <v>644</v>
      </c>
      <c r="C431" s="19"/>
      <c r="D431" s="19"/>
      <c r="E431" s="19"/>
      <c r="F431" s="19"/>
      <c r="G431" s="174" t="str">
        <f t="shared" ref="G431:X431" ca="1" si="227">IFERROR(ROUND((G354/G308)*dni,0),"bd.")</f>
        <v>bd.</v>
      </c>
      <c r="H431" s="174" t="str">
        <f t="shared" ca="1" si="227"/>
        <v>bd.</v>
      </c>
      <c r="I431" s="174" t="str">
        <f t="shared" ca="1" si="227"/>
        <v>bd.</v>
      </c>
      <c r="J431" s="174" t="str">
        <f t="shared" si="227"/>
        <v>bd.</v>
      </c>
      <c r="K431" s="174" t="str">
        <f t="shared" ca="1" si="227"/>
        <v>bd.</v>
      </c>
      <c r="L431" s="174" t="str">
        <f t="shared" ca="1" si="227"/>
        <v>bd.</v>
      </c>
      <c r="M431" s="174" t="str">
        <f t="shared" ca="1" si="227"/>
        <v>bd.</v>
      </c>
      <c r="N431" s="174" t="str">
        <f t="shared" ca="1" si="227"/>
        <v>bd.</v>
      </c>
      <c r="O431" s="174" t="str">
        <f t="shared" ca="1" si="227"/>
        <v>bd.</v>
      </c>
      <c r="P431" s="174" t="str">
        <f t="shared" ca="1" si="227"/>
        <v>bd.</v>
      </c>
      <c r="Q431" s="174" t="str">
        <f t="shared" ca="1" si="227"/>
        <v>bd.</v>
      </c>
      <c r="R431" s="174" t="str">
        <f t="shared" ca="1" si="227"/>
        <v>bd.</v>
      </c>
      <c r="S431" s="174" t="str">
        <f t="shared" ca="1" si="227"/>
        <v>bd.</v>
      </c>
      <c r="T431" s="174" t="str">
        <f t="shared" ca="1" si="227"/>
        <v>bd.</v>
      </c>
      <c r="U431" s="174" t="str">
        <f t="shared" ca="1" si="227"/>
        <v>bd.</v>
      </c>
      <c r="V431" s="174" t="str">
        <f t="shared" ca="1" si="227"/>
        <v>bd.</v>
      </c>
      <c r="W431" s="174" t="str">
        <f t="shared" ca="1" si="227"/>
        <v>bd.</v>
      </c>
      <c r="X431" s="174" t="str">
        <f t="shared" ca="1" si="227"/>
        <v>bd.</v>
      </c>
    </row>
    <row r="432" spans="2:24">
      <c r="B432" s="37" t="s">
        <v>645</v>
      </c>
      <c r="C432" s="52"/>
      <c r="D432" s="52"/>
      <c r="E432" s="52"/>
      <c r="F432" s="52"/>
      <c r="G432" s="10" t="str">
        <f t="shared" ref="G432:X432" ca="1" si="228">IFERROR(ROUND((G356/G303)*dni,0),"bd.")</f>
        <v>bd.</v>
      </c>
      <c r="H432" s="10" t="str">
        <f t="shared" ca="1" si="228"/>
        <v>bd.</v>
      </c>
      <c r="I432" s="10" t="str">
        <f t="shared" ca="1" si="228"/>
        <v>bd.</v>
      </c>
      <c r="J432" s="10" t="str">
        <f t="shared" si="228"/>
        <v>bd.</v>
      </c>
      <c r="K432" s="10" t="str">
        <f t="shared" ca="1" si="228"/>
        <v>bd.</v>
      </c>
      <c r="L432" s="10" t="str">
        <f t="shared" ca="1" si="228"/>
        <v>bd.</v>
      </c>
      <c r="M432" s="10" t="str">
        <f t="shared" ca="1" si="228"/>
        <v>bd.</v>
      </c>
      <c r="N432" s="10" t="str">
        <f t="shared" ca="1" si="228"/>
        <v>bd.</v>
      </c>
      <c r="O432" s="10" t="str">
        <f t="shared" ca="1" si="228"/>
        <v>bd.</v>
      </c>
      <c r="P432" s="10" t="str">
        <f t="shared" ca="1" si="228"/>
        <v>bd.</v>
      </c>
      <c r="Q432" s="10" t="str">
        <f t="shared" ca="1" si="228"/>
        <v>bd.</v>
      </c>
      <c r="R432" s="10" t="str">
        <f t="shared" ca="1" si="228"/>
        <v>bd.</v>
      </c>
      <c r="S432" s="10" t="str">
        <f t="shared" ca="1" si="228"/>
        <v>bd.</v>
      </c>
      <c r="T432" s="10" t="str">
        <f t="shared" ca="1" si="228"/>
        <v>bd.</v>
      </c>
      <c r="U432" s="10" t="str">
        <f t="shared" ca="1" si="228"/>
        <v>bd.</v>
      </c>
      <c r="V432" s="10" t="str">
        <f t="shared" ca="1" si="228"/>
        <v>bd.</v>
      </c>
      <c r="W432" s="10" t="str">
        <f t="shared" ca="1" si="228"/>
        <v>bd.</v>
      </c>
      <c r="X432" s="10" t="str">
        <f t="shared" ca="1" si="228"/>
        <v>bd.</v>
      </c>
    </row>
    <row r="433" spans="2:24">
      <c r="B433" s="37" t="s">
        <v>646</v>
      </c>
      <c r="C433" s="52"/>
      <c r="D433" s="52"/>
      <c r="E433" s="52"/>
      <c r="F433" s="52"/>
      <c r="G433" s="10" t="str">
        <f t="shared" ref="G433:X433" ca="1" si="229">IFERROR(ROUND((G375/G308)*dni,0),"bd.")</f>
        <v>bd.</v>
      </c>
      <c r="H433" s="10" t="str">
        <f t="shared" ca="1" si="229"/>
        <v>bd.</v>
      </c>
      <c r="I433" s="10" t="str">
        <f t="shared" ca="1" si="229"/>
        <v>bd.</v>
      </c>
      <c r="J433" s="10" t="str">
        <f t="shared" si="229"/>
        <v>bd.</v>
      </c>
      <c r="K433" s="10" t="str">
        <f t="shared" ca="1" si="229"/>
        <v>bd.</v>
      </c>
      <c r="L433" s="10" t="str">
        <f t="shared" ca="1" si="229"/>
        <v>bd.</v>
      </c>
      <c r="M433" s="10" t="str">
        <f t="shared" ca="1" si="229"/>
        <v>bd.</v>
      </c>
      <c r="N433" s="10" t="str">
        <f t="shared" ca="1" si="229"/>
        <v>bd.</v>
      </c>
      <c r="O433" s="10" t="str">
        <f t="shared" ca="1" si="229"/>
        <v>bd.</v>
      </c>
      <c r="P433" s="10" t="str">
        <f t="shared" ca="1" si="229"/>
        <v>bd.</v>
      </c>
      <c r="Q433" s="10" t="str">
        <f t="shared" ca="1" si="229"/>
        <v>bd.</v>
      </c>
      <c r="R433" s="10" t="str">
        <f t="shared" ca="1" si="229"/>
        <v>bd.</v>
      </c>
      <c r="S433" s="10" t="str">
        <f t="shared" ca="1" si="229"/>
        <v>bd.</v>
      </c>
      <c r="T433" s="10" t="str">
        <f t="shared" ca="1" si="229"/>
        <v>bd.</v>
      </c>
      <c r="U433" s="10" t="str">
        <f t="shared" ca="1" si="229"/>
        <v>bd.</v>
      </c>
      <c r="V433" s="10" t="str">
        <f t="shared" ca="1" si="229"/>
        <v>bd.</v>
      </c>
      <c r="W433" s="10" t="str">
        <f t="shared" ca="1" si="229"/>
        <v>bd.</v>
      </c>
      <c r="X433" s="10" t="str">
        <f t="shared" ca="1" si="229"/>
        <v>bd.</v>
      </c>
    </row>
    <row r="434" spans="2:24"/>
    <row r="435" spans="2:24">
      <c r="B435" s="29" t="s">
        <v>647</v>
      </c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2:24">
      <c r="B436" s="94" t="s">
        <v>648</v>
      </c>
      <c r="C436" s="19" t="s">
        <v>649</v>
      </c>
      <c r="D436" s="19" t="s">
        <v>650</v>
      </c>
      <c r="E436" s="19"/>
      <c r="F436" s="19"/>
      <c r="G436" s="175" t="str">
        <f>IF(Założenia!$C$179=TRUE,"n/d",IFERROR(ROUND(G369/G364,1),"bd."))</f>
        <v>bd.</v>
      </c>
      <c r="H436" s="175" t="str">
        <f>IF(Założenia!$C$179=TRUE,"n/d",IFERROR(ROUND(H369/H364,1),"bd."))</f>
        <v>bd.</v>
      </c>
      <c r="I436" s="175" t="str">
        <f>IF(Założenia!$C$179=TRUE,"n/d",IFERROR(ROUND(I369/I364,1),"bd."))</f>
        <v>bd.</v>
      </c>
      <c r="J436" s="175" t="str">
        <f>IF(Założenia!$C$179=TRUE,"n/d",IFERROR(ROUND(J369/J364,1),"bd."))</f>
        <v>bd.</v>
      </c>
      <c r="K436" s="175" t="str">
        <f ca="1">IF(Założenia!$C$179=TRUE,"n/d",IFERROR(ROUND(K369/K364,1),"bd."))</f>
        <v>bd.</v>
      </c>
      <c r="L436" s="175" t="str">
        <f ca="1">IF(Założenia!$C$179=TRUE,"n/d",IFERROR(ROUND(L369/L364,1),"bd."))</f>
        <v>bd.</v>
      </c>
      <c r="M436" s="175" t="str">
        <f ca="1">IF(Założenia!$C$179=TRUE,"n/d",IFERROR(ROUND(M369/M364,1),"bd."))</f>
        <v>bd.</v>
      </c>
      <c r="N436" s="175" t="str">
        <f ca="1">IF(Założenia!$C$179=TRUE,"n/d",IFERROR(ROUND(N369/N364,1),"bd."))</f>
        <v>bd.</v>
      </c>
      <c r="O436" s="175" t="str">
        <f ca="1">IF(Założenia!$C$179=TRUE,"n/d",IFERROR(ROUND(O369/O364,1),"bd."))</f>
        <v>bd.</v>
      </c>
      <c r="P436" s="175" t="str">
        <f ca="1">IF(Założenia!$C$179=TRUE,"n/d",IFERROR(ROUND(P369/P364,1),"bd."))</f>
        <v>bd.</v>
      </c>
      <c r="Q436" s="175" t="str">
        <f ca="1">IF(Założenia!$C$179=TRUE,"n/d",IFERROR(ROUND(Q369/Q364,1),"bd."))</f>
        <v>bd.</v>
      </c>
      <c r="R436" s="175" t="str">
        <f ca="1">IF(Założenia!$C$179=TRUE,"n/d",IFERROR(ROUND(R369/R364,1),"bd."))</f>
        <v>bd.</v>
      </c>
      <c r="S436" s="175" t="str">
        <f ca="1">IF(Założenia!$C$179=TRUE,"n/d",IFERROR(ROUND(S369/S364,1),"bd."))</f>
        <v>bd.</v>
      </c>
      <c r="T436" s="175" t="str">
        <f ca="1">IF(Założenia!$C$179=TRUE,"n/d",IFERROR(ROUND(T369/T364,1),"bd."))</f>
        <v>bd.</v>
      </c>
      <c r="U436" s="175" t="str">
        <f ca="1">IF(Założenia!$C$179=TRUE,"n/d",IFERROR(ROUND(U369/U364,1),"bd."))</f>
        <v>bd.</v>
      </c>
      <c r="V436" s="175" t="str">
        <f ca="1">IF(Założenia!$C$179=TRUE,"n/d",IFERROR(ROUND(V369/V364,1),"bd."))</f>
        <v>bd.</v>
      </c>
      <c r="W436" s="175" t="str">
        <f ca="1">IF(Założenia!$C$179=TRUE,"n/d",IFERROR(ROUND(W369/W364,1),"bd."))</f>
        <v>bd.</v>
      </c>
      <c r="X436" s="175" t="str">
        <f ca="1">IF(Założenia!$C$179=TRUE,"n/d",IFERROR(ROUND(X369/X364,1),"bd."))</f>
        <v>bd.</v>
      </c>
    </row>
    <row r="437" spans="2:24">
      <c r="B437" s="37" t="s">
        <v>651</v>
      </c>
      <c r="C437" s="52" t="s">
        <v>652</v>
      </c>
      <c r="D437" s="52" t="s">
        <v>636</v>
      </c>
      <c r="E437" s="52"/>
      <c r="F437" s="52"/>
      <c r="G437" s="172" t="str">
        <f>IF(Założenia!$C$179=TRUE,"n/d",IFERROR(ROUND((G321+G309)/G324,1),"bd."))</f>
        <v>bd.</v>
      </c>
      <c r="H437" s="172" t="str">
        <f>IF(Założenia!$C$179=TRUE,"n/d",IFERROR(ROUND((H321+H309)/H324,1),"bd."))</f>
        <v>bd.</v>
      </c>
      <c r="I437" s="172" t="str">
        <f>IF(Założenia!$C$179=TRUE,"n/d",IFERROR(ROUND((I321+I309)/I324,1),"bd."))</f>
        <v>bd.</v>
      </c>
      <c r="J437" s="172" t="str">
        <f>IF(Założenia!$C$179=TRUE,"n/d",IFERROR(ROUND((J321+J309)/J324,1),"bd."))</f>
        <v>bd.</v>
      </c>
      <c r="K437" s="172" t="str">
        <f ca="1">IF(Założenia!$C$179=TRUE,"n/d",IFERROR(ROUND((K321+K309)/K324,1),"bd."))</f>
        <v>bd.</v>
      </c>
      <c r="L437" s="172" t="str">
        <f ca="1">IF(Założenia!$C$179=TRUE,"n/d",IFERROR(ROUND((L321+L309)/L324,1),"bd."))</f>
        <v>bd.</v>
      </c>
      <c r="M437" s="172" t="str">
        <f ca="1">IF(Założenia!$C$179=TRUE,"n/d",IFERROR(ROUND((M321+M309)/M324,1),"bd."))</f>
        <v>bd.</v>
      </c>
      <c r="N437" s="172" t="str">
        <f ca="1">IF(Założenia!$C$179=TRUE,"n/d",IFERROR(ROUND((N321+N309)/N324,1),"bd."))</f>
        <v>bd.</v>
      </c>
      <c r="O437" s="172" t="str">
        <f ca="1">IF(Założenia!$C$179=TRUE,"n/d",IFERROR(ROUND((O321+O309)/O324,1),"bd."))</f>
        <v>bd.</v>
      </c>
      <c r="P437" s="172" t="str">
        <f ca="1">IF(Założenia!$C$179=TRUE,"n/d",IFERROR(ROUND((P321+P309)/P324,1),"bd."))</f>
        <v>bd.</v>
      </c>
      <c r="Q437" s="172" t="str">
        <f ca="1">IF(Założenia!$C$179=TRUE,"n/d",IFERROR(ROUND((Q321+Q309)/Q324,1),"bd."))</f>
        <v>bd.</v>
      </c>
      <c r="R437" s="172" t="str">
        <f ca="1">IF(Założenia!$C$179=TRUE,"n/d",IFERROR(ROUND((R321+R309)/R324,1),"bd."))</f>
        <v>bd.</v>
      </c>
      <c r="S437" s="172" t="str">
        <f ca="1">IF(Założenia!$C$179=TRUE,"n/d",IFERROR(ROUND((S321+S309)/S324,1),"bd."))</f>
        <v>bd.</v>
      </c>
      <c r="T437" s="172" t="str">
        <f ca="1">IF(Założenia!$C$179=TRUE,"n/d",IFERROR(ROUND((T321+T309)/T324,1),"bd."))</f>
        <v>bd.</v>
      </c>
      <c r="U437" s="172" t="str">
        <f ca="1">IF(Założenia!$C$179=TRUE,"n/d",IFERROR(ROUND((U321+U309)/U324,1),"bd."))</f>
        <v>bd.</v>
      </c>
      <c r="V437" s="172" t="str">
        <f ca="1">IF(Założenia!$C$179=TRUE,"n/d",IFERROR(ROUND((V321+V309)/V324,1),"bd."))</f>
        <v>bd.</v>
      </c>
      <c r="W437" s="172" t="str">
        <f ca="1">IF(Założenia!$C$179=TRUE,"n/d",IFERROR(ROUND((W321+W309)/W324,1),"bd."))</f>
        <v>bd.</v>
      </c>
      <c r="X437" s="172" t="str">
        <f ca="1">IF(Założenia!$C$179=TRUE,"n/d",IFERROR(ROUND((X321+X309)/X324,1),"bd."))</f>
        <v>bd.</v>
      </c>
    </row>
    <row r="438" spans="2:24"/>
    <row r="439" spans="2:24" ht="14.4">
      <c r="B439" s="11" t="s">
        <v>51</v>
      </c>
    </row>
    <row r="440" spans="2:24"/>
    <row r="441" spans="2:24"/>
    <row r="442" spans="2:24"/>
    <row r="443" spans="2:24"/>
    <row r="444" spans="2:24"/>
    <row r="445" spans="2:24"/>
    <row r="446" spans="2:24"/>
    <row r="447" spans="2:24"/>
    <row r="448" spans="2:24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 spans="2:24"/>
    <row r="482" spans="2:24"/>
    <row r="483" spans="2:24"/>
    <row r="484" spans="2:24"/>
    <row r="489" spans="2:24" hidden="1">
      <c r="B489" s="21" t="s">
        <v>655</v>
      </c>
      <c r="C489" s="21"/>
      <c r="D489" s="21"/>
      <c r="E489" s="21"/>
      <c r="F489" s="21"/>
      <c r="G489" s="21"/>
      <c r="H489" s="21"/>
      <c r="I489" s="21"/>
      <c r="J489" s="21"/>
      <c r="K489" s="227" t="str">
        <f>K$385</f>
        <v>Uzupełnij dane</v>
      </c>
      <c r="L489" s="227" t="str">
        <f t="shared" ref="L489:X489" si="230">L$385</f>
        <v/>
      </c>
      <c r="M489" s="227" t="str">
        <f t="shared" si="230"/>
        <v/>
      </c>
      <c r="N489" s="227" t="str">
        <f t="shared" si="230"/>
        <v/>
      </c>
      <c r="O489" s="227" t="str">
        <f t="shared" si="230"/>
        <v/>
      </c>
      <c r="P489" s="227" t="str">
        <f t="shared" si="230"/>
        <v/>
      </c>
      <c r="Q489" s="227" t="str">
        <f t="shared" si="230"/>
        <v/>
      </c>
      <c r="R489" s="227" t="str">
        <f t="shared" si="230"/>
        <v/>
      </c>
      <c r="S489" s="227" t="str">
        <f t="shared" si="230"/>
        <v/>
      </c>
      <c r="T489" s="227" t="str">
        <f t="shared" si="230"/>
        <v/>
      </c>
      <c r="U489" s="227" t="str">
        <f t="shared" si="230"/>
        <v/>
      </c>
      <c r="V489" s="227" t="str">
        <f t="shared" si="230"/>
        <v/>
      </c>
      <c r="W489" s="227" t="str">
        <f t="shared" si="230"/>
        <v/>
      </c>
      <c r="X489" s="227" t="str">
        <f t="shared" si="230"/>
        <v/>
      </c>
    </row>
    <row r="490" spans="2:24" hidden="1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2:24" hidden="1">
      <c r="B491" s="21" t="s">
        <v>656</v>
      </c>
      <c r="C491" s="21"/>
      <c r="D491" s="21"/>
      <c r="E491" s="21"/>
      <c r="F491" s="21"/>
      <c r="G491" s="21"/>
      <c r="H491" s="21"/>
      <c r="I491" s="21"/>
      <c r="J491" s="21"/>
      <c r="K491" s="22">
        <f t="shared" ref="K491:X491" ca="1" si="231">K330</f>
        <v>0</v>
      </c>
      <c r="L491" s="22">
        <f t="shared" ca="1" si="231"/>
        <v>0</v>
      </c>
      <c r="M491" s="22">
        <f t="shared" ca="1" si="231"/>
        <v>0</v>
      </c>
      <c r="N491" s="22">
        <f t="shared" ca="1" si="231"/>
        <v>0</v>
      </c>
      <c r="O491" s="22">
        <f t="shared" ca="1" si="231"/>
        <v>0</v>
      </c>
      <c r="P491" s="22">
        <f t="shared" ca="1" si="231"/>
        <v>0</v>
      </c>
      <c r="Q491" s="22">
        <f t="shared" ca="1" si="231"/>
        <v>0</v>
      </c>
      <c r="R491" s="22">
        <f t="shared" ca="1" si="231"/>
        <v>0</v>
      </c>
      <c r="S491" s="22">
        <f t="shared" ca="1" si="231"/>
        <v>0</v>
      </c>
      <c r="T491" s="22">
        <f t="shared" ca="1" si="231"/>
        <v>0</v>
      </c>
      <c r="U491" s="22">
        <f t="shared" ca="1" si="231"/>
        <v>0</v>
      </c>
      <c r="V491" s="22">
        <f t="shared" ca="1" si="231"/>
        <v>0</v>
      </c>
      <c r="W491" s="22">
        <f t="shared" ca="1" si="231"/>
        <v>0</v>
      </c>
      <c r="X491" s="22">
        <f t="shared" ca="1" si="231"/>
        <v>0</v>
      </c>
    </row>
    <row r="492" spans="2:24" hidden="1">
      <c r="B492" s="21" t="s">
        <v>657</v>
      </c>
      <c r="C492" s="21"/>
      <c r="D492" s="21"/>
      <c r="E492" s="21"/>
      <c r="F492" s="21"/>
      <c r="G492" s="21"/>
      <c r="H492" s="21"/>
      <c r="I492" s="21"/>
      <c r="J492" s="21"/>
      <c r="K492" s="22">
        <f>Finansowanie!K22</f>
        <v>0</v>
      </c>
      <c r="L492" s="22">
        <f>Finansowanie!L22</f>
        <v>0</v>
      </c>
      <c r="M492" s="22">
        <f>Finansowanie!M22</f>
        <v>0</v>
      </c>
      <c r="N492" s="22">
        <f>Finansowanie!N22</f>
        <v>0</v>
      </c>
      <c r="O492" s="22">
        <f>Finansowanie!O22</f>
        <v>0</v>
      </c>
      <c r="P492" s="22">
        <f>Finansowanie!P22</f>
        <v>0</v>
      </c>
      <c r="Q492" s="22">
        <f>Finansowanie!Q22</f>
        <v>0</v>
      </c>
      <c r="R492" s="22">
        <f>Finansowanie!R22</f>
        <v>0</v>
      </c>
      <c r="S492" s="22">
        <f>Finansowanie!S22</f>
        <v>0</v>
      </c>
      <c r="T492" s="22">
        <f>Finansowanie!T22</f>
        <v>0</v>
      </c>
      <c r="U492" s="22">
        <f>Finansowanie!U22</f>
        <v>0</v>
      </c>
      <c r="V492" s="22">
        <f>Finansowanie!V22</f>
        <v>0</v>
      </c>
      <c r="W492" s="22">
        <f>Finansowanie!W22</f>
        <v>0</v>
      </c>
      <c r="X492" s="22">
        <f>Finansowanie!X22</f>
        <v>0</v>
      </c>
    </row>
    <row r="493" spans="2:24" hidden="1">
      <c r="B493" s="21" t="s">
        <v>658</v>
      </c>
      <c r="C493" s="21"/>
      <c r="D493" s="21"/>
      <c r="E493" s="21"/>
      <c r="F493" s="21"/>
      <c r="G493" s="21"/>
      <c r="H493" s="21"/>
      <c r="I493" s="21"/>
      <c r="J493" s="21"/>
      <c r="K493" s="22">
        <f>Finansowanie!K84</f>
        <v>0</v>
      </c>
      <c r="L493" s="22">
        <f>Finansowanie!L84</f>
        <v>0</v>
      </c>
      <c r="M493" s="22">
        <f>Finansowanie!M84</f>
        <v>0</v>
      </c>
      <c r="N493" s="22">
        <f>Finansowanie!N84</f>
        <v>0</v>
      </c>
      <c r="O493" s="22">
        <f>Finansowanie!O84</f>
        <v>0</v>
      </c>
      <c r="P493" s="22">
        <f>Finansowanie!P84</f>
        <v>0</v>
      </c>
      <c r="Q493" s="22">
        <f>Finansowanie!Q84</f>
        <v>0</v>
      </c>
      <c r="R493" s="22">
        <f>Finansowanie!R84</f>
        <v>0</v>
      </c>
      <c r="S493" s="22">
        <f>Finansowanie!S84</f>
        <v>0</v>
      </c>
      <c r="T493" s="22">
        <f>Finansowanie!T84</f>
        <v>0</v>
      </c>
      <c r="U493" s="22">
        <f>Finansowanie!U84</f>
        <v>0</v>
      </c>
      <c r="V493" s="22">
        <f>Finansowanie!V84</f>
        <v>0</v>
      </c>
      <c r="W493" s="22">
        <f>Finansowanie!W84</f>
        <v>0</v>
      </c>
      <c r="X493" s="22">
        <f>Finansowanie!X84</f>
        <v>0</v>
      </c>
    </row>
    <row r="494" spans="2:24" hidden="1">
      <c r="B494" s="21" t="s">
        <v>659</v>
      </c>
      <c r="C494" s="21"/>
      <c r="D494" s="21"/>
      <c r="E494" s="21"/>
      <c r="F494" s="21"/>
      <c r="G494" s="21"/>
      <c r="H494" s="21"/>
      <c r="I494" s="21"/>
      <c r="J494" s="21"/>
      <c r="K494" s="245">
        <f>IF(Rok_n="",Finansowanie!K23,IF(Założenia!$J$32=12,Finansowanie!K23,(J80-K492-K493)))</f>
        <v>0</v>
      </c>
      <c r="L494" s="22">
        <f t="shared" ref="L494:X494" ca="1" si="232">K494+K491-L492-L493</f>
        <v>0</v>
      </c>
      <c r="M494" s="22">
        <f t="shared" ca="1" si="232"/>
        <v>0</v>
      </c>
      <c r="N494" s="22">
        <f t="shared" ca="1" si="232"/>
        <v>0</v>
      </c>
      <c r="O494" s="22">
        <f t="shared" ca="1" si="232"/>
        <v>0</v>
      </c>
      <c r="P494" s="22">
        <f t="shared" ca="1" si="232"/>
        <v>0</v>
      </c>
      <c r="Q494" s="22">
        <f t="shared" ca="1" si="232"/>
        <v>0</v>
      </c>
      <c r="R494" s="22">
        <f t="shared" ca="1" si="232"/>
        <v>0</v>
      </c>
      <c r="S494" s="22">
        <f t="shared" ca="1" si="232"/>
        <v>0</v>
      </c>
      <c r="T494" s="22">
        <f t="shared" ca="1" si="232"/>
        <v>0</v>
      </c>
      <c r="U494" s="22">
        <f t="shared" ca="1" si="232"/>
        <v>0</v>
      </c>
      <c r="V494" s="22">
        <f t="shared" ca="1" si="232"/>
        <v>0</v>
      </c>
      <c r="W494" s="22">
        <f t="shared" ca="1" si="232"/>
        <v>0</v>
      </c>
      <c r="X494" s="22">
        <f t="shared" ca="1" si="232"/>
        <v>0</v>
      </c>
    </row>
  </sheetData>
  <sheetProtection algorithmName="SHA-512" hashValue="jrm8wMi7xC18I1iz3OTe71r3AIefg/dFSgB4Ok9X5QMUIpH5QbHDIlF8/HZJjyYRef/Zeyfc0irPIroIdE4+zw==" saltValue="q78+IZa/AMZbQrG1KQPbWw==" spinCount="100000" sheet="1" objects="1" scenarios="1"/>
  <mergeCells count="1">
    <mergeCell ref="B2:G3"/>
  </mergeCells>
  <conditionalFormatting sqref="K289:X289">
    <cfRule type="containsText" dxfId="299" priority="322" operator="containsText" text="bd.">
      <formula>NOT(ISERROR(SEARCH("bd.",K289)))</formula>
    </cfRule>
  </conditionalFormatting>
  <conditionalFormatting sqref="K290:X290">
    <cfRule type="containsText" dxfId="298" priority="321" operator="containsText" text="bd.">
      <formula>NOT(ISERROR(SEARCH("bd.",K290)))</formula>
    </cfRule>
  </conditionalFormatting>
  <conditionalFormatting sqref="K291:X291">
    <cfRule type="containsText" dxfId="297" priority="320" operator="containsText" text="bd.">
      <formula>NOT(ISERROR(SEARCH("bd.",K291)))</formula>
    </cfRule>
  </conditionalFormatting>
  <conditionalFormatting sqref="K274:X274">
    <cfRule type="cellIs" dxfId="296" priority="346" operator="lessThanOrEqual">
      <formula>0</formula>
    </cfRule>
    <cfRule type="cellIs" dxfId="295" priority="347" operator="greaterThanOrEqual">
      <formula>0.015</formula>
    </cfRule>
  </conditionalFormatting>
  <conditionalFormatting sqref="K275:X275">
    <cfRule type="cellIs" dxfId="294" priority="344" operator="lessThanOrEqual">
      <formula>0</formula>
    </cfRule>
    <cfRule type="cellIs" dxfId="293" priority="345" operator="greaterThanOrEqual">
      <formula>0.01</formula>
    </cfRule>
  </conditionalFormatting>
  <conditionalFormatting sqref="K276:X276">
    <cfRule type="cellIs" dxfId="292" priority="342" operator="lessThanOrEqual">
      <formula>0.03</formula>
    </cfRule>
    <cfRule type="cellIs" dxfId="291" priority="343" operator="greaterThanOrEqual">
      <formula>0.1</formula>
    </cfRule>
  </conditionalFormatting>
  <conditionalFormatting sqref="K274:X276">
    <cfRule type="containsText" dxfId="290" priority="341" operator="containsText" text="bd.">
      <formula>NOT(ISERROR(SEARCH("bd.",K274)))</formula>
    </cfRule>
  </conditionalFormatting>
  <conditionalFormatting sqref="K279:X279">
    <cfRule type="containsText" dxfId="289" priority="338" operator="containsText" text="bd.">
      <formula>NOT(ISERROR(SEARCH("bd.",K279)))</formula>
    </cfRule>
    <cfRule type="cellIs" dxfId="288" priority="339" operator="greaterThanOrEqual">
      <formula>0.5</formula>
    </cfRule>
    <cfRule type="cellIs" dxfId="287" priority="340" operator="lessThan">
      <formula>0.2</formula>
    </cfRule>
  </conditionalFormatting>
  <conditionalFormatting sqref="K280:X280">
    <cfRule type="containsText" dxfId="286" priority="335" operator="containsText" text="bd.">
      <formula>NOT(ISERROR(SEARCH("bd.",K280)))</formula>
    </cfRule>
    <cfRule type="aboveAverage" dxfId="285" priority="336"/>
    <cfRule type="cellIs" dxfId="284" priority="337" operator="lessThan">
      <formula>0.8</formula>
    </cfRule>
  </conditionalFormatting>
  <conditionalFormatting sqref="K281:X281">
    <cfRule type="containsText" dxfId="283" priority="332" operator="containsText" text="bd.">
      <formula>NOT(ISERROR(SEARCH("bd.",K281)))</formula>
    </cfRule>
    <cfRule type="cellIs" dxfId="282" priority="333" operator="between">
      <formula>0.5</formula>
      <formula>0.7</formula>
    </cfRule>
    <cfRule type="cellIs" dxfId="281" priority="334" operator="greaterThan">
      <formula>0.8</formula>
    </cfRule>
  </conditionalFormatting>
  <conditionalFormatting sqref="K282:X282">
    <cfRule type="containsText" dxfId="280" priority="329" operator="containsText" text="bd.">
      <formula>NOT(ISERROR(SEARCH("bd.",K282)))</formula>
    </cfRule>
    <cfRule type="cellIs" dxfId="279" priority="330" operator="greaterThanOrEqual">
      <formula>1.3</formula>
    </cfRule>
    <cfRule type="cellIs" dxfId="278" priority="331" operator="lessThan">
      <formula>1</formula>
    </cfRule>
  </conditionalFormatting>
  <conditionalFormatting sqref="K285:X285">
    <cfRule type="containsText" dxfId="277" priority="326" operator="containsText" text="bd.">
      <formula>NOT(ISERROR(SEARCH("bd.",K285)))</formula>
    </cfRule>
    <cfRule type="cellIs" dxfId="276" priority="327" operator="between">
      <formula>1.2</formula>
      <formula>1.5</formula>
    </cfRule>
    <cfRule type="cellIs" dxfId="275" priority="328" operator="lessThan">
      <formula>1</formula>
    </cfRule>
  </conditionalFormatting>
  <conditionalFormatting sqref="K286:X286">
    <cfRule type="containsText" dxfId="274" priority="323" operator="containsText" text="bd.">
      <formula>NOT(ISERROR(SEARCH("bd.",K286)))</formula>
    </cfRule>
    <cfRule type="cellIs" dxfId="273" priority="324" operator="between">
      <formula>1</formula>
      <formula>1.2</formula>
    </cfRule>
    <cfRule type="cellIs" dxfId="272" priority="325" operator="lessThan">
      <formula>0.8</formula>
    </cfRule>
  </conditionalFormatting>
  <conditionalFormatting sqref="K294:X294">
    <cfRule type="containsText" dxfId="271" priority="316" operator="containsText" text="n/d">
      <formula>NOT(ISERROR(SEARCH("n/d",K294)))</formula>
    </cfRule>
    <cfRule type="containsText" dxfId="270" priority="317" operator="containsText" text="bd.">
      <formula>NOT(ISERROR(SEARCH("bd.",K294)))</formula>
    </cfRule>
    <cfRule type="cellIs" dxfId="269" priority="318" operator="lessThanOrEqual">
      <formula>7.5</formula>
    </cfRule>
    <cfRule type="cellIs" dxfId="268" priority="319" operator="greaterThan">
      <formula>7.5</formula>
    </cfRule>
  </conditionalFormatting>
  <conditionalFormatting sqref="K295:X295">
    <cfRule type="containsText" dxfId="267" priority="312" operator="containsText" text="n/d">
      <formula>NOT(ISERROR(SEARCH("n/d",K295)))</formula>
    </cfRule>
    <cfRule type="containsText" dxfId="266" priority="313" operator="containsText" text="bd.">
      <formula>NOT(ISERROR(SEARCH("bd.",K295)))</formula>
    </cfRule>
    <cfRule type="cellIs" dxfId="265" priority="314" operator="greaterThanOrEqual">
      <formula>3</formula>
    </cfRule>
    <cfRule type="cellIs" dxfId="264" priority="315" operator="lessThan">
      <formula>1</formula>
    </cfRule>
  </conditionalFormatting>
  <conditionalFormatting sqref="K267:X267">
    <cfRule type="cellIs" dxfId="263" priority="275" operator="lessThan">
      <formula>0</formula>
    </cfRule>
  </conditionalFormatting>
  <conditionalFormatting sqref="K214">
    <cfRule type="cellIs" dxfId="262" priority="274" operator="lessThan">
      <formula>0</formula>
    </cfRule>
  </conditionalFormatting>
  <conditionalFormatting sqref="K70:X70">
    <cfRule type="cellIs" dxfId="261" priority="268" operator="lessThan">
      <formula>0</formula>
    </cfRule>
  </conditionalFormatting>
  <conditionalFormatting sqref="K409:X409">
    <cfRule type="cellIs" dxfId="260" priority="267" operator="lessThan">
      <formula>0</formula>
    </cfRule>
  </conditionalFormatting>
  <conditionalFormatting sqref="G358">
    <cfRule type="cellIs" dxfId="259" priority="261" operator="lessThan">
      <formula>0</formula>
    </cfRule>
  </conditionalFormatting>
  <conditionalFormatting sqref="L214:X214">
    <cfRule type="cellIs" dxfId="258" priority="259" operator="lessThan">
      <formula>0</formula>
    </cfRule>
  </conditionalFormatting>
  <conditionalFormatting sqref="K358:X358">
    <cfRule type="cellIs" dxfId="257" priority="258" operator="lessThan">
      <formula>0</formula>
    </cfRule>
  </conditionalFormatting>
  <conditionalFormatting sqref="K416:X416">
    <cfRule type="cellIs" dxfId="256" priority="256" operator="lessThanOrEqual">
      <formula>0</formula>
    </cfRule>
    <cfRule type="cellIs" dxfId="255" priority="257" operator="greaterThanOrEqual">
      <formula>0.015</formula>
    </cfRule>
  </conditionalFormatting>
  <conditionalFormatting sqref="K417:X417">
    <cfRule type="cellIs" dxfId="254" priority="254" operator="lessThanOrEqual">
      <formula>0</formula>
    </cfRule>
    <cfRule type="cellIs" dxfId="253" priority="255" operator="greaterThanOrEqual">
      <formula>0.01</formula>
    </cfRule>
  </conditionalFormatting>
  <conditionalFormatting sqref="K418:X418">
    <cfRule type="cellIs" dxfId="252" priority="252" operator="lessThanOrEqual">
      <formula>0.03</formula>
    </cfRule>
    <cfRule type="cellIs" dxfId="251" priority="253" operator="greaterThanOrEqual">
      <formula>0.1</formula>
    </cfRule>
  </conditionalFormatting>
  <conditionalFormatting sqref="K416:X418">
    <cfRule type="containsText" dxfId="250" priority="251" operator="containsText" text="bd.">
      <formula>NOT(ISERROR(SEARCH("bd.",K416)))</formula>
    </cfRule>
  </conditionalFormatting>
  <conditionalFormatting sqref="K421:X421">
    <cfRule type="containsText" dxfId="249" priority="248" operator="containsText" text="bd.">
      <formula>NOT(ISERROR(SEARCH("bd.",K421)))</formula>
    </cfRule>
    <cfRule type="cellIs" dxfId="248" priority="249" operator="greaterThanOrEqual">
      <formula>0.5</formula>
    </cfRule>
    <cfRule type="cellIs" dxfId="247" priority="250" operator="lessThan">
      <formula>0.2</formula>
    </cfRule>
  </conditionalFormatting>
  <conditionalFormatting sqref="K422:X422">
    <cfRule type="containsText" dxfId="246" priority="245" operator="containsText" text="bd.">
      <formula>NOT(ISERROR(SEARCH("bd.",K422)))</formula>
    </cfRule>
    <cfRule type="aboveAverage" dxfId="245" priority="246"/>
    <cfRule type="cellIs" dxfId="244" priority="247" operator="lessThan">
      <formula>0.8</formula>
    </cfRule>
  </conditionalFormatting>
  <conditionalFormatting sqref="K423:X423">
    <cfRule type="containsText" dxfId="243" priority="242" operator="containsText" text="bd.">
      <formula>NOT(ISERROR(SEARCH("bd.",K423)))</formula>
    </cfRule>
    <cfRule type="cellIs" dxfId="242" priority="243" operator="between">
      <formula>0.5</formula>
      <formula>0.7</formula>
    </cfRule>
    <cfRule type="cellIs" dxfId="241" priority="244" operator="greaterThan">
      <formula>0.8</formula>
    </cfRule>
  </conditionalFormatting>
  <conditionalFormatting sqref="K424:X424">
    <cfRule type="containsText" dxfId="240" priority="239" operator="containsText" text="bd.">
      <formula>NOT(ISERROR(SEARCH("bd.",K424)))</formula>
    </cfRule>
    <cfRule type="cellIs" dxfId="239" priority="240" operator="greaterThanOrEqual">
      <formula>1.3</formula>
    </cfRule>
    <cfRule type="cellIs" dxfId="238" priority="241" operator="lessThan">
      <formula>1</formula>
    </cfRule>
  </conditionalFormatting>
  <conditionalFormatting sqref="K427:X427">
    <cfRule type="containsText" dxfId="237" priority="236" operator="containsText" text="bd.">
      <formula>NOT(ISERROR(SEARCH("bd.",K427)))</formula>
    </cfRule>
    <cfRule type="cellIs" dxfId="236" priority="237" operator="between">
      <formula>1.2</formula>
      <formula>1.5</formula>
    </cfRule>
    <cfRule type="cellIs" dxfId="235" priority="238" operator="lessThan">
      <formula>1</formula>
    </cfRule>
  </conditionalFormatting>
  <conditionalFormatting sqref="K428:X428">
    <cfRule type="containsText" dxfId="234" priority="233" operator="containsText" text="bd.">
      <formula>NOT(ISERROR(SEARCH("bd.",K428)))</formula>
    </cfRule>
    <cfRule type="cellIs" dxfId="233" priority="234" operator="between">
      <formula>1</formula>
      <formula>1.2</formula>
    </cfRule>
    <cfRule type="cellIs" dxfId="232" priority="235" operator="lessThan">
      <formula>0.8</formula>
    </cfRule>
  </conditionalFormatting>
  <conditionalFormatting sqref="K431:X431">
    <cfRule type="containsText" dxfId="231" priority="232" operator="containsText" text="bd.">
      <formula>NOT(ISERROR(SEARCH("bd.",K431)))</formula>
    </cfRule>
  </conditionalFormatting>
  <conditionalFormatting sqref="K432:X432">
    <cfRule type="containsText" dxfId="230" priority="231" operator="containsText" text="bd.">
      <formula>NOT(ISERROR(SEARCH("bd.",K432)))</formula>
    </cfRule>
  </conditionalFormatting>
  <conditionalFormatting sqref="K433:X433">
    <cfRule type="containsText" dxfId="229" priority="230" operator="containsText" text="bd.">
      <formula>NOT(ISERROR(SEARCH("bd.",K433)))</formula>
    </cfRule>
  </conditionalFormatting>
  <conditionalFormatting sqref="K436:X436">
    <cfRule type="containsText" dxfId="228" priority="226" operator="containsText" text="n/d">
      <formula>NOT(ISERROR(SEARCH("n/d",K436)))</formula>
    </cfRule>
    <cfRule type="containsText" dxfId="227" priority="227" operator="containsText" text="bd.">
      <formula>NOT(ISERROR(SEARCH("bd.",K436)))</formula>
    </cfRule>
    <cfRule type="cellIs" dxfId="226" priority="228" operator="lessThanOrEqual">
      <formula>7.5</formula>
    </cfRule>
    <cfRule type="cellIs" dxfId="225" priority="229" operator="greaterThan">
      <formula>7.5</formula>
    </cfRule>
  </conditionalFormatting>
  <conditionalFormatting sqref="K437:X437">
    <cfRule type="containsText" dxfId="224" priority="222" operator="containsText" text="n/d">
      <formula>NOT(ISERROR(SEARCH("n/d",K437)))</formula>
    </cfRule>
    <cfRule type="containsText" dxfId="223" priority="223" operator="containsText" text="bd.">
      <formula>NOT(ISERROR(SEARCH("bd.",K437)))</formula>
    </cfRule>
    <cfRule type="cellIs" dxfId="222" priority="224" operator="greaterThanOrEqual">
      <formula>3</formula>
    </cfRule>
    <cfRule type="cellIs" dxfId="221" priority="225" operator="lessThan">
      <formula>1</formula>
    </cfRule>
  </conditionalFormatting>
  <conditionalFormatting sqref="K130:X130">
    <cfRule type="cellIs" dxfId="220" priority="220" operator="lessThanOrEqual">
      <formula>0</formula>
    </cfRule>
    <cfRule type="cellIs" dxfId="219" priority="221" operator="greaterThanOrEqual">
      <formula>0.015</formula>
    </cfRule>
  </conditionalFormatting>
  <conditionalFormatting sqref="K131:X131">
    <cfRule type="cellIs" dxfId="218" priority="218" operator="lessThanOrEqual">
      <formula>0</formula>
    </cfRule>
    <cfRule type="cellIs" dxfId="217" priority="219" operator="greaterThanOrEqual">
      <formula>0.01</formula>
    </cfRule>
  </conditionalFormatting>
  <conditionalFormatting sqref="K132:X132">
    <cfRule type="cellIs" dxfId="216" priority="216" operator="lessThanOrEqual">
      <formula>0.03</formula>
    </cfRule>
    <cfRule type="cellIs" dxfId="215" priority="217" operator="greaterThanOrEqual">
      <formula>0.1</formula>
    </cfRule>
  </conditionalFormatting>
  <conditionalFormatting sqref="K130:X132">
    <cfRule type="containsText" dxfId="214" priority="215" operator="containsText" text="bd.">
      <formula>NOT(ISERROR(SEARCH("bd.",K130)))</formula>
    </cfRule>
  </conditionalFormatting>
  <conditionalFormatting sqref="K135:X135">
    <cfRule type="containsText" dxfId="213" priority="212" operator="containsText" text="bd.">
      <formula>NOT(ISERROR(SEARCH("bd.",K135)))</formula>
    </cfRule>
    <cfRule type="cellIs" dxfId="212" priority="213" operator="greaterThanOrEqual">
      <formula>0.5</formula>
    </cfRule>
    <cfRule type="cellIs" dxfId="211" priority="214" operator="lessThan">
      <formula>0.2</formula>
    </cfRule>
  </conditionalFormatting>
  <conditionalFormatting sqref="K136:X136">
    <cfRule type="containsText" dxfId="210" priority="209" operator="containsText" text="bd.">
      <formula>NOT(ISERROR(SEARCH("bd.",K136)))</formula>
    </cfRule>
    <cfRule type="aboveAverage" dxfId="209" priority="210"/>
    <cfRule type="cellIs" dxfId="208" priority="211" operator="lessThan">
      <formula>0.8</formula>
    </cfRule>
  </conditionalFormatting>
  <conditionalFormatting sqref="K137:X137">
    <cfRule type="containsText" dxfId="207" priority="206" operator="containsText" text="bd.">
      <formula>NOT(ISERROR(SEARCH("bd.",K137)))</formula>
    </cfRule>
    <cfRule type="cellIs" dxfId="206" priority="207" operator="between">
      <formula>0.5</formula>
      <formula>0.7</formula>
    </cfRule>
    <cfRule type="cellIs" dxfId="205" priority="208" operator="greaterThan">
      <formula>0.8</formula>
    </cfRule>
  </conditionalFormatting>
  <conditionalFormatting sqref="K138:X138">
    <cfRule type="containsText" dxfId="204" priority="203" operator="containsText" text="bd.">
      <formula>NOT(ISERROR(SEARCH("bd.",K138)))</formula>
    </cfRule>
    <cfRule type="cellIs" dxfId="203" priority="204" operator="greaterThanOrEqual">
      <formula>1.3</formula>
    </cfRule>
    <cfRule type="cellIs" dxfId="202" priority="205" operator="lessThan">
      <formula>1</formula>
    </cfRule>
  </conditionalFormatting>
  <conditionalFormatting sqref="K141:X141">
    <cfRule type="containsText" dxfId="201" priority="200" operator="containsText" text="bd.">
      <formula>NOT(ISERROR(SEARCH("bd.",K141)))</formula>
    </cfRule>
    <cfRule type="cellIs" dxfId="200" priority="201" operator="between">
      <formula>1.2</formula>
      <formula>1.5</formula>
    </cfRule>
    <cfRule type="cellIs" dxfId="199" priority="202" operator="lessThan">
      <formula>1</formula>
    </cfRule>
  </conditionalFormatting>
  <conditionalFormatting sqref="K142:X142">
    <cfRule type="containsText" dxfId="198" priority="197" operator="containsText" text="bd.">
      <formula>NOT(ISERROR(SEARCH("bd.",K142)))</formula>
    </cfRule>
    <cfRule type="cellIs" dxfId="197" priority="198" operator="between">
      <formula>1</formula>
      <formula>1.2</formula>
    </cfRule>
    <cfRule type="cellIs" dxfId="196" priority="199" operator="lessThan">
      <formula>0.8</formula>
    </cfRule>
  </conditionalFormatting>
  <conditionalFormatting sqref="K145:X145">
    <cfRule type="containsText" dxfId="195" priority="196" operator="containsText" text="bd.">
      <formula>NOT(ISERROR(SEARCH("bd.",K145)))</formula>
    </cfRule>
  </conditionalFormatting>
  <conditionalFormatting sqref="K146:X146">
    <cfRule type="containsText" dxfId="194" priority="195" operator="containsText" text="bd.">
      <formula>NOT(ISERROR(SEARCH("bd.",K146)))</formula>
    </cfRule>
  </conditionalFormatting>
  <conditionalFormatting sqref="K147:X147">
    <cfRule type="containsText" dxfId="193" priority="194" operator="containsText" text="bd.">
      <formula>NOT(ISERROR(SEARCH("bd.",K147)))</formula>
    </cfRule>
  </conditionalFormatting>
  <conditionalFormatting sqref="K150:X150">
    <cfRule type="containsText" dxfId="192" priority="190" operator="containsText" text="n/d">
      <formula>NOT(ISERROR(SEARCH("n/d",K150)))</formula>
    </cfRule>
    <cfRule type="containsText" dxfId="191" priority="191" operator="containsText" text="bd.">
      <formula>NOT(ISERROR(SEARCH("bd.",K150)))</formula>
    </cfRule>
    <cfRule type="cellIs" dxfId="190" priority="192" operator="lessThanOrEqual">
      <formula>7.5</formula>
    </cfRule>
    <cfRule type="cellIs" dxfId="189" priority="193" operator="greaterThan">
      <formula>7.5</formula>
    </cfRule>
  </conditionalFormatting>
  <conditionalFormatting sqref="K151:X151">
    <cfRule type="containsText" dxfId="188" priority="186" operator="containsText" text="n/d">
      <formula>NOT(ISERROR(SEARCH("n/d",K151)))</formula>
    </cfRule>
    <cfRule type="containsText" dxfId="187" priority="187" operator="containsText" text="bd.">
      <formula>NOT(ISERROR(SEARCH("bd.",K151)))</formula>
    </cfRule>
    <cfRule type="cellIs" dxfId="186" priority="188" operator="greaterThanOrEqual">
      <formula>3</formula>
    </cfRule>
    <cfRule type="cellIs" dxfId="185" priority="189" operator="lessThan">
      <formula>1</formula>
    </cfRule>
  </conditionalFormatting>
  <conditionalFormatting sqref="G151:J151">
    <cfRule type="containsText" dxfId="184" priority="6" operator="containsText" text="n/d">
      <formula>NOT(ISERROR(SEARCH("n/d",G151)))</formula>
    </cfRule>
    <cfRule type="containsText" dxfId="183" priority="7" operator="containsText" text="bd.">
      <formula>NOT(ISERROR(SEARCH("bd.",G151)))</formula>
    </cfRule>
    <cfRule type="cellIs" dxfId="182" priority="8" operator="greaterThanOrEqual">
      <formula>3</formula>
    </cfRule>
    <cfRule type="cellIs" dxfId="181" priority="9" operator="lessThan">
      <formula>1</formula>
    </cfRule>
  </conditionalFormatting>
  <conditionalFormatting sqref="J416">
    <cfRule type="cellIs" dxfId="180" priority="184" operator="lessThanOrEqual">
      <formula>0</formula>
    </cfRule>
    <cfRule type="cellIs" dxfId="179" priority="185" operator="greaterThanOrEqual">
      <formula>0.015</formula>
    </cfRule>
  </conditionalFormatting>
  <conditionalFormatting sqref="J417">
    <cfRule type="cellIs" dxfId="178" priority="182" operator="lessThanOrEqual">
      <formula>0</formula>
    </cfRule>
    <cfRule type="cellIs" dxfId="177" priority="183" operator="greaterThanOrEqual">
      <formula>0.01</formula>
    </cfRule>
  </conditionalFormatting>
  <conditionalFormatting sqref="J418">
    <cfRule type="cellIs" dxfId="176" priority="180" operator="lessThanOrEqual">
      <formula>0.03</formula>
    </cfRule>
    <cfRule type="cellIs" dxfId="175" priority="181" operator="greaterThanOrEqual">
      <formula>0.1</formula>
    </cfRule>
  </conditionalFormatting>
  <conditionalFormatting sqref="J416:J418">
    <cfRule type="containsText" dxfId="174" priority="179" operator="containsText" text="bd.">
      <formula>NOT(ISERROR(SEARCH("bd.",J416)))</formula>
    </cfRule>
  </conditionalFormatting>
  <conditionalFormatting sqref="J421">
    <cfRule type="containsText" dxfId="173" priority="176" operator="containsText" text="bd.">
      <formula>NOT(ISERROR(SEARCH("bd.",J421)))</formula>
    </cfRule>
    <cfRule type="cellIs" dxfId="172" priority="177" operator="greaterThanOrEqual">
      <formula>0.5</formula>
    </cfRule>
    <cfRule type="cellIs" dxfId="171" priority="178" operator="lessThan">
      <formula>0.2</formula>
    </cfRule>
  </conditionalFormatting>
  <conditionalFormatting sqref="J422">
    <cfRule type="containsText" dxfId="170" priority="173" operator="containsText" text="bd.">
      <formula>NOT(ISERROR(SEARCH("bd.",J422)))</formula>
    </cfRule>
    <cfRule type="aboveAverage" dxfId="169" priority="174"/>
    <cfRule type="cellIs" dxfId="168" priority="175" operator="lessThan">
      <formula>0.8</formula>
    </cfRule>
  </conditionalFormatting>
  <conditionalFormatting sqref="J423">
    <cfRule type="containsText" dxfId="167" priority="170" operator="containsText" text="bd.">
      <formula>NOT(ISERROR(SEARCH("bd.",J423)))</formula>
    </cfRule>
    <cfRule type="cellIs" dxfId="166" priority="171" operator="between">
      <formula>0.5</formula>
      <formula>0.7</formula>
    </cfRule>
    <cfRule type="cellIs" dxfId="165" priority="172" operator="greaterThan">
      <formula>0.8</formula>
    </cfRule>
  </conditionalFormatting>
  <conditionalFormatting sqref="J424">
    <cfRule type="containsText" dxfId="164" priority="167" operator="containsText" text="bd.">
      <formula>NOT(ISERROR(SEARCH("bd.",J424)))</formula>
    </cfRule>
    <cfRule type="cellIs" dxfId="163" priority="168" operator="greaterThanOrEqual">
      <formula>1.3</formula>
    </cfRule>
    <cfRule type="cellIs" dxfId="162" priority="169" operator="lessThan">
      <formula>1</formula>
    </cfRule>
  </conditionalFormatting>
  <conditionalFormatting sqref="J427">
    <cfRule type="containsText" dxfId="161" priority="164" operator="containsText" text="bd.">
      <formula>NOT(ISERROR(SEARCH("bd.",J427)))</formula>
    </cfRule>
    <cfRule type="cellIs" dxfId="160" priority="165" operator="between">
      <formula>1.2</formula>
      <formula>1.5</formula>
    </cfRule>
    <cfRule type="cellIs" dxfId="159" priority="166" operator="lessThan">
      <formula>1</formula>
    </cfRule>
  </conditionalFormatting>
  <conditionalFormatting sqref="J428">
    <cfRule type="containsText" dxfId="158" priority="161" operator="containsText" text="bd.">
      <formula>NOT(ISERROR(SEARCH("bd.",J428)))</formula>
    </cfRule>
    <cfRule type="cellIs" dxfId="157" priority="162" operator="between">
      <formula>1</formula>
      <formula>1.2</formula>
    </cfRule>
    <cfRule type="cellIs" dxfId="156" priority="163" operator="lessThan">
      <formula>0.8</formula>
    </cfRule>
  </conditionalFormatting>
  <conditionalFormatting sqref="J431">
    <cfRule type="containsText" dxfId="155" priority="160" operator="containsText" text="bd.">
      <formula>NOT(ISERROR(SEARCH("bd.",J431)))</formula>
    </cfRule>
  </conditionalFormatting>
  <conditionalFormatting sqref="J432">
    <cfRule type="containsText" dxfId="154" priority="159" operator="containsText" text="bd.">
      <formula>NOT(ISERROR(SEARCH("bd.",J432)))</formula>
    </cfRule>
  </conditionalFormatting>
  <conditionalFormatting sqref="J433">
    <cfRule type="containsText" dxfId="153" priority="158" operator="containsText" text="bd.">
      <formula>NOT(ISERROR(SEARCH("bd.",J433)))</formula>
    </cfRule>
  </conditionalFormatting>
  <conditionalFormatting sqref="J436">
    <cfRule type="containsText" dxfId="152" priority="154" operator="containsText" text="n/d">
      <formula>NOT(ISERROR(SEARCH("n/d",J436)))</formula>
    </cfRule>
    <cfRule type="containsText" dxfId="151" priority="155" operator="containsText" text="bd.">
      <formula>NOT(ISERROR(SEARCH("bd.",J436)))</formula>
    </cfRule>
    <cfRule type="cellIs" dxfId="150" priority="156" operator="lessThanOrEqual">
      <formula>7.5</formula>
    </cfRule>
    <cfRule type="cellIs" dxfId="149" priority="157" operator="greaterThan">
      <formula>7.5</formula>
    </cfRule>
  </conditionalFormatting>
  <conditionalFormatting sqref="J437">
    <cfRule type="containsText" dxfId="148" priority="150" operator="containsText" text="n/d">
      <formula>NOT(ISERROR(SEARCH("n/d",J437)))</formula>
    </cfRule>
    <cfRule type="containsText" dxfId="147" priority="151" operator="containsText" text="bd.">
      <formula>NOT(ISERROR(SEARCH("bd.",J437)))</formula>
    </cfRule>
    <cfRule type="cellIs" dxfId="146" priority="152" operator="greaterThanOrEqual">
      <formula>3</formula>
    </cfRule>
    <cfRule type="cellIs" dxfId="145" priority="153" operator="lessThan">
      <formula>1</formula>
    </cfRule>
  </conditionalFormatting>
  <conditionalFormatting sqref="I416">
    <cfRule type="cellIs" dxfId="144" priority="148" operator="lessThanOrEqual">
      <formula>0</formula>
    </cfRule>
    <cfRule type="cellIs" dxfId="143" priority="149" operator="greaterThanOrEqual">
      <formula>0.015</formula>
    </cfRule>
  </conditionalFormatting>
  <conditionalFormatting sqref="I417">
    <cfRule type="cellIs" dxfId="142" priority="146" operator="lessThanOrEqual">
      <formula>0</formula>
    </cfRule>
    <cfRule type="cellIs" dxfId="141" priority="147" operator="greaterThanOrEqual">
      <formula>0.01</formula>
    </cfRule>
  </conditionalFormatting>
  <conditionalFormatting sqref="I418">
    <cfRule type="cellIs" dxfId="140" priority="144" operator="lessThanOrEqual">
      <formula>0.03</formula>
    </cfRule>
    <cfRule type="cellIs" dxfId="139" priority="145" operator="greaterThanOrEqual">
      <formula>0.1</formula>
    </cfRule>
  </conditionalFormatting>
  <conditionalFormatting sqref="I416:I418">
    <cfRule type="containsText" dxfId="138" priority="143" operator="containsText" text="bd.">
      <formula>NOT(ISERROR(SEARCH("bd.",I416)))</formula>
    </cfRule>
  </conditionalFormatting>
  <conditionalFormatting sqref="I421">
    <cfRule type="containsText" dxfId="137" priority="140" operator="containsText" text="bd.">
      <formula>NOT(ISERROR(SEARCH("bd.",I421)))</formula>
    </cfRule>
    <cfRule type="cellIs" dxfId="136" priority="141" operator="greaterThanOrEqual">
      <formula>0.5</formula>
    </cfRule>
    <cfRule type="cellIs" dxfId="135" priority="142" operator="lessThan">
      <formula>0.2</formula>
    </cfRule>
  </conditionalFormatting>
  <conditionalFormatting sqref="I422">
    <cfRule type="containsText" dxfId="134" priority="137" operator="containsText" text="bd.">
      <formula>NOT(ISERROR(SEARCH("bd.",I422)))</formula>
    </cfRule>
    <cfRule type="aboveAverage" dxfId="133" priority="138"/>
    <cfRule type="cellIs" dxfId="132" priority="139" operator="lessThan">
      <formula>0.8</formula>
    </cfRule>
  </conditionalFormatting>
  <conditionalFormatting sqref="I423">
    <cfRule type="containsText" dxfId="131" priority="134" operator="containsText" text="bd.">
      <formula>NOT(ISERROR(SEARCH("bd.",I423)))</formula>
    </cfRule>
    <cfRule type="cellIs" dxfId="130" priority="135" operator="between">
      <formula>0.5</formula>
      <formula>0.7</formula>
    </cfRule>
    <cfRule type="cellIs" dxfId="129" priority="136" operator="greaterThan">
      <formula>0.8</formula>
    </cfRule>
  </conditionalFormatting>
  <conditionalFormatting sqref="I424">
    <cfRule type="containsText" dxfId="128" priority="131" operator="containsText" text="bd.">
      <formula>NOT(ISERROR(SEARCH("bd.",I424)))</formula>
    </cfRule>
    <cfRule type="cellIs" dxfId="127" priority="132" operator="greaterThanOrEqual">
      <formula>1.3</formula>
    </cfRule>
    <cfRule type="cellIs" dxfId="126" priority="133" operator="lessThan">
      <formula>1</formula>
    </cfRule>
  </conditionalFormatting>
  <conditionalFormatting sqref="I427">
    <cfRule type="containsText" dxfId="125" priority="128" operator="containsText" text="bd.">
      <formula>NOT(ISERROR(SEARCH("bd.",I427)))</formula>
    </cfRule>
    <cfRule type="cellIs" dxfId="124" priority="129" operator="between">
      <formula>1.2</formula>
      <formula>1.5</formula>
    </cfRule>
    <cfRule type="cellIs" dxfId="123" priority="130" operator="lessThan">
      <formula>1</formula>
    </cfRule>
  </conditionalFormatting>
  <conditionalFormatting sqref="I428">
    <cfRule type="containsText" dxfId="122" priority="125" operator="containsText" text="bd.">
      <formula>NOT(ISERROR(SEARCH("bd.",I428)))</formula>
    </cfRule>
    <cfRule type="cellIs" dxfId="121" priority="126" operator="between">
      <formula>1</formula>
      <formula>1.2</formula>
    </cfRule>
    <cfRule type="cellIs" dxfId="120" priority="127" operator="lessThan">
      <formula>0.8</formula>
    </cfRule>
  </conditionalFormatting>
  <conditionalFormatting sqref="I431">
    <cfRule type="containsText" dxfId="119" priority="124" operator="containsText" text="bd.">
      <formula>NOT(ISERROR(SEARCH("bd.",I431)))</formula>
    </cfRule>
  </conditionalFormatting>
  <conditionalFormatting sqref="I432">
    <cfRule type="containsText" dxfId="118" priority="123" operator="containsText" text="bd.">
      <formula>NOT(ISERROR(SEARCH("bd.",I432)))</formula>
    </cfRule>
  </conditionalFormatting>
  <conditionalFormatting sqref="I433">
    <cfRule type="containsText" dxfId="117" priority="122" operator="containsText" text="bd.">
      <formula>NOT(ISERROR(SEARCH("bd.",I433)))</formula>
    </cfRule>
  </conditionalFormatting>
  <conditionalFormatting sqref="I436">
    <cfRule type="containsText" dxfId="116" priority="118" operator="containsText" text="n/d">
      <formula>NOT(ISERROR(SEARCH("n/d",I436)))</formula>
    </cfRule>
    <cfRule type="containsText" dxfId="115" priority="119" operator="containsText" text="bd.">
      <formula>NOT(ISERROR(SEARCH("bd.",I436)))</formula>
    </cfRule>
    <cfRule type="cellIs" dxfId="114" priority="120" operator="lessThanOrEqual">
      <formula>7.5</formula>
    </cfRule>
    <cfRule type="cellIs" dxfId="113" priority="121" operator="greaterThan">
      <formula>7.5</formula>
    </cfRule>
  </conditionalFormatting>
  <conditionalFormatting sqref="I437">
    <cfRule type="containsText" dxfId="112" priority="114" operator="containsText" text="n/d">
      <formula>NOT(ISERROR(SEARCH("n/d",I437)))</formula>
    </cfRule>
    <cfRule type="containsText" dxfId="111" priority="115" operator="containsText" text="bd.">
      <formula>NOT(ISERROR(SEARCH("bd.",I437)))</formula>
    </cfRule>
    <cfRule type="cellIs" dxfId="110" priority="116" operator="greaterThanOrEqual">
      <formula>3</formula>
    </cfRule>
    <cfRule type="cellIs" dxfId="109" priority="117" operator="lessThan">
      <formula>1</formula>
    </cfRule>
  </conditionalFormatting>
  <conditionalFormatting sqref="H416">
    <cfRule type="cellIs" dxfId="108" priority="112" operator="lessThanOrEqual">
      <formula>0</formula>
    </cfRule>
    <cfRule type="cellIs" dxfId="107" priority="113" operator="greaterThanOrEqual">
      <formula>0.015</formula>
    </cfRule>
  </conditionalFormatting>
  <conditionalFormatting sqref="H417">
    <cfRule type="cellIs" dxfId="106" priority="110" operator="lessThanOrEqual">
      <formula>0</formula>
    </cfRule>
    <cfRule type="cellIs" dxfId="105" priority="111" operator="greaterThanOrEqual">
      <formula>0.01</formula>
    </cfRule>
  </conditionalFormatting>
  <conditionalFormatting sqref="H418">
    <cfRule type="cellIs" dxfId="104" priority="108" operator="lessThanOrEqual">
      <formula>0.03</formula>
    </cfRule>
    <cfRule type="cellIs" dxfId="103" priority="109" operator="greaterThanOrEqual">
      <formula>0.1</formula>
    </cfRule>
  </conditionalFormatting>
  <conditionalFormatting sqref="H416:H418">
    <cfRule type="containsText" dxfId="102" priority="107" operator="containsText" text="bd.">
      <formula>NOT(ISERROR(SEARCH("bd.",H416)))</formula>
    </cfRule>
  </conditionalFormatting>
  <conditionalFormatting sqref="H421">
    <cfRule type="containsText" dxfId="101" priority="104" operator="containsText" text="bd.">
      <formula>NOT(ISERROR(SEARCH("bd.",H421)))</formula>
    </cfRule>
    <cfRule type="cellIs" dxfId="100" priority="105" operator="greaterThanOrEqual">
      <formula>0.5</formula>
    </cfRule>
    <cfRule type="cellIs" dxfId="99" priority="106" operator="lessThan">
      <formula>0.2</formula>
    </cfRule>
  </conditionalFormatting>
  <conditionalFormatting sqref="H422">
    <cfRule type="containsText" dxfId="98" priority="101" operator="containsText" text="bd.">
      <formula>NOT(ISERROR(SEARCH("bd.",H422)))</formula>
    </cfRule>
    <cfRule type="aboveAverage" dxfId="97" priority="102"/>
    <cfRule type="cellIs" dxfId="96" priority="103" operator="lessThan">
      <formula>0.8</formula>
    </cfRule>
  </conditionalFormatting>
  <conditionalFormatting sqref="H423">
    <cfRule type="containsText" dxfId="95" priority="98" operator="containsText" text="bd.">
      <formula>NOT(ISERROR(SEARCH("bd.",H423)))</formula>
    </cfRule>
    <cfRule type="cellIs" dxfId="94" priority="99" operator="between">
      <formula>0.5</formula>
      <formula>0.7</formula>
    </cfRule>
    <cfRule type="cellIs" dxfId="93" priority="100" operator="greaterThan">
      <formula>0.8</formula>
    </cfRule>
  </conditionalFormatting>
  <conditionalFormatting sqref="H424">
    <cfRule type="containsText" dxfId="92" priority="95" operator="containsText" text="bd.">
      <formula>NOT(ISERROR(SEARCH("bd.",H424)))</formula>
    </cfRule>
    <cfRule type="cellIs" dxfId="91" priority="96" operator="greaterThanOrEqual">
      <formula>1.3</formula>
    </cfRule>
    <cfRule type="cellIs" dxfId="90" priority="97" operator="lessThan">
      <formula>1</formula>
    </cfRule>
  </conditionalFormatting>
  <conditionalFormatting sqref="H427">
    <cfRule type="containsText" dxfId="89" priority="92" operator="containsText" text="bd.">
      <formula>NOT(ISERROR(SEARCH("bd.",H427)))</formula>
    </cfRule>
    <cfRule type="cellIs" dxfId="88" priority="93" operator="between">
      <formula>1.2</formula>
      <formula>1.5</formula>
    </cfRule>
    <cfRule type="cellIs" dxfId="87" priority="94" operator="lessThan">
      <formula>1</formula>
    </cfRule>
  </conditionalFormatting>
  <conditionalFormatting sqref="H428">
    <cfRule type="containsText" dxfId="86" priority="89" operator="containsText" text="bd.">
      <formula>NOT(ISERROR(SEARCH("bd.",H428)))</formula>
    </cfRule>
    <cfRule type="cellIs" dxfId="85" priority="90" operator="between">
      <formula>1</formula>
      <formula>1.2</formula>
    </cfRule>
    <cfRule type="cellIs" dxfId="84" priority="91" operator="lessThan">
      <formula>0.8</formula>
    </cfRule>
  </conditionalFormatting>
  <conditionalFormatting sqref="H431">
    <cfRule type="containsText" dxfId="83" priority="88" operator="containsText" text="bd.">
      <formula>NOT(ISERROR(SEARCH("bd.",H431)))</formula>
    </cfRule>
  </conditionalFormatting>
  <conditionalFormatting sqref="H432">
    <cfRule type="containsText" dxfId="82" priority="87" operator="containsText" text="bd.">
      <formula>NOT(ISERROR(SEARCH("bd.",H432)))</formula>
    </cfRule>
  </conditionalFormatting>
  <conditionalFormatting sqref="H433">
    <cfRule type="containsText" dxfId="81" priority="86" operator="containsText" text="bd.">
      <formula>NOT(ISERROR(SEARCH("bd.",H433)))</formula>
    </cfRule>
  </conditionalFormatting>
  <conditionalFormatting sqref="H436">
    <cfRule type="containsText" dxfId="80" priority="82" operator="containsText" text="n/d">
      <formula>NOT(ISERROR(SEARCH("n/d",H436)))</formula>
    </cfRule>
    <cfRule type="containsText" dxfId="79" priority="83" operator="containsText" text="bd.">
      <formula>NOT(ISERROR(SEARCH("bd.",H436)))</formula>
    </cfRule>
    <cfRule type="cellIs" dxfId="78" priority="84" operator="lessThanOrEqual">
      <formula>7.5</formula>
    </cfRule>
    <cfRule type="cellIs" dxfId="77" priority="85" operator="greaterThan">
      <formula>7.5</formula>
    </cfRule>
  </conditionalFormatting>
  <conditionalFormatting sqref="H437">
    <cfRule type="containsText" dxfId="76" priority="78" operator="containsText" text="n/d">
      <formula>NOT(ISERROR(SEARCH("n/d",H437)))</formula>
    </cfRule>
    <cfRule type="containsText" dxfId="75" priority="79" operator="containsText" text="bd.">
      <formula>NOT(ISERROR(SEARCH("bd.",H437)))</formula>
    </cfRule>
    <cfRule type="cellIs" dxfId="74" priority="80" operator="greaterThanOrEqual">
      <formula>3</formula>
    </cfRule>
    <cfRule type="cellIs" dxfId="73" priority="81" operator="lessThan">
      <formula>1</formula>
    </cfRule>
  </conditionalFormatting>
  <conditionalFormatting sqref="G416">
    <cfRule type="cellIs" dxfId="72" priority="76" operator="lessThanOrEqual">
      <formula>0</formula>
    </cfRule>
    <cfRule type="cellIs" dxfId="71" priority="77" operator="greaterThanOrEqual">
      <formula>0.015</formula>
    </cfRule>
  </conditionalFormatting>
  <conditionalFormatting sqref="G417">
    <cfRule type="cellIs" dxfId="70" priority="74" operator="lessThanOrEqual">
      <formula>0</formula>
    </cfRule>
    <cfRule type="cellIs" dxfId="69" priority="75" operator="greaterThanOrEqual">
      <formula>0.01</formula>
    </cfRule>
  </conditionalFormatting>
  <conditionalFormatting sqref="G418">
    <cfRule type="cellIs" dxfId="68" priority="72" operator="lessThanOrEqual">
      <formula>0.03</formula>
    </cfRule>
    <cfRule type="cellIs" dxfId="67" priority="73" operator="greaterThanOrEqual">
      <formula>0.1</formula>
    </cfRule>
  </conditionalFormatting>
  <conditionalFormatting sqref="G416:G418">
    <cfRule type="containsText" dxfId="66" priority="71" operator="containsText" text="bd.">
      <formula>NOT(ISERROR(SEARCH("bd.",G416)))</formula>
    </cfRule>
  </conditionalFormatting>
  <conditionalFormatting sqref="G421">
    <cfRule type="containsText" dxfId="65" priority="68" operator="containsText" text="bd.">
      <formula>NOT(ISERROR(SEARCH("bd.",G421)))</formula>
    </cfRule>
    <cfRule type="cellIs" dxfId="64" priority="69" operator="greaterThanOrEqual">
      <formula>0.5</formula>
    </cfRule>
    <cfRule type="cellIs" dxfId="63" priority="70" operator="lessThan">
      <formula>0.2</formula>
    </cfRule>
  </conditionalFormatting>
  <conditionalFormatting sqref="G422">
    <cfRule type="containsText" dxfId="62" priority="65" operator="containsText" text="bd.">
      <formula>NOT(ISERROR(SEARCH("bd.",G422)))</formula>
    </cfRule>
    <cfRule type="aboveAverage" dxfId="61" priority="66"/>
    <cfRule type="cellIs" dxfId="60" priority="67" operator="lessThan">
      <formula>0.8</formula>
    </cfRule>
  </conditionalFormatting>
  <conditionalFormatting sqref="G423">
    <cfRule type="containsText" dxfId="59" priority="62" operator="containsText" text="bd.">
      <formula>NOT(ISERROR(SEARCH("bd.",G423)))</formula>
    </cfRule>
    <cfRule type="cellIs" dxfId="58" priority="63" operator="between">
      <formula>0.5</formula>
      <formula>0.7</formula>
    </cfRule>
    <cfRule type="cellIs" dxfId="57" priority="64" operator="greaterThan">
      <formula>0.8</formula>
    </cfRule>
  </conditionalFormatting>
  <conditionalFormatting sqref="G424">
    <cfRule type="containsText" dxfId="56" priority="59" operator="containsText" text="bd.">
      <formula>NOT(ISERROR(SEARCH("bd.",G424)))</formula>
    </cfRule>
    <cfRule type="cellIs" dxfId="55" priority="60" operator="greaterThanOrEqual">
      <formula>1.3</formula>
    </cfRule>
    <cfRule type="cellIs" dxfId="54" priority="61" operator="lessThan">
      <formula>1</formula>
    </cfRule>
  </conditionalFormatting>
  <conditionalFormatting sqref="G427">
    <cfRule type="containsText" dxfId="53" priority="56" operator="containsText" text="bd.">
      <formula>NOT(ISERROR(SEARCH("bd.",G427)))</formula>
    </cfRule>
    <cfRule type="cellIs" dxfId="52" priority="57" operator="between">
      <formula>1.2</formula>
      <formula>1.5</formula>
    </cfRule>
    <cfRule type="cellIs" dxfId="51" priority="58" operator="lessThan">
      <formula>1</formula>
    </cfRule>
  </conditionalFormatting>
  <conditionalFormatting sqref="G428">
    <cfRule type="containsText" dxfId="50" priority="53" operator="containsText" text="bd.">
      <formula>NOT(ISERROR(SEARCH("bd.",G428)))</formula>
    </cfRule>
    <cfRule type="cellIs" dxfId="49" priority="54" operator="between">
      <formula>1</formula>
      <formula>1.2</formula>
    </cfRule>
    <cfRule type="cellIs" dxfId="48" priority="55" operator="lessThan">
      <formula>0.8</formula>
    </cfRule>
  </conditionalFormatting>
  <conditionalFormatting sqref="G431">
    <cfRule type="containsText" dxfId="47" priority="52" operator="containsText" text="bd.">
      <formula>NOT(ISERROR(SEARCH("bd.",G431)))</formula>
    </cfRule>
  </conditionalFormatting>
  <conditionalFormatting sqref="G432">
    <cfRule type="containsText" dxfId="46" priority="51" operator="containsText" text="bd.">
      <formula>NOT(ISERROR(SEARCH("bd.",G432)))</formula>
    </cfRule>
  </conditionalFormatting>
  <conditionalFormatting sqref="G433">
    <cfRule type="containsText" dxfId="45" priority="50" operator="containsText" text="bd.">
      <formula>NOT(ISERROR(SEARCH("bd.",G433)))</formula>
    </cfRule>
  </conditionalFormatting>
  <conditionalFormatting sqref="G436">
    <cfRule type="containsText" dxfId="44" priority="46" operator="containsText" text="n/d">
      <formula>NOT(ISERROR(SEARCH("n/d",G436)))</formula>
    </cfRule>
    <cfRule type="containsText" dxfId="43" priority="47" operator="containsText" text="bd.">
      <formula>NOT(ISERROR(SEARCH("bd.",G436)))</formula>
    </cfRule>
    <cfRule type="cellIs" dxfId="42" priority="48" operator="lessThanOrEqual">
      <formula>7.5</formula>
    </cfRule>
    <cfRule type="cellIs" dxfId="41" priority="49" operator="greaterThan">
      <formula>7.5</formula>
    </cfRule>
  </conditionalFormatting>
  <conditionalFormatting sqref="G437">
    <cfRule type="containsText" dxfId="40" priority="42" operator="containsText" text="n/d">
      <formula>NOT(ISERROR(SEARCH("n/d",G437)))</formula>
    </cfRule>
    <cfRule type="containsText" dxfId="39" priority="43" operator="containsText" text="bd.">
      <formula>NOT(ISERROR(SEARCH("bd.",G437)))</formula>
    </cfRule>
    <cfRule type="cellIs" dxfId="38" priority="44" operator="greaterThanOrEqual">
      <formula>3</formula>
    </cfRule>
    <cfRule type="cellIs" dxfId="37" priority="45" operator="lessThan">
      <formula>1</formula>
    </cfRule>
  </conditionalFormatting>
  <conditionalFormatting sqref="G130:J130">
    <cfRule type="cellIs" dxfId="36" priority="40" operator="lessThanOrEqual">
      <formula>0</formula>
    </cfRule>
    <cfRule type="cellIs" dxfId="35" priority="41" operator="greaterThanOrEqual">
      <formula>0.015</formula>
    </cfRule>
  </conditionalFormatting>
  <conditionalFormatting sqref="G131:J131">
    <cfRule type="cellIs" dxfId="34" priority="38" operator="lessThanOrEqual">
      <formula>0</formula>
    </cfRule>
    <cfRule type="cellIs" dxfId="33" priority="39" operator="greaterThanOrEqual">
      <formula>0.01</formula>
    </cfRule>
  </conditionalFormatting>
  <conditionalFormatting sqref="G132:J132">
    <cfRule type="cellIs" dxfId="32" priority="36" operator="lessThanOrEqual">
      <formula>0.03</formula>
    </cfRule>
    <cfRule type="cellIs" dxfId="31" priority="37" operator="greaterThanOrEqual">
      <formula>0.1</formula>
    </cfRule>
  </conditionalFormatting>
  <conditionalFormatting sqref="G130:J132">
    <cfRule type="containsText" dxfId="30" priority="35" operator="containsText" text="bd.">
      <formula>NOT(ISERROR(SEARCH("bd.",G130)))</formula>
    </cfRule>
  </conditionalFormatting>
  <conditionalFormatting sqref="G135:J135">
    <cfRule type="containsText" dxfId="29" priority="32" operator="containsText" text="bd.">
      <formula>NOT(ISERROR(SEARCH("bd.",G135)))</formula>
    </cfRule>
    <cfRule type="cellIs" dxfId="28" priority="33" operator="greaterThanOrEqual">
      <formula>0.5</formula>
    </cfRule>
    <cfRule type="cellIs" dxfId="27" priority="34" operator="lessThan">
      <formula>0.2</formula>
    </cfRule>
  </conditionalFormatting>
  <conditionalFormatting sqref="G136:J136">
    <cfRule type="containsText" dxfId="26" priority="29" operator="containsText" text="bd.">
      <formula>NOT(ISERROR(SEARCH("bd.",G136)))</formula>
    </cfRule>
    <cfRule type="aboveAverage" dxfId="25" priority="30"/>
    <cfRule type="cellIs" dxfId="24" priority="31" operator="lessThan">
      <formula>0.8</formula>
    </cfRule>
  </conditionalFormatting>
  <conditionalFormatting sqref="G137:J137">
    <cfRule type="containsText" dxfId="23" priority="26" operator="containsText" text="bd.">
      <formula>NOT(ISERROR(SEARCH("bd.",G137)))</formula>
    </cfRule>
    <cfRule type="cellIs" dxfId="22" priority="27" operator="between">
      <formula>0.5</formula>
      <formula>0.7</formula>
    </cfRule>
    <cfRule type="cellIs" dxfId="21" priority="28" operator="greaterThan">
      <formula>0.8</formula>
    </cfRule>
  </conditionalFormatting>
  <conditionalFormatting sqref="G138:J138">
    <cfRule type="containsText" dxfId="20" priority="23" operator="containsText" text="bd.">
      <formula>NOT(ISERROR(SEARCH("bd.",G138)))</formula>
    </cfRule>
    <cfRule type="cellIs" dxfId="19" priority="24" operator="greaterThanOrEqual">
      <formula>1.3</formula>
    </cfRule>
    <cfRule type="cellIs" dxfId="18" priority="25" operator="lessThan">
      <formula>1</formula>
    </cfRule>
  </conditionalFormatting>
  <conditionalFormatting sqref="G141:J141">
    <cfRule type="containsText" dxfId="17" priority="20" operator="containsText" text="bd.">
      <formula>NOT(ISERROR(SEARCH("bd.",G141)))</formula>
    </cfRule>
    <cfRule type="cellIs" dxfId="16" priority="21" operator="between">
      <formula>1.2</formula>
      <formula>1.5</formula>
    </cfRule>
    <cfRule type="cellIs" dxfId="15" priority="22" operator="lessThan">
      <formula>1</formula>
    </cfRule>
  </conditionalFormatting>
  <conditionalFormatting sqref="G142:J142">
    <cfRule type="containsText" dxfId="14" priority="17" operator="containsText" text="bd.">
      <formula>NOT(ISERROR(SEARCH("bd.",G142)))</formula>
    </cfRule>
    <cfRule type="cellIs" dxfId="13" priority="18" operator="between">
      <formula>1</formula>
      <formula>1.2</formula>
    </cfRule>
    <cfRule type="cellIs" dxfId="12" priority="19" operator="lessThan">
      <formula>0.8</formula>
    </cfRule>
  </conditionalFormatting>
  <conditionalFormatting sqref="G145:J145">
    <cfRule type="containsText" dxfId="11" priority="16" operator="containsText" text="bd.">
      <formula>NOT(ISERROR(SEARCH("bd.",G145)))</formula>
    </cfRule>
  </conditionalFormatting>
  <conditionalFormatting sqref="G146:J146">
    <cfRule type="containsText" dxfId="10" priority="15" operator="containsText" text="bd.">
      <formula>NOT(ISERROR(SEARCH("bd.",G146)))</formula>
    </cfRule>
  </conditionalFormatting>
  <conditionalFormatting sqref="G147:J147">
    <cfRule type="containsText" dxfId="9" priority="14" operator="containsText" text="bd.">
      <formula>NOT(ISERROR(SEARCH("bd.",G147)))</formula>
    </cfRule>
  </conditionalFormatting>
  <conditionalFormatting sqref="G150:J150">
    <cfRule type="containsText" dxfId="8" priority="10" operator="containsText" text="n/d">
      <formula>NOT(ISERROR(SEARCH("n/d",G150)))</formula>
    </cfRule>
    <cfRule type="containsText" dxfId="7" priority="11" operator="containsText" text="bd.">
      <formula>NOT(ISERROR(SEARCH("bd.",G150)))</formula>
    </cfRule>
    <cfRule type="cellIs" dxfId="6" priority="12" operator="lessThanOrEqual">
      <formula>7.5</formula>
    </cfRule>
    <cfRule type="cellIs" dxfId="5" priority="13" operator="greaterThan">
      <formula>7.5</formula>
    </cfRule>
  </conditionalFormatting>
  <conditionalFormatting sqref="H358">
    <cfRule type="cellIs" dxfId="4" priority="5" operator="lessThan">
      <formula>0</formula>
    </cfRule>
  </conditionalFormatting>
  <conditionalFormatting sqref="I358">
    <cfRule type="cellIs" dxfId="3" priority="4" operator="lessThan">
      <formula>0</formula>
    </cfRule>
  </conditionalFormatting>
  <conditionalFormatting sqref="J358">
    <cfRule type="cellIs" dxfId="2" priority="3" operator="lessThan">
      <formula>0</formula>
    </cfRule>
  </conditionalFormatting>
  <conditionalFormatting sqref="K62:X64 K72:X72 K83:X83 K86:X86 K90:X90 K93:X93">
    <cfRule type="expression" dxfId="1" priority="1">
      <formula>AND(K$12&gt;Koniec_Projekt,K$12&lt;=Koniec)</formula>
    </cfRule>
    <cfRule type="expression" dxfId="0" priority="2">
      <formula>K$12&lt;=Koniec_Projekt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&amp;L&amp;F&amp;CStrona &amp;P z &amp;N&amp;RData i godzina wydruku: &amp;D &amp;T</oddFooter>
  </headerFooter>
  <rowBreaks count="9" manualBreakCount="9">
    <brk id="44" min="1" max="23" man="1"/>
    <brk id="97" min="1" max="23" man="1"/>
    <brk id="155" min="1" max="23" man="1"/>
    <brk id="188" min="1" max="23" man="1"/>
    <brk id="241" min="1" max="23" man="1"/>
    <brk id="299" min="1" max="23" man="1"/>
    <brk id="332" min="1" max="23" man="1"/>
    <brk id="384" min="1" max="23" man="1"/>
    <brk id="43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14" r:id="rId4" name="Group Box 10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121920</xdr:rowOff>
                  </from>
                  <to>
                    <xdr:col>12</xdr:col>
                    <xdr:colOff>381000</xdr:colOff>
                    <xdr:row>10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8">
    <tabColor theme="8"/>
    <pageSetUpPr fitToPage="1"/>
  </sheetPr>
  <dimension ref="A1:AA202"/>
  <sheetViews>
    <sheetView showGridLines="0" zoomScaleNormal="100" workbookViewId="0"/>
  </sheetViews>
  <sheetFormatPr defaultColWidth="0" defaultRowHeight="12" zeroHeight="1"/>
  <cols>
    <col min="1" max="1" width="2.85546875" style="1" customWidth="1"/>
    <col min="2" max="2" width="61.140625" style="1" bestFit="1" customWidth="1"/>
    <col min="3" max="3" width="16.42578125" style="1" customWidth="1"/>
    <col min="4" max="4" width="8.140625" style="1" customWidth="1"/>
    <col min="5" max="5" width="8.140625" style="255" hidden="1" customWidth="1"/>
    <col min="6" max="6" width="1.28515625" style="1" customWidth="1"/>
    <col min="7" max="9" width="9.7109375" style="1" customWidth="1"/>
    <col min="10" max="10" width="12.7109375" style="1" customWidth="1"/>
    <col min="11" max="24" width="9.7109375" style="1" customWidth="1"/>
    <col min="25" max="25" width="2.85546875" style="1" customWidth="1"/>
    <col min="26" max="16384" width="9.28515625" style="1" hidden="1"/>
  </cols>
  <sheetData>
    <row r="1" spans="2:12"/>
    <row r="2" spans="2:12">
      <c r="B2" s="543" t="str">
        <f>IF(ISBLANK(Firma),"Wstaw nazwę firmy w zakładce Dane Firmy",Firma)</f>
        <v>Wstaw nazwę firmy w zakładce Dane Firmy</v>
      </c>
      <c r="C2" s="543"/>
      <c r="D2" s="543"/>
      <c r="E2" s="543"/>
      <c r="F2" s="543"/>
      <c r="G2" s="543"/>
      <c r="H2" s="543"/>
      <c r="I2" s="543"/>
    </row>
    <row r="3" spans="2:12">
      <c r="B3" s="544"/>
      <c r="C3" s="544"/>
      <c r="D3" s="544"/>
      <c r="E3" s="544"/>
      <c r="F3" s="544"/>
      <c r="G3" s="544"/>
      <c r="H3" s="544"/>
      <c r="I3" s="544"/>
    </row>
    <row r="4" spans="2:12"/>
    <row r="5" spans="2:12"/>
    <row r="6" spans="2:12"/>
    <row r="7" spans="2:12"/>
    <row r="8" spans="2:12"/>
    <row r="9" spans="2:12"/>
    <row r="10" spans="2:12"/>
    <row r="11" spans="2:12">
      <c r="C11" s="279"/>
    </row>
    <row r="12" spans="2:12" ht="12" customHeight="1">
      <c r="B12" s="52" t="s">
        <v>9</v>
      </c>
      <c r="C12" s="293"/>
      <c r="H12" s="551" t="str">
        <f>IF(ISBLANK(RokObrotowyPoczatek),"",IF(MONTH(RokObrotowyPoczatek)&lt;&gt;1,"Rok obrotowy różny od roku kalendarzowego","Rok obrotowy zgodny z rokiem kalendarzowym"))</f>
        <v/>
      </c>
      <c r="I12" s="551"/>
      <c r="J12" s="551"/>
      <c r="K12" s="551"/>
      <c r="L12" s="283"/>
    </row>
    <row r="13" spans="2:12">
      <c r="H13" s="283"/>
      <c r="I13" s="283"/>
      <c r="J13" s="283"/>
      <c r="K13" s="283"/>
      <c r="L13" s="281"/>
    </row>
    <row r="14" spans="2:12">
      <c r="B14" s="267" t="s">
        <v>10</v>
      </c>
      <c r="C14" s="293"/>
      <c r="H14" s="548" t="str">
        <f>IF(OR(ISBLANK(C12),ISBLANK(Poczatek),ISBLANK(C18),ISBLANK(D16),ISBLANK(D18),H19&lt;0),"Uzupełnij wszystkie wymagane pola: datę rozpoczęcia bieżącego roku obrotowego oraz rok i miesiąc rozpoczęcia i zakończenia Projektu","")</f>
        <v>Uzupełnij wszystkie wymagane pola: datę rozpoczęcia bieżącego roku obrotowego oraz rok i miesiąc rozpoczęcia i zakończenia Projektu</v>
      </c>
      <c r="I14" s="548"/>
      <c r="J14" s="548"/>
      <c r="K14" s="548"/>
      <c r="L14" s="281"/>
    </row>
    <row r="15" spans="2:12">
      <c r="H15" s="548"/>
      <c r="I15" s="548"/>
      <c r="J15" s="548"/>
      <c r="K15" s="548"/>
      <c r="L15" s="8"/>
    </row>
    <row r="16" spans="2:12">
      <c r="B16" s="267" t="s">
        <v>779</v>
      </c>
      <c r="C16" s="307"/>
      <c r="D16" s="307"/>
      <c r="E16" s="309"/>
      <c r="H16" s="548"/>
      <c r="I16" s="548"/>
      <c r="J16" s="548"/>
      <c r="K16" s="548"/>
      <c r="L16" s="8"/>
    </row>
    <row r="17" spans="2:24" ht="12.6" thickBot="1">
      <c r="B17" s="268" t="s">
        <v>11</v>
      </c>
      <c r="C17" s="451">
        <v>2029</v>
      </c>
      <c r="M17" s="282"/>
    </row>
    <row r="18" spans="2:24">
      <c r="B18" s="267" t="s">
        <v>780</v>
      </c>
      <c r="C18" s="307"/>
      <c r="D18" s="307"/>
      <c r="E18" s="309"/>
      <c r="F18" s="252"/>
      <c r="H18" s="545" t="s">
        <v>14</v>
      </c>
      <c r="I18" s="546"/>
      <c r="J18" s="546"/>
      <c r="K18" s="547"/>
    </row>
    <row r="19" spans="2:24" ht="13.8">
      <c r="B19" s="268" t="s">
        <v>15</v>
      </c>
      <c r="C19" s="451">
        <f>IF(C179=TRUE,3,5)</f>
        <v>5</v>
      </c>
      <c r="H19" s="269">
        <f>IF(OR(ISBLANK(D16),ISBLANK(D18),ISBLANK(Poczatek),ISBLANK(Koniec_Projekt)),0,IFERROR(((Koniec_Projekt-Poczatek)*12)+(D18-D16)+1,0))</f>
        <v>0</v>
      </c>
      <c r="I19" s="549" t="s">
        <v>16</v>
      </c>
      <c r="J19" s="270">
        <f>ROUNDDOWN(H19/12,0)</f>
        <v>0</v>
      </c>
      <c r="K19" s="271">
        <f>H19-(12*J19)</f>
        <v>0</v>
      </c>
    </row>
    <row r="20" spans="2:24" ht="12.6" thickBot="1">
      <c r="B20" s="268" t="s">
        <v>17</v>
      </c>
      <c r="C20" s="451" t="str">
        <f>IF(ISNUMBER(Koniec_Projekt),IFERROR(MAX(D154:D158),"Uzupełnij dane"),"Uzupełnij dane")</f>
        <v>Uzupełnij dane</v>
      </c>
      <c r="H20" s="272" t="str">
        <f>IF(H19=1,"miesiąc",IF(AND(H19&gt;1,H19&lt;5),"miesiące","miesięcy"))</f>
        <v>miesięcy</v>
      </c>
      <c r="I20" s="550"/>
      <c r="J20" s="275" t="str">
        <f>IF(J19=1,"rok",IF(AND(J19&gt;1,J19&lt;5),"lata","lat"))</f>
        <v>lat</v>
      </c>
      <c r="K20" s="273" t="str">
        <f>IF(K19=1,"miesiąc",IF(AND(K19&gt;1,K19&lt;5),"miesiące","miesięcy"))</f>
        <v>miesięcy</v>
      </c>
    </row>
    <row r="21" spans="2:24">
      <c r="B21" s="268" t="s">
        <v>18</v>
      </c>
      <c r="C21" s="451" t="str">
        <f>IF(OR(ISBLANK(RokObrotowyPoczatek),ISBLANK(Koniec_Projekt)),"Uzupełnij dane",IF(Koniec_Trwalosc&lt;=YEAR(RokObrotowyPoczatek)+10,YEAR(RokObrotowyPoczatek)+10,Koniec_Trwalosc))</f>
        <v>Uzupełnij dane</v>
      </c>
    </row>
    <row r="22" spans="2:24">
      <c r="D22" s="8"/>
      <c r="I22" s="8"/>
    </row>
    <row r="23" spans="2:24">
      <c r="B23" s="52" t="s">
        <v>775</v>
      </c>
      <c r="C23" s="492" t="str">
        <f>IF(Moduły!C556=TRUE,"tak","nie")</f>
        <v>nie</v>
      </c>
      <c r="D23" s="8"/>
      <c r="H23" s="542" t="str">
        <f>IF(AND(C23="nie",OR(ISBLANK(C24)=FALSE,ISBLANK(D24)=FALSE)),"usuń rok i/lub miesiąc zakończenia prac rozwojowych",IF(AND(C23="tak",OR(ISBLANK(C24)=TRUE,ISBLANK(D24)=TRUE)),"uzupełnij rok i/lub miesiąc zakończenia prac rozwojowych",IF(AND(Koniec_PR=Koniec_Projekt,Modul_badawczo_rozwojowy=tak,D24&gt;D18),"popraw miesiąc zakończenia prac rozwojowych","")))</f>
        <v/>
      </c>
      <c r="I23" s="542"/>
      <c r="J23" s="542"/>
      <c r="K23" s="542"/>
    </row>
    <row r="24" spans="2:24">
      <c r="B24" s="267" t="s">
        <v>776</v>
      </c>
      <c r="C24" s="454"/>
      <c r="D24" s="454"/>
      <c r="H24" s="542"/>
      <c r="I24" s="542"/>
      <c r="J24" s="542"/>
      <c r="K24" s="542"/>
    </row>
    <row r="25" spans="2:24">
      <c r="B25" s="456" t="str">
        <f>IF(Modul_badawczo_rozwojowy=tak,"Najpóźniejszy dopuszczalny termin zakończenia prac rozwojowych:","")</f>
        <v/>
      </c>
      <c r="C25" s="455" t="str">
        <f>IF(Modul_badawczo_rozwojowy=tak,Koniec_Projekt,"")</f>
        <v/>
      </c>
      <c r="D25" s="455" t="str">
        <f>IF(Modul_badawczo_rozwojowy=tak,D18,"")</f>
        <v/>
      </c>
      <c r="E25" s="268"/>
      <c r="F25" s="268"/>
      <c r="G25" s="268"/>
      <c r="H25" s="279"/>
      <c r="I25" s="279"/>
      <c r="J25" s="279"/>
      <c r="K25" s="279"/>
    </row>
    <row r="26" spans="2:24" ht="3.9" customHeight="1">
      <c r="B26" s="268"/>
      <c r="C26" s="268"/>
      <c r="D26" s="268"/>
      <c r="E26" s="268"/>
      <c r="F26" s="268"/>
      <c r="G26" s="268"/>
      <c r="H26" s="279"/>
      <c r="I26" s="279"/>
      <c r="J26" s="279"/>
      <c r="K26" s="279"/>
    </row>
    <row r="27" spans="2:24">
      <c r="G27" s="2"/>
      <c r="H27" s="2"/>
      <c r="I27" s="280"/>
      <c r="J27" s="56">
        <v>0</v>
      </c>
      <c r="K27" s="56">
        <v>0</v>
      </c>
      <c r="L27" s="56">
        <f>IF(L28="",1,IF(YEAR(RokObrotowyPoczatek)=L28,0,1))</f>
        <v>1</v>
      </c>
      <c r="M27" s="56">
        <f t="shared" ref="M27:X27" si="0">L27+1</f>
        <v>2</v>
      </c>
      <c r="N27" s="56">
        <f t="shared" si="0"/>
        <v>3</v>
      </c>
      <c r="O27" s="56">
        <f t="shared" si="0"/>
        <v>4</v>
      </c>
      <c r="P27" s="56">
        <f t="shared" si="0"/>
        <v>5</v>
      </c>
      <c r="Q27" s="56">
        <f t="shared" si="0"/>
        <v>6</v>
      </c>
      <c r="R27" s="56">
        <f t="shared" si="0"/>
        <v>7</v>
      </c>
      <c r="S27" s="56">
        <f t="shared" si="0"/>
        <v>8</v>
      </c>
      <c r="T27" s="56">
        <f t="shared" si="0"/>
        <v>9</v>
      </c>
      <c r="U27" s="56">
        <f t="shared" si="0"/>
        <v>10</v>
      </c>
      <c r="V27" s="56">
        <f t="shared" si="0"/>
        <v>11</v>
      </c>
      <c r="W27" s="56">
        <f t="shared" si="0"/>
        <v>12</v>
      </c>
      <c r="X27" s="56">
        <f t="shared" si="0"/>
        <v>13</v>
      </c>
    </row>
    <row r="28" spans="2:24">
      <c r="B28" s="7" t="s">
        <v>19</v>
      </c>
      <c r="G28" s="3">
        <f ca="1">IF(H28=0,0,H28-1)</f>
        <v>0</v>
      </c>
      <c r="H28" s="3">
        <f ca="1">IF(I28=0,0,I28-1)</f>
        <v>0</v>
      </c>
      <c r="I28" s="3">
        <f ca="1">IF(OR(ISBLANK(C12),ISBLANK(Poczatek),ISBLANK(C18),ISBLANK(D16),ISBLANK(D18),H19&lt;0),0,IF(ISBLANK(DaneBiezace),YEAR(RokObrotowyPoczatek)-1,IF(ISNUMBER(J28),YEAR(J28)-1,IF(ISBLANK(C12),0,IF(OR(AND(YEAR(TODAY())=YEAR(C12),ISBLANK(DaneBiezace)),AND((YEAR(C12)-YEAR(DaneBiezace)=1),(YEAR(TODAY())-YEAR(DaneBiezace)=1))),YEAR(C12)-2,YEAR(C12)-1)))))</f>
        <v>0</v>
      </c>
      <c r="J28" s="286" t="str">
        <f>IF(OR(ISBLANK(DaneBiezace),YEAR(C12)-YEAR(DaneBiezace)&gt;1),"",DaneBiezace)</f>
        <v/>
      </c>
      <c r="K28" s="28" t="str">
        <f>IF(ISBLANK(C16),"Uzupełnij dane",IF(D131=0,D143,D131))</f>
        <v>Uzupełnij dane</v>
      </c>
      <c r="L28" s="3" t="str">
        <f>IFERROR(K28+1,"")</f>
        <v/>
      </c>
      <c r="M28" s="3" t="str">
        <f t="shared" ref="M28:X28" si="1">IFERROR(L28+1,"")</f>
        <v/>
      </c>
      <c r="N28" s="3" t="str">
        <f t="shared" si="1"/>
        <v/>
      </c>
      <c r="O28" s="3" t="str">
        <f t="shared" si="1"/>
        <v/>
      </c>
      <c r="P28" s="3" t="str">
        <f t="shared" si="1"/>
        <v/>
      </c>
      <c r="Q28" s="3" t="str">
        <f t="shared" si="1"/>
        <v/>
      </c>
      <c r="R28" s="3" t="str">
        <f t="shared" si="1"/>
        <v/>
      </c>
      <c r="S28" s="3" t="str">
        <f t="shared" si="1"/>
        <v/>
      </c>
      <c r="T28" s="3" t="str">
        <f t="shared" si="1"/>
        <v/>
      </c>
      <c r="U28" s="3" t="str">
        <f t="shared" si="1"/>
        <v/>
      </c>
      <c r="V28" s="3" t="str">
        <f t="shared" si="1"/>
        <v/>
      </c>
      <c r="W28" s="3" t="str">
        <f t="shared" si="1"/>
        <v/>
      </c>
      <c r="X28" s="3" t="str">
        <f t="shared" si="1"/>
        <v/>
      </c>
    </row>
    <row r="29" spans="2:24" s="284" customFormat="1" ht="10.199999999999999">
      <c r="E29" s="310"/>
      <c r="G29" s="285" t="s">
        <v>20</v>
      </c>
      <c r="H29" s="285" t="s">
        <v>21</v>
      </c>
      <c r="I29" s="285" t="s">
        <v>22</v>
      </c>
      <c r="J29" s="285" t="s">
        <v>23</v>
      </c>
      <c r="K29" s="285" t="str">
        <f ca="1">IFERROR(VLOOKUP(K28,$D$131:$F$174,3,),"")</f>
        <v/>
      </c>
      <c r="L29" s="285" t="str">
        <f t="shared" ref="L29:X29" ca="1" si="2">IFERROR(VLOOKUP(L28,$D$131:$F$174,3,),"")</f>
        <v/>
      </c>
      <c r="M29" s="285" t="str">
        <f t="shared" ca="1" si="2"/>
        <v/>
      </c>
      <c r="N29" s="285" t="str">
        <f t="shared" ca="1" si="2"/>
        <v/>
      </c>
      <c r="O29" s="285" t="str">
        <f t="shared" ca="1" si="2"/>
        <v/>
      </c>
      <c r="P29" s="285" t="str">
        <f t="shared" ca="1" si="2"/>
        <v/>
      </c>
      <c r="Q29" s="285" t="str">
        <f t="shared" ca="1" si="2"/>
        <v/>
      </c>
      <c r="R29" s="285" t="str">
        <f t="shared" ca="1" si="2"/>
        <v/>
      </c>
      <c r="S29" s="285" t="str">
        <f t="shared" ca="1" si="2"/>
        <v/>
      </c>
      <c r="T29" s="285" t="str">
        <f t="shared" ca="1" si="2"/>
        <v/>
      </c>
      <c r="U29" s="285" t="str">
        <f t="shared" ca="1" si="2"/>
        <v/>
      </c>
      <c r="V29" s="285" t="str">
        <f t="shared" ca="1" si="2"/>
        <v/>
      </c>
      <c r="W29" s="285" t="str">
        <f t="shared" ca="1" si="2"/>
        <v/>
      </c>
      <c r="X29" s="285" t="str">
        <f t="shared" ca="1" si="2"/>
        <v/>
      </c>
    </row>
    <row r="30" spans="2:24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24">
      <c r="B31" s="1" t="s">
        <v>24</v>
      </c>
      <c r="G31" s="2">
        <f ca="1">IFERROR(IF(G32=12,IF(OR(G28=2012,G28=2016,G28=2020,G28=2024,G28=2028,G28=2032,G28=2036,G28=2040),366,365),ROUND(30.4166*G32,0)),"")</f>
        <v>365</v>
      </c>
      <c r="H31" s="2">
        <f t="shared" ref="H31:S31" ca="1" si="3">IFERROR(IF(H32=12,IF(OR(H28=2012,H28=2016,H28=2020,H28=2024,H28=2028,H28=2032,H28=2036,H28=2040),366,365),ROUND(30.4166*H32,0)),"")</f>
        <v>365</v>
      </c>
      <c r="I31" s="2">
        <f t="shared" ca="1" si="3"/>
        <v>365</v>
      </c>
      <c r="J31" s="2" t="str">
        <f>IFERROR(IF(Rok_n="","",IF(J32=12,IF(OR(J28=2012,J28=2016,J28=2020,J28=2024,J28=2028,J28=2032,J28=2036,J28=2040),366,365),ROUND(30.4166*J32,0))),"")</f>
        <v/>
      </c>
      <c r="K31" s="2" t="str">
        <f t="shared" si="3"/>
        <v/>
      </c>
      <c r="L31" s="2" t="str">
        <f t="shared" si="3"/>
        <v/>
      </c>
      <c r="M31" s="2" t="str">
        <f t="shared" si="3"/>
        <v/>
      </c>
      <c r="N31" s="2" t="str">
        <f t="shared" si="3"/>
        <v/>
      </c>
      <c r="O31" s="2" t="str">
        <f t="shared" si="3"/>
        <v/>
      </c>
      <c r="P31" s="2" t="str">
        <f t="shared" si="3"/>
        <v/>
      </c>
      <c r="Q31" s="2" t="str">
        <f t="shared" si="3"/>
        <v/>
      </c>
      <c r="R31" s="2" t="str">
        <f t="shared" si="3"/>
        <v/>
      </c>
      <c r="S31" s="2" t="str">
        <f t="shared" si="3"/>
        <v/>
      </c>
      <c r="T31" s="2" t="str">
        <f>IFERROR(IF(T32=12,IF(OR(T28=2012,T28=2016,T28=2020,T28=2024,T28=2028,T28=2032,T28=2036,T28=2040),366,365),ROUND(30.4166*T32,0)),"")</f>
        <v/>
      </c>
      <c r="U31" s="2" t="str">
        <f>IFERROR(IF(U32=12,IF(OR(U28=2012,U28=2016,U28=2020,U28=2024,U28=2028,U28=2032,U28=2036,U28=2040),366,365),ROUND(30.4166*U32,0)),"")</f>
        <v/>
      </c>
      <c r="V31" s="2" t="str">
        <f>IFERROR(IF(V32=12,IF(OR(V28=2012,V28=2016,V28=2020,V28=2024,V28=2028,V28=2032,V28=2036,V28=2040),366,365),ROUND(30.4166*V32,0)),"")</f>
        <v/>
      </c>
      <c r="W31" s="2" t="str">
        <f>IFERROR(IF(W32=12,IF(OR(W28=2012,W28=2016,W28=2020,W28=2024,W28=2028,W28=2032,W28=2036,W28=2040),366,365),ROUND(30.4166*W32,0)),"")</f>
        <v/>
      </c>
      <c r="X31" s="2" t="str">
        <f>IFERROR(IF(X32=12,IF(OR(X28=2012,X28=2016,X28=2020,X28=2024,X28=2028,X28=2032,X28=2036,X28=2040),366,365),ROUND(30.4166*X32,0)),"")</f>
        <v/>
      </c>
    </row>
    <row r="32" spans="2:24">
      <c r="B32" s="1" t="s">
        <v>25</v>
      </c>
      <c r="G32" s="2">
        <v>12</v>
      </c>
      <c r="H32" s="2">
        <v>12</v>
      </c>
      <c r="I32" s="2">
        <v>12</v>
      </c>
      <c r="J32" s="2" t="str">
        <f>IF(Rok_n="","",IF(ISBLANK(DaneBiezace),"",IF((MONTH(DaneBiezace)-MONTH(C12))&lt;0,((MONTH(DaneBiezace)-MONTH(C12))+1)+12,(MONTH(DaneBiezace)-MONTH(C12))+1)))</f>
        <v/>
      </c>
      <c r="K32" s="2" t="str">
        <f>IF(ISNUMBER(K28),12,"")</f>
        <v/>
      </c>
      <c r="L32" s="2" t="str">
        <f t="shared" ref="L32:S32" si="4">IF(ISNUMBER(L28),12,"")</f>
        <v/>
      </c>
      <c r="M32" s="2" t="str">
        <f t="shared" si="4"/>
        <v/>
      </c>
      <c r="N32" s="2" t="str">
        <f t="shared" si="4"/>
        <v/>
      </c>
      <c r="O32" s="2" t="str">
        <f t="shared" si="4"/>
        <v/>
      </c>
      <c r="P32" s="2" t="str">
        <f t="shared" si="4"/>
        <v/>
      </c>
      <c r="Q32" s="2" t="str">
        <f t="shared" si="4"/>
        <v/>
      </c>
      <c r="R32" s="2" t="str">
        <f t="shared" si="4"/>
        <v/>
      </c>
      <c r="S32" s="2" t="str">
        <f t="shared" si="4"/>
        <v/>
      </c>
      <c r="T32" s="2" t="str">
        <f>IF(ISNUMBER(T28),12,"")</f>
        <v/>
      </c>
      <c r="U32" s="2" t="str">
        <f>IF(ISNUMBER(U28),12,"")</f>
        <v/>
      </c>
      <c r="V32" s="2" t="str">
        <f>IF(ISNUMBER(V28),12,"")</f>
        <v/>
      </c>
      <c r="W32" s="2" t="str">
        <f>IF(ISNUMBER(W28),12,"")</f>
        <v/>
      </c>
      <c r="X32" s="2" t="str">
        <f>IF(ISNUMBER(X28),12,"")</f>
        <v/>
      </c>
    </row>
    <row r="33" spans="2:24"/>
    <row r="34" spans="2:24">
      <c r="B34" s="52" t="s">
        <v>26</v>
      </c>
      <c r="C34" s="294"/>
    </row>
    <row r="35" spans="2:24">
      <c r="B35" s="52" t="s">
        <v>27</v>
      </c>
      <c r="C35" s="52"/>
      <c r="J35" s="4"/>
      <c r="K35" s="541" t="str">
        <f t="shared" ref="K35:X35" si="5">IF(ISBLANK(WACC),"n/d",IF(LataProjekcji&lt;=Koniec,(1/(1+WACC)^K27),0))</f>
        <v>n/d</v>
      </c>
      <c r="L35" s="541" t="str">
        <f t="shared" si="5"/>
        <v>n/d</v>
      </c>
      <c r="M35" s="541" t="str">
        <f t="shared" si="5"/>
        <v>n/d</v>
      </c>
      <c r="N35" s="541" t="str">
        <f t="shared" si="5"/>
        <v>n/d</v>
      </c>
      <c r="O35" s="541" t="str">
        <f t="shared" si="5"/>
        <v>n/d</v>
      </c>
      <c r="P35" s="541" t="str">
        <f t="shared" si="5"/>
        <v>n/d</v>
      </c>
      <c r="Q35" s="541" t="str">
        <f t="shared" si="5"/>
        <v>n/d</v>
      </c>
      <c r="R35" s="541" t="str">
        <f t="shared" si="5"/>
        <v>n/d</v>
      </c>
      <c r="S35" s="541" t="str">
        <f t="shared" si="5"/>
        <v>n/d</v>
      </c>
      <c r="T35" s="541" t="str">
        <f t="shared" si="5"/>
        <v>n/d</v>
      </c>
      <c r="U35" s="541" t="str">
        <f t="shared" si="5"/>
        <v>n/d</v>
      </c>
      <c r="V35" s="541" t="str">
        <f t="shared" si="5"/>
        <v>n/d</v>
      </c>
      <c r="W35" s="541" t="str">
        <f t="shared" si="5"/>
        <v>n/d</v>
      </c>
      <c r="X35" s="541" t="str">
        <f t="shared" si="5"/>
        <v>n/d</v>
      </c>
    </row>
    <row r="36" spans="2:24">
      <c r="E36" s="1"/>
    </row>
    <row r="37" spans="2:24">
      <c r="B37" s="52" t="s">
        <v>28</v>
      </c>
      <c r="C37" s="52"/>
      <c r="E37" s="1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5"/>
      <c r="X37" s="295"/>
    </row>
    <row r="38" spans="2:24">
      <c r="E38" s="1"/>
    </row>
    <row r="39" spans="2:24">
      <c r="B39" s="52" t="s">
        <v>29</v>
      </c>
      <c r="C39" s="52"/>
      <c r="E39" s="1"/>
      <c r="K39" s="295"/>
      <c r="L39" s="295"/>
      <c r="M39" s="295"/>
      <c r="N39" s="295"/>
      <c r="O39" s="295"/>
      <c r="P39" s="295"/>
      <c r="Q39" s="295"/>
      <c r="R39" s="295"/>
      <c r="S39" s="295"/>
      <c r="T39" s="295"/>
      <c r="U39" s="295"/>
      <c r="V39" s="295"/>
      <c r="W39" s="295"/>
      <c r="X39" s="295"/>
    </row>
    <row r="40" spans="2:24">
      <c r="E40" s="1"/>
    </row>
    <row r="41" spans="2:24">
      <c r="E41" s="1"/>
    </row>
    <row r="42" spans="2:24">
      <c r="B42" s="7" t="s">
        <v>30</v>
      </c>
      <c r="E42" s="1"/>
    </row>
    <row r="43" spans="2:24">
      <c r="B43" s="37" t="s">
        <v>31</v>
      </c>
      <c r="C43" s="10" t="s">
        <v>32</v>
      </c>
      <c r="E43" s="1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</row>
    <row r="44" spans="2:24">
      <c r="B44" s="37" t="s">
        <v>33</v>
      </c>
      <c r="C44" s="10" t="s">
        <v>32</v>
      </c>
      <c r="E44" s="1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</row>
    <row r="45" spans="2:24">
      <c r="B45" s="37" t="s">
        <v>34</v>
      </c>
      <c r="C45" s="10" t="s">
        <v>32</v>
      </c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</row>
    <row r="46" spans="2:24"/>
    <row r="47" spans="2:24">
      <c r="B47" s="7" t="s">
        <v>35</v>
      </c>
    </row>
    <row r="48" spans="2:24">
      <c r="B48" s="37" t="s">
        <v>36</v>
      </c>
      <c r="C48" s="10" t="s">
        <v>37</v>
      </c>
      <c r="J48" s="447" t="str">
        <f>B192</f>
        <v>koszty zakończonych prac rozwojowych</v>
      </c>
      <c r="K48" s="295"/>
    </row>
    <row r="49" spans="2:24">
      <c r="B49" s="37" t="s">
        <v>38</v>
      </c>
      <c r="C49" s="10" t="s">
        <v>37</v>
      </c>
      <c r="J49" s="447" t="str">
        <f t="shared" ref="J49:J55" si="6">B193</f>
        <v>wartość firmy</v>
      </c>
      <c r="K49" s="295"/>
    </row>
    <row r="50" spans="2:24">
      <c r="B50" s="37" t="s">
        <v>39</v>
      </c>
      <c r="C50" s="10" t="s">
        <v>37</v>
      </c>
      <c r="J50" s="447" t="str">
        <f t="shared" si="6"/>
        <v>inne wartości niematerialne i prawne</v>
      </c>
      <c r="K50" s="295"/>
    </row>
    <row r="51" spans="2:24">
      <c r="B51" s="37" t="s">
        <v>40</v>
      </c>
      <c r="C51" s="10" t="s">
        <v>37</v>
      </c>
      <c r="J51" s="447" t="str">
        <f t="shared" si="6"/>
        <v>grunty</v>
      </c>
      <c r="K51" s="295"/>
    </row>
    <row r="52" spans="2:24">
      <c r="B52" s="37" t="s">
        <v>41</v>
      </c>
      <c r="C52" s="10" t="s">
        <v>37</v>
      </c>
      <c r="J52" s="447" t="str">
        <f t="shared" si="6"/>
        <v>budynki i budowle</v>
      </c>
      <c r="K52" s="295"/>
    </row>
    <row r="53" spans="2:24">
      <c r="B53" s="37" t="s">
        <v>42</v>
      </c>
      <c r="C53" s="10" t="s">
        <v>37</v>
      </c>
      <c r="J53" s="447" t="str">
        <f t="shared" si="6"/>
        <v>urządzenia techniczne i maszyny</v>
      </c>
      <c r="K53" s="295"/>
    </row>
    <row r="54" spans="2:24">
      <c r="B54" s="37" t="s">
        <v>43</v>
      </c>
      <c r="C54" s="10" t="s">
        <v>37</v>
      </c>
      <c r="J54" s="447" t="str">
        <f t="shared" si="6"/>
        <v>środki transportu</v>
      </c>
      <c r="K54" s="295"/>
    </row>
    <row r="55" spans="2:24">
      <c r="B55" s="37" t="s">
        <v>44</v>
      </c>
      <c r="C55" s="10" t="s">
        <v>37</v>
      </c>
      <c r="J55" s="447" t="str">
        <f t="shared" si="6"/>
        <v>inne środki trwałe</v>
      </c>
      <c r="K55" s="295"/>
    </row>
    <row r="56" spans="2:24"/>
    <row r="57" spans="2:24"/>
    <row r="58" spans="2:24">
      <c r="B58" s="7" t="s">
        <v>45</v>
      </c>
    </row>
    <row r="59" spans="2:24">
      <c r="B59" s="37" t="s">
        <v>46</v>
      </c>
      <c r="C59" s="10" t="s">
        <v>37</v>
      </c>
      <c r="K59" s="295"/>
      <c r="L59" s="295"/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95"/>
    </row>
    <row r="60" spans="2:24">
      <c r="B60" s="37" t="s">
        <v>47</v>
      </c>
      <c r="C60" s="10" t="s">
        <v>37</v>
      </c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</row>
    <row r="61" spans="2:24">
      <c r="B61" s="37" t="s">
        <v>48</v>
      </c>
      <c r="C61" s="10" t="s">
        <v>37</v>
      </c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</row>
    <row r="62" spans="2:24">
      <c r="B62" s="37" t="s">
        <v>49</v>
      </c>
      <c r="C62" s="10" t="s">
        <v>37</v>
      </c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</row>
    <row r="63" spans="2:24">
      <c r="B63" s="37" t="s">
        <v>50</v>
      </c>
      <c r="C63" s="10" t="s">
        <v>37</v>
      </c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</row>
    <row r="64" spans="2:24" customFormat="1">
      <c r="E64" s="311"/>
    </row>
    <row r="65" spans="2:2"/>
    <row r="66" spans="2:2"/>
    <row r="67" spans="2:2" ht="14.4">
      <c r="B67" s="11" t="s">
        <v>51</v>
      </c>
    </row>
    <row r="68" spans="2:2"/>
    <row r="69" spans="2:2"/>
    <row r="70" spans="2:2"/>
    <row r="71" spans="2:2"/>
    <row r="72" spans="2:2"/>
    <row r="73" spans="2:2"/>
    <row r="74" spans="2:2"/>
    <row r="75" spans="2:2"/>
    <row r="76" spans="2:2"/>
    <row r="77" spans="2:2"/>
    <row r="78" spans="2:2"/>
    <row r="79" spans="2:2"/>
    <row r="80" spans="2: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 spans="1:27"/>
    <row r="114" spans="1:27"/>
    <row r="115" spans="1:27"/>
    <row r="116" spans="1:27"/>
    <row r="117" spans="1:27"/>
    <row r="118" spans="1:27"/>
    <row r="125" spans="1:27" hidden="1">
      <c r="G125" s="1" t="s">
        <v>782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idden="1">
      <c r="A126" s="259"/>
      <c r="B126" s="268" t="s">
        <v>12</v>
      </c>
      <c r="C126" s="451">
        <f>IF(ISBLANK(C16),0,C17-C16+1)</f>
        <v>0</v>
      </c>
      <c r="G126" s="1">
        <f ca="1">G28</f>
        <v>0</v>
      </c>
      <c r="H126" s="1">
        <f t="shared" ref="H126:X126" ca="1" si="7">H28</f>
        <v>0</v>
      </c>
      <c r="I126" s="1">
        <f t="shared" ca="1" si="7"/>
        <v>0</v>
      </c>
      <c r="J126" s="1" t="e">
        <f>YEAR(J28)</f>
        <v>#VALUE!</v>
      </c>
      <c r="K126" s="1" t="str">
        <f t="shared" si="7"/>
        <v>Uzupełnij dane</v>
      </c>
      <c r="L126" s="1" t="str">
        <f t="shared" si="7"/>
        <v/>
      </c>
      <c r="M126" s="1" t="str">
        <f t="shared" si="7"/>
        <v/>
      </c>
      <c r="N126" s="1" t="str">
        <f t="shared" si="7"/>
        <v/>
      </c>
      <c r="O126" s="1" t="str">
        <f t="shared" si="7"/>
        <v/>
      </c>
      <c r="P126" s="1" t="str">
        <f t="shared" si="7"/>
        <v/>
      </c>
      <c r="Q126" s="1" t="str">
        <f t="shared" si="7"/>
        <v/>
      </c>
      <c r="R126" s="1" t="str">
        <f t="shared" si="7"/>
        <v/>
      </c>
      <c r="S126" s="1" t="str">
        <f t="shared" si="7"/>
        <v/>
      </c>
      <c r="T126" s="1" t="str">
        <f t="shared" si="7"/>
        <v/>
      </c>
      <c r="U126" s="1" t="str">
        <f t="shared" si="7"/>
        <v/>
      </c>
      <c r="V126" s="1" t="str">
        <f t="shared" si="7"/>
        <v/>
      </c>
      <c r="W126" s="1" t="str">
        <f t="shared" si="7"/>
        <v/>
      </c>
      <c r="X126" s="1" t="str">
        <f t="shared" si="7"/>
        <v/>
      </c>
    </row>
    <row r="127" spans="1:27" hidden="1">
      <c r="A127" s="259"/>
      <c r="B127" s="268" t="s">
        <v>13</v>
      </c>
      <c r="C127" s="174">
        <f>IF(OR(ISBLANK(Poczatek),ISBLANK(Koniec_Projekt)),0,Koniec_Projekt-Poczatek+1)</f>
        <v>0</v>
      </c>
      <c r="G127" s="1" t="str">
        <f>MID(G29,1,1)</f>
        <v>n</v>
      </c>
      <c r="H127" s="1" t="str">
        <f t="shared" ref="H127:X127" si="8">MID(H29,1,1)</f>
        <v>n</v>
      </c>
      <c r="I127" s="1" t="str">
        <f t="shared" si="8"/>
        <v>n</v>
      </c>
      <c r="J127" s="1" t="str">
        <f t="shared" si="8"/>
        <v>n</v>
      </c>
      <c r="K127" s="1" t="str">
        <f t="shared" ca="1" si="8"/>
        <v/>
      </c>
      <c r="L127" s="1" t="str">
        <f t="shared" ca="1" si="8"/>
        <v/>
      </c>
      <c r="M127" s="1" t="str">
        <f t="shared" ca="1" si="8"/>
        <v/>
      </c>
      <c r="N127" s="1" t="str">
        <f t="shared" ca="1" si="8"/>
        <v/>
      </c>
      <c r="O127" s="1" t="str">
        <f t="shared" ca="1" si="8"/>
        <v/>
      </c>
      <c r="P127" s="1" t="str">
        <f t="shared" ca="1" si="8"/>
        <v/>
      </c>
      <c r="Q127" s="1" t="str">
        <f t="shared" ca="1" si="8"/>
        <v/>
      </c>
      <c r="R127" s="1" t="str">
        <f t="shared" ca="1" si="8"/>
        <v/>
      </c>
      <c r="S127" s="1" t="str">
        <f t="shared" ca="1" si="8"/>
        <v/>
      </c>
      <c r="T127" s="1" t="str">
        <f t="shared" ca="1" si="8"/>
        <v/>
      </c>
      <c r="U127" s="1" t="str">
        <f t="shared" ca="1" si="8"/>
        <v/>
      </c>
      <c r="V127" s="1" t="str">
        <f t="shared" ca="1" si="8"/>
        <v/>
      </c>
      <c r="W127" s="1" t="str">
        <f t="shared" ca="1" si="8"/>
        <v/>
      </c>
      <c r="X127" s="1" t="str">
        <f t="shared" ca="1" si="8"/>
        <v/>
      </c>
    </row>
    <row r="131" spans="2:10" hidden="1">
      <c r="B131" s="21" t="s">
        <v>52</v>
      </c>
      <c r="C131" s="21">
        <v>1</v>
      </c>
      <c r="D131" s="21">
        <f ca="1">IF(ISTEXT(J28),I28+1,IF(RokObrotowyPoczatek-DaneBiezace=1,I28+2,IF($C$16&lt;=YEAR(DaneBiezace),0,YEAR(DaneBiezace))))</f>
        <v>1</v>
      </c>
      <c r="F131" s="21" t="str">
        <f ca="1">IF(D131=D143,"r1","pr1")</f>
        <v>pr1</v>
      </c>
      <c r="G131" s="21"/>
      <c r="J131" s="282"/>
    </row>
    <row r="132" spans="2:10" hidden="1">
      <c r="B132" s="21"/>
      <c r="C132" s="21">
        <v>2</v>
      </c>
      <c r="D132" s="21">
        <f t="shared" ref="D132:D139" ca="1" si="9">IF(OR(($C$16&lt;=(D131+1)),(D131=0)),0,(D131+1))</f>
        <v>0</v>
      </c>
      <c r="F132" s="21" t="s">
        <v>53</v>
      </c>
      <c r="G132" s="21"/>
    </row>
    <row r="133" spans="2:10" hidden="1">
      <c r="B133" s="21"/>
      <c r="C133" s="21">
        <v>3</v>
      </c>
      <c r="D133" s="21">
        <f t="shared" ca="1" si="9"/>
        <v>0</v>
      </c>
      <c r="F133" s="21" t="s">
        <v>54</v>
      </c>
      <c r="G133" s="21"/>
    </row>
    <row r="134" spans="2:10" hidden="1">
      <c r="B134" s="21"/>
      <c r="C134" s="21">
        <v>4</v>
      </c>
      <c r="D134" s="21">
        <f t="shared" ca="1" si="9"/>
        <v>0</v>
      </c>
      <c r="F134" s="21" t="s">
        <v>55</v>
      </c>
      <c r="G134" s="21"/>
    </row>
    <row r="135" spans="2:10" hidden="1">
      <c r="B135" s="21"/>
      <c r="C135" s="21">
        <v>5</v>
      </c>
      <c r="D135" s="21">
        <f t="shared" ca="1" si="9"/>
        <v>0</v>
      </c>
      <c r="F135" s="21" t="s">
        <v>56</v>
      </c>
      <c r="G135" s="21"/>
    </row>
    <row r="136" spans="2:10" hidden="1">
      <c r="B136" s="21"/>
      <c r="C136" s="21">
        <v>6</v>
      </c>
      <c r="D136" s="21">
        <f t="shared" ca="1" si="9"/>
        <v>0</v>
      </c>
      <c r="F136" s="21" t="s">
        <v>57</v>
      </c>
      <c r="G136" s="21"/>
    </row>
    <row r="137" spans="2:10" hidden="1">
      <c r="B137" s="21"/>
      <c r="C137" s="21">
        <v>7</v>
      </c>
      <c r="D137" s="21">
        <f t="shared" ca="1" si="9"/>
        <v>0</v>
      </c>
      <c r="F137" s="21" t="s">
        <v>58</v>
      </c>
      <c r="G137" s="21"/>
    </row>
    <row r="138" spans="2:10" hidden="1">
      <c r="B138" s="21"/>
      <c r="C138" s="21">
        <v>8</v>
      </c>
      <c r="D138" s="21">
        <f t="shared" ca="1" si="9"/>
        <v>0</v>
      </c>
      <c r="F138" s="21" t="s">
        <v>59</v>
      </c>
      <c r="G138" s="21"/>
    </row>
    <row r="139" spans="2:10" hidden="1">
      <c r="B139" s="21"/>
      <c r="C139" s="21">
        <v>9</v>
      </c>
      <c r="D139" s="21">
        <f t="shared" ca="1" si="9"/>
        <v>0</v>
      </c>
      <c r="F139" s="21" t="s">
        <v>60</v>
      </c>
      <c r="G139" s="21"/>
    </row>
    <row r="140" spans="2:10" hidden="1">
      <c r="B140" s="21"/>
      <c r="C140" s="21"/>
      <c r="D140" s="21"/>
      <c r="F140" s="21"/>
      <c r="G140" s="21"/>
    </row>
    <row r="141" spans="2:10" hidden="1">
      <c r="B141" s="21"/>
      <c r="C141" s="21"/>
      <c r="D141" s="21"/>
      <c r="F141" s="21"/>
      <c r="G141" s="21"/>
    </row>
    <row r="142" spans="2:10" hidden="1">
      <c r="B142" s="21"/>
      <c r="C142" s="21"/>
      <c r="D142" s="21"/>
      <c r="F142" s="21"/>
      <c r="G142" s="21"/>
    </row>
    <row r="143" spans="2:10" ht="14.4" hidden="1">
      <c r="B143" s="21" t="s">
        <v>61</v>
      </c>
      <c r="C143" s="21">
        <v>1</v>
      </c>
      <c r="D143" s="21">
        <f t="shared" ref="D143:D151" si="10">IF(C143&gt;$C$127,0,$C$16+C143-1)</f>
        <v>0</v>
      </c>
      <c r="F143" s="21" t="s">
        <v>62</v>
      </c>
      <c r="G143" s="21"/>
    </row>
    <row r="144" spans="2:10" hidden="1">
      <c r="B144" s="21"/>
      <c r="C144" s="21">
        <v>2</v>
      </c>
      <c r="D144" s="21">
        <f t="shared" si="10"/>
        <v>0</v>
      </c>
      <c r="F144" s="21" t="s">
        <v>63</v>
      </c>
      <c r="G144" s="21"/>
    </row>
    <row r="145" spans="2:10" hidden="1">
      <c r="B145" s="21"/>
      <c r="C145" s="21">
        <v>3</v>
      </c>
      <c r="D145" s="21">
        <f t="shared" si="10"/>
        <v>0</v>
      </c>
      <c r="F145" s="21" t="s">
        <v>64</v>
      </c>
      <c r="G145" s="21"/>
    </row>
    <row r="146" spans="2:10" hidden="1">
      <c r="B146" s="21"/>
      <c r="C146" s="21">
        <v>4</v>
      </c>
      <c r="D146" s="21">
        <f t="shared" si="10"/>
        <v>0</v>
      </c>
      <c r="F146" s="21" t="s">
        <v>65</v>
      </c>
      <c r="G146" s="21"/>
    </row>
    <row r="147" spans="2:10" hidden="1">
      <c r="B147" s="21"/>
      <c r="C147" s="21">
        <v>5</v>
      </c>
      <c r="D147" s="21">
        <f t="shared" si="10"/>
        <v>0</v>
      </c>
      <c r="F147" s="21" t="s">
        <v>66</v>
      </c>
      <c r="G147" s="21"/>
    </row>
    <row r="148" spans="2:10" hidden="1">
      <c r="B148" s="21"/>
      <c r="C148" s="21">
        <v>6</v>
      </c>
      <c r="D148" s="21">
        <f t="shared" si="10"/>
        <v>0</v>
      </c>
      <c r="F148" s="21" t="s">
        <v>67</v>
      </c>
      <c r="G148" s="21"/>
    </row>
    <row r="149" spans="2:10" hidden="1">
      <c r="B149" s="21"/>
      <c r="C149" s="21">
        <v>7</v>
      </c>
      <c r="D149" s="21">
        <f t="shared" si="10"/>
        <v>0</v>
      </c>
      <c r="F149" s="21" t="s">
        <v>68</v>
      </c>
      <c r="G149" s="21"/>
    </row>
    <row r="150" spans="2:10" hidden="1">
      <c r="B150" s="21"/>
      <c r="C150" s="21">
        <v>8</v>
      </c>
      <c r="D150" s="21">
        <f t="shared" si="10"/>
        <v>0</v>
      </c>
      <c r="F150" s="21" t="s">
        <v>69</v>
      </c>
      <c r="G150" s="21"/>
    </row>
    <row r="151" spans="2:10" hidden="1">
      <c r="B151" s="21"/>
      <c r="C151" s="21">
        <v>9</v>
      </c>
      <c r="D151" s="21">
        <f t="shared" si="10"/>
        <v>0</v>
      </c>
      <c r="F151" s="21" t="s">
        <v>70</v>
      </c>
      <c r="G151" s="21"/>
    </row>
    <row r="152" spans="2:10" hidden="1">
      <c r="B152" s="21"/>
      <c r="C152" s="21"/>
      <c r="D152" s="21"/>
      <c r="F152" s="21"/>
      <c r="G152" s="21"/>
    </row>
    <row r="153" spans="2:10" hidden="1">
      <c r="B153" s="21"/>
      <c r="C153" s="21"/>
      <c r="D153" s="21"/>
      <c r="F153" s="21"/>
      <c r="G153" s="21"/>
    </row>
    <row r="154" spans="2:10" hidden="1">
      <c r="B154" s="21" t="s">
        <v>71</v>
      </c>
      <c r="C154" s="21">
        <v>1</v>
      </c>
      <c r="D154" s="21" t="e">
        <f>VLOOKUP($C$127,C143:D151,2)+1</f>
        <v>#N/A</v>
      </c>
      <c r="F154" s="21" t="s">
        <v>72</v>
      </c>
      <c r="G154" s="21"/>
    </row>
    <row r="155" spans="2:10" hidden="1">
      <c r="B155" s="21"/>
      <c r="C155" s="21">
        <v>2</v>
      </c>
      <c r="D155" s="21" t="e">
        <f>IF(C155&gt;$C$19,0,D154+1)</f>
        <v>#N/A</v>
      </c>
      <c r="F155" s="21" t="s">
        <v>73</v>
      </c>
      <c r="G155" s="21"/>
    </row>
    <row r="156" spans="2:10" hidden="1">
      <c r="B156" s="21"/>
      <c r="C156" s="21">
        <v>3</v>
      </c>
      <c r="D156" s="21" t="e">
        <f>IF(C156&gt;$C$19,0,D155+1)</f>
        <v>#N/A</v>
      </c>
      <c r="F156" s="21" t="s">
        <v>74</v>
      </c>
      <c r="G156" s="21"/>
    </row>
    <row r="157" spans="2:10" hidden="1">
      <c r="B157" s="21"/>
      <c r="C157" s="21">
        <v>4</v>
      </c>
      <c r="D157" s="21" t="e">
        <f>IF(C157&gt;$C$19,0,D156+1)</f>
        <v>#N/A</v>
      </c>
      <c r="F157" s="21" t="s">
        <v>75</v>
      </c>
      <c r="G157" s="21"/>
    </row>
    <row r="158" spans="2:10" hidden="1">
      <c r="B158" s="21"/>
      <c r="C158" s="21">
        <v>5</v>
      </c>
      <c r="D158" s="21" t="e">
        <f>IF(C158&gt;$C$19,0,D157+1)</f>
        <v>#N/A</v>
      </c>
      <c r="F158" s="21" t="s">
        <v>76</v>
      </c>
      <c r="G158" s="21"/>
    </row>
    <row r="159" spans="2:10" hidden="1">
      <c r="B159" s="21"/>
      <c r="C159" s="21"/>
      <c r="D159" s="21"/>
      <c r="F159" s="21"/>
      <c r="G159" s="21"/>
    </row>
    <row r="160" spans="2:10" hidden="1">
      <c r="B160" s="21"/>
      <c r="C160" s="21"/>
      <c r="D160" s="21"/>
      <c r="F160" s="21"/>
      <c r="G160" s="21"/>
      <c r="J160" s="8"/>
    </row>
    <row r="161" spans="2:7" hidden="1">
      <c r="B161" s="21" t="s">
        <v>703</v>
      </c>
      <c r="C161" s="21">
        <v>0</v>
      </c>
      <c r="D161" s="21">
        <f>YEAR(RokObrotowyPoczatek)</f>
        <v>1900</v>
      </c>
      <c r="F161" s="21" t="s">
        <v>77</v>
      </c>
      <c r="G161" s="21"/>
    </row>
    <row r="162" spans="2:7" hidden="1">
      <c r="B162" s="21"/>
      <c r="C162" s="21">
        <v>1</v>
      </c>
      <c r="D162" s="21">
        <f>D161+1</f>
        <v>1901</v>
      </c>
      <c r="F162" s="21" t="s">
        <v>78</v>
      </c>
      <c r="G162" s="21"/>
    </row>
    <row r="163" spans="2:7" hidden="1">
      <c r="B163" s="21"/>
      <c r="C163" s="21">
        <v>2</v>
      </c>
      <c r="D163" s="21">
        <f t="shared" ref="D163:D174" si="11">D162+1</f>
        <v>1902</v>
      </c>
      <c r="F163" s="21" t="s">
        <v>79</v>
      </c>
      <c r="G163" s="21"/>
    </row>
    <row r="164" spans="2:7" hidden="1">
      <c r="B164" s="21"/>
      <c r="C164" s="21">
        <v>3</v>
      </c>
      <c r="D164" s="21">
        <f t="shared" si="11"/>
        <v>1903</v>
      </c>
      <c r="F164" s="21" t="s">
        <v>80</v>
      </c>
      <c r="G164" s="21"/>
    </row>
    <row r="165" spans="2:7" hidden="1">
      <c r="B165" s="21"/>
      <c r="C165" s="21">
        <v>4</v>
      </c>
      <c r="D165" s="21">
        <f t="shared" si="11"/>
        <v>1904</v>
      </c>
      <c r="F165" s="21" t="s">
        <v>81</v>
      </c>
      <c r="G165" s="21"/>
    </row>
    <row r="166" spans="2:7" hidden="1">
      <c r="B166" s="21"/>
      <c r="C166" s="21">
        <v>5</v>
      </c>
      <c r="D166" s="21">
        <f t="shared" si="11"/>
        <v>1905</v>
      </c>
      <c r="F166" s="21" t="s">
        <v>82</v>
      </c>
      <c r="G166" s="21"/>
    </row>
    <row r="167" spans="2:7" hidden="1">
      <c r="B167" s="21"/>
      <c r="C167" s="21">
        <v>6</v>
      </c>
      <c r="D167" s="21">
        <f t="shared" si="11"/>
        <v>1906</v>
      </c>
      <c r="F167" s="21" t="s">
        <v>83</v>
      </c>
      <c r="G167" s="21"/>
    </row>
    <row r="168" spans="2:7" hidden="1">
      <c r="B168" s="21"/>
      <c r="C168" s="21">
        <v>7</v>
      </c>
      <c r="D168" s="21">
        <f t="shared" si="11"/>
        <v>1907</v>
      </c>
      <c r="F168" s="21" t="s">
        <v>84</v>
      </c>
      <c r="G168" s="21"/>
    </row>
    <row r="169" spans="2:7" hidden="1">
      <c r="B169" s="21"/>
      <c r="C169" s="21">
        <v>8</v>
      </c>
      <c r="D169" s="21">
        <f t="shared" si="11"/>
        <v>1908</v>
      </c>
      <c r="F169" s="21" t="s">
        <v>85</v>
      </c>
      <c r="G169" s="21"/>
    </row>
    <row r="170" spans="2:7" hidden="1">
      <c r="B170" s="21"/>
      <c r="C170" s="21">
        <v>9</v>
      </c>
      <c r="D170" s="21">
        <f t="shared" si="11"/>
        <v>1909</v>
      </c>
      <c r="F170" s="21" t="s">
        <v>86</v>
      </c>
      <c r="G170" s="21"/>
    </row>
    <row r="171" spans="2:7" hidden="1">
      <c r="B171" s="21"/>
      <c r="C171" s="21">
        <v>10</v>
      </c>
      <c r="D171" s="21">
        <f t="shared" si="11"/>
        <v>1910</v>
      </c>
      <c r="F171" s="21" t="s">
        <v>87</v>
      </c>
      <c r="G171" s="21"/>
    </row>
    <row r="172" spans="2:7" hidden="1">
      <c r="B172" s="21"/>
      <c r="C172" s="21">
        <v>11</v>
      </c>
      <c r="D172" s="21">
        <f t="shared" si="11"/>
        <v>1911</v>
      </c>
      <c r="F172" s="21" t="s">
        <v>702</v>
      </c>
      <c r="G172" s="21"/>
    </row>
    <row r="173" spans="2:7" hidden="1">
      <c r="B173" s="21"/>
      <c r="C173" s="21">
        <v>12</v>
      </c>
      <c r="D173" s="21">
        <f t="shared" si="11"/>
        <v>1912</v>
      </c>
      <c r="F173" s="21" t="s">
        <v>704</v>
      </c>
      <c r="G173" s="21"/>
    </row>
    <row r="174" spans="2:7" hidden="1">
      <c r="B174" s="21"/>
      <c r="C174" s="21">
        <v>13</v>
      </c>
      <c r="D174" s="21">
        <f t="shared" si="11"/>
        <v>1913</v>
      </c>
      <c r="F174" s="21" t="s">
        <v>705</v>
      </c>
      <c r="G174" s="21"/>
    </row>
    <row r="175" spans="2:7" hidden="1">
      <c r="B175" s="21"/>
      <c r="C175" s="21"/>
      <c r="D175" s="21"/>
      <c r="F175" s="21"/>
      <c r="G175" s="21"/>
    </row>
    <row r="176" spans="2:7" hidden="1">
      <c r="B176" s="21"/>
      <c r="C176" s="21"/>
      <c r="D176" s="21"/>
      <c r="F176" s="21"/>
      <c r="G176" s="21"/>
    </row>
    <row r="177" spans="2:7" hidden="1">
      <c r="B177" s="21"/>
      <c r="C177" s="21"/>
      <c r="D177" s="21"/>
      <c r="F177" s="21"/>
      <c r="G177" s="21"/>
    </row>
    <row r="178" spans="2:7" hidden="1">
      <c r="B178" s="21"/>
      <c r="C178" s="21"/>
      <c r="D178" s="21"/>
      <c r="F178" s="21"/>
      <c r="G178" s="21"/>
    </row>
    <row r="179" spans="2:7" hidden="1">
      <c r="B179" s="21" t="s">
        <v>88</v>
      </c>
      <c r="C179" s="80" t="b">
        <v>0</v>
      </c>
      <c r="D179" s="21"/>
      <c r="F179" s="21"/>
      <c r="G179" s="21"/>
    </row>
    <row r="180" spans="2:7" hidden="1">
      <c r="B180" s="21"/>
      <c r="C180" s="21"/>
      <c r="D180" s="21"/>
      <c r="F180" s="21"/>
      <c r="G180" s="21"/>
    </row>
    <row r="181" spans="2:7" hidden="1">
      <c r="B181" s="21" t="s">
        <v>89</v>
      </c>
      <c r="C181" s="21">
        <f>IF(AND((C16&gt;=YEAR(C12)),(C16&lt;=$C$17)),1,0)</f>
        <v>0</v>
      </c>
      <c r="D181" s="21"/>
      <c r="F181" s="21"/>
      <c r="G181" s="21"/>
    </row>
    <row r="182" spans="2:7" hidden="1">
      <c r="B182" s="21" t="s">
        <v>90</v>
      </c>
      <c r="C182" s="21">
        <f>IF(C126=0,0,IF(C127=0,0,IF(C127&gt;C126,0,1)))</f>
        <v>0</v>
      </c>
      <c r="D182" s="21"/>
      <c r="F182" s="21"/>
      <c r="G182" s="21"/>
    </row>
    <row r="183" spans="2:7" hidden="1">
      <c r="B183" s="255" t="s">
        <v>91</v>
      </c>
      <c r="C183" s="252" t="e">
        <f>DATE(Poczatek,D16,1)</f>
        <v>#NUM!</v>
      </c>
    </row>
    <row r="184" spans="2:7" hidden="1">
      <c r="B184" s="1" t="s">
        <v>92</v>
      </c>
      <c r="C184" s="252" t="e">
        <f>EOMONTH(DATE(Koniec_Projekt,D18,1),0)</f>
        <v>#NUM!</v>
      </c>
    </row>
    <row r="185" spans="2:7" hidden="1">
      <c r="B185" s="1" t="s">
        <v>707</v>
      </c>
      <c r="C185" s="252">
        <f>DATE(YEAR(RokObrotowyPoczatek),MONTH(RokObrotowyPoczatek),1)</f>
        <v>1</v>
      </c>
    </row>
    <row r="186" spans="2:7" hidden="1">
      <c r="B186" s="1" t="s">
        <v>708</v>
      </c>
      <c r="C186" s="252" t="e">
        <f>EOMONTH(DATE(Koniec,12,1),0)</f>
        <v>#VALUE!</v>
      </c>
    </row>
    <row r="187" spans="2:7" hidden="1">
      <c r="B187" s="1" t="s">
        <v>729</v>
      </c>
      <c r="C187" s="252" t="e">
        <f>EOMONTH(DATE(C24,D24,1),0)</f>
        <v>#NUM!</v>
      </c>
    </row>
    <row r="188" spans="2:7" hidden="1">
      <c r="B188" s="1" t="s">
        <v>738</v>
      </c>
      <c r="C188" s="252"/>
    </row>
    <row r="189" spans="2:7" hidden="1">
      <c r="B189" s="8" t="s">
        <v>739</v>
      </c>
      <c r="C189" s="5">
        <v>1</v>
      </c>
    </row>
    <row r="190" spans="2:7" hidden="1">
      <c r="B190" s="8" t="s">
        <v>740</v>
      </c>
      <c r="C190" s="5" t="str">
        <f>IF(AND(Modul_badawczo_rozwojowy=tak,Koniec_PR&lt;Koniec_Projekt),12,IF(AND(Modul_badawczo_rozwojowy=tak,Koniec_PR=Koniec_Projekt),D18,""))</f>
        <v/>
      </c>
    </row>
    <row r="192" spans="2:7" hidden="1">
      <c r="B192" s="258" t="s">
        <v>381</v>
      </c>
    </row>
    <row r="193" spans="2:2" hidden="1">
      <c r="B193" s="258" t="s">
        <v>387</v>
      </c>
    </row>
    <row r="194" spans="2:2" hidden="1">
      <c r="B194" s="258" t="s">
        <v>388</v>
      </c>
    </row>
    <row r="195" spans="2:2" hidden="1">
      <c r="B195" s="258" t="s">
        <v>389</v>
      </c>
    </row>
    <row r="196" spans="2:2" hidden="1">
      <c r="B196" s="258" t="s">
        <v>710</v>
      </c>
    </row>
    <row r="197" spans="2:2" hidden="1">
      <c r="B197" s="258" t="s">
        <v>711</v>
      </c>
    </row>
    <row r="198" spans="2:2" hidden="1">
      <c r="B198" s="258" t="s">
        <v>712</v>
      </c>
    </row>
    <row r="199" spans="2:2" hidden="1">
      <c r="B199" s="258" t="s">
        <v>713</v>
      </c>
    </row>
    <row r="201" spans="2:2" hidden="1">
      <c r="B201" s="259" t="s">
        <v>759</v>
      </c>
    </row>
    <row r="202" spans="2:2" hidden="1">
      <c r="B202" s="259" t="s">
        <v>760</v>
      </c>
    </row>
  </sheetData>
  <sheetProtection algorithmName="SHA-512" hashValue="Uqmi/0/vKTXozjUigTSms+49JGPPC+SF6eCNFHGeACuNudVhC0GEesSg9P9cKIIMY5TSMec3Eb+t2sgIFnTvlQ==" saltValue="SLTsICD7JU2RFLz40YJxAw==" spinCount="100000" sheet="1" objects="1" scenarios="1"/>
  <mergeCells count="6">
    <mergeCell ref="H23:K24"/>
    <mergeCell ref="B2:I3"/>
    <mergeCell ref="H18:K18"/>
    <mergeCell ref="H14:K16"/>
    <mergeCell ref="I19:I20"/>
    <mergeCell ref="H12:K12"/>
  </mergeCells>
  <phoneticPr fontId="58" type="noConversion"/>
  <conditionalFormatting sqref="C127">
    <cfRule type="cellIs" dxfId="660" priority="60" operator="greaterThan">
      <formula>$C$126</formula>
    </cfRule>
  </conditionalFormatting>
  <conditionalFormatting sqref="H14:K16">
    <cfRule type="containsText" dxfId="659" priority="27" operator="containsText" text="uzupełnij">
      <formula>NOT(ISERROR(SEARCH("uzupełnij",H14)))</formula>
    </cfRule>
  </conditionalFormatting>
  <conditionalFormatting sqref="H19">
    <cfRule type="cellIs" dxfId="658" priority="26" operator="lessThan">
      <formula>0</formula>
    </cfRule>
  </conditionalFormatting>
  <conditionalFormatting sqref="J19">
    <cfRule type="cellIs" dxfId="657" priority="25" operator="lessThan">
      <formula>0</formula>
    </cfRule>
  </conditionalFormatting>
  <conditionalFormatting sqref="K19">
    <cfRule type="cellIs" dxfId="656" priority="24" operator="lessThan">
      <formula>0</formula>
    </cfRule>
  </conditionalFormatting>
  <conditionalFormatting sqref="H12">
    <cfRule type="containsText" dxfId="655" priority="22" operator="containsText" text="różny">
      <formula>NOT(ISERROR(SEARCH("różny",H12)))</formula>
    </cfRule>
  </conditionalFormatting>
  <conditionalFormatting sqref="H13:K13 H12">
    <cfRule type="containsText" dxfId="654" priority="21" operator="containsText" text="zgodny">
      <formula>NOT(ISERROR(SEARCH("zgodny",H12)))</formula>
    </cfRule>
  </conditionalFormatting>
  <conditionalFormatting sqref="K37:X37 K39:X39 K43:X45 K59:X63">
    <cfRule type="expression" dxfId="653" priority="19">
      <formula>(K$28&gt;Koniec)</formula>
    </cfRule>
  </conditionalFormatting>
  <conditionalFormatting sqref="C24:D24">
    <cfRule type="expression" dxfId="652" priority="18">
      <formula>$C$23="tak"</formula>
    </cfRule>
  </conditionalFormatting>
  <conditionalFormatting sqref="C24">
    <cfRule type="cellIs" dxfId="651" priority="13" operator="greaterThan">
      <formula>$C$18</formula>
    </cfRule>
    <cfRule type="expression" dxfId="650" priority="16">
      <formula>AND($C$23="nie",ISBLANK($C$24)=FALSE)</formula>
    </cfRule>
  </conditionalFormatting>
  <conditionalFormatting sqref="D24">
    <cfRule type="expression" dxfId="649" priority="12">
      <formula>AND($C$23="tak",$C$24=$C$18,$D$24&gt;$D$18)</formula>
    </cfRule>
    <cfRule type="expression" dxfId="648" priority="17">
      <formula>AND($C$23="nie",ISBLANK($D$24)=FALSE)</formula>
    </cfRule>
  </conditionalFormatting>
  <conditionalFormatting sqref="H23:K26">
    <cfRule type="containsText" dxfId="647" priority="11" operator="containsText" text="popraw">
      <formula>NOT(ISERROR(SEARCH("popraw",H23)))</formula>
    </cfRule>
    <cfRule type="containsText" dxfId="646" priority="15" operator="containsText" text="usuń">
      <formula>NOT(ISERROR(SEARCH("usuń",H23)))</formula>
    </cfRule>
  </conditionalFormatting>
  <conditionalFormatting sqref="G26:X26">
    <cfRule type="expression" dxfId="645" priority="5">
      <formula>G$127="t"</formula>
    </cfRule>
    <cfRule type="expression" dxfId="644" priority="4">
      <formula>G$127="r"</formula>
    </cfRule>
    <cfRule type="expression" dxfId="643" priority="2">
      <formula>G$127="n"</formula>
    </cfRule>
    <cfRule type="expression" dxfId="642" priority="1">
      <formula>OR(ISBLANK(Poczatek),ISBLANK(Koniec_Projekt),ISBLANK(RokObrotowyPoczatek))</formula>
    </cfRule>
    <cfRule type="expression" dxfId="641" priority="6">
      <formula>AND(G$127="p",G$126&lt;=Koniec)</formula>
    </cfRule>
    <cfRule type="expression" dxfId="640" priority="8">
      <formula>AND(ISBLANK($C$24)=FALSE,G$126=Koniec_PR)</formula>
    </cfRule>
  </conditionalFormatting>
  <conditionalFormatting sqref="H23:K26 C20:C21">
    <cfRule type="containsText" dxfId="639" priority="14" operator="containsText" text="uzupełnij">
      <formula>NOT(ISERROR(SEARCH("uzupełnij",C20)))</formula>
    </cfRule>
  </conditionalFormatting>
  <conditionalFormatting sqref="G28:X28">
    <cfRule type="expression" dxfId="638" priority="3">
      <formula>AND(ISBLANK($C$24)=FALSE,G$126=Koniec_PR)</formula>
    </cfRule>
  </conditionalFormatting>
  <dataValidations xWindow="449" yWindow="180" count="11">
    <dataValidation type="whole" allowBlank="1" showInputMessage="1" showErrorMessage="1" errorTitle="Uwaga" error="Proszę zmienić rok" prompt="Rok rozpoczęcia realizacji inwestycji nie może być wcześniejszy niż rok rozpoczęcia bieżącego roku obrotowego" sqref="C16" xr:uid="{00000000-0002-0000-0100-000000000000}">
      <formula1>YEAR($C$12)</formula1>
      <formula2>2029</formula2>
    </dataValidation>
    <dataValidation type="custom" allowBlank="1" showErrorMessage="1" errorTitle="Błędny okres realizacji projektu" error="Nieprawidłowy okres realizacji projektu" prompt="Okres realizacji projektu nie może przekraczać 2023 r." sqref="C127" xr:uid="{00000000-0002-0000-0100-000001000000}">
      <formula1>C182=1</formula1>
    </dataValidation>
    <dataValidation type="date" allowBlank="1" showInputMessage="1" showErrorMessage="1" errorTitle="Nieprawidłowy format daty" error="Proszę wpisać datę w formacie RRRR-MM-DD" prompt="Proszę podać datę w formacie RRRR-MM-DD" sqref="C12" xr:uid="{00000000-0002-0000-0100-000002000000}">
      <formula1>42005</formula1>
      <formula2>47483</formula2>
    </dataValidation>
    <dataValidation type="whole" allowBlank="1" showErrorMessage="1" errorTitle="Nieprawidłowy rok" error="Proszę zmienić rok zakończenia realizacji projektu._x000a__x000a_Realizacja projektu musi zakończyć się do 31.12.2029 r." prompt="Rok rozpoczęcia realizacji inwestycji nie może być wcześniejszy niż rok bieżącego okresu sprawozdawczego" sqref="C18" xr:uid="{00000000-0002-0000-0100-000005000000}">
      <formula1>2021</formula1>
      <formula2>2029</formula2>
    </dataValidation>
    <dataValidation allowBlank="1" showInputMessage="1" showErrorMessage="1" prompt="Proszę podać datę w formacie RRRR-MM-DD" sqref="C14" xr:uid="{00000000-0002-0000-0100-000006000000}"/>
    <dataValidation type="whole" allowBlank="1" showErrorMessage="1" errorTitle="Błędny miesiąc końca projektu" error="Nieprawidłowy miesiąc zakończenia realizacji projektu" prompt="Okres realizacji projektu nie może przekraczać 2023 r." sqref="D18:E18" xr:uid="{00000000-0002-0000-0100-000003000000}">
      <formula1>1</formula1>
      <formula2>12</formula2>
    </dataValidation>
    <dataValidation type="whole" allowBlank="1" showErrorMessage="1" errorTitle="Błędny miesiąc końca projektu" error="Nieprawidłowy miesiąc rozpoczęcia realizacji projektu" prompt="Okres realizacji projektu nie może przekraczać 2023 r." sqref="D16:E16" xr:uid="{00000000-0002-0000-0100-000004000000}">
      <formula1>1</formula1>
      <formula2>12</formula2>
    </dataValidation>
    <dataValidation type="decimal" allowBlank="1" showInputMessage="1" showErrorMessage="1" errorTitle="Nieprawidłowa wartość" error="Niedozwolona stawka amortyzacji" sqref="K48:K55" xr:uid="{2534B5FA-FEDC-4715-8923-78C1D85B0B2A}">
      <formula1>0</formula1>
      <formula2>1</formula2>
    </dataValidation>
    <dataValidation allowBlank="1" showErrorMessage="1" promptTitle="Informacja" prompt="Należy z listy wybrać &quot;tak&quot; w przypadku, gdy realizowany będzie moduł &quot;Wdrożenie innowacji&quot;, a następnie wskazać rok i miesiąc zakończenia prac rozwojowych. _x000a__x000a_W przeciwnym wypadku należy wybrać &quot;nie&quot;" sqref="C23" xr:uid="{76EB7F1E-C6AD-45EF-A19F-DE94275F6F1A}"/>
    <dataValidation type="custom" allowBlank="1" showErrorMessage="1" errorTitle="Uwaga" error="Wprowadzono nieprawidłową wartość" promptTitle="Informacja" prompt="W przypadku realizacji projektu wdrożeniowego należy wskazać miesiąc zakończenia realizacji prac rozwojowych" sqref="D24" xr:uid="{DCD452DE-98B7-4794-A6AE-8ED001E04466}">
      <formula1>AND(D24&lt;=$C$190,$C$23="tak",D24&gt;0)</formula1>
    </dataValidation>
    <dataValidation type="custom" allowBlank="1" showErrorMessage="1" errorTitle="Uwaga" error="Wprowadzono nieprawidłowy rok._x000a__x000a_Rok nie może być wcześniejszy niż rok rozpoczęcia realizacji projektu i późniejszy niż rok zakończenia realizacji projektu." promptTitle="Informacja" prompt="W przypadku realizacji projektu wdrożeniowego należy wskazać rok zakończenia realizacji prac rozwojowych" sqref="C24" xr:uid="{7EA4873C-7013-417A-878B-B529E7CA9A61}">
      <formula1>AND($C$23="tak",C24&gt;=C16,C24&lt;=C18)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8" fitToHeight="0" orientation="landscape" r:id="rId1"/>
  <headerFooter>
    <oddHeader>&amp;C&amp;A</oddHeader>
    <oddFooter>&amp;L&amp;F&amp;CStrona &amp;P z &amp;N&amp;RData i godzina wydruku: &amp;D &amp;T</oddFooter>
  </headerFooter>
  <rowBreaks count="1" manualBreakCount="1">
    <brk id="65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9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53340</xdr:rowOff>
                  </from>
                  <to>
                    <xdr:col>13</xdr:col>
                    <xdr:colOff>289560</xdr:colOff>
                    <xdr:row>9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5" name="Group Box 1033">
              <controlPr defaultSize="0" autoFill="0" autoPict="0">
                <anchor moveWithCells="1">
                  <from>
                    <xdr:col>12</xdr:col>
                    <xdr:colOff>45720</xdr:colOff>
                    <xdr:row>11</xdr:row>
                    <xdr:rowOff>0</xdr:rowOff>
                  </from>
                  <to>
                    <xdr:col>14</xdr:col>
                    <xdr:colOff>259080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6" name="Check Box 1034">
              <controlPr defaultSize="0" autoFill="0" autoLine="0" autoPict="0">
                <anchor moveWithCells="1">
                  <from>
                    <xdr:col>12</xdr:col>
                    <xdr:colOff>114300</xdr:colOff>
                    <xdr:row>12</xdr:row>
                    <xdr:rowOff>53340</xdr:rowOff>
                  </from>
                  <to>
                    <xdr:col>14</xdr:col>
                    <xdr:colOff>198120</xdr:colOff>
                    <xdr:row>13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7" name="Check Box 1035">
              <controlPr defaultSize="0" autoFill="0" autoLine="0" autoPict="0">
                <anchor moveWithCells="1">
                  <from>
                    <xdr:col>12</xdr:col>
                    <xdr:colOff>114300</xdr:colOff>
                    <xdr:row>14</xdr:row>
                    <xdr:rowOff>7620</xdr:rowOff>
                  </from>
                  <to>
                    <xdr:col>14</xdr:col>
                    <xdr:colOff>198120</xdr:colOff>
                    <xdr:row>15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8" name="Check Box 1036">
              <controlPr defaultSize="0" autoFill="0" autoLine="0" autoPict="0">
                <anchor moveWithCells="1">
                  <from>
                    <xdr:col>12</xdr:col>
                    <xdr:colOff>114300</xdr:colOff>
                    <xdr:row>15</xdr:row>
                    <xdr:rowOff>121920</xdr:rowOff>
                  </from>
                  <to>
                    <xdr:col>14</xdr:col>
                    <xdr:colOff>198120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9" name="Check Box 1037">
              <controlPr defaultSize="0" autoFill="0" autoLine="0" autoPict="0">
                <anchor moveWithCells="1">
                  <from>
                    <xdr:col>12</xdr:col>
                    <xdr:colOff>114300</xdr:colOff>
                    <xdr:row>17</xdr:row>
                    <xdr:rowOff>68580</xdr:rowOff>
                  </from>
                  <to>
                    <xdr:col>14</xdr:col>
                    <xdr:colOff>198120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0" name="Check Box 1038">
              <controlPr defaultSize="0" autoFill="0" autoLine="0" autoPict="0">
                <anchor moveWithCells="1">
                  <from>
                    <xdr:col>12</xdr:col>
                    <xdr:colOff>114300</xdr:colOff>
                    <xdr:row>19</xdr:row>
                    <xdr:rowOff>7620</xdr:rowOff>
                  </from>
                  <to>
                    <xdr:col>14</xdr:col>
                    <xdr:colOff>198120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1" name="Check Box 1039">
              <controlPr defaultSize="0" autoFill="0" autoLine="0" autoPict="0">
                <anchor moveWithCells="1">
                  <from>
                    <xdr:col>12</xdr:col>
                    <xdr:colOff>114300</xdr:colOff>
                    <xdr:row>20</xdr:row>
                    <xdr:rowOff>106680</xdr:rowOff>
                  </from>
                  <to>
                    <xdr:col>14</xdr:col>
                    <xdr:colOff>198120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2" name="Check Box 1040">
              <controlPr defaultSize="0" autoFill="0" autoLine="0" autoPict="0">
                <anchor moveWithCells="1">
                  <from>
                    <xdr:col>12</xdr:col>
                    <xdr:colOff>114300</xdr:colOff>
                    <xdr:row>22</xdr:row>
                    <xdr:rowOff>60960</xdr:rowOff>
                  </from>
                  <to>
                    <xdr:col>14</xdr:col>
                    <xdr:colOff>198120</xdr:colOff>
                    <xdr:row>23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V200"/>
  <sheetViews>
    <sheetView showGridLines="0" zoomScaleNormal="100" workbookViewId="0"/>
  </sheetViews>
  <sheetFormatPr defaultColWidth="0" defaultRowHeight="12" zeroHeight="1"/>
  <cols>
    <col min="1" max="1" width="2.85546875" style="1" customWidth="1"/>
    <col min="2" max="2" width="48" style="38" customWidth="1"/>
    <col min="3" max="6" width="12.7109375" style="1" customWidth="1"/>
    <col min="7" max="7" width="2.85546875" style="1" customWidth="1"/>
    <col min="8" max="22" width="9.85546875" style="1" hidden="1" customWidth="1"/>
    <col min="23" max="16384" width="9.28515625" style="1" hidden="1"/>
  </cols>
  <sheetData>
    <row r="1" spans="2:6"/>
    <row r="2" spans="2:6">
      <c r="B2" s="543" t="str">
        <f>Założenia!B2</f>
        <v>Wstaw nazwę firmy w zakładce Dane Firmy</v>
      </c>
      <c r="C2" s="543"/>
      <c r="D2" s="543"/>
      <c r="E2" s="543"/>
      <c r="F2" s="543"/>
    </row>
    <row r="3" spans="2:6">
      <c r="B3" s="544"/>
      <c r="C3" s="544"/>
      <c r="D3" s="544"/>
      <c r="E3" s="544"/>
      <c r="F3" s="544"/>
    </row>
    <row r="4" spans="2:6"/>
    <row r="5" spans="2:6"/>
    <row r="6" spans="2:6"/>
    <row r="7" spans="2:6"/>
    <row r="8" spans="2:6"/>
    <row r="9" spans="2:6"/>
    <row r="10" spans="2:6"/>
    <row r="11" spans="2:6">
      <c r="B11" s="533" t="s">
        <v>120</v>
      </c>
      <c r="C11" s="534">
        <f ca="1">Założenia!G28</f>
        <v>0</v>
      </c>
      <c r="D11" s="534">
        <f ca="1">Założenia!H28</f>
        <v>0</v>
      </c>
      <c r="E11" s="534">
        <f ca="1">Założenia!I28</f>
        <v>0</v>
      </c>
      <c r="F11" s="535" t="str">
        <f>Założenia!J28</f>
        <v/>
      </c>
    </row>
    <row r="12" spans="2:6" ht="12.6" hidden="1" thickBot="1"/>
    <row r="13" spans="2:6">
      <c r="B13" s="517" t="s">
        <v>121</v>
      </c>
      <c r="C13" s="518">
        <f>C14+C19+C28+C31+C46</f>
        <v>0</v>
      </c>
      <c r="D13" s="518">
        <f>D14+D19+D28+D31+D46</f>
        <v>0</v>
      </c>
      <c r="E13" s="518">
        <f>E14+E19+E28+E31+E46</f>
        <v>0</v>
      </c>
      <c r="F13" s="518">
        <f>F14+F19+F28+F31+F46</f>
        <v>0</v>
      </c>
    </row>
    <row r="14" spans="2:6">
      <c r="B14" s="519" t="s">
        <v>122</v>
      </c>
      <c r="C14" s="487">
        <f>SUM(C15:C18)</f>
        <v>0</v>
      </c>
      <c r="D14" s="487">
        <f>SUM(D15:D18)</f>
        <v>0</v>
      </c>
      <c r="E14" s="487">
        <f>SUM(E15:E18)</f>
        <v>0</v>
      </c>
      <c r="F14" s="487">
        <f>SUM(F15:F18)</f>
        <v>0</v>
      </c>
    </row>
    <row r="15" spans="2:6">
      <c r="B15" s="520" t="s">
        <v>123</v>
      </c>
      <c r="C15" s="512"/>
      <c r="D15" s="512"/>
      <c r="E15" s="512"/>
      <c r="F15" s="512"/>
    </row>
    <row r="16" spans="2:6">
      <c r="B16" s="521" t="s">
        <v>124</v>
      </c>
      <c r="C16" s="513"/>
      <c r="D16" s="513"/>
      <c r="E16" s="513"/>
      <c r="F16" s="513"/>
    </row>
    <row r="17" spans="2:6">
      <c r="B17" s="521" t="s">
        <v>125</v>
      </c>
      <c r="C17" s="513"/>
      <c r="D17" s="513"/>
      <c r="E17" s="513"/>
      <c r="F17" s="514"/>
    </row>
    <row r="18" spans="2:6">
      <c r="B18" s="522" t="s">
        <v>126</v>
      </c>
      <c r="C18" s="515"/>
      <c r="D18" s="515"/>
      <c r="E18" s="515"/>
      <c r="F18" s="515"/>
    </row>
    <row r="19" spans="2:6">
      <c r="B19" s="523" t="s">
        <v>127</v>
      </c>
      <c r="C19" s="488">
        <f>C20+C26+C27</f>
        <v>0</v>
      </c>
      <c r="D19" s="488">
        <f>D20+D26+D27</f>
        <v>0</v>
      </c>
      <c r="E19" s="488">
        <f>E20+E26+E27</f>
        <v>0</v>
      </c>
      <c r="F19" s="488">
        <f>F20+F26+F27</f>
        <v>0</v>
      </c>
    </row>
    <row r="20" spans="2:6">
      <c r="B20" s="536" t="s">
        <v>128</v>
      </c>
      <c r="C20" s="489">
        <f>SUM(C21:C25)</f>
        <v>0</v>
      </c>
      <c r="D20" s="489">
        <f>SUM(D21:D25)</f>
        <v>0</v>
      </c>
      <c r="E20" s="489">
        <f>SUM(E21:E25)</f>
        <v>0</v>
      </c>
      <c r="F20" s="489">
        <f>SUM(F21:F25)</f>
        <v>0</v>
      </c>
    </row>
    <row r="21" spans="2:6">
      <c r="B21" s="521" t="s">
        <v>129</v>
      </c>
      <c r="C21" s="513"/>
      <c r="D21" s="513"/>
      <c r="E21" s="513"/>
      <c r="F21" s="513"/>
    </row>
    <row r="22" spans="2:6">
      <c r="B22" s="521" t="s">
        <v>130</v>
      </c>
      <c r="C22" s="513"/>
      <c r="D22" s="513"/>
      <c r="E22" s="513"/>
      <c r="F22" s="513"/>
    </row>
    <row r="23" spans="2:6">
      <c r="B23" s="521" t="s">
        <v>131</v>
      </c>
      <c r="C23" s="513"/>
      <c r="D23" s="513"/>
      <c r="E23" s="513"/>
      <c r="F23" s="513"/>
    </row>
    <row r="24" spans="2:6">
      <c r="B24" s="521" t="s">
        <v>132</v>
      </c>
      <c r="C24" s="513"/>
      <c r="D24" s="513"/>
      <c r="E24" s="513"/>
      <c r="F24" s="513"/>
    </row>
    <row r="25" spans="2:6">
      <c r="B25" s="521" t="s">
        <v>133</v>
      </c>
      <c r="C25" s="513"/>
      <c r="D25" s="513"/>
      <c r="E25" s="513"/>
      <c r="F25" s="513"/>
    </row>
    <row r="26" spans="2:6">
      <c r="B26" s="521" t="s">
        <v>134</v>
      </c>
      <c r="C26" s="513"/>
      <c r="D26" s="513"/>
      <c r="E26" s="513"/>
      <c r="F26" s="513"/>
    </row>
    <row r="27" spans="2:6">
      <c r="B27" s="521" t="s">
        <v>135</v>
      </c>
      <c r="C27" s="513"/>
      <c r="D27" s="513"/>
      <c r="E27" s="513"/>
      <c r="F27" s="513"/>
    </row>
    <row r="28" spans="2:6">
      <c r="B28" s="523" t="s">
        <v>136</v>
      </c>
      <c r="C28" s="488">
        <f>C29+C30</f>
        <v>0</v>
      </c>
      <c r="D28" s="488">
        <f>D29+D30</f>
        <v>0</v>
      </c>
      <c r="E28" s="488">
        <f>E29+E30</f>
        <v>0</v>
      </c>
      <c r="F28" s="488">
        <f>F29+F30</f>
        <v>0</v>
      </c>
    </row>
    <row r="29" spans="2:6">
      <c r="B29" s="521" t="s">
        <v>137</v>
      </c>
      <c r="C29" s="513"/>
      <c r="D29" s="513"/>
      <c r="E29" s="513"/>
      <c r="F29" s="513"/>
    </row>
    <row r="30" spans="2:6">
      <c r="B30" s="521" t="s">
        <v>138</v>
      </c>
      <c r="C30" s="513"/>
      <c r="D30" s="513"/>
      <c r="E30" s="513"/>
      <c r="F30" s="513"/>
    </row>
    <row r="31" spans="2:6">
      <c r="B31" s="523" t="s">
        <v>139</v>
      </c>
      <c r="C31" s="488">
        <f>C32+C33+C34+C45</f>
        <v>0</v>
      </c>
      <c r="D31" s="488">
        <f>D32+D33+D34+D45</f>
        <v>0</v>
      </c>
      <c r="E31" s="488">
        <f>E32+E33+E34+E45</f>
        <v>0</v>
      </c>
      <c r="F31" s="488">
        <f>F32+F33+F34+F45</f>
        <v>0</v>
      </c>
    </row>
    <row r="32" spans="2:6">
      <c r="B32" s="521" t="s">
        <v>140</v>
      </c>
      <c r="C32" s="513"/>
      <c r="D32" s="513"/>
      <c r="E32" s="513"/>
      <c r="F32" s="513"/>
    </row>
    <row r="33" spans="2:6">
      <c r="B33" s="521" t="s">
        <v>141</v>
      </c>
      <c r="C33" s="513"/>
      <c r="D33" s="513"/>
      <c r="E33" s="513"/>
      <c r="F33" s="513"/>
    </row>
    <row r="34" spans="2:6">
      <c r="B34" s="536" t="s">
        <v>142</v>
      </c>
      <c r="C34" s="489">
        <f>C35+C40</f>
        <v>0</v>
      </c>
      <c r="D34" s="489">
        <f>D35+D40</f>
        <v>0</v>
      </c>
      <c r="E34" s="489">
        <f>E35+E40</f>
        <v>0</v>
      </c>
      <c r="F34" s="489">
        <f>F35+F40</f>
        <v>0</v>
      </c>
    </row>
    <row r="35" spans="2:6">
      <c r="B35" s="536" t="s">
        <v>143</v>
      </c>
      <c r="C35" s="489">
        <f>SUM(C36:C39)</f>
        <v>0</v>
      </c>
      <c r="D35" s="489">
        <f>SUM(D36:D39)</f>
        <v>0</v>
      </c>
      <c r="E35" s="489">
        <f>SUM(E36:E39)</f>
        <v>0</v>
      </c>
      <c r="F35" s="489">
        <f>SUM(F36:F39)</f>
        <v>0</v>
      </c>
    </row>
    <row r="36" spans="2:6">
      <c r="B36" s="521" t="s">
        <v>144</v>
      </c>
      <c r="C36" s="513"/>
      <c r="D36" s="513"/>
      <c r="E36" s="513"/>
      <c r="F36" s="513"/>
    </row>
    <row r="37" spans="2:6">
      <c r="B37" s="521" t="s">
        <v>145</v>
      </c>
      <c r="C37" s="513"/>
      <c r="D37" s="513"/>
      <c r="E37" s="513"/>
      <c r="F37" s="513"/>
    </row>
    <row r="38" spans="2:6">
      <c r="B38" s="521" t="s">
        <v>146</v>
      </c>
      <c r="C38" s="513"/>
      <c r="D38" s="513"/>
      <c r="E38" s="513"/>
      <c r="F38" s="513"/>
    </row>
    <row r="39" spans="2:6">
      <c r="B39" s="521" t="s">
        <v>147</v>
      </c>
      <c r="C39" s="513"/>
      <c r="D39" s="513"/>
      <c r="E39" s="513"/>
      <c r="F39" s="513"/>
    </row>
    <row r="40" spans="2:6">
      <c r="B40" s="536" t="s">
        <v>148</v>
      </c>
      <c r="C40" s="489">
        <f>SUM(C41:C44)</f>
        <v>0</v>
      </c>
      <c r="D40" s="489">
        <f>SUM(D41:D44)</f>
        <v>0</v>
      </c>
      <c r="E40" s="489">
        <f>SUM(E41:E44)</f>
        <v>0</v>
      </c>
      <c r="F40" s="489">
        <f>SUM(F41:F44)</f>
        <v>0</v>
      </c>
    </row>
    <row r="41" spans="2:6">
      <c r="B41" s="521" t="s">
        <v>144</v>
      </c>
      <c r="C41" s="513"/>
      <c r="D41" s="513"/>
      <c r="E41" s="513"/>
      <c r="F41" s="513"/>
    </row>
    <row r="42" spans="2:6">
      <c r="B42" s="521" t="s">
        <v>145</v>
      </c>
      <c r="C42" s="513"/>
      <c r="D42" s="513"/>
      <c r="E42" s="513"/>
      <c r="F42" s="513"/>
    </row>
    <row r="43" spans="2:6">
      <c r="B43" s="521" t="s">
        <v>146</v>
      </c>
      <c r="C43" s="513"/>
      <c r="D43" s="513"/>
      <c r="E43" s="513"/>
      <c r="F43" s="513"/>
    </row>
    <row r="44" spans="2:6">
      <c r="B44" s="521" t="s">
        <v>147</v>
      </c>
      <c r="C44" s="513"/>
      <c r="D44" s="513"/>
      <c r="E44" s="513"/>
      <c r="F44" s="513"/>
    </row>
    <row r="45" spans="2:6">
      <c r="B45" s="521" t="s">
        <v>149</v>
      </c>
      <c r="C45" s="513"/>
      <c r="D45" s="513"/>
      <c r="E45" s="513"/>
      <c r="F45" s="513"/>
    </row>
    <row r="46" spans="2:6">
      <c r="B46" s="523" t="s">
        <v>150</v>
      </c>
      <c r="C46" s="488">
        <f>SUM(C47:C48)</f>
        <v>0</v>
      </c>
      <c r="D46" s="488">
        <f>SUM(D47:D48)</f>
        <v>0</v>
      </c>
      <c r="E46" s="488">
        <f>SUM(E47:E48)</f>
        <v>0</v>
      </c>
      <c r="F46" s="488">
        <f>SUM(F47:F48)</f>
        <v>0</v>
      </c>
    </row>
    <row r="47" spans="2:6">
      <c r="B47" s="521" t="s">
        <v>151</v>
      </c>
      <c r="C47" s="513"/>
      <c r="D47" s="513"/>
      <c r="E47" s="513"/>
      <c r="F47" s="513"/>
    </row>
    <row r="48" spans="2:6">
      <c r="B48" s="521" t="s">
        <v>152</v>
      </c>
      <c r="C48" s="513"/>
      <c r="D48" s="513"/>
      <c r="E48" s="513"/>
      <c r="F48" s="513"/>
    </row>
    <row r="49" spans="2:6">
      <c r="B49" s="517" t="s">
        <v>153</v>
      </c>
      <c r="C49" s="518">
        <f>C50+C56+C69+C86</f>
        <v>0</v>
      </c>
      <c r="D49" s="518">
        <f>D50+D56+D69+D86</f>
        <v>0</v>
      </c>
      <c r="E49" s="518">
        <f>E50+E56+E69+E86</f>
        <v>0</v>
      </c>
      <c r="F49" s="518">
        <f>F50+F56+F69+F86</f>
        <v>0</v>
      </c>
    </row>
    <row r="50" spans="2:6">
      <c r="B50" s="519" t="s">
        <v>154</v>
      </c>
      <c r="C50" s="487">
        <f>SUM(C51:C55)</f>
        <v>0</v>
      </c>
      <c r="D50" s="487">
        <f>SUM(D51:D55)</f>
        <v>0</v>
      </c>
      <c r="E50" s="487">
        <f>SUM(E51:E55)</f>
        <v>0</v>
      </c>
      <c r="F50" s="487">
        <f>SUM(F51:F55)</f>
        <v>0</v>
      </c>
    </row>
    <row r="51" spans="2:6">
      <c r="B51" s="521" t="s">
        <v>155</v>
      </c>
      <c r="C51" s="513"/>
      <c r="D51" s="513"/>
      <c r="E51" s="513"/>
      <c r="F51" s="513"/>
    </row>
    <row r="52" spans="2:6">
      <c r="B52" s="521" t="s">
        <v>156</v>
      </c>
      <c r="C52" s="513"/>
      <c r="D52" s="513"/>
      <c r="E52" s="513"/>
      <c r="F52" s="513"/>
    </row>
    <row r="53" spans="2:6">
      <c r="B53" s="521" t="s">
        <v>157</v>
      </c>
      <c r="C53" s="513"/>
      <c r="D53" s="513"/>
      <c r="E53" s="513"/>
      <c r="F53" s="513"/>
    </row>
    <row r="54" spans="2:6">
      <c r="B54" s="521" t="s">
        <v>158</v>
      </c>
      <c r="C54" s="513"/>
      <c r="D54" s="513"/>
      <c r="E54" s="513"/>
      <c r="F54" s="513"/>
    </row>
    <row r="55" spans="2:6">
      <c r="B55" s="521" t="s">
        <v>159</v>
      </c>
      <c r="C55" s="513"/>
      <c r="D55" s="513"/>
      <c r="E55" s="513"/>
      <c r="F55" s="513"/>
    </row>
    <row r="56" spans="2:6">
      <c r="B56" s="523" t="s">
        <v>160</v>
      </c>
      <c r="C56" s="488">
        <f>C57+C62</f>
        <v>0</v>
      </c>
      <c r="D56" s="488">
        <f>D57+D62</f>
        <v>0</v>
      </c>
      <c r="E56" s="488">
        <f>E57+E62</f>
        <v>0</v>
      </c>
      <c r="F56" s="488">
        <f>F57+F62</f>
        <v>0</v>
      </c>
    </row>
    <row r="57" spans="2:6">
      <c r="B57" s="490" t="s">
        <v>161</v>
      </c>
      <c r="C57" s="489">
        <f>C58+C61</f>
        <v>0</v>
      </c>
      <c r="D57" s="489">
        <f>D58+D61</f>
        <v>0</v>
      </c>
      <c r="E57" s="489">
        <f>E58+E61</f>
        <v>0</v>
      </c>
      <c r="F57" s="489">
        <f>F58+F61</f>
        <v>0</v>
      </c>
    </row>
    <row r="58" spans="2:6">
      <c r="B58" s="490" t="s">
        <v>162</v>
      </c>
      <c r="C58" s="489">
        <f>SUM(C59:C60)</f>
        <v>0</v>
      </c>
      <c r="D58" s="489">
        <f>SUM(D59:D60)</f>
        <v>0</v>
      </c>
      <c r="E58" s="489">
        <f>SUM(E59:E60)</f>
        <v>0</v>
      </c>
      <c r="F58" s="489">
        <f>SUM(F59:F60)</f>
        <v>0</v>
      </c>
    </row>
    <row r="59" spans="2:6">
      <c r="B59" s="521" t="s">
        <v>163</v>
      </c>
      <c r="C59" s="513"/>
      <c r="D59" s="513"/>
      <c r="E59" s="513"/>
      <c r="F59" s="513"/>
    </row>
    <row r="60" spans="2:6">
      <c r="B60" s="521" t="s">
        <v>164</v>
      </c>
      <c r="C60" s="513"/>
      <c r="D60" s="513"/>
      <c r="E60" s="513"/>
      <c r="F60" s="513"/>
    </row>
    <row r="61" spans="2:6">
      <c r="B61" s="521" t="s">
        <v>165</v>
      </c>
      <c r="C61" s="513"/>
      <c r="D61" s="513"/>
      <c r="E61" s="513"/>
      <c r="F61" s="513"/>
    </row>
    <row r="62" spans="2:6">
      <c r="B62" s="490" t="s">
        <v>166</v>
      </c>
      <c r="C62" s="489">
        <f>C63+C66+C67+C68</f>
        <v>0</v>
      </c>
      <c r="D62" s="489">
        <f>D63+D66+D67+D68</f>
        <v>0</v>
      </c>
      <c r="E62" s="489">
        <f>E63+E66+E67+E68</f>
        <v>0</v>
      </c>
      <c r="F62" s="489">
        <f>F63+F66+F67+F68</f>
        <v>0</v>
      </c>
    </row>
    <row r="63" spans="2:6">
      <c r="B63" s="490" t="s">
        <v>162</v>
      </c>
      <c r="C63" s="489">
        <f>SUM(C64:C65)</f>
        <v>0</v>
      </c>
      <c r="D63" s="489">
        <f>SUM(D64:D65)</f>
        <v>0</v>
      </c>
      <c r="E63" s="489">
        <f>SUM(E64:E65)</f>
        <v>0</v>
      </c>
      <c r="F63" s="489">
        <f>SUM(F64:F65)</f>
        <v>0</v>
      </c>
    </row>
    <row r="64" spans="2:6">
      <c r="B64" s="521" t="s">
        <v>163</v>
      </c>
      <c r="C64" s="513"/>
      <c r="D64" s="513"/>
      <c r="E64" s="513"/>
      <c r="F64" s="513"/>
    </row>
    <row r="65" spans="2:6">
      <c r="B65" s="521" t="s">
        <v>164</v>
      </c>
      <c r="C65" s="513"/>
      <c r="D65" s="513"/>
      <c r="E65" s="513"/>
      <c r="F65" s="513"/>
    </row>
    <row r="66" spans="2:6" ht="24">
      <c r="B66" s="521" t="s">
        <v>167</v>
      </c>
      <c r="C66" s="513"/>
      <c r="D66" s="513"/>
      <c r="E66" s="513"/>
      <c r="F66" s="513"/>
    </row>
    <row r="67" spans="2:6">
      <c r="B67" s="521" t="s">
        <v>168</v>
      </c>
      <c r="C67" s="513"/>
      <c r="D67" s="513"/>
      <c r="E67" s="513"/>
      <c r="F67" s="513"/>
    </row>
    <row r="68" spans="2:6">
      <c r="B68" s="521" t="s">
        <v>169</v>
      </c>
      <c r="C68" s="513"/>
      <c r="D68" s="513"/>
      <c r="E68" s="513"/>
      <c r="F68" s="513"/>
    </row>
    <row r="69" spans="2:6">
      <c r="B69" s="523" t="s">
        <v>170</v>
      </c>
      <c r="C69" s="488">
        <f>C70+C85</f>
        <v>0</v>
      </c>
      <c r="D69" s="488">
        <f>D70+D85</f>
        <v>0</v>
      </c>
      <c r="E69" s="488">
        <f>E70+E85</f>
        <v>0</v>
      </c>
      <c r="F69" s="488">
        <f>F70+F85</f>
        <v>0</v>
      </c>
    </row>
    <row r="70" spans="2:6">
      <c r="B70" s="490" t="s">
        <v>171</v>
      </c>
      <c r="C70" s="489">
        <f>C71+C76+C81</f>
        <v>0</v>
      </c>
      <c r="D70" s="489">
        <f>D71+D76+D81</f>
        <v>0</v>
      </c>
      <c r="E70" s="489">
        <f>E71+E76+E81</f>
        <v>0</v>
      </c>
      <c r="F70" s="489">
        <f>F71+F76+F81</f>
        <v>0</v>
      </c>
    </row>
    <row r="71" spans="2:6">
      <c r="B71" s="490" t="s">
        <v>143</v>
      </c>
      <c r="C71" s="489">
        <f>SUM(C72:C75)</f>
        <v>0</v>
      </c>
      <c r="D71" s="489">
        <f>SUM(D72:D75)</f>
        <v>0</v>
      </c>
      <c r="E71" s="489">
        <f>SUM(E72:E75)</f>
        <v>0</v>
      </c>
      <c r="F71" s="489">
        <f>SUM(F72:F75)</f>
        <v>0</v>
      </c>
    </row>
    <row r="72" spans="2:6">
      <c r="B72" s="521" t="s">
        <v>144</v>
      </c>
      <c r="C72" s="513"/>
      <c r="D72" s="513"/>
      <c r="E72" s="513"/>
      <c r="F72" s="513"/>
    </row>
    <row r="73" spans="2:6">
      <c r="B73" s="521" t="s">
        <v>145</v>
      </c>
      <c r="C73" s="513"/>
      <c r="D73" s="513"/>
      <c r="E73" s="513"/>
      <c r="F73" s="513"/>
    </row>
    <row r="74" spans="2:6">
      <c r="B74" s="521" t="s">
        <v>146</v>
      </c>
      <c r="C74" s="513"/>
      <c r="D74" s="513"/>
      <c r="E74" s="513"/>
      <c r="F74" s="513"/>
    </row>
    <row r="75" spans="2:6">
      <c r="B75" s="521" t="s">
        <v>172</v>
      </c>
      <c r="C75" s="513"/>
      <c r="D75" s="513"/>
      <c r="E75" s="513"/>
      <c r="F75" s="513"/>
    </row>
    <row r="76" spans="2:6">
      <c r="B76" s="490" t="s">
        <v>148</v>
      </c>
      <c r="C76" s="489">
        <f>SUM(C77:C80)</f>
        <v>0</v>
      </c>
      <c r="D76" s="489">
        <f>SUM(D77:D80)</f>
        <v>0</v>
      </c>
      <c r="E76" s="489">
        <f>SUM(E77:E80)</f>
        <v>0</v>
      </c>
      <c r="F76" s="489">
        <f>SUM(F77:F80)</f>
        <v>0</v>
      </c>
    </row>
    <row r="77" spans="2:6">
      <c r="B77" s="521" t="s">
        <v>144</v>
      </c>
      <c r="C77" s="513"/>
      <c r="D77" s="513"/>
      <c r="E77" s="513"/>
      <c r="F77" s="513"/>
    </row>
    <row r="78" spans="2:6">
      <c r="B78" s="521" t="s">
        <v>145</v>
      </c>
      <c r="C78" s="513"/>
      <c r="D78" s="513"/>
      <c r="E78" s="513"/>
      <c r="F78" s="513"/>
    </row>
    <row r="79" spans="2:6">
      <c r="B79" s="521" t="s">
        <v>146</v>
      </c>
      <c r="C79" s="513"/>
      <c r="D79" s="513"/>
      <c r="E79" s="513"/>
      <c r="F79" s="513"/>
    </row>
    <row r="80" spans="2:6">
      <c r="B80" s="521" t="s">
        <v>172</v>
      </c>
      <c r="C80" s="513"/>
      <c r="D80" s="513"/>
      <c r="E80" s="513"/>
      <c r="F80" s="513"/>
    </row>
    <row r="81" spans="2:6">
      <c r="B81" s="490" t="s">
        <v>173</v>
      </c>
      <c r="C81" s="489">
        <f>SUM(C82:C84)</f>
        <v>0</v>
      </c>
      <c r="D81" s="489">
        <f>SUM(D82:D84)</f>
        <v>0</v>
      </c>
      <c r="E81" s="489">
        <f>SUM(E82:E84)</f>
        <v>0</v>
      </c>
      <c r="F81" s="489">
        <f>SUM(F82:F84)</f>
        <v>0</v>
      </c>
    </row>
    <row r="82" spans="2:6">
      <c r="B82" s="521" t="s">
        <v>174</v>
      </c>
      <c r="C82" s="513"/>
      <c r="D82" s="513"/>
      <c r="E82" s="513"/>
      <c r="F82" s="513"/>
    </row>
    <row r="83" spans="2:6">
      <c r="B83" s="521" t="s">
        <v>175</v>
      </c>
      <c r="C83" s="513"/>
      <c r="D83" s="513"/>
      <c r="E83" s="513"/>
      <c r="F83" s="513"/>
    </row>
    <row r="84" spans="2:6">
      <c r="B84" s="521" t="s">
        <v>176</v>
      </c>
      <c r="C84" s="513"/>
      <c r="D84" s="513"/>
      <c r="E84" s="513"/>
      <c r="F84" s="513"/>
    </row>
    <row r="85" spans="2:6">
      <c r="B85" s="521" t="s">
        <v>177</v>
      </c>
      <c r="C85" s="513"/>
      <c r="D85" s="513"/>
      <c r="E85" s="513"/>
      <c r="F85" s="513"/>
    </row>
    <row r="86" spans="2:6">
      <c r="B86" s="523" t="s">
        <v>178</v>
      </c>
      <c r="C86" s="516"/>
      <c r="D86" s="516"/>
      <c r="E86" s="516"/>
      <c r="F86" s="516"/>
    </row>
    <row r="87" spans="2:6">
      <c r="B87" s="517" t="s">
        <v>179</v>
      </c>
      <c r="C87" s="518">
        <f>C13+C49</f>
        <v>0</v>
      </c>
      <c r="D87" s="518">
        <f>D13+D49</f>
        <v>0</v>
      </c>
      <c r="E87" s="518">
        <f>E13+E49</f>
        <v>0</v>
      </c>
      <c r="F87" s="518">
        <f>F13+F49</f>
        <v>0</v>
      </c>
    </row>
    <row r="92" spans="2:6">
      <c r="B92" s="537" t="s">
        <v>180</v>
      </c>
      <c r="C92" s="538" t="str">
        <f>IF(C144=C87,"OK",C87-C144)</f>
        <v>OK</v>
      </c>
      <c r="D92" s="538" t="str">
        <f>IF(D144=D87,"OK",D87-D144)</f>
        <v>OK</v>
      </c>
      <c r="E92" s="538" t="str">
        <f>IF(E144=E87,"OK",E87-E144)</f>
        <v>OK</v>
      </c>
      <c r="F92" s="538" t="str">
        <f>IF(F144=F87,"OK",F87-F144)</f>
        <v>OK</v>
      </c>
    </row>
    <row r="93" spans="2:6">
      <c r="B93" s="533" t="s">
        <v>120</v>
      </c>
      <c r="C93" s="534">
        <f ca="1">C11</f>
        <v>0</v>
      </c>
      <c r="D93" s="534">
        <f ca="1">D11</f>
        <v>0</v>
      </c>
      <c r="E93" s="534">
        <f ca="1">E11</f>
        <v>0</v>
      </c>
      <c r="F93" s="535" t="str">
        <f>F11</f>
        <v/>
      </c>
    </row>
    <row r="94" spans="2:6">
      <c r="B94" s="517" t="s">
        <v>181</v>
      </c>
      <c r="C94" s="518">
        <f>SUM(C95:C103)</f>
        <v>0</v>
      </c>
      <c r="D94" s="518">
        <f>SUM(D95:D103)</f>
        <v>0</v>
      </c>
      <c r="E94" s="518">
        <f>SUM(E95:E103)</f>
        <v>0</v>
      </c>
      <c r="F94" s="518">
        <f>SUM(F95:F103)</f>
        <v>0</v>
      </c>
    </row>
    <row r="95" spans="2:6">
      <c r="B95" s="521" t="s">
        <v>182</v>
      </c>
      <c r="C95" s="513"/>
      <c r="D95" s="513"/>
      <c r="E95" s="513"/>
      <c r="F95" s="513"/>
    </row>
    <row r="96" spans="2:6" ht="12" customHeight="1">
      <c r="B96" s="521" t="s">
        <v>183</v>
      </c>
      <c r="C96" s="513"/>
      <c r="D96" s="513"/>
      <c r="E96" s="513"/>
      <c r="F96" s="513"/>
    </row>
    <row r="97" spans="2:7">
      <c r="B97" s="521" t="s">
        <v>184</v>
      </c>
      <c r="C97" s="513"/>
      <c r="D97" s="513"/>
      <c r="E97" s="513"/>
      <c r="F97" s="513"/>
    </row>
    <row r="98" spans="2:7">
      <c r="B98" s="521" t="s">
        <v>185</v>
      </c>
      <c r="C98" s="513"/>
      <c r="D98" s="513"/>
      <c r="E98" s="513"/>
      <c r="F98" s="513"/>
    </row>
    <row r="99" spans="2:7">
      <c r="B99" s="521" t="s">
        <v>186</v>
      </c>
      <c r="C99" s="513"/>
      <c r="D99" s="513"/>
      <c r="E99" s="513"/>
      <c r="F99" s="513"/>
    </row>
    <row r="100" spans="2:7">
      <c r="B100" s="521" t="s">
        <v>187</v>
      </c>
      <c r="C100" s="513"/>
      <c r="D100" s="513"/>
      <c r="E100" s="513"/>
      <c r="F100" s="513"/>
    </row>
    <row r="101" spans="2:7">
      <c r="B101" s="521" t="s">
        <v>188</v>
      </c>
      <c r="C101" s="513"/>
      <c r="D101" s="513"/>
      <c r="E101" s="513"/>
      <c r="F101" s="513"/>
    </row>
    <row r="102" spans="2:7">
      <c r="B102" s="539" t="s">
        <v>189</v>
      </c>
      <c r="C102" s="491">
        <f>C197</f>
        <v>0</v>
      </c>
      <c r="D102" s="491">
        <f>D197</f>
        <v>0</v>
      </c>
      <c r="E102" s="491">
        <f>E197</f>
        <v>0</v>
      </c>
      <c r="F102" s="491">
        <f>F197</f>
        <v>0</v>
      </c>
    </row>
    <row r="103" spans="2:7" ht="24">
      <c r="B103" s="521" t="s">
        <v>190</v>
      </c>
      <c r="C103" s="513"/>
      <c r="D103" s="513"/>
      <c r="E103" s="513"/>
      <c r="F103" s="513"/>
    </row>
    <row r="104" spans="2:7">
      <c r="B104" s="517" t="s">
        <v>191</v>
      </c>
      <c r="C104" s="518">
        <f>C105+C113+C120+C139</f>
        <v>0</v>
      </c>
      <c r="D104" s="518">
        <f>D105+D113+D120+D139</f>
        <v>0</v>
      </c>
      <c r="E104" s="518">
        <f>E105+E113+E120+E139</f>
        <v>0</v>
      </c>
      <c r="F104" s="518">
        <f>F105+F113+F120+F139</f>
        <v>0</v>
      </c>
    </row>
    <row r="105" spans="2:7">
      <c r="B105" s="519" t="s">
        <v>192</v>
      </c>
      <c r="C105" s="487">
        <f>C106+C107+C110</f>
        <v>0</v>
      </c>
      <c r="D105" s="487">
        <f>D106+D107+D110</f>
        <v>0</v>
      </c>
      <c r="E105" s="487">
        <f>E106+E107+E110</f>
        <v>0</v>
      </c>
      <c r="F105" s="487">
        <f>F106+F107+F110</f>
        <v>0</v>
      </c>
      <c r="G105" s="5"/>
    </row>
    <row r="106" spans="2:7">
      <c r="B106" s="521" t="s">
        <v>193</v>
      </c>
      <c r="C106" s="513"/>
      <c r="D106" s="513"/>
      <c r="E106" s="513"/>
      <c r="F106" s="513"/>
    </row>
    <row r="107" spans="2:7" ht="12" customHeight="1">
      <c r="B107" s="536" t="s">
        <v>194</v>
      </c>
      <c r="C107" s="489">
        <f>C108+C109</f>
        <v>0</v>
      </c>
      <c r="D107" s="489">
        <f>D108+D109</f>
        <v>0</v>
      </c>
      <c r="E107" s="489">
        <f>E108+E109</f>
        <v>0</v>
      </c>
      <c r="F107" s="489">
        <f>F108+F109</f>
        <v>0</v>
      </c>
    </row>
    <row r="108" spans="2:7">
      <c r="B108" s="521" t="s">
        <v>195</v>
      </c>
      <c r="C108" s="513"/>
      <c r="D108" s="513"/>
      <c r="E108" s="513"/>
      <c r="F108" s="513"/>
    </row>
    <row r="109" spans="2:7">
      <c r="B109" s="521" t="s">
        <v>196</v>
      </c>
      <c r="C109" s="513"/>
      <c r="D109" s="513"/>
      <c r="E109" s="513"/>
      <c r="F109" s="513"/>
    </row>
    <row r="110" spans="2:7">
      <c r="B110" s="536" t="s">
        <v>197</v>
      </c>
      <c r="C110" s="489">
        <f>C111+C112</f>
        <v>0</v>
      </c>
      <c r="D110" s="489">
        <f>D111+D112</f>
        <v>0</v>
      </c>
      <c r="E110" s="489">
        <f>E111+E112</f>
        <v>0</v>
      </c>
      <c r="F110" s="489">
        <f>F111+F112</f>
        <v>0</v>
      </c>
    </row>
    <row r="111" spans="2:7">
      <c r="B111" s="521" t="s">
        <v>198</v>
      </c>
      <c r="C111" s="513"/>
      <c r="D111" s="513"/>
      <c r="E111" s="513"/>
      <c r="F111" s="513"/>
    </row>
    <row r="112" spans="2:7">
      <c r="B112" s="521" t="s">
        <v>199</v>
      </c>
      <c r="C112" s="513"/>
      <c r="D112" s="513"/>
      <c r="E112" s="513"/>
      <c r="F112" s="513"/>
    </row>
    <row r="113" spans="2:6">
      <c r="B113" s="523" t="s">
        <v>200</v>
      </c>
      <c r="C113" s="488">
        <f>C114+C115</f>
        <v>0</v>
      </c>
      <c r="D113" s="488">
        <f>D114+D115</f>
        <v>0</v>
      </c>
      <c r="E113" s="488">
        <f>E114+E115</f>
        <v>0</v>
      </c>
      <c r="F113" s="488">
        <f>F114+F115</f>
        <v>0</v>
      </c>
    </row>
    <row r="114" spans="2:6">
      <c r="B114" s="521" t="s">
        <v>201</v>
      </c>
      <c r="C114" s="513"/>
      <c r="D114" s="513"/>
      <c r="E114" s="513"/>
      <c r="F114" s="513"/>
    </row>
    <row r="115" spans="2:6">
      <c r="B115" s="536" t="s">
        <v>202</v>
      </c>
      <c r="C115" s="489">
        <f>SUM(C116:C119)</f>
        <v>0</v>
      </c>
      <c r="D115" s="489">
        <f>SUM(D116:D119)</f>
        <v>0</v>
      </c>
      <c r="E115" s="489">
        <f>SUM(E116:E119)</f>
        <v>0</v>
      </c>
      <c r="F115" s="489">
        <f>SUM(F116:F119)</f>
        <v>0</v>
      </c>
    </row>
    <row r="116" spans="2:6">
      <c r="B116" s="521" t="s">
        <v>203</v>
      </c>
      <c r="C116" s="513"/>
      <c r="D116" s="513"/>
      <c r="E116" s="513"/>
      <c r="F116" s="513"/>
    </row>
    <row r="117" spans="2:6">
      <c r="B117" s="521" t="s">
        <v>204</v>
      </c>
      <c r="C117" s="513"/>
      <c r="D117" s="513"/>
      <c r="E117" s="513"/>
      <c r="F117" s="513"/>
    </row>
    <row r="118" spans="2:6">
      <c r="B118" s="521" t="s">
        <v>205</v>
      </c>
      <c r="C118" s="513"/>
      <c r="D118" s="513"/>
      <c r="E118" s="513"/>
      <c r="F118" s="513"/>
    </row>
    <row r="119" spans="2:6">
      <c r="B119" s="521" t="s">
        <v>206</v>
      </c>
      <c r="C119" s="513"/>
      <c r="D119" s="513"/>
      <c r="E119" s="513"/>
      <c r="F119" s="513"/>
    </row>
    <row r="120" spans="2:6">
      <c r="B120" s="523" t="s">
        <v>207</v>
      </c>
      <c r="C120" s="488">
        <f>C121+C126+C138</f>
        <v>0</v>
      </c>
      <c r="D120" s="488">
        <f>D121+D126+D138</f>
        <v>0</v>
      </c>
      <c r="E120" s="488">
        <f>E121+E126+E138</f>
        <v>0</v>
      </c>
      <c r="F120" s="488">
        <f>F121+F126+F138</f>
        <v>0</v>
      </c>
    </row>
    <row r="121" spans="2:6">
      <c r="B121" s="536" t="s">
        <v>201</v>
      </c>
      <c r="C121" s="489">
        <f>C122+C125</f>
        <v>0</v>
      </c>
      <c r="D121" s="489">
        <f>D122+D125</f>
        <v>0</v>
      </c>
      <c r="E121" s="489">
        <f>E122+E125</f>
        <v>0</v>
      </c>
      <c r="F121" s="489">
        <f>F122+F125</f>
        <v>0</v>
      </c>
    </row>
    <row r="122" spans="2:6" ht="13.5" customHeight="1">
      <c r="B122" s="536" t="s">
        <v>208</v>
      </c>
      <c r="C122" s="489">
        <f>C123+C124</f>
        <v>0</v>
      </c>
      <c r="D122" s="489">
        <f>D123+D124</f>
        <v>0</v>
      </c>
      <c r="E122" s="489">
        <f>E123+E124</f>
        <v>0</v>
      </c>
      <c r="F122" s="489">
        <f>F123+F124</f>
        <v>0</v>
      </c>
    </row>
    <row r="123" spans="2:6">
      <c r="B123" s="521" t="s">
        <v>163</v>
      </c>
      <c r="C123" s="513"/>
      <c r="D123" s="513"/>
      <c r="E123" s="513"/>
      <c r="F123" s="513"/>
    </row>
    <row r="124" spans="2:6">
      <c r="B124" s="521" t="s">
        <v>164</v>
      </c>
      <c r="C124" s="513"/>
      <c r="D124" s="513"/>
      <c r="E124" s="513"/>
      <c r="F124" s="513"/>
    </row>
    <row r="125" spans="2:6">
      <c r="B125" s="521" t="s">
        <v>165</v>
      </c>
      <c r="C125" s="513"/>
      <c r="D125" s="513"/>
      <c r="E125" s="513"/>
      <c r="F125" s="513"/>
    </row>
    <row r="126" spans="2:6">
      <c r="B126" s="536" t="s">
        <v>202</v>
      </c>
      <c r="C126" s="489">
        <f>C127+C128+C129+C130+C133+C134+C135+C136+C137</f>
        <v>0</v>
      </c>
      <c r="D126" s="489">
        <f>D127+D128+D129+D130+D133+D134+D135+D136+D137</f>
        <v>0</v>
      </c>
      <c r="E126" s="489">
        <f>E127+E128+E129+E130+E133+E134+E135+E136+E137</f>
        <v>0</v>
      </c>
      <c r="F126" s="489">
        <f>F127+F128+F129+F130+F133+F134+F135+F136+F137</f>
        <v>0</v>
      </c>
    </row>
    <row r="127" spans="2:6">
      <c r="B127" s="521" t="s">
        <v>203</v>
      </c>
      <c r="C127" s="513"/>
      <c r="D127" s="513"/>
      <c r="E127" s="513"/>
      <c r="F127" s="513"/>
    </row>
    <row r="128" spans="2:6">
      <c r="B128" s="521" t="s">
        <v>204</v>
      </c>
      <c r="C128" s="513"/>
      <c r="D128" s="513"/>
      <c r="E128" s="513"/>
      <c r="F128" s="513"/>
    </row>
    <row r="129" spans="2:6">
      <c r="B129" s="521" t="s">
        <v>205</v>
      </c>
      <c r="C129" s="513"/>
      <c r="D129" s="513"/>
      <c r="E129" s="513"/>
      <c r="F129" s="513"/>
    </row>
    <row r="130" spans="2:6" ht="12" customHeight="1">
      <c r="B130" s="536" t="s">
        <v>209</v>
      </c>
      <c r="C130" s="489">
        <f>C131+C132</f>
        <v>0</v>
      </c>
      <c r="D130" s="489">
        <f>D131+D132</f>
        <v>0</v>
      </c>
      <c r="E130" s="489">
        <f>E131+E132</f>
        <v>0</v>
      </c>
      <c r="F130" s="489">
        <f>F131+F132</f>
        <v>0</v>
      </c>
    </row>
    <row r="131" spans="2:6" ht="12" customHeight="1">
      <c r="B131" s="521" t="s">
        <v>163</v>
      </c>
      <c r="C131" s="513"/>
      <c r="D131" s="513"/>
      <c r="E131" s="513"/>
      <c r="F131" s="513"/>
    </row>
    <row r="132" spans="2:6" ht="12" customHeight="1">
      <c r="B132" s="521" t="s">
        <v>164</v>
      </c>
      <c r="C132" s="513"/>
      <c r="D132" s="513"/>
      <c r="E132" s="513"/>
      <c r="F132" s="513"/>
    </row>
    <row r="133" spans="2:6" ht="12" customHeight="1">
      <c r="B133" s="521" t="s">
        <v>210</v>
      </c>
      <c r="C133" s="513"/>
      <c r="D133" s="513"/>
      <c r="E133" s="513"/>
      <c r="F133" s="513"/>
    </row>
    <row r="134" spans="2:6" ht="12" customHeight="1">
      <c r="B134" s="521" t="s">
        <v>211</v>
      </c>
      <c r="C134" s="513"/>
      <c r="D134" s="513"/>
      <c r="E134" s="513"/>
      <c r="F134" s="513"/>
    </row>
    <row r="135" spans="2:6" ht="12" customHeight="1">
      <c r="B135" s="521" t="s">
        <v>212</v>
      </c>
      <c r="C135" s="513"/>
      <c r="D135" s="513"/>
      <c r="E135" s="513"/>
      <c r="F135" s="513"/>
    </row>
    <row r="136" spans="2:6" ht="12" customHeight="1">
      <c r="B136" s="521" t="s">
        <v>213</v>
      </c>
      <c r="C136" s="513"/>
      <c r="D136" s="513"/>
      <c r="E136" s="513"/>
      <c r="F136" s="513"/>
    </row>
    <row r="137" spans="2:6" ht="12" customHeight="1">
      <c r="B137" s="521" t="s">
        <v>214</v>
      </c>
      <c r="C137" s="513"/>
      <c r="D137" s="513"/>
      <c r="E137" s="513"/>
      <c r="F137" s="513"/>
    </row>
    <row r="138" spans="2:6">
      <c r="B138" s="521" t="s">
        <v>215</v>
      </c>
      <c r="C138" s="513"/>
      <c r="D138" s="513"/>
      <c r="E138" s="513"/>
      <c r="F138" s="513"/>
    </row>
    <row r="139" spans="2:6">
      <c r="B139" s="523" t="s">
        <v>216</v>
      </c>
      <c r="C139" s="488">
        <f>C140+C141</f>
        <v>0</v>
      </c>
      <c r="D139" s="488">
        <f>D140+D141</f>
        <v>0</v>
      </c>
      <c r="E139" s="488">
        <f>E140+E141</f>
        <v>0</v>
      </c>
      <c r="F139" s="488">
        <f>F140+F141</f>
        <v>0</v>
      </c>
    </row>
    <row r="140" spans="2:6">
      <c r="B140" s="521" t="s">
        <v>217</v>
      </c>
      <c r="C140" s="513"/>
      <c r="D140" s="513"/>
      <c r="E140" s="513"/>
      <c r="F140" s="513"/>
    </row>
    <row r="141" spans="2:6">
      <c r="B141" s="536" t="s">
        <v>152</v>
      </c>
      <c r="C141" s="489">
        <f>C142+C143</f>
        <v>0</v>
      </c>
      <c r="D141" s="489">
        <f>D142+D143</f>
        <v>0</v>
      </c>
      <c r="E141" s="489">
        <f>E142+E143</f>
        <v>0</v>
      </c>
      <c r="F141" s="489">
        <f>F142+F143</f>
        <v>0</v>
      </c>
    </row>
    <row r="142" spans="2:6">
      <c r="B142" s="521" t="s">
        <v>198</v>
      </c>
      <c r="C142" s="513"/>
      <c r="D142" s="513"/>
      <c r="E142" s="513"/>
      <c r="F142" s="513"/>
    </row>
    <row r="143" spans="2:6">
      <c r="B143" s="521" t="s">
        <v>199</v>
      </c>
      <c r="C143" s="513"/>
      <c r="D143" s="513"/>
      <c r="E143" s="513"/>
      <c r="F143" s="513"/>
    </row>
    <row r="144" spans="2:6">
      <c r="B144" s="517" t="s">
        <v>218</v>
      </c>
      <c r="C144" s="518">
        <f>C104+C94</f>
        <v>0</v>
      </c>
      <c r="D144" s="518">
        <f>D104+D94</f>
        <v>0</v>
      </c>
      <c r="E144" s="518">
        <f>E104+E94</f>
        <v>0</v>
      </c>
      <c r="F144" s="518">
        <f>F104+F94</f>
        <v>0</v>
      </c>
    </row>
    <row r="146" spans="2:13">
      <c r="B146" s="537" t="s">
        <v>180</v>
      </c>
      <c r="C146" s="538" t="str">
        <f>IF(C144=C87,"OK",C87-C144)</f>
        <v>OK</v>
      </c>
      <c r="D146" s="538" t="str">
        <f>IF(D144=D87,"OK",D87-D144)</f>
        <v>OK</v>
      </c>
      <c r="E146" s="538" t="str">
        <f>IF(E144=E87,"OK",E87-E144)</f>
        <v>OK</v>
      </c>
      <c r="F146" s="538" t="str">
        <f>IF(F144=F87,"OK",F87-F144)</f>
        <v>OK</v>
      </c>
    </row>
    <row r="148" spans="2:13"/>
    <row r="149" spans="2:13">
      <c r="B149" s="540" t="s">
        <v>219</v>
      </c>
      <c r="C149" s="534">
        <f ca="1">C11</f>
        <v>0</v>
      </c>
      <c r="D149" s="534">
        <f ca="1">D11</f>
        <v>0</v>
      </c>
      <c r="E149" s="534">
        <f ca="1">E11</f>
        <v>0</v>
      </c>
      <c r="F149" s="535" t="str">
        <f>F11</f>
        <v/>
      </c>
    </row>
    <row r="150" spans="2:13" ht="24">
      <c r="B150" s="517" t="s">
        <v>220</v>
      </c>
      <c r="C150" s="518">
        <f>C152+C153+C154+C155</f>
        <v>0</v>
      </c>
      <c r="D150" s="518">
        <f>D152+D153+D154+D155</f>
        <v>0</v>
      </c>
      <c r="E150" s="518">
        <f>E152+E153+E154+E155</f>
        <v>0</v>
      </c>
      <c r="F150" s="518">
        <f>F152+F153+F154+F155</f>
        <v>0</v>
      </c>
    </row>
    <row r="151" spans="2:13">
      <c r="B151" s="521" t="s">
        <v>221</v>
      </c>
      <c r="C151" s="513"/>
      <c r="D151" s="513"/>
      <c r="E151" s="513"/>
      <c r="F151" s="513"/>
    </row>
    <row r="152" spans="2:13">
      <c r="B152" s="521" t="s">
        <v>222</v>
      </c>
      <c r="C152" s="513"/>
      <c r="D152" s="513"/>
      <c r="E152" s="513"/>
      <c r="F152" s="513"/>
      <c r="I152" s="5"/>
      <c r="J152" s="5"/>
      <c r="K152" s="5"/>
      <c r="L152" s="5"/>
    </row>
    <row r="153" spans="2:13" ht="24">
      <c r="B153" s="521" t="s">
        <v>223</v>
      </c>
      <c r="C153" s="513"/>
      <c r="D153" s="513"/>
      <c r="E153" s="513"/>
      <c r="F153" s="513"/>
      <c r="I153" s="5"/>
      <c r="J153" s="5"/>
      <c r="K153" s="5"/>
      <c r="L153" s="5"/>
    </row>
    <row r="154" spans="2:13" ht="24">
      <c r="B154" s="521" t="s">
        <v>224</v>
      </c>
      <c r="C154" s="513"/>
      <c r="D154" s="513"/>
      <c r="E154" s="513"/>
      <c r="F154" s="513"/>
      <c r="I154" s="5"/>
      <c r="J154" s="5"/>
      <c r="K154" s="5"/>
      <c r="L154" s="5"/>
    </row>
    <row r="155" spans="2:13" ht="24">
      <c r="B155" s="521" t="s">
        <v>225</v>
      </c>
      <c r="C155" s="513"/>
      <c r="D155" s="513"/>
      <c r="E155" s="513"/>
      <c r="F155" s="513"/>
      <c r="I155" s="5"/>
      <c r="J155" s="5"/>
      <c r="K155" s="5"/>
      <c r="L155" s="5"/>
    </row>
    <row r="156" spans="2:13">
      <c r="B156" s="517" t="s">
        <v>226</v>
      </c>
      <c r="C156" s="518">
        <f>SUM(C157:C165)-C161</f>
        <v>0</v>
      </c>
      <c r="D156" s="518">
        <f>SUM(D157:D165)-D161</f>
        <v>0</v>
      </c>
      <c r="E156" s="518">
        <f>SUM(E157:E165)-E161</f>
        <v>0</v>
      </c>
      <c r="F156" s="518">
        <f>SUM(F157:F165)-F161</f>
        <v>0</v>
      </c>
    </row>
    <row r="157" spans="2:13">
      <c r="B157" s="521" t="s">
        <v>227</v>
      </c>
      <c r="C157" s="513"/>
      <c r="D157" s="513"/>
      <c r="E157" s="513"/>
      <c r="F157" s="513"/>
      <c r="I157" s="5"/>
      <c r="J157" s="5"/>
      <c r="K157" s="5"/>
      <c r="L157" s="5"/>
      <c r="M157" s="5"/>
    </row>
    <row r="158" spans="2:13">
      <c r="B158" s="521" t="s">
        <v>228</v>
      </c>
      <c r="C158" s="513"/>
      <c r="D158" s="513"/>
      <c r="E158" s="513"/>
      <c r="F158" s="513"/>
      <c r="I158" s="5"/>
      <c r="J158" s="5"/>
      <c r="K158" s="5"/>
      <c r="L158" s="5"/>
      <c r="M158" s="5"/>
    </row>
    <row r="159" spans="2:13">
      <c r="B159" s="521" t="s">
        <v>229</v>
      </c>
      <c r="C159" s="513"/>
      <c r="D159" s="513"/>
      <c r="E159" s="513"/>
      <c r="F159" s="513"/>
      <c r="I159" s="5"/>
      <c r="J159" s="5"/>
      <c r="K159" s="5"/>
      <c r="L159" s="5"/>
      <c r="M159" s="5"/>
    </row>
    <row r="160" spans="2:13">
      <c r="B160" s="521" t="s">
        <v>230</v>
      </c>
      <c r="C160" s="513"/>
      <c r="D160" s="513"/>
      <c r="E160" s="513"/>
      <c r="F160" s="513"/>
      <c r="I160" s="5"/>
      <c r="J160" s="5"/>
      <c r="K160" s="5"/>
      <c r="L160" s="5"/>
      <c r="M160" s="5"/>
    </row>
    <row r="161" spans="2:13">
      <c r="B161" s="521" t="s">
        <v>231</v>
      </c>
      <c r="C161" s="513"/>
      <c r="D161" s="513"/>
      <c r="E161" s="513"/>
      <c r="F161" s="513"/>
      <c r="I161" s="5"/>
      <c r="J161" s="5"/>
      <c r="K161" s="5"/>
      <c r="L161" s="5"/>
      <c r="M161" s="5"/>
    </row>
    <row r="162" spans="2:13">
      <c r="B162" s="521" t="s">
        <v>232</v>
      </c>
      <c r="C162" s="513"/>
      <c r="D162" s="513"/>
      <c r="E162" s="513"/>
      <c r="F162" s="513"/>
      <c r="I162" s="5"/>
      <c r="J162" s="5"/>
      <c r="K162" s="5"/>
      <c r="L162" s="5"/>
      <c r="M162" s="5"/>
    </row>
    <row r="163" spans="2:13">
      <c r="B163" s="521" t="s">
        <v>233</v>
      </c>
      <c r="C163" s="513"/>
      <c r="D163" s="513"/>
      <c r="E163" s="513"/>
      <c r="F163" s="513"/>
      <c r="I163" s="5"/>
      <c r="J163" s="5"/>
      <c r="K163" s="5"/>
      <c r="L163" s="5"/>
      <c r="M163" s="5"/>
    </row>
    <row r="164" spans="2:13">
      <c r="B164" s="521" t="s">
        <v>234</v>
      </c>
      <c r="C164" s="513"/>
      <c r="D164" s="513"/>
      <c r="E164" s="513"/>
      <c r="F164" s="513"/>
      <c r="I164" s="5"/>
      <c r="J164" s="5"/>
      <c r="K164" s="5"/>
      <c r="L164" s="5"/>
      <c r="M164" s="5"/>
    </row>
    <row r="165" spans="2:13">
      <c r="B165" s="521" t="s">
        <v>235</v>
      </c>
      <c r="C165" s="513"/>
      <c r="D165" s="513"/>
      <c r="E165" s="513"/>
      <c r="F165" s="513"/>
      <c r="I165" s="5"/>
      <c r="J165" s="5"/>
      <c r="K165" s="5"/>
      <c r="L165" s="5"/>
      <c r="M165" s="5"/>
    </row>
    <row r="166" spans="2:13">
      <c r="B166" s="517" t="s">
        <v>236</v>
      </c>
      <c r="C166" s="518">
        <f>C150-C156</f>
        <v>0</v>
      </c>
      <c r="D166" s="518">
        <f>D150-D156</f>
        <v>0</v>
      </c>
      <c r="E166" s="518">
        <f>E150-E156</f>
        <v>0</v>
      </c>
      <c r="F166" s="518">
        <f>F150-F156</f>
        <v>0</v>
      </c>
      <c r="I166" s="5"/>
      <c r="J166" s="5"/>
      <c r="K166" s="5"/>
      <c r="L166" s="5"/>
      <c r="M166" s="5"/>
    </row>
    <row r="167" spans="2:13">
      <c r="B167" s="517" t="s">
        <v>237</v>
      </c>
      <c r="C167" s="518">
        <f>SUM(C168:C170)</f>
        <v>0</v>
      </c>
      <c r="D167" s="518">
        <f>SUM(D168:D170)</f>
        <v>0</v>
      </c>
      <c r="E167" s="518">
        <f>SUM(E168:E170)</f>
        <v>0</v>
      </c>
      <c r="F167" s="518">
        <f>SUM(F168:F170)</f>
        <v>0</v>
      </c>
      <c r="I167" s="5"/>
      <c r="J167" s="5"/>
      <c r="K167" s="5"/>
      <c r="L167" s="5"/>
      <c r="M167" s="5"/>
    </row>
    <row r="168" spans="2:13">
      <c r="B168" s="521" t="s">
        <v>238</v>
      </c>
      <c r="C168" s="513"/>
      <c r="D168" s="513"/>
      <c r="E168" s="513"/>
      <c r="F168" s="513"/>
      <c r="I168" s="5"/>
      <c r="J168" s="5"/>
      <c r="K168" s="5"/>
      <c r="L168" s="5"/>
      <c r="M168" s="5"/>
    </row>
    <row r="169" spans="2:13">
      <c r="B169" s="521" t="s">
        <v>239</v>
      </c>
      <c r="C169" s="513"/>
      <c r="D169" s="513"/>
      <c r="E169" s="513"/>
      <c r="F169" s="513"/>
      <c r="I169" s="5"/>
      <c r="J169" s="5"/>
      <c r="K169" s="5"/>
      <c r="L169" s="5"/>
      <c r="M169" s="5"/>
    </row>
    <row r="170" spans="2:13">
      <c r="B170" s="521" t="s">
        <v>240</v>
      </c>
      <c r="C170" s="513"/>
      <c r="D170" s="513"/>
      <c r="E170" s="513"/>
      <c r="F170" s="513"/>
      <c r="I170" s="5"/>
      <c r="J170" s="5"/>
      <c r="K170" s="5"/>
      <c r="L170" s="5"/>
      <c r="M170" s="5"/>
    </row>
    <row r="171" spans="2:13">
      <c r="B171" s="517" t="s">
        <v>241</v>
      </c>
      <c r="C171" s="518">
        <f>SUM(C172:C174)</f>
        <v>0</v>
      </c>
      <c r="D171" s="518">
        <f>SUM(D172:D174)</f>
        <v>0</v>
      </c>
      <c r="E171" s="518">
        <f>SUM(E172:E174)</f>
        <v>0</v>
      </c>
      <c r="F171" s="518">
        <f>SUM(F172:F174)</f>
        <v>0</v>
      </c>
      <c r="I171" s="5"/>
      <c r="J171" s="5"/>
      <c r="K171" s="5"/>
      <c r="L171" s="5"/>
      <c r="M171" s="5"/>
    </row>
    <row r="172" spans="2:13" ht="24">
      <c r="B172" s="521" t="s">
        <v>242</v>
      </c>
      <c r="C172" s="513"/>
      <c r="D172" s="513"/>
      <c r="E172" s="513"/>
      <c r="F172" s="513"/>
      <c r="I172" s="5"/>
      <c r="J172" s="5"/>
      <c r="K172" s="5"/>
      <c r="L172" s="5"/>
      <c r="M172" s="5"/>
    </row>
    <row r="173" spans="2:13">
      <c r="B173" s="521" t="s">
        <v>243</v>
      </c>
      <c r="C173" s="513"/>
      <c r="D173" s="513"/>
      <c r="E173" s="513"/>
      <c r="F173" s="513"/>
      <c r="I173" s="5"/>
      <c r="J173" s="5"/>
      <c r="K173" s="5"/>
      <c r="L173" s="5"/>
      <c r="M173" s="5"/>
    </row>
    <row r="174" spans="2:13">
      <c r="B174" s="521" t="s">
        <v>244</v>
      </c>
      <c r="C174" s="513"/>
      <c r="D174" s="513"/>
      <c r="E174" s="513"/>
      <c r="F174" s="513"/>
      <c r="I174" s="5"/>
      <c r="J174" s="5"/>
      <c r="K174" s="5"/>
      <c r="L174" s="5"/>
      <c r="M174" s="5"/>
    </row>
    <row r="175" spans="2:13">
      <c r="B175" s="517" t="s">
        <v>245</v>
      </c>
      <c r="C175" s="518">
        <f>C166+C167-C171</f>
        <v>0</v>
      </c>
      <c r="D175" s="518">
        <f>D166+D167-D171</f>
        <v>0</v>
      </c>
      <c r="E175" s="518">
        <f>E166+E167-E171</f>
        <v>0</v>
      </c>
      <c r="F175" s="518">
        <f>F166+F167-F171</f>
        <v>0</v>
      </c>
      <c r="I175" s="5"/>
      <c r="J175" s="5"/>
      <c r="K175" s="5"/>
      <c r="L175" s="5"/>
      <c r="M175" s="5"/>
    </row>
    <row r="176" spans="2:13">
      <c r="B176" s="517" t="s">
        <v>246</v>
      </c>
      <c r="C176" s="518">
        <f>C177+C179+C181+C182+C183</f>
        <v>0</v>
      </c>
      <c r="D176" s="518">
        <f>D177+D179+D181+D182+D183</f>
        <v>0</v>
      </c>
      <c r="E176" s="518">
        <f>E177+E179+E181+E182+E183</f>
        <v>0</v>
      </c>
      <c r="F176" s="518">
        <f>F177+F179+F181+F182+F183</f>
        <v>0</v>
      </c>
      <c r="I176" s="5"/>
      <c r="J176" s="5"/>
      <c r="K176" s="5"/>
      <c r="L176" s="5"/>
      <c r="M176" s="5"/>
    </row>
    <row r="177" spans="2:13">
      <c r="B177" s="521" t="s">
        <v>247</v>
      </c>
      <c r="C177" s="513"/>
      <c r="D177" s="513"/>
      <c r="E177" s="513"/>
      <c r="F177" s="513"/>
      <c r="I177" s="5"/>
      <c r="J177" s="5"/>
      <c r="K177" s="5"/>
      <c r="L177" s="5"/>
      <c r="M177" s="5"/>
    </row>
    <row r="178" spans="2:13">
      <c r="B178" s="521" t="s">
        <v>221</v>
      </c>
      <c r="C178" s="513"/>
      <c r="D178" s="513"/>
      <c r="E178" s="513"/>
      <c r="F178" s="513"/>
      <c r="I178" s="5"/>
      <c r="J178" s="5"/>
      <c r="K178" s="5"/>
      <c r="L178" s="5"/>
      <c r="M178" s="5"/>
    </row>
    <row r="179" spans="2:13">
      <c r="B179" s="521" t="s">
        <v>248</v>
      </c>
      <c r="C179" s="513"/>
      <c r="D179" s="513"/>
      <c r="E179" s="513"/>
      <c r="F179" s="513"/>
      <c r="I179" s="5"/>
      <c r="J179" s="5"/>
      <c r="K179" s="5"/>
      <c r="L179" s="5"/>
      <c r="M179" s="5"/>
    </row>
    <row r="180" spans="2:13">
      <c r="B180" s="521" t="s">
        <v>221</v>
      </c>
      <c r="C180" s="513"/>
      <c r="D180" s="513"/>
      <c r="E180" s="513"/>
      <c r="F180" s="513"/>
      <c r="I180" s="5"/>
      <c r="J180" s="5"/>
      <c r="K180" s="5"/>
      <c r="L180" s="5"/>
      <c r="M180" s="5"/>
    </row>
    <row r="181" spans="2:13">
      <c r="B181" s="521" t="s">
        <v>249</v>
      </c>
      <c r="C181" s="513"/>
      <c r="D181" s="513"/>
      <c r="E181" s="513"/>
      <c r="F181" s="513"/>
      <c r="I181" s="5"/>
      <c r="J181" s="5"/>
      <c r="K181" s="5"/>
      <c r="L181" s="5"/>
      <c r="M181" s="5"/>
    </row>
    <row r="182" spans="2:13">
      <c r="B182" s="521" t="s">
        <v>250</v>
      </c>
      <c r="C182" s="513"/>
      <c r="D182" s="513"/>
      <c r="E182" s="513"/>
      <c r="F182" s="513"/>
      <c r="I182" s="5"/>
      <c r="J182" s="5"/>
      <c r="K182" s="5"/>
      <c r="L182" s="5"/>
      <c r="M182" s="5"/>
    </row>
    <row r="183" spans="2:13">
      <c r="B183" s="521" t="s">
        <v>251</v>
      </c>
      <c r="C183" s="513"/>
      <c r="D183" s="513"/>
      <c r="E183" s="513"/>
      <c r="F183" s="513"/>
      <c r="I183" s="5"/>
      <c r="J183" s="5"/>
      <c r="K183" s="5"/>
      <c r="L183" s="5"/>
      <c r="M183" s="5"/>
    </row>
    <row r="184" spans="2:13">
      <c r="B184" s="517" t="s">
        <v>252</v>
      </c>
      <c r="C184" s="518">
        <f>SUM(C185:C189)-C186</f>
        <v>0</v>
      </c>
      <c r="D184" s="518">
        <f>SUM(D185:D189)-D186</f>
        <v>0</v>
      </c>
      <c r="E184" s="518">
        <f>SUM(E185:E189)-E186</f>
        <v>0</v>
      </c>
      <c r="F184" s="518">
        <f>SUM(F185:F189)-F186</f>
        <v>0</v>
      </c>
      <c r="I184" s="5"/>
      <c r="J184" s="5"/>
      <c r="K184" s="5"/>
      <c r="L184" s="5"/>
      <c r="M184" s="5"/>
    </row>
    <row r="185" spans="2:13">
      <c r="B185" s="521" t="s">
        <v>253</v>
      </c>
      <c r="C185" s="513"/>
      <c r="D185" s="513"/>
      <c r="E185" s="513"/>
      <c r="F185" s="513"/>
      <c r="I185" s="5"/>
      <c r="J185" s="5"/>
      <c r="K185" s="5"/>
      <c r="L185" s="5"/>
      <c r="M185" s="5"/>
    </row>
    <row r="186" spans="2:13">
      <c r="B186" s="521" t="s">
        <v>221</v>
      </c>
      <c r="C186" s="513"/>
      <c r="D186" s="513"/>
      <c r="E186" s="513"/>
      <c r="F186" s="513"/>
      <c r="I186" s="5"/>
      <c r="J186" s="5"/>
      <c r="K186" s="5"/>
      <c r="L186" s="5"/>
      <c r="M186" s="5"/>
    </row>
    <row r="187" spans="2:13">
      <c r="B187" s="521" t="s">
        <v>254</v>
      </c>
      <c r="C187" s="513"/>
      <c r="D187" s="513"/>
      <c r="E187" s="513"/>
      <c r="F187" s="513"/>
      <c r="I187" s="5"/>
      <c r="J187" s="5"/>
      <c r="K187" s="5"/>
      <c r="L187" s="5"/>
      <c r="M187" s="5"/>
    </row>
    <row r="188" spans="2:13">
      <c r="B188" s="521" t="s">
        <v>255</v>
      </c>
      <c r="C188" s="513"/>
      <c r="D188" s="513"/>
      <c r="E188" s="513"/>
      <c r="F188" s="513"/>
      <c r="I188" s="5"/>
      <c r="J188" s="5"/>
      <c r="K188" s="5"/>
      <c r="L188" s="5"/>
      <c r="M188" s="5"/>
    </row>
    <row r="189" spans="2:13">
      <c r="B189" s="521" t="s">
        <v>256</v>
      </c>
      <c r="C189" s="513"/>
      <c r="D189" s="513"/>
      <c r="E189" s="513"/>
      <c r="F189" s="513"/>
      <c r="I189" s="5"/>
      <c r="J189" s="5"/>
      <c r="K189" s="5"/>
      <c r="L189" s="5"/>
      <c r="M189" s="5"/>
    </row>
    <row r="190" spans="2:13">
      <c r="B190" s="517" t="s">
        <v>257</v>
      </c>
      <c r="C190" s="518">
        <f>C175+C176-C184</f>
        <v>0</v>
      </c>
      <c r="D190" s="518">
        <f>D175+D176-D184</f>
        <v>0</v>
      </c>
      <c r="E190" s="518">
        <f>E175+E176-E184</f>
        <v>0</v>
      </c>
      <c r="F190" s="518">
        <f>F175+F176-F184</f>
        <v>0</v>
      </c>
      <c r="I190" s="5"/>
      <c r="J190" s="5"/>
      <c r="K190" s="5"/>
      <c r="L190" s="5"/>
      <c r="M190" s="5"/>
    </row>
    <row r="191" spans="2:13">
      <c r="B191" s="517" t="s">
        <v>258</v>
      </c>
      <c r="C191" s="518">
        <f>C192-C193</f>
        <v>0</v>
      </c>
      <c r="D191" s="518">
        <f>D192-D193</f>
        <v>0</v>
      </c>
      <c r="E191" s="518">
        <f>E192-E193</f>
        <v>0</v>
      </c>
      <c r="F191" s="518">
        <f>F192-F193</f>
        <v>0</v>
      </c>
      <c r="I191" s="5"/>
      <c r="J191" s="5"/>
      <c r="K191" s="5"/>
      <c r="L191" s="5"/>
      <c r="M191" s="5"/>
    </row>
    <row r="192" spans="2:13">
      <c r="B192" s="521" t="s">
        <v>259</v>
      </c>
      <c r="C192" s="513"/>
      <c r="D192" s="513"/>
      <c r="E192" s="513"/>
      <c r="F192" s="513"/>
      <c r="I192" s="5"/>
      <c r="J192" s="5"/>
      <c r="K192" s="5"/>
      <c r="L192" s="5"/>
      <c r="M192" s="5"/>
    </row>
    <row r="193" spans="2:13">
      <c r="B193" s="521" t="s">
        <v>260</v>
      </c>
      <c r="C193" s="513"/>
      <c r="D193" s="513"/>
      <c r="E193" s="513"/>
      <c r="F193" s="513"/>
      <c r="I193" s="5"/>
      <c r="J193" s="5"/>
      <c r="K193" s="5"/>
      <c r="L193" s="5"/>
      <c r="M193" s="5"/>
    </row>
    <row r="194" spans="2:13">
      <c r="B194" s="517" t="s">
        <v>261</v>
      </c>
      <c r="C194" s="518">
        <f>C190+C191</f>
        <v>0</v>
      </c>
      <c r="D194" s="518">
        <f>D190+D191</f>
        <v>0</v>
      </c>
      <c r="E194" s="518">
        <f>E190+E191</f>
        <v>0</v>
      </c>
      <c r="F194" s="518">
        <f>F190+F191</f>
        <v>0</v>
      </c>
      <c r="I194" s="5"/>
      <c r="J194" s="5"/>
      <c r="K194" s="5"/>
      <c r="L194" s="5"/>
      <c r="M194" s="5"/>
    </row>
    <row r="195" spans="2:13">
      <c r="B195" s="521" t="s">
        <v>262</v>
      </c>
      <c r="C195" s="513"/>
      <c r="D195" s="513"/>
      <c r="E195" s="513"/>
      <c r="F195" s="513"/>
      <c r="I195" s="5"/>
      <c r="J195" s="5"/>
      <c r="K195" s="5"/>
      <c r="L195" s="5"/>
      <c r="M195" s="5"/>
    </row>
    <row r="196" spans="2:13" ht="24">
      <c r="B196" s="521" t="s">
        <v>263</v>
      </c>
      <c r="C196" s="513"/>
      <c r="D196" s="513"/>
      <c r="E196" s="513"/>
      <c r="F196" s="513"/>
      <c r="I196" s="5"/>
      <c r="J196" s="5"/>
      <c r="K196" s="5"/>
      <c r="L196" s="5"/>
      <c r="M196" s="5"/>
    </row>
    <row r="197" spans="2:13">
      <c r="B197" s="517" t="s">
        <v>264</v>
      </c>
      <c r="C197" s="518">
        <f>C194-C195-C196</f>
        <v>0</v>
      </c>
      <c r="D197" s="518">
        <f>D194-D195-D196</f>
        <v>0</v>
      </c>
      <c r="E197" s="518">
        <f>E194-E195-E196</f>
        <v>0</v>
      </c>
      <c r="F197" s="518">
        <f>F194-F195-F196</f>
        <v>0</v>
      </c>
      <c r="I197" s="5"/>
      <c r="J197" s="5"/>
      <c r="K197" s="5"/>
      <c r="L197" s="5"/>
      <c r="M197" s="5"/>
    </row>
    <row r="199" spans="2:13">
      <c r="C199" s="53" t="b">
        <f>C197=C102</f>
        <v>1</v>
      </c>
      <c r="D199" s="53" t="b">
        <f>D197=D102</f>
        <v>1</v>
      </c>
      <c r="E199" s="53" t="b">
        <f>E197=E102</f>
        <v>1</v>
      </c>
      <c r="F199" s="53" t="b">
        <f>F197=F102</f>
        <v>1</v>
      </c>
    </row>
    <row r="200" spans="2:13"/>
  </sheetData>
  <sheetProtection algorithmName="SHA-512" hashValue="P2dVhSTDNyPHitt0KarbNWju5GkWml+n0ziheNBD2yo0jqESBZH+efIrVrz9ORJ8exw4Nrgmns19m0nadAnJMg==" saltValue="cgYiXTraPce26OvXy62AJA==" spinCount="100000" sheet="1" objects="1" scenarios="1"/>
  <mergeCells count="1">
    <mergeCell ref="B2:F3"/>
  </mergeCells>
  <dataValidations count="1">
    <dataValidation type="whole" allowBlank="1" showErrorMessage="1" errorTitle="Nieprawidłowa wartość" error="Proszę wpisywać wartości zaokrąglone, bez miejsc po przecinku" sqref="C13:F87 C94:F144 C150:F197" xr:uid="{E6492D08-BC47-437A-A19F-DB61056C6A91}">
      <formula1>-9.99999999999999E+27</formula1>
      <formula2>9.99999999999999E+27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9" orientation="portrait" errors="dash" r:id="rId1"/>
  <headerFooter>
    <oddHeader>&amp;C&amp;A</oddHeader>
    <oddFooter>&amp;L&amp;F&amp;CStrona &amp;P z &amp;N&amp;RData i godzina wydruku: &amp;D &amp;T</oddFooter>
  </headerFooter>
  <rowBreaks count="2" manualBreakCount="2">
    <brk id="87" min="1" max="5" man="1"/>
    <brk id="148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6">
              <controlPr defaultSize="0" autoFill="0" autoPict="0">
                <anchor moveWithCells="1">
                  <from>
                    <xdr:col>1</xdr:col>
                    <xdr:colOff>106680</xdr:colOff>
                    <xdr:row>3</xdr:row>
                    <xdr:rowOff>106680</xdr:rowOff>
                  </from>
                  <to>
                    <xdr:col>5</xdr:col>
                    <xdr:colOff>662940</xdr:colOff>
                    <xdr:row>9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">
    <pageSetUpPr fitToPage="1"/>
  </sheetPr>
  <dimension ref="A1:Y405"/>
  <sheetViews>
    <sheetView showGridLines="0" zoomScaleNormal="100" workbookViewId="0"/>
  </sheetViews>
  <sheetFormatPr defaultColWidth="0" defaultRowHeight="12" zeroHeight="1"/>
  <cols>
    <col min="1" max="1" width="2.85546875" style="1" customWidth="1"/>
    <col min="2" max="2" width="63.28515625" style="1" bestFit="1" customWidth="1"/>
    <col min="3" max="3" width="36" style="1" customWidth="1"/>
    <col min="4" max="5" width="36" style="1" hidden="1" customWidth="1"/>
    <col min="6" max="6" width="9.28515625" style="1" hidden="1" customWidth="1"/>
    <col min="7" max="10" width="9.85546875" style="1" hidden="1" customWidth="1"/>
    <col min="11" max="24" width="12.85546875" style="1" customWidth="1"/>
    <col min="25" max="25" width="2.85546875" style="1" customWidth="1"/>
    <col min="26" max="16384" width="9.28515625" style="1" hidden="1"/>
  </cols>
  <sheetData>
    <row r="1" spans="2:24"/>
    <row r="2" spans="2:24" ht="12" customHeight="1">
      <c r="B2" s="543" t="str">
        <f>IF(ISBLANK(Firma),"Wstaw nazwę firmy w zakładce Dane Firmy",Firma)</f>
        <v>Wstaw nazwę firmy w zakładce Dane Firmy</v>
      </c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</row>
    <row r="3" spans="2:24" ht="12" customHeight="1"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4">
      <c r="B12" s="25" t="s">
        <v>265</v>
      </c>
      <c r="C12" s="26"/>
      <c r="D12" s="26"/>
      <c r="E12" s="26"/>
      <c r="F12" s="26"/>
      <c r="G12" s="27">
        <f ca="1">Założenia!G28</f>
        <v>0</v>
      </c>
      <c r="H12" s="27">
        <f ca="1">Założenia!H28</f>
        <v>0</v>
      </c>
      <c r="I12" s="27">
        <f ca="1">Założenia!I28</f>
        <v>0</v>
      </c>
      <c r="J12" s="54" t="str">
        <f>Założenia!J28</f>
        <v/>
      </c>
      <c r="K12" s="27" t="str">
        <f t="shared" ref="K12:X12" si="0">LataProjekcji</f>
        <v>Uzupełnij dane</v>
      </c>
      <c r="L12" s="27" t="str">
        <f t="shared" si="0"/>
        <v/>
      </c>
      <c r="M12" s="27" t="str">
        <f t="shared" si="0"/>
        <v/>
      </c>
      <c r="N12" s="27" t="str">
        <f t="shared" si="0"/>
        <v/>
      </c>
      <c r="O12" s="27" t="str">
        <f t="shared" si="0"/>
        <v/>
      </c>
      <c r="P12" s="27" t="str">
        <f t="shared" si="0"/>
        <v/>
      </c>
      <c r="Q12" s="27" t="str">
        <f t="shared" si="0"/>
        <v/>
      </c>
      <c r="R12" s="27" t="str">
        <f t="shared" si="0"/>
        <v/>
      </c>
      <c r="S12" s="27" t="str">
        <f t="shared" si="0"/>
        <v/>
      </c>
      <c r="T12" s="27" t="str">
        <f t="shared" si="0"/>
        <v/>
      </c>
      <c r="U12" s="27" t="str">
        <f t="shared" si="0"/>
        <v/>
      </c>
      <c r="V12" s="27" t="str">
        <f t="shared" si="0"/>
        <v/>
      </c>
      <c r="W12" s="27" t="str">
        <f t="shared" si="0"/>
        <v/>
      </c>
      <c r="X12" s="27" t="str">
        <f t="shared" si="0"/>
        <v/>
      </c>
    </row>
    <row r="13" spans="2:24"/>
    <row r="14" spans="2:24">
      <c r="B14" s="233" t="s">
        <v>266</v>
      </c>
      <c r="C14" s="233"/>
      <c r="D14" s="233"/>
      <c r="E14" s="233"/>
      <c r="F14" s="234"/>
      <c r="G14" s="234"/>
      <c r="H14" s="234"/>
      <c r="I14" s="234"/>
      <c r="J14" s="234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</row>
    <row r="15" spans="2:24">
      <c r="B15" s="297"/>
      <c r="C15" s="19"/>
      <c r="D15" s="298"/>
      <c r="E15" s="298"/>
      <c r="F15" s="298"/>
      <c r="G15" s="298"/>
      <c r="H15" s="298"/>
      <c r="I15" s="298"/>
      <c r="J15" s="298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</row>
    <row r="16" spans="2:24">
      <c r="B16" s="9"/>
      <c r="C16" s="52"/>
      <c r="D16" s="55"/>
      <c r="E16" s="55"/>
      <c r="F16" s="55"/>
      <c r="G16" s="55"/>
      <c r="H16" s="55"/>
      <c r="I16" s="55"/>
      <c r="J16" s="55"/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6"/>
      <c r="X16" s="346"/>
    </row>
    <row r="17" spans="2:24">
      <c r="B17" s="9"/>
      <c r="C17" s="52"/>
      <c r="D17" s="55"/>
      <c r="E17" s="55"/>
      <c r="F17" s="55"/>
      <c r="G17" s="55"/>
      <c r="H17" s="55"/>
      <c r="I17" s="55"/>
      <c r="J17" s="55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</row>
    <row r="18" spans="2:24">
      <c r="B18" s="9"/>
      <c r="C18" s="52"/>
      <c r="D18" s="55"/>
      <c r="E18" s="55"/>
      <c r="F18" s="55"/>
      <c r="G18" s="55"/>
      <c r="H18" s="55"/>
      <c r="I18" s="55"/>
      <c r="J18" s="55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</row>
    <row r="19" spans="2:24">
      <c r="B19" s="9"/>
      <c r="C19" s="52"/>
      <c r="D19" s="55"/>
      <c r="E19" s="55"/>
      <c r="F19" s="55"/>
      <c r="G19" s="55"/>
      <c r="H19" s="55"/>
      <c r="I19" s="55"/>
      <c r="J19" s="55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</row>
    <row r="20" spans="2:24">
      <c r="B20" s="29" t="s">
        <v>267</v>
      </c>
      <c r="C20" s="29"/>
      <c r="D20" s="29"/>
      <c r="E20" s="29"/>
      <c r="F20" s="30"/>
      <c r="G20" s="30"/>
      <c r="H20" s="30"/>
      <c r="I20" s="30"/>
      <c r="J20" s="30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</row>
    <row r="21" spans="2:24">
      <c r="B21" s="52" t="str">
        <f>IF(ISBLANK(B15),"",B15)</f>
        <v/>
      </c>
      <c r="C21" s="52"/>
      <c r="D21" s="52"/>
      <c r="E21" s="52"/>
      <c r="F21" s="52"/>
      <c r="G21" s="52"/>
      <c r="H21" s="52"/>
      <c r="I21" s="52"/>
      <c r="J21" s="52"/>
      <c r="K21" s="347"/>
      <c r="L21" s="347"/>
      <c r="M21" s="347"/>
      <c r="N21" s="347"/>
      <c r="O21" s="347"/>
      <c r="P21" s="347"/>
      <c r="Q21" s="347"/>
      <c r="R21" s="347"/>
      <c r="S21" s="347"/>
      <c r="T21" s="347"/>
      <c r="U21" s="347"/>
      <c r="V21" s="347"/>
      <c r="W21" s="347"/>
      <c r="X21" s="347"/>
    </row>
    <row r="22" spans="2:24">
      <c r="B22" s="52" t="str">
        <f>IF(ISBLANK(B16),"",B16)</f>
        <v/>
      </c>
      <c r="C22" s="52"/>
      <c r="D22" s="52"/>
      <c r="E22" s="52"/>
      <c r="F22" s="52"/>
      <c r="G22" s="52"/>
      <c r="H22" s="52"/>
      <c r="I22" s="52"/>
      <c r="J22" s="52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7"/>
      <c r="X22" s="347"/>
    </row>
    <row r="23" spans="2:24">
      <c r="B23" s="52" t="str">
        <f>IF(ISBLANK(B17),"",B17)</f>
        <v/>
      </c>
      <c r="C23" s="52"/>
      <c r="D23" s="52"/>
      <c r="E23" s="52"/>
      <c r="F23" s="52"/>
      <c r="G23" s="52"/>
      <c r="H23" s="52"/>
      <c r="I23" s="52"/>
      <c r="J23" s="52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</row>
    <row r="24" spans="2:24">
      <c r="B24" s="52" t="str">
        <f>IF(ISBLANK(B18),"",B18)</f>
        <v/>
      </c>
      <c r="C24" s="52"/>
      <c r="D24" s="52"/>
      <c r="E24" s="52"/>
      <c r="F24" s="52"/>
      <c r="G24" s="52"/>
      <c r="H24" s="52"/>
      <c r="I24" s="52"/>
      <c r="J24" s="52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7"/>
      <c r="X24" s="347"/>
    </row>
    <row r="25" spans="2:24">
      <c r="B25" s="52" t="str">
        <f>IF(ISBLANK(B19),"",B19)</f>
        <v/>
      </c>
      <c r="C25" s="52"/>
      <c r="D25" s="52"/>
      <c r="E25" s="52"/>
      <c r="F25" s="52"/>
      <c r="G25" s="52"/>
      <c r="H25" s="52"/>
      <c r="I25" s="52"/>
      <c r="J25" s="52"/>
      <c r="K25" s="347"/>
      <c r="L25" s="347"/>
      <c r="M25" s="347"/>
      <c r="N25" s="347"/>
      <c r="O25" s="347"/>
      <c r="P25" s="347"/>
      <c r="Q25" s="347"/>
      <c r="R25" s="347"/>
      <c r="S25" s="347"/>
      <c r="T25" s="347"/>
      <c r="U25" s="347"/>
      <c r="V25" s="347"/>
      <c r="W25" s="347"/>
      <c r="X25" s="347"/>
    </row>
    <row r="26" spans="2:24">
      <c r="B26" s="29" t="s">
        <v>268</v>
      </c>
      <c r="C26" s="29"/>
      <c r="D26" s="29"/>
      <c r="E26" s="29"/>
      <c r="F26" s="30"/>
      <c r="G26" s="30"/>
      <c r="H26" s="30"/>
      <c r="I26" s="30"/>
      <c r="J26" s="30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</row>
    <row r="27" spans="2:24">
      <c r="B27" s="52" t="str">
        <f>IF(ISBLANK(B21),"",B21)</f>
        <v/>
      </c>
      <c r="C27" s="52"/>
      <c r="D27" s="52"/>
      <c r="E27" s="52"/>
      <c r="F27" s="52"/>
      <c r="G27" s="52"/>
      <c r="H27" s="52"/>
      <c r="I27" s="52"/>
      <c r="J27" s="52"/>
      <c r="K27" s="33">
        <f t="shared" ref="K27:X27" si="1">ROUND(K21*K15,0)</f>
        <v>0</v>
      </c>
      <c r="L27" s="33">
        <f t="shared" si="1"/>
        <v>0</v>
      </c>
      <c r="M27" s="33">
        <f t="shared" si="1"/>
        <v>0</v>
      </c>
      <c r="N27" s="33">
        <f t="shared" si="1"/>
        <v>0</v>
      </c>
      <c r="O27" s="33">
        <f t="shared" si="1"/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0</v>
      </c>
      <c r="W27" s="33">
        <f t="shared" si="1"/>
        <v>0</v>
      </c>
      <c r="X27" s="33">
        <f t="shared" si="1"/>
        <v>0</v>
      </c>
    </row>
    <row r="28" spans="2:24">
      <c r="B28" s="52" t="str">
        <f>IF(ISBLANK(B22),"",B22)</f>
        <v/>
      </c>
      <c r="C28" s="52"/>
      <c r="D28" s="52"/>
      <c r="E28" s="52"/>
      <c r="F28" s="52"/>
      <c r="G28" s="52"/>
      <c r="H28" s="52"/>
      <c r="I28" s="52"/>
      <c r="J28" s="52"/>
      <c r="K28" s="33">
        <f t="shared" ref="K28:X28" si="2">ROUND(K22*K16,0)</f>
        <v>0</v>
      </c>
      <c r="L28" s="33">
        <f t="shared" si="2"/>
        <v>0</v>
      </c>
      <c r="M28" s="33">
        <f t="shared" si="2"/>
        <v>0</v>
      </c>
      <c r="N28" s="33">
        <f t="shared" si="2"/>
        <v>0</v>
      </c>
      <c r="O28" s="33">
        <f t="shared" si="2"/>
        <v>0</v>
      </c>
      <c r="P28" s="33">
        <f t="shared" si="2"/>
        <v>0</v>
      </c>
      <c r="Q28" s="33">
        <f t="shared" si="2"/>
        <v>0</v>
      </c>
      <c r="R28" s="33">
        <f t="shared" si="2"/>
        <v>0</v>
      </c>
      <c r="S28" s="33">
        <f t="shared" si="2"/>
        <v>0</v>
      </c>
      <c r="T28" s="33">
        <f t="shared" si="2"/>
        <v>0</v>
      </c>
      <c r="U28" s="33">
        <f t="shared" si="2"/>
        <v>0</v>
      </c>
      <c r="V28" s="33">
        <f t="shared" si="2"/>
        <v>0</v>
      </c>
      <c r="W28" s="33">
        <f t="shared" si="2"/>
        <v>0</v>
      </c>
      <c r="X28" s="33">
        <f t="shared" si="2"/>
        <v>0</v>
      </c>
    </row>
    <row r="29" spans="2:24">
      <c r="B29" s="52" t="str">
        <f>IF(ISBLANK(B23),"",B23)</f>
        <v/>
      </c>
      <c r="C29" s="52"/>
      <c r="D29" s="52"/>
      <c r="E29" s="52"/>
      <c r="F29" s="52"/>
      <c r="G29" s="52"/>
      <c r="H29" s="52"/>
      <c r="I29" s="52"/>
      <c r="J29" s="52"/>
      <c r="K29" s="33">
        <f t="shared" ref="K29:X29" si="3">ROUND(K23*K17,0)</f>
        <v>0</v>
      </c>
      <c r="L29" s="33">
        <f t="shared" si="3"/>
        <v>0</v>
      </c>
      <c r="M29" s="33">
        <f t="shared" si="3"/>
        <v>0</v>
      </c>
      <c r="N29" s="33">
        <f t="shared" si="3"/>
        <v>0</v>
      </c>
      <c r="O29" s="33">
        <f t="shared" si="3"/>
        <v>0</v>
      </c>
      <c r="P29" s="33">
        <f t="shared" si="3"/>
        <v>0</v>
      </c>
      <c r="Q29" s="33">
        <f t="shared" si="3"/>
        <v>0</v>
      </c>
      <c r="R29" s="33">
        <f t="shared" si="3"/>
        <v>0</v>
      </c>
      <c r="S29" s="33">
        <f t="shared" si="3"/>
        <v>0</v>
      </c>
      <c r="T29" s="33">
        <f t="shared" si="3"/>
        <v>0</v>
      </c>
      <c r="U29" s="33">
        <f t="shared" si="3"/>
        <v>0</v>
      </c>
      <c r="V29" s="33">
        <f t="shared" si="3"/>
        <v>0</v>
      </c>
      <c r="W29" s="33">
        <f t="shared" si="3"/>
        <v>0</v>
      </c>
      <c r="X29" s="33">
        <f t="shared" si="3"/>
        <v>0</v>
      </c>
    </row>
    <row r="30" spans="2:24">
      <c r="B30" s="52" t="str">
        <f>IF(ISBLANK(B24),"",B24)</f>
        <v/>
      </c>
      <c r="C30" s="52"/>
      <c r="D30" s="52"/>
      <c r="E30" s="52"/>
      <c r="F30" s="52"/>
      <c r="G30" s="52"/>
      <c r="H30" s="52"/>
      <c r="I30" s="52"/>
      <c r="J30" s="52"/>
      <c r="K30" s="33">
        <f t="shared" ref="K30:X30" si="4">ROUND(K24*K18,0)</f>
        <v>0</v>
      </c>
      <c r="L30" s="33">
        <f t="shared" si="4"/>
        <v>0</v>
      </c>
      <c r="M30" s="33">
        <f t="shared" si="4"/>
        <v>0</v>
      </c>
      <c r="N30" s="33">
        <f t="shared" si="4"/>
        <v>0</v>
      </c>
      <c r="O30" s="33">
        <f t="shared" si="4"/>
        <v>0</v>
      </c>
      <c r="P30" s="33">
        <f t="shared" si="4"/>
        <v>0</v>
      </c>
      <c r="Q30" s="33">
        <f t="shared" si="4"/>
        <v>0</v>
      </c>
      <c r="R30" s="33">
        <f t="shared" si="4"/>
        <v>0</v>
      </c>
      <c r="S30" s="33">
        <f t="shared" si="4"/>
        <v>0</v>
      </c>
      <c r="T30" s="33">
        <f t="shared" si="4"/>
        <v>0</v>
      </c>
      <c r="U30" s="33">
        <f t="shared" si="4"/>
        <v>0</v>
      </c>
      <c r="V30" s="33">
        <f t="shared" si="4"/>
        <v>0</v>
      </c>
      <c r="W30" s="33">
        <f t="shared" si="4"/>
        <v>0</v>
      </c>
      <c r="X30" s="33">
        <f t="shared" si="4"/>
        <v>0</v>
      </c>
    </row>
    <row r="31" spans="2:24">
      <c r="B31" s="52" t="str">
        <f>IF(ISBLANK(B25),"",B25)</f>
        <v/>
      </c>
      <c r="C31" s="52"/>
      <c r="D31" s="52"/>
      <c r="E31" s="52"/>
      <c r="F31" s="52"/>
      <c r="G31" s="52"/>
      <c r="H31" s="52"/>
      <c r="I31" s="52"/>
      <c r="J31" s="52"/>
      <c r="K31" s="33">
        <f t="shared" ref="K31:X31" si="5">ROUND(K25*K19,0)</f>
        <v>0</v>
      </c>
      <c r="L31" s="33">
        <f t="shared" si="5"/>
        <v>0</v>
      </c>
      <c r="M31" s="33">
        <f t="shared" si="5"/>
        <v>0</v>
      </c>
      <c r="N31" s="33">
        <f t="shared" si="5"/>
        <v>0</v>
      </c>
      <c r="O31" s="33">
        <f t="shared" si="5"/>
        <v>0</v>
      </c>
      <c r="P31" s="33">
        <f t="shared" si="5"/>
        <v>0</v>
      </c>
      <c r="Q31" s="33">
        <f t="shared" si="5"/>
        <v>0</v>
      </c>
      <c r="R31" s="33">
        <f t="shared" si="5"/>
        <v>0</v>
      </c>
      <c r="S31" s="33">
        <f t="shared" si="5"/>
        <v>0</v>
      </c>
      <c r="T31" s="33">
        <f t="shared" si="5"/>
        <v>0</v>
      </c>
      <c r="U31" s="33">
        <f t="shared" si="5"/>
        <v>0</v>
      </c>
      <c r="V31" s="33">
        <f t="shared" si="5"/>
        <v>0</v>
      </c>
      <c r="W31" s="33">
        <f t="shared" si="5"/>
        <v>0</v>
      </c>
      <c r="X31" s="33">
        <f t="shared" si="5"/>
        <v>0</v>
      </c>
    </row>
    <row r="32" spans="2:24">
      <c r="B32" s="179" t="s">
        <v>269</v>
      </c>
      <c r="C32" s="180"/>
      <c r="D32" s="180"/>
      <c r="E32" s="180"/>
      <c r="F32" s="179"/>
      <c r="G32" s="179"/>
      <c r="H32" s="179"/>
      <c r="I32" s="179"/>
      <c r="J32" s="179"/>
      <c r="K32" s="181">
        <f t="shared" ref="K32:X32" si="6">IF(LataProjekcji&lt;=Koniec,ROUND(SUM(K27:K31),0),0)</f>
        <v>0</v>
      </c>
      <c r="L32" s="181">
        <f t="shared" si="6"/>
        <v>0</v>
      </c>
      <c r="M32" s="181">
        <f t="shared" si="6"/>
        <v>0</v>
      </c>
      <c r="N32" s="181">
        <f t="shared" si="6"/>
        <v>0</v>
      </c>
      <c r="O32" s="181">
        <f t="shared" si="6"/>
        <v>0</v>
      </c>
      <c r="P32" s="181">
        <f t="shared" si="6"/>
        <v>0</v>
      </c>
      <c r="Q32" s="181">
        <f t="shared" si="6"/>
        <v>0</v>
      </c>
      <c r="R32" s="181">
        <f t="shared" si="6"/>
        <v>0</v>
      </c>
      <c r="S32" s="181">
        <f t="shared" si="6"/>
        <v>0</v>
      </c>
      <c r="T32" s="181">
        <f t="shared" si="6"/>
        <v>0</v>
      </c>
      <c r="U32" s="181">
        <f t="shared" si="6"/>
        <v>0</v>
      </c>
      <c r="V32" s="181">
        <f t="shared" si="6"/>
        <v>0</v>
      </c>
      <c r="W32" s="181">
        <f t="shared" si="6"/>
        <v>0</v>
      </c>
      <c r="X32" s="181">
        <f t="shared" si="6"/>
        <v>0</v>
      </c>
    </row>
    <row r="33" spans="2:24"/>
    <row r="34" spans="2:24"/>
    <row r="35" spans="2:24">
      <c r="B35" s="233" t="s">
        <v>270</v>
      </c>
      <c r="C35" s="234"/>
      <c r="D35" s="234"/>
      <c r="E35" s="234"/>
      <c r="F35" s="234"/>
      <c r="G35" s="234"/>
      <c r="H35" s="234"/>
      <c r="I35" s="234"/>
      <c r="J35" s="234"/>
      <c r="K35" s="243" t="str">
        <f t="shared" ref="K35:X35" si="7">LataProjekcji</f>
        <v>Uzupełnij dane</v>
      </c>
      <c r="L35" s="243" t="str">
        <f t="shared" si="7"/>
        <v/>
      </c>
      <c r="M35" s="243" t="str">
        <f t="shared" si="7"/>
        <v/>
      </c>
      <c r="N35" s="243" t="str">
        <f t="shared" si="7"/>
        <v/>
      </c>
      <c r="O35" s="243" t="str">
        <f t="shared" si="7"/>
        <v/>
      </c>
      <c r="P35" s="243" t="str">
        <f t="shared" si="7"/>
        <v/>
      </c>
      <c r="Q35" s="243" t="str">
        <f t="shared" si="7"/>
        <v/>
      </c>
      <c r="R35" s="243" t="str">
        <f t="shared" si="7"/>
        <v/>
      </c>
      <c r="S35" s="243" t="str">
        <f t="shared" si="7"/>
        <v/>
      </c>
      <c r="T35" s="243" t="str">
        <f t="shared" si="7"/>
        <v/>
      </c>
      <c r="U35" s="243" t="str">
        <f t="shared" si="7"/>
        <v/>
      </c>
      <c r="V35" s="243" t="str">
        <f t="shared" si="7"/>
        <v/>
      </c>
      <c r="W35" s="243" t="str">
        <f t="shared" si="7"/>
        <v/>
      </c>
      <c r="X35" s="243" t="str">
        <f t="shared" si="7"/>
        <v/>
      </c>
    </row>
    <row r="36" spans="2:24">
      <c r="B36" s="9"/>
      <c r="C36" s="52"/>
      <c r="D36" s="299"/>
      <c r="E36" s="299"/>
      <c r="F36" s="299"/>
      <c r="G36" s="55"/>
      <c r="H36" s="55"/>
      <c r="I36" s="55"/>
      <c r="J36" s="55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  <c r="V36" s="346"/>
      <c r="W36" s="346"/>
      <c r="X36" s="346"/>
    </row>
    <row r="37" spans="2:24">
      <c r="B37" s="9"/>
      <c r="C37" s="52"/>
      <c r="D37" s="299"/>
      <c r="E37" s="299"/>
      <c r="F37" s="299"/>
      <c r="G37" s="55"/>
      <c r="H37" s="55"/>
      <c r="I37" s="55"/>
      <c r="J37" s="55"/>
      <c r="K37" s="346"/>
      <c r="L37" s="346"/>
      <c r="M37" s="346"/>
      <c r="N37" s="346"/>
      <c r="O37" s="346"/>
      <c r="P37" s="346"/>
      <c r="Q37" s="346"/>
      <c r="R37" s="346"/>
      <c r="S37" s="346"/>
      <c r="T37" s="346"/>
      <c r="U37" s="346"/>
      <c r="V37" s="346"/>
      <c r="W37" s="346"/>
      <c r="X37" s="346"/>
    </row>
    <row r="38" spans="2:24">
      <c r="B38" s="9"/>
      <c r="C38" s="52"/>
      <c r="D38" s="299"/>
      <c r="E38" s="299"/>
      <c r="F38" s="299"/>
      <c r="G38" s="55"/>
      <c r="H38" s="55"/>
      <c r="I38" s="55"/>
      <c r="J38" s="55"/>
      <c r="K38" s="346"/>
      <c r="L38" s="346"/>
      <c r="M38" s="346"/>
      <c r="N38" s="346"/>
      <c r="O38" s="346"/>
      <c r="P38" s="346"/>
      <c r="Q38" s="346"/>
      <c r="R38" s="346"/>
      <c r="S38" s="346"/>
      <c r="T38" s="346"/>
      <c r="U38" s="346"/>
      <c r="V38" s="346"/>
      <c r="W38" s="346"/>
      <c r="X38" s="346"/>
    </row>
    <row r="39" spans="2:24">
      <c r="B39" s="9"/>
      <c r="C39" s="52"/>
      <c r="D39" s="299"/>
      <c r="E39" s="299"/>
      <c r="F39" s="299"/>
      <c r="G39" s="55"/>
      <c r="H39" s="55"/>
      <c r="I39" s="55"/>
      <c r="J39" s="55"/>
      <c r="K39" s="346"/>
      <c r="L39" s="346"/>
      <c r="M39" s="346"/>
      <c r="N39" s="346"/>
      <c r="O39" s="346"/>
      <c r="P39" s="346"/>
      <c r="Q39" s="346"/>
      <c r="R39" s="346"/>
      <c r="S39" s="346"/>
      <c r="T39" s="346"/>
      <c r="U39" s="346"/>
      <c r="V39" s="346"/>
      <c r="W39" s="346"/>
      <c r="X39" s="346"/>
    </row>
    <row r="40" spans="2:24">
      <c r="B40" s="9"/>
      <c r="C40" s="52"/>
      <c r="D40" s="299"/>
      <c r="E40" s="299"/>
      <c r="F40" s="299"/>
      <c r="G40" s="55"/>
      <c r="H40" s="55"/>
      <c r="I40" s="55"/>
      <c r="J40" s="55"/>
      <c r="K40" s="346"/>
      <c r="L40" s="346"/>
      <c r="M40" s="346"/>
      <c r="N40" s="346"/>
      <c r="O40" s="346"/>
      <c r="P40" s="346"/>
      <c r="Q40" s="346"/>
      <c r="R40" s="346"/>
      <c r="S40" s="346"/>
      <c r="T40" s="346"/>
      <c r="U40" s="346"/>
      <c r="V40" s="346"/>
      <c r="W40" s="346"/>
      <c r="X40" s="346"/>
    </row>
    <row r="41" spans="2:24">
      <c r="B41" s="179" t="s">
        <v>271</v>
      </c>
      <c r="C41" s="180"/>
      <c r="D41" s="180"/>
      <c r="E41" s="180"/>
      <c r="F41" s="179"/>
      <c r="G41" s="179"/>
      <c r="H41" s="179"/>
      <c r="I41" s="179"/>
      <c r="J41" s="179"/>
      <c r="K41" s="181">
        <f t="shared" ref="K41:X41" si="8">IF(LataProjekcji&lt;=Koniec,ROUND(SUM(K36:K40),0),0)</f>
        <v>0</v>
      </c>
      <c r="L41" s="181">
        <f t="shared" si="8"/>
        <v>0</v>
      </c>
      <c r="M41" s="181">
        <f t="shared" si="8"/>
        <v>0</v>
      </c>
      <c r="N41" s="181">
        <f t="shared" si="8"/>
        <v>0</v>
      </c>
      <c r="O41" s="181">
        <f t="shared" si="8"/>
        <v>0</v>
      </c>
      <c r="P41" s="181">
        <f t="shared" si="8"/>
        <v>0</v>
      </c>
      <c r="Q41" s="181">
        <f t="shared" si="8"/>
        <v>0</v>
      </c>
      <c r="R41" s="181">
        <f t="shared" si="8"/>
        <v>0</v>
      </c>
      <c r="S41" s="181">
        <f t="shared" si="8"/>
        <v>0</v>
      </c>
      <c r="T41" s="181">
        <f t="shared" si="8"/>
        <v>0</v>
      </c>
      <c r="U41" s="181">
        <f t="shared" si="8"/>
        <v>0</v>
      </c>
      <c r="V41" s="181">
        <f t="shared" si="8"/>
        <v>0</v>
      </c>
      <c r="W41" s="181">
        <f t="shared" si="8"/>
        <v>0</v>
      </c>
      <c r="X41" s="181">
        <f t="shared" si="8"/>
        <v>0</v>
      </c>
    </row>
    <row r="42" spans="2:24">
      <c r="B42" s="7"/>
      <c r="F42" s="7"/>
      <c r="G42" s="7"/>
      <c r="H42" s="7"/>
      <c r="I42" s="7"/>
      <c r="J42" s="7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2:24">
      <c r="B43" s="7"/>
      <c r="F43" s="7"/>
      <c r="G43" s="7"/>
      <c r="H43" s="7"/>
      <c r="I43" s="7"/>
      <c r="J43" s="7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2:24">
      <c r="B44" s="233" t="s">
        <v>272</v>
      </c>
      <c r="C44" s="234"/>
      <c r="D44" s="234"/>
      <c r="E44" s="234"/>
      <c r="F44" s="234"/>
      <c r="G44" s="234"/>
      <c r="H44" s="234"/>
      <c r="I44" s="234"/>
      <c r="J44" s="234"/>
      <c r="K44" s="243" t="str">
        <f t="shared" ref="K44:X44" si="9">LataProjekcji</f>
        <v>Uzupełnij dane</v>
      </c>
      <c r="L44" s="243" t="str">
        <f t="shared" si="9"/>
        <v/>
      </c>
      <c r="M44" s="243" t="str">
        <f t="shared" si="9"/>
        <v/>
      </c>
      <c r="N44" s="243" t="str">
        <f t="shared" si="9"/>
        <v/>
      </c>
      <c r="O44" s="243" t="str">
        <f t="shared" si="9"/>
        <v/>
      </c>
      <c r="P44" s="243" t="str">
        <f t="shared" si="9"/>
        <v/>
      </c>
      <c r="Q44" s="243" t="str">
        <f t="shared" si="9"/>
        <v/>
      </c>
      <c r="R44" s="243" t="str">
        <f t="shared" si="9"/>
        <v/>
      </c>
      <c r="S44" s="243" t="str">
        <f t="shared" si="9"/>
        <v/>
      </c>
      <c r="T44" s="243" t="str">
        <f t="shared" si="9"/>
        <v/>
      </c>
      <c r="U44" s="243" t="str">
        <f t="shared" si="9"/>
        <v/>
      </c>
      <c r="V44" s="243" t="str">
        <f t="shared" si="9"/>
        <v/>
      </c>
      <c r="W44" s="243" t="str">
        <f t="shared" si="9"/>
        <v/>
      </c>
      <c r="X44" s="243" t="str">
        <f t="shared" si="9"/>
        <v/>
      </c>
    </row>
    <row r="45" spans="2:24">
      <c r="B45" s="9"/>
      <c r="C45" s="52"/>
      <c r="D45" s="299"/>
      <c r="E45" s="299"/>
      <c r="F45" s="299"/>
      <c r="G45" s="55"/>
      <c r="H45" s="55"/>
      <c r="I45" s="55"/>
      <c r="J45" s="55"/>
      <c r="K45" s="346"/>
      <c r="L45" s="346"/>
      <c r="M45" s="346"/>
      <c r="N45" s="346"/>
      <c r="O45" s="346"/>
      <c r="P45" s="346"/>
      <c r="Q45" s="346"/>
      <c r="R45" s="346"/>
      <c r="S45" s="346"/>
      <c r="T45" s="346"/>
      <c r="U45" s="346"/>
      <c r="V45" s="346"/>
      <c r="W45" s="346"/>
      <c r="X45" s="346"/>
    </row>
    <row r="46" spans="2:24">
      <c r="B46" s="9"/>
      <c r="C46" s="52"/>
      <c r="D46" s="299"/>
      <c r="E46" s="299"/>
      <c r="F46" s="299"/>
      <c r="G46" s="55"/>
      <c r="H46" s="55"/>
      <c r="I46" s="55"/>
      <c r="J46" s="55"/>
      <c r="K46" s="346"/>
      <c r="L46" s="346"/>
      <c r="M46" s="346"/>
      <c r="N46" s="346"/>
      <c r="O46" s="346"/>
      <c r="P46" s="346"/>
      <c r="Q46" s="346"/>
      <c r="R46" s="346"/>
      <c r="S46" s="346"/>
      <c r="T46" s="346"/>
      <c r="U46" s="346"/>
      <c r="V46" s="346"/>
      <c r="W46" s="346"/>
      <c r="X46" s="346"/>
    </row>
    <row r="47" spans="2:24">
      <c r="B47" s="9"/>
      <c r="C47" s="52"/>
      <c r="D47" s="299"/>
      <c r="E47" s="299"/>
      <c r="F47" s="299"/>
      <c r="G47" s="55"/>
      <c r="H47" s="55"/>
      <c r="I47" s="55"/>
      <c r="J47" s="55"/>
      <c r="K47" s="346"/>
      <c r="L47" s="346"/>
      <c r="M47" s="346"/>
      <c r="N47" s="346"/>
      <c r="O47" s="346"/>
      <c r="P47" s="346"/>
      <c r="Q47" s="346"/>
      <c r="R47" s="346"/>
      <c r="S47" s="346"/>
      <c r="T47" s="346"/>
      <c r="U47" s="346"/>
      <c r="V47" s="346"/>
      <c r="W47" s="346"/>
      <c r="X47" s="346"/>
    </row>
    <row r="48" spans="2:24">
      <c r="B48" s="9"/>
      <c r="C48" s="52"/>
      <c r="D48" s="299"/>
      <c r="E48" s="299"/>
      <c r="F48" s="299"/>
      <c r="G48" s="55"/>
      <c r="H48" s="55"/>
      <c r="I48" s="55"/>
      <c r="J48" s="55"/>
      <c r="K48" s="346"/>
      <c r="L48" s="346"/>
      <c r="M48" s="346"/>
      <c r="N48" s="346"/>
      <c r="O48" s="346"/>
      <c r="P48" s="346"/>
      <c r="Q48" s="346"/>
      <c r="R48" s="346"/>
      <c r="S48" s="346"/>
      <c r="T48" s="346"/>
      <c r="U48" s="346"/>
      <c r="V48" s="346"/>
      <c r="W48" s="346"/>
      <c r="X48" s="346"/>
    </row>
    <row r="49" spans="2:24">
      <c r="B49" s="9"/>
      <c r="C49" s="52"/>
      <c r="D49" s="299"/>
      <c r="E49" s="299"/>
      <c r="F49" s="299"/>
      <c r="G49" s="55"/>
      <c r="H49" s="55"/>
      <c r="I49" s="55"/>
      <c r="J49" s="55"/>
      <c r="K49" s="346"/>
      <c r="L49" s="346"/>
      <c r="M49" s="346"/>
      <c r="N49" s="346"/>
      <c r="O49" s="346"/>
      <c r="P49" s="346"/>
      <c r="Q49" s="346"/>
      <c r="R49" s="346"/>
      <c r="S49" s="346"/>
      <c r="T49" s="346"/>
      <c r="U49" s="346"/>
      <c r="V49" s="346"/>
      <c r="W49" s="346"/>
      <c r="X49" s="346"/>
    </row>
    <row r="50" spans="2:24">
      <c r="B50" s="179" t="s">
        <v>273</v>
      </c>
      <c r="C50" s="180"/>
      <c r="D50" s="180"/>
      <c r="E50" s="180"/>
      <c r="F50" s="179"/>
      <c r="G50" s="179"/>
      <c r="H50" s="179"/>
      <c r="I50" s="179"/>
      <c r="J50" s="179"/>
      <c r="K50" s="181">
        <f t="shared" ref="K50:X50" si="10">IF(LataProjekcji&lt;=Koniec,ROUND(SUM(K45:K49),0),0)</f>
        <v>0</v>
      </c>
      <c r="L50" s="181">
        <f t="shared" si="10"/>
        <v>0</v>
      </c>
      <c r="M50" s="181">
        <f t="shared" si="10"/>
        <v>0</v>
      </c>
      <c r="N50" s="181">
        <f t="shared" si="10"/>
        <v>0</v>
      </c>
      <c r="O50" s="181">
        <f t="shared" si="10"/>
        <v>0</v>
      </c>
      <c r="P50" s="181">
        <f t="shared" si="10"/>
        <v>0</v>
      </c>
      <c r="Q50" s="181">
        <f t="shared" si="10"/>
        <v>0</v>
      </c>
      <c r="R50" s="181">
        <f t="shared" si="10"/>
        <v>0</v>
      </c>
      <c r="S50" s="181">
        <f t="shared" si="10"/>
        <v>0</v>
      </c>
      <c r="T50" s="181">
        <f t="shared" si="10"/>
        <v>0</v>
      </c>
      <c r="U50" s="181">
        <f t="shared" si="10"/>
        <v>0</v>
      </c>
      <c r="V50" s="181">
        <f t="shared" si="10"/>
        <v>0</v>
      </c>
      <c r="W50" s="181">
        <f t="shared" si="10"/>
        <v>0</v>
      </c>
      <c r="X50" s="181">
        <f t="shared" si="10"/>
        <v>0</v>
      </c>
    </row>
    <row r="51" spans="2:24">
      <c r="B51" s="7"/>
      <c r="F51" s="7"/>
      <c r="G51" s="7"/>
      <c r="H51" s="7"/>
      <c r="I51" s="7"/>
      <c r="J51" s="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2:24">
      <c r="B52" s="7"/>
      <c r="F52" s="7"/>
      <c r="G52" s="7"/>
      <c r="H52" s="7"/>
      <c r="I52" s="7"/>
      <c r="J52" s="7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2:24">
      <c r="B53" s="233" t="s">
        <v>274</v>
      </c>
      <c r="C53" s="233"/>
      <c r="D53" s="233"/>
      <c r="E53" s="233"/>
      <c r="F53" s="234"/>
      <c r="G53" s="234"/>
      <c r="H53" s="234"/>
      <c r="I53" s="234"/>
      <c r="J53" s="234"/>
      <c r="K53" s="243" t="str">
        <f t="shared" ref="K53:X53" si="11">LataProjekcji</f>
        <v>Uzupełnij dane</v>
      </c>
      <c r="L53" s="243" t="str">
        <f t="shared" si="11"/>
        <v/>
      </c>
      <c r="M53" s="243" t="str">
        <f t="shared" si="11"/>
        <v/>
      </c>
      <c r="N53" s="243" t="str">
        <f t="shared" si="11"/>
        <v/>
      </c>
      <c r="O53" s="243" t="str">
        <f t="shared" si="11"/>
        <v/>
      </c>
      <c r="P53" s="243" t="str">
        <f t="shared" si="11"/>
        <v/>
      </c>
      <c r="Q53" s="243" t="str">
        <f t="shared" si="11"/>
        <v/>
      </c>
      <c r="R53" s="243" t="str">
        <f t="shared" si="11"/>
        <v/>
      </c>
      <c r="S53" s="243" t="str">
        <f t="shared" si="11"/>
        <v/>
      </c>
      <c r="T53" s="243" t="str">
        <f t="shared" si="11"/>
        <v/>
      </c>
      <c r="U53" s="243" t="str">
        <f t="shared" si="11"/>
        <v/>
      </c>
      <c r="V53" s="243" t="str">
        <f t="shared" si="11"/>
        <v/>
      </c>
      <c r="W53" s="243" t="str">
        <f t="shared" si="11"/>
        <v/>
      </c>
      <c r="X53" s="243" t="str">
        <f t="shared" si="11"/>
        <v/>
      </c>
    </row>
    <row r="54" spans="2:24">
      <c r="B54" s="9"/>
      <c r="C54" s="52"/>
      <c r="D54" s="299"/>
      <c r="E54" s="299"/>
      <c r="F54" s="299"/>
      <c r="G54" s="55"/>
      <c r="H54" s="55"/>
      <c r="I54" s="55"/>
      <c r="J54" s="55"/>
      <c r="K54" s="346"/>
      <c r="L54" s="346"/>
      <c r="M54" s="346"/>
      <c r="N54" s="346"/>
      <c r="O54" s="346"/>
      <c r="P54" s="346"/>
      <c r="Q54" s="346"/>
      <c r="R54" s="346"/>
      <c r="S54" s="346"/>
      <c r="T54" s="346"/>
      <c r="U54" s="346"/>
      <c r="V54" s="346"/>
      <c r="W54" s="346"/>
      <c r="X54" s="346"/>
    </row>
    <row r="55" spans="2:24">
      <c r="B55" s="9"/>
      <c r="C55" s="52"/>
      <c r="D55" s="299"/>
      <c r="E55" s="299"/>
      <c r="F55" s="299"/>
      <c r="G55" s="55"/>
      <c r="H55" s="55"/>
      <c r="I55" s="55"/>
      <c r="J55" s="55"/>
      <c r="K55" s="346"/>
      <c r="L55" s="346"/>
      <c r="M55" s="346"/>
      <c r="N55" s="346"/>
      <c r="O55" s="346"/>
      <c r="P55" s="346"/>
      <c r="Q55" s="346"/>
      <c r="R55" s="346"/>
      <c r="S55" s="346"/>
      <c r="T55" s="346"/>
      <c r="U55" s="346"/>
      <c r="V55" s="346"/>
      <c r="W55" s="346"/>
      <c r="X55" s="346"/>
    </row>
    <row r="56" spans="2:24">
      <c r="B56" s="9"/>
      <c r="C56" s="52"/>
      <c r="D56" s="299"/>
      <c r="E56" s="299"/>
      <c r="F56" s="299"/>
      <c r="G56" s="55"/>
      <c r="H56" s="55"/>
      <c r="I56" s="55"/>
      <c r="J56" s="55"/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</row>
    <row r="57" spans="2:24">
      <c r="B57" s="9"/>
      <c r="C57" s="52"/>
      <c r="D57" s="299"/>
      <c r="E57" s="299"/>
      <c r="F57" s="299"/>
      <c r="G57" s="55"/>
      <c r="H57" s="55"/>
      <c r="I57" s="55"/>
      <c r="J57" s="55"/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</row>
    <row r="58" spans="2:24">
      <c r="B58" s="9"/>
      <c r="C58" s="52"/>
      <c r="D58" s="299"/>
      <c r="E58" s="299"/>
      <c r="F58" s="299"/>
      <c r="G58" s="55"/>
      <c r="H58" s="55"/>
      <c r="I58" s="55"/>
      <c r="J58" s="55"/>
      <c r="K58" s="346"/>
      <c r="L58" s="346"/>
      <c r="M58" s="346"/>
      <c r="N58" s="346"/>
      <c r="O58" s="346"/>
      <c r="P58" s="346"/>
      <c r="Q58" s="346"/>
      <c r="R58" s="346"/>
      <c r="S58" s="346"/>
      <c r="T58" s="346"/>
      <c r="U58" s="346"/>
      <c r="V58" s="346"/>
      <c r="W58" s="346"/>
      <c r="X58" s="346"/>
    </row>
    <row r="59" spans="2:24">
      <c r="B59" s="29" t="s">
        <v>275</v>
      </c>
      <c r="C59" s="29"/>
      <c r="D59" s="29"/>
      <c r="E59" s="29"/>
      <c r="F59" s="30"/>
      <c r="G59" s="30"/>
      <c r="H59" s="30"/>
      <c r="I59" s="30"/>
      <c r="J59" s="30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</row>
    <row r="60" spans="2:24">
      <c r="B60" s="52" t="str">
        <f>IF(ISBLANK(B54),"",B54)</f>
        <v/>
      </c>
      <c r="C60" s="52"/>
      <c r="D60" s="52"/>
      <c r="E60" s="52"/>
      <c r="F60" s="52"/>
      <c r="G60" s="52"/>
      <c r="H60" s="52"/>
      <c r="I60" s="52"/>
      <c r="J60" s="52"/>
      <c r="K60" s="347"/>
      <c r="L60" s="347"/>
      <c r="M60" s="347"/>
      <c r="N60" s="347"/>
      <c r="O60" s="347"/>
      <c r="P60" s="347"/>
      <c r="Q60" s="347"/>
      <c r="R60" s="347"/>
      <c r="S60" s="347"/>
      <c r="T60" s="347"/>
      <c r="U60" s="347"/>
      <c r="V60" s="347"/>
      <c r="W60" s="347"/>
      <c r="X60" s="347"/>
    </row>
    <row r="61" spans="2:24">
      <c r="B61" s="52" t="str">
        <f>IF(ISBLANK(B55),"",B55)</f>
        <v/>
      </c>
      <c r="C61" s="52"/>
      <c r="D61" s="52"/>
      <c r="E61" s="52"/>
      <c r="F61" s="52"/>
      <c r="G61" s="52"/>
      <c r="H61" s="52"/>
      <c r="I61" s="52"/>
      <c r="J61" s="52"/>
      <c r="K61" s="347"/>
      <c r="L61" s="347"/>
      <c r="M61" s="347"/>
      <c r="N61" s="347"/>
      <c r="O61" s="347"/>
      <c r="P61" s="347"/>
      <c r="Q61" s="347"/>
      <c r="R61" s="347"/>
      <c r="S61" s="347"/>
      <c r="T61" s="347"/>
      <c r="U61" s="347"/>
      <c r="V61" s="347"/>
      <c r="W61" s="347"/>
      <c r="X61" s="347"/>
    </row>
    <row r="62" spans="2:24">
      <c r="B62" s="52" t="str">
        <f>IF(ISBLANK(B56),"",B56)</f>
        <v/>
      </c>
      <c r="C62" s="52"/>
      <c r="D62" s="52"/>
      <c r="E62" s="52"/>
      <c r="F62" s="52"/>
      <c r="G62" s="52"/>
      <c r="H62" s="52"/>
      <c r="I62" s="52"/>
      <c r="J62" s="52"/>
      <c r="K62" s="347"/>
      <c r="L62" s="347"/>
      <c r="M62" s="347"/>
      <c r="N62" s="347"/>
      <c r="O62" s="347"/>
      <c r="P62" s="347"/>
      <c r="Q62" s="347"/>
      <c r="R62" s="347"/>
      <c r="S62" s="347"/>
      <c r="T62" s="347"/>
      <c r="U62" s="347"/>
      <c r="V62" s="347"/>
      <c r="W62" s="347"/>
      <c r="X62" s="347"/>
    </row>
    <row r="63" spans="2:24">
      <c r="B63" s="52" t="str">
        <f>IF(ISBLANK(B57),"",B57)</f>
        <v/>
      </c>
      <c r="C63" s="52"/>
      <c r="D63" s="52"/>
      <c r="E63" s="52"/>
      <c r="F63" s="52"/>
      <c r="G63" s="52"/>
      <c r="H63" s="52"/>
      <c r="I63" s="52"/>
      <c r="J63" s="52"/>
      <c r="K63" s="347"/>
      <c r="L63" s="347"/>
      <c r="M63" s="347"/>
      <c r="N63" s="347"/>
      <c r="O63" s="347"/>
      <c r="P63" s="347"/>
      <c r="Q63" s="347"/>
      <c r="R63" s="347"/>
      <c r="S63" s="347"/>
      <c r="T63" s="347"/>
      <c r="U63" s="347"/>
      <c r="V63" s="347"/>
      <c r="W63" s="347"/>
      <c r="X63" s="347"/>
    </row>
    <row r="64" spans="2:24">
      <c r="B64" s="52" t="str">
        <f>IF(ISBLANK(B58),"",B58)</f>
        <v/>
      </c>
      <c r="C64" s="52"/>
      <c r="D64" s="52"/>
      <c r="E64" s="52"/>
      <c r="F64" s="52"/>
      <c r="G64" s="52"/>
      <c r="H64" s="52"/>
      <c r="I64" s="52"/>
      <c r="J64" s="52"/>
      <c r="K64" s="347"/>
      <c r="L64" s="347"/>
      <c r="M64" s="347"/>
      <c r="N64" s="347"/>
      <c r="O64" s="347"/>
      <c r="P64" s="347"/>
      <c r="Q64" s="347"/>
      <c r="R64" s="347"/>
      <c r="S64" s="347"/>
      <c r="T64" s="347"/>
      <c r="U64" s="347"/>
      <c r="V64" s="347"/>
      <c r="W64" s="347"/>
      <c r="X64" s="347"/>
    </row>
    <row r="65" spans="2:24">
      <c r="B65" s="29" t="s">
        <v>276</v>
      </c>
      <c r="C65" s="29"/>
      <c r="D65" s="29"/>
      <c r="E65" s="29"/>
      <c r="F65" s="30"/>
      <c r="G65" s="30"/>
      <c r="H65" s="30"/>
      <c r="I65" s="30"/>
      <c r="J65" s="30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</row>
    <row r="66" spans="2:24">
      <c r="B66" s="52" t="str">
        <f>IF(ISBLANK(B60),"",B60)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2">ROUND(K60*K54,0)</f>
        <v>0</v>
      </c>
      <c r="L66" s="33">
        <f t="shared" si="12"/>
        <v>0</v>
      </c>
      <c r="M66" s="33">
        <f t="shared" si="12"/>
        <v>0</v>
      </c>
      <c r="N66" s="33">
        <f t="shared" si="12"/>
        <v>0</v>
      </c>
      <c r="O66" s="33">
        <f t="shared" si="12"/>
        <v>0</v>
      </c>
      <c r="P66" s="33">
        <f t="shared" si="12"/>
        <v>0</v>
      </c>
      <c r="Q66" s="33">
        <f t="shared" si="12"/>
        <v>0</v>
      </c>
      <c r="R66" s="33">
        <f t="shared" si="12"/>
        <v>0</v>
      </c>
      <c r="S66" s="33">
        <f t="shared" si="12"/>
        <v>0</v>
      </c>
      <c r="T66" s="33">
        <f t="shared" si="12"/>
        <v>0</v>
      </c>
      <c r="U66" s="33">
        <f t="shared" si="12"/>
        <v>0</v>
      </c>
      <c r="V66" s="33">
        <f t="shared" si="12"/>
        <v>0</v>
      </c>
      <c r="W66" s="33">
        <f t="shared" si="12"/>
        <v>0</v>
      </c>
      <c r="X66" s="33">
        <f t="shared" si="12"/>
        <v>0</v>
      </c>
    </row>
    <row r="67" spans="2:24">
      <c r="B67" s="52" t="str">
        <f>IF(ISBLANK(B61),"",B61)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3">ROUND(K61*K55,0)</f>
        <v>0</v>
      </c>
      <c r="L67" s="33">
        <f t="shared" si="13"/>
        <v>0</v>
      </c>
      <c r="M67" s="33">
        <f t="shared" si="13"/>
        <v>0</v>
      </c>
      <c r="N67" s="33">
        <f t="shared" si="13"/>
        <v>0</v>
      </c>
      <c r="O67" s="33">
        <f t="shared" si="13"/>
        <v>0</v>
      </c>
      <c r="P67" s="33">
        <f t="shared" si="13"/>
        <v>0</v>
      </c>
      <c r="Q67" s="33">
        <f t="shared" si="13"/>
        <v>0</v>
      </c>
      <c r="R67" s="33">
        <f t="shared" si="13"/>
        <v>0</v>
      </c>
      <c r="S67" s="33">
        <f t="shared" si="13"/>
        <v>0</v>
      </c>
      <c r="T67" s="33">
        <f t="shared" si="13"/>
        <v>0</v>
      </c>
      <c r="U67" s="33">
        <f t="shared" si="13"/>
        <v>0</v>
      </c>
      <c r="V67" s="33">
        <f t="shared" si="13"/>
        <v>0</v>
      </c>
      <c r="W67" s="33">
        <f t="shared" si="13"/>
        <v>0</v>
      </c>
      <c r="X67" s="33">
        <f t="shared" si="13"/>
        <v>0</v>
      </c>
    </row>
    <row r="68" spans="2:24">
      <c r="B68" s="52" t="str">
        <f>IF(ISBLANK(B62),"",B62)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4">ROUND(K62*K56,0)</f>
        <v>0</v>
      </c>
      <c r="L68" s="33">
        <f t="shared" si="14"/>
        <v>0</v>
      </c>
      <c r="M68" s="33">
        <f t="shared" si="14"/>
        <v>0</v>
      </c>
      <c r="N68" s="33">
        <f t="shared" si="14"/>
        <v>0</v>
      </c>
      <c r="O68" s="33">
        <f t="shared" si="14"/>
        <v>0</v>
      </c>
      <c r="P68" s="33">
        <f t="shared" si="14"/>
        <v>0</v>
      </c>
      <c r="Q68" s="33">
        <f t="shared" si="14"/>
        <v>0</v>
      </c>
      <c r="R68" s="33">
        <f t="shared" si="14"/>
        <v>0</v>
      </c>
      <c r="S68" s="33">
        <f t="shared" si="14"/>
        <v>0</v>
      </c>
      <c r="T68" s="33">
        <f t="shared" si="14"/>
        <v>0</v>
      </c>
      <c r="U68" s="33">
        <f t="shared" si="14"/>
        <v>0</v>
      </c>
      <c r="V68" s="33">
        <f t="shared" si="14"/>
        <v>0</v>
      </c>
      <c r="W68" s="33">
        <f t="shared" si="14"/>
        <v>0</v>
      </c>
      <c r="X68" s="33">
        <f t="shared" si="14"/>
        <v>0</v>
      </c>
    </row>
    <row r="69" spans="2:24">
      <c r="B69" s="52" t="str">
        <f>IF(ISBLANK(B63),"",B63)</f>
        <v/>
      </c>
      <c r="C69" s="52"/>
      <c r="D69" s="52"/>
      <c r="E69" s="52"/>
      <c r="F69" s="52"/>
      <c r="G69" s="52"/>
      <c r="H69" s="52"/>
      <c r="I69" s="52"/>
      <c r="J69" s="52"/>
      <c r="K69" s="33">
        <f t="shared" ref="K69:X69" si="15">ROUND(K63*K57,0)</f>
        <v>0</v>
      </c>
      <c r="L69" s="33">
        <f t="shared" si="15"/>
        <v>0</v>
      </c>
      <c r="M69" s="33">
        <f t="shared" si="15"/>
        <v>0</v>
      </c>
      <c r="N69" s="33">
        <f t="shared" si="15"/>
        <v>0</v>
      </c>
      <c r="O69" s="33">
        <f t="shared" si="15"/>
        <v>0</v>
      </c>
      <c r="P69" s="33">
        <f t="shared" si="15"/>
        <v>0</v>
      </c>
      <c r="Q69" s="33">
        <f t="shared" si="15"/>
        <v>0</v>
      </c>
      <c r="R69" s="33">
        <f t="shared" si="15"/>
        <v>0</v>
      </c>
      <c r="S69" s="33">
        <f t="shared" si="15"/>
        <v>0</v>
      </c>
      <c r="T69" s="33">
        <f t="shared" si="15"/>
        <v>0</v>
      </c>
      <c r="U69" s="33">
        <f t="shared" si="15"/>
        <v>0</v>
      </c>
      <c r="V69" s="33">
        <f t="shared" si="15"/>
        <v>0</v>
      </c>
      <c r="W69" s="33">
        <f t="shared" si="15"/>
        <v>0</v>
      </c>
      <c r="X69" s="33">
        <f t="shared" si="15"/>
        <v>0</v>
      </c>
    </row>
    <row r="70" spans="2:24">
      <c r="B70" s="52" t="str">
        <f>IF(ISBLANK(B64),"",B64)</f>
        <v/>
      </c>
      <c r="C70" s="52"/>
      <c r="D70" s="52"/>
      <c r="E70" s="52"/>
      <c r="F70" s="52"/>
      <c r="G70" s="52"/>
      <c r="H70" s="52"/>
      <c r="I70" s="52"/>
      <c r="J70" s="52"/>
      <c r="K70" s="33">
        <f t="shared" ref="K70:X70" si="16">ROUND(K64*K58,0)</f>
        <v>0</v>
      </c>
      <c r="L70" s="33">
        <f t="shared" si="16"/>
        <v>0</v>
      </c>
      <c r="M70" s="33">
        <f t="shared" si="16"/>
        <v>0</v>
      </c>
      <c r="N70" s="33">
        <f t="shared" si="16"/>
        <v>0</v>
      </c>
      <c r="O70" s="33">
        <f t="shared" si="16"/>
        <v>0</v>
      </c>
      <c r="P70" s="33">
        <f t="shared" si="16"/>
        <v>0</v>
      </c>
      <c r="Q70" s="33">
        <f t="shared" si="16"/>
        <v>0</v>
      </c>
      <c r="R70" s="33">
        <f t="shared" si="16"/>
        <v>0</v>
      </c>
      <c r="S70" s="33">
        <f t="shared" si="16"/>
        <v>0</v>
      </c>
      <c r="T70" s="33">
        <f t="shared" si="16"/>
        <v>0</v>
      </c>
      <c r="U70" s="33">
        <f t="shared" si="16"/>
        <v>0</v>
      </c>
      <c r="V70" s="33">
        <f t="shared" si="16"/>
        <v>0</v>
      </c>
      <c r="W70" s="33">
        <f t="shared" si="16"/>
        <v>0</v>
      </c>
      <c r="X70" s="33">
        <f t="shared" si="16"/>
        <v>0</v>
      </c>
    </row>
    <row r="71" spans="2:24">
      <c r="B71" s="179" t="s">
        <v>277</v>
      </c>
      <c r="C71" s="180"/>
      <c r="D71" s="180"/>
      <c r="E71" s="180"/>
      <c r="F71" s="179"/>
      <c r="G71" s="179"/>
      <c r="H71" s="179"/>
      <c r="I71" s="179"/>
      <c r="J71" s="179"/>
      <c r="K71" s="181">
        <f>IF(LataProjekcji&lt;=Koniec,ROUND(SUM(K66:K70),0),0)</f>
        <v>0</v>
      </c>
      <c r="L71" s="181">
        <f t="shared" ref="L71:X71" si="17">IF(LataProjekcji&lt;=Koniec,ROUND(SUM(L66:L70),0),0)</f>
        <v>0</v>
      </c>
      <c r="M71" s="181">
        <f t="shared" si="17"/>
        <v>0</v>
      </c>
      <c r="N71" s="181">
        <f t="shared" si="17"/>
        <v>0</v>
      </c>
      <c r="O71" s="181">
        <f t="shared" si="17"/>
        <v>0</v>
      </c>
      <c r="P71" s="181">
        <f t="shared" si="17"/>
        <v>0</v>
      </c>
      <c r="Q71" s="181">
        <f t="shared" si="17"/>
        <v>0</v>
      </c>
      <c r="R71" s="181">
        <f t="shared" si="17"/>
        <v>0</v>
      </c>
      <c r="S71" s="181">
        <f t="shared" si="17"/>
        <v>0</v>
      </c>
      <c r="T71" s="181">
        <f t="shared" si="17"/>
        <v>0</v>
      </c>
      <c r="U71" s="181">
        <f t="shared" si="17"/>
        <v>0</v>
      </c>
      <c r="V71" s="181">
        <f t="shared" si="17"/>
        <v>0</v>
      </c>
      <c r="W71" s="181">
        <f t="shared" si="17"/>
        <v>0</v>
      </c>
      <c r="X71" s="181">
        <f t="shared" si="17"/>
        <v>0</v>
      </c>
    </row>
    <row r="72" spans="2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2:24">
      <c r="B74" s="233" t="s">
        <v>278</v>
      </c>
      <c r="C74" s="233"/>
      <c r="D74" s="233"/>
      <c r="E74" s="233"/>
      <c r="F74" s="234"/>
      <c r="G74" s="234"/>
      <c r="H74" s="234"/>
      <c r="I74" s="234"/>
      <c r="J74" s="234"/>
      <c r="K74" s="243" t="str">
        <f t="shared" ref="K74:X74" si="18">LataProjekcji</f>
        <v>Uzupełnij dane</v>
      </c>
      <c r="L74" s="243" t="str">
        <f t="shared" si="18"/>
        <v/>
      </c>
      <c r="M74" s="243" t="str">
        <f t="shared" si="18"/>
        <v/>
      </c>
      <c r="N74" s="243" t="str">
        <f t="shared" si="18"/>
        <v/>
      </c>
      <c r="O74" s="243" t="str">
        <f t="shared" si="18"/>
        <v/>
      </c>
      <c r="P74" s="243" t="str">
        <f t="shared" si="18"/>
        <v/>
      </c>
      <c r="Q74" s="243" t="str">
        <f t="shared" si="18"/>
        <v/>
      </c>
      <c r="R74" s="243" t="str">
        <f t="shared" si="18"/>
        <v/>
      </c>
      <c r="S74" s="243" t="str">
        <f t="shared" si="18"/>
        <v/>
      </c>
      <c r="T74" s="243" t="str">
        <f t="shared" si="18"/>
        <v/>
      </c>
      <c r="U74" s="243" t="str">
        <f t="shared" si="18"/>
        <v/>
      </c>
      <c r="V74" s="243" t="str">
        <f t="shared" si="18"/>
        <v/>
      </c>
      <c r="W74" s="243" t="str">
        <f t="shared" si="18"/>
        <v/>
      </c>
      <c r="X74" s="243" t="str">
        <f t="shared" si="18"/>
        <v/>
      </c>
    </row>
    <row r="75" spans="2:24">
      <c r="B75" s="9"/>
      <c r="C75" s="52"/>
      <c r="D75" s="55"/>
      <c r="E75" s="55"/>
      <c r="F75" s="55"/>
      <c r="G75" s="55"/>
      <c r="H75" s="55"/>
      <c r="I75" s="55"/>
      <c r="J75" s="55"/>
      <c r="K75" s="346"/>
      <c r="L75" s="346"/>
      <c r="M75" s="346"/>
      <c r="N75" s="346"/>
      <c r="O75" s="346"/>
      <c r="P75" s="346"/>
      <c r="Q75" s="346"/>
      <c r="R75" s="346"/>
      <c r="S75" s="346"/>
      <c r="T75" s="346"/>
      <c r="U75" s="346"/>
      <c r="V75" s="346"/>
      <c r="W75" s="346"/>
      <c r="X75" s="346"/>
    </row>
    <row r="76" spans="2:24">
      <c r="B76" s="9"/>
      <c r="C76" s="52"/>
      <c r="D76" s="55"/>
      <c r="E76" s="55"/>
      <c r="F76" s="55"/>
      <c r="G76" s="55"/>
      <c r="H76" s="55"/>
      <c r="I76" s="55"/>
      <c r="J76" s="55"/>
      <c r="K76" s="346"/>
      <c r="L76" s="346"/>
      <c r="M76" s="346"/>
      <c r="N76" s="346"/>
      <c r="O76" s="346"/>
      <c r="P76" s="346"/>
      <c r="Q76" s="346"/>
      <c r="R76" s="346"/>
      <c r="S76" s="346"/>
      <c r="T76" s="346"/>
      <c r="U76" s="346"/>
      <c r="V76" s="346"/>
      <c r="W76" s="346"/>
      <c r="X76" s="346"/>
    </row>
    <row r="77" spans="2:24">
      <c r="B77" s="9"/>
      <c r="C77" s="52"/>
      <c r="D77" s="55"/>
      <c r="E77" s="55"/>
      <c r="F77" s="55"/>
      <c r="G77" s="55"/>
      <c r="H77" s="55"/>
      <c r="I77" s="55"/>
      <c r="J77" s="55"/>
      <c r="K77" s="346"/>
      <c r="L77" s="346"/>
      <c r="M77" s="346"/>
      <c r="N77" s="346"/>
      <c r="O77" s="346"/>
      <c r="P77" s="346"/>
      <c r="Q77" s="346"/>
      <c r="R77" s="346"/>
      <c r="S77" s="346"/>
      <c r="T77" s="346"/>
      <c r="U77" s="346"/>
      <c r="V77" s="346"/>
      <c r="W77" s="346"/>
      <c r="X77" s="346"/>
    </row>
    <row r="78" spans="2:24">
      <c r="B78" s="9"/>
      <c r="C78" s="52"/>
      <c r="D78" s="55"/>
      <c r="E78" s="55"/>
      <c r="F78" s="55"/>
      <c r="G78" s="55"/>
      <c r="H78" s="55"/>
      <c r="I78" s="55"/>
      <c r="J78" s="55"/>
      <c r="K78" s="346"/>
      <c r="L78" s="346"/>
      <c r="M78" s="346"/>
      <c r="N78" s="346"/>
      <c r="O78" s="346"/>
      <c r="P78" s="346"/>
      <c r="Q78" s="346"/>
      <c r="R78" s="346"/>
      <c r="S78" s="346"/>
      <c r="T78" s="346"/>
      <c r="U78" s="346"/>
      <c r="V78" s="346"/>
      <c r="W78" s="346"/>
      <c r="X78" s="346"/>
    </row>
    <row r="79" spans="2:24">
      <c r="B79" s="9"/>
      <c r="C79" s="52"/>
      <c r="D79" s="55"/>
      <c r="E79" s="55"/>
      <c r="F79" s="55"/>
      <c r="G79" s="55"/>
      <c r="H79" s="55"/>
      <c r="I79" s="55"/>
      <c r="J79" s="55"/>
      <c r="K79" s="346"/>
      <c r="L79" s="346"/>
      <c r="M79" s="346"/>
      <c r="N79" s="346"/>
      <c r="O79" s="346"/>
      <c r="P79" s="346"/>
      <c r="Q79" s="346"/>
      <c r="R79" s="346"/>
      <c r="S79" s="346"/>
      <c r="T79" s="346"/>
      <c r="U79" s="346"/>
      <c r="V79" s="346"/>
      <c r="W79" s="346"/>
      <c r="X79" s="346"/>
    </row>
    <row r="80" spans="2:24">
      <c r="B80" s="178" t="s">
        <v>275</v>
      </c>
      <c r="C80" s="106"/>
      <c r="D80" s="106"/>
      <c r="E80" s="106"/>
      <c r="F80" s="106"/>
      <c r="G80" s="106"/>
      <c r="H80" s="106"/>
      <c r="I80" s="106"/>
      <c r="J80" s="106"/>
      <c r="K80" s="178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</row>
    <row r="81" spans="2:24">
      <c r="B81" s="19" t="str">
        <f>IF(ISBLANK(B75),"",B75)</f>
        <v/>
      </c>
      <c r="C81" s="19"/>
      <c r="D81" s="19"/>
      <c r="E81" s="19"/>
      <c r="F81" s="19"/>
      <c r="G81" s="19"/>
      <c r="H81" s="19"/>
      <c r="I81" s="19"/>
      <c r="J81" s="19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</row>
    <row r="82" spans="2:24">
      <c r="B82" s="52" t="str">
        <f>IF(ISBLANK(B76),"",B76)</f>
        <v/>
      </c>
      <c r="C82" s="52"/>
      <c r="D82" s="52"/>
      <c r="E82" s="52"/>
      <c r="F82" s="52"/>
      <c r="G82" s="52"/>
      <c r="H82" s="52"/>
      <c r="I82" s="52"/>
      <c r="J82" s="52"/>
      <c r="K82" s="347"/>
      <c r="L82" s="347"/>
      <c r="M82" s="347"/>
      <c r="N82" s="347"/>
      <c r="O82" s="347"/>
      <c r="P82" s="347"/>
      <c r="Q82" s="347"/>
      <c r="R82" s="347"/>
      <c r="S82" s="347"/>
      <c r="T82" s="347"/>
      <c r="U82" s="347"/>
      <c r="V82" s="347"/>
      <c r="W82" s="347"/>
      <c r="X82" s="347"/>
    </row>
    <row r="83" spans="2:24">
      <c r="B83" s="52" t="str">
        <f>IF(ISBLANK(B77),"",B77)</f>
        <v/>
      </c>
      <c r="C83" s="52"/>
      <c r="D83" s="52"/>
      <c r="E83" s="52"/>
      <c r="F83" s="52"/>
      <c r="G83" s="52"/>
      <c r="H83" s="52"/>
      <c r="I83" s="52"/>
      <c r="J83" s="52"/>
      <c r="K83" s="347"/>
      <c r="L83" s="347"/>
      <c r="M83" s="347"/>
      <c r="N83" s="347"/>
      <c r="O83" s="347"/>
      <c r="P83" s="347"/>
      <c r="Q83" s="347"/>
      <c r="R83" s="347"/>
      <c r="S83" s="347"/>
      <c r="T83" s="347"/>
      <c r="U83" s="347"/>
      <c r="V83" s="347"/>
      <c r="W83" s="347"/>
      <c r="X83" s="347"/>
    </row>
    <row r="84" spans="2:24">
      <c r="B84" s="52" t="str">
        <f>IF(ISBLANK(B78),"",B78)</f>
        <v/>
      </c>
      <c r="C84" s="52"/>
      <c r="D84" s="52"/>
      <c r="E84" s="52"/>
      <c r="F84" s="52"/>
      <c r="G84" s="52"/>
      <c r="H84" s="52"/>
      <c r="I84" s="52"/>
      <c r="J84" s="52"/>
      <c r="K84" s="347"/>
      <c r="L84" s="347"/>
      <c r="M84" s="347"/>
      <c r="N84" s="347"/>
      <c r="O84" s="347"/>
      <c r="P84" s="347"/>
      <c r="Q84" s="347"/>
      <c r="R84" s="347"/>
      <c r="S84" s="347"/>
      <c r="T84" s="347"/>
      <c r="U84" s="347"/>
      <c r="V84" s="347"/>
      <c r="W84" s="347"/>
      <c r="X84" s="347"/>
    </row>
    <row r="85" spans="2:24">
      <c r="B85" s="52" t="str">
        <f>IF(ISBLANK(B79),"",B79)</f>
        <v/>
      </c>
      <c r="C85" s="52"/>
      <c r="D85" s="52"/>
      <c r="E85" s="52"/>
      <c r="F85" s="52"/>
      <c r="G85" s="52"/>
      <c r="H85" s="52"/>
      <c r="I85" s="52"/>
      <c r="J85" s="52"/>
      <c r="K85" s="347"/>
      <c r="L85" s="347"/>
      <c r="M85" s="347"/>
      <c r="N85" s="347"/>
      <c r="O85" s="347"/>
      <c r="P85" s="347"/>
      <c r="Q85" s="347"/>
      <c r="R85" s="347"/>
      <c r="S85" s="347"/>
      <c r="T85" s="347"/>
      <c r="U85" s="347"/>
      <c r="V85" s="347"/>
      <c r="W85" s="347"/>
      <c r="X85" s="347"/>
    </row>
    <row r="86" spans="2:24">
      <c r="B86" s="178" t="s">
        <v>279</v>
      </c>
      <c r="C86" s="106"/>
      <c r="D86" s="106"/>
      <c r="E86" s="106"/>
      <c r="F86" s="106"/>
      <c r="G86" s="106"/>
      <c r="H86" s="106"/>
      <c r="I86" s="106"/>
      <c r="J86" s="106"/>
      <c r="K86" s="178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</row>
    <row r="87" spans="2:24">
      <c r="B87" s="19" t="str">
        <f>IF(ISBLANK(B81),"",B81)</f>
        <v/>
      </c>
      <c r="C87" s="19"/>
      <c r="D87" s="19"/>
      <c r="E87" s="19"/>
      <c r="F87" s="19"/>
      <c r="G87" s="19"/>
      <c r="H87" s="19"/>
      <c r="I87" s="19"/>
      <c r="J87" s="19"/>
      <c r="K87" s="95">
        <f t="shared" ref="K87:X87" si="19">ROUND(K81*K75,0)</f>
        <v>0</v>
      </c>
      <c r="L87" s="95">
        <f t="shared" si="19"/>
        <v>0</v>
      </c>
      <c r="M87" s="95">
        <f t="shared" si="19"/>
        <v>0</v>
      </c>
      <c r="N87" s="95">
        <f t="shared" si="19"/>
        <v>0</v>
      </c>
      <c r="O87" s="95">
        <f t="shared" si="19"/>
        <v>0</v>
      </c>
      <c r="P87" s="95">
        <f t="shared" si="19"/>
        <v>0</v>
      </c>
      <c r="Q87" s="95">
        <f t="shared" si="19"/>
        <v>0</v>
      </c>
      <c r="R87" s="95">
        <f t="shared" si="19"/>
        <v>0</v>
      </c>
      <c r="S87" s="95">
        <f t="shared" si="19"/>
        <v>0</v>
      </c>
      <c r="T87" s="95">
        <f t="shared" si="19"/>
        <v>0</v>
      </c>
      <c r="U87" s="95">
        <f t="shared" si="19"/>
        <v>0</v>
      </c>
      <c r="V87" s="95">
        <f t="shared" si="19"/>
        <v>0</v>
      </c>
      <c r="W87" s="95">
        <f t="shared" si="19"/>
        <v>0</v>
      </c>
      <c r="X87" s="95">
        <f t="shared" si="19"/>
        <v>0</v>
      </c>
    </row>
    <row r="88" spans="2:24">
      <c r="B88" s="52" t="str">
        <f>IF(ISBLANK(B82),"",B82)</f>
        <v/>
      </c>
      <c r="C88" s="52"/>
      <c r="D88" s="52"/>
      <c r="E88" s="52"/>
      <c r="F88" s="52"/>
      <c r="G88" s="52"/>
      <c r="H88" s="52"/>
      <c r="I88" s="52"/>
      <c r="J88" s="52"/>
      <c r="K88" s="33">
        <f t="shared" ref="K88:X88" si="20">ROUND(K82*K76,0)</f>
        <v>0</v>
      </c>
      <c r="L88" s="33">
        <f t="shared" si="20"/>
        <v>0</v>
      </c>
      <c r="M88" s="33">
        <f t="shared" si="20"/>
        <v>0</v>
      </c>
      <c r="N88" s="33">
        <f t="shared" si="20"/>
        <v>0</v>
      </c>
      <c r="O88" s="33">
        <f t="shared" si="20"/>
        <v>0</v>
      </c>
      <c r="P88" s="33">
        <f t="shared" si="20"/>
        <v>0</v>
      </c>
      <c r="Q88" s="33">
        <f t="shared" si="20"/>
        <v>0</v>
      </c>
      <c r="R88" s="33">
        <f t="shared" si="20"/>
        <v>0</v>
      </c>
      <c r="S88" s="33">
        <f t="shared" si="20"/>
        <v>0</v>
      </c>
      <c r="T88" s="33">
        <f t="shared" si="20"/>
        <v>0</v>
      </c>
      <c r="U88" s="33">
        <f t="shared" si="20"/>
        <v>0</v>
      </c>
      <c r="V88" s="33">
        <f t="shared" si="20"/>
        <v>0</v>
      </c>
      <c r="W88" s="33">
        <f t="shared" si="20"/>
        <v>0</v>
      </c>
      <c r="X88" s="33">
        <f t="shared" si="20"/>
        <v>0</v>
      </c>
    </row>
    <row r="89" spans="2:24">
      <c r="B89" s="52" t="str">
        <f>IF(ISBLANK(B83),"",B83)</f>
        <v/>
      </c>
      <c r="C89" s="52"/>
      <c r="D89" s="52"/>
      <c r="E89" s="52"/>
      <c r="F89" s="52"/>
      <c r="G89" s="52"/>
      <c r="H89" s="52"/>
      <c r="I89" s="52"/>
      <c r="J89" s="52"/>
      <c r="K89" s="33">
        <f t="shared" ref="K89:X89" si="21">ROUND(K83*K77,0)</f>
        <v>0</v>
      </c>
      <c r="L89" s="33">
        <f t="shared" si="21"/>
        <v>0</v>
      </c>
      <c r="M89" s="33">
        <f t="shared" si="21"/>
        <v>0</v>
      </c>
      <c r="N89" s="33">
        <f t="shared" si="21"/>
        <v>0</v>
      </c>
      <c r="O89" s="33">
        <f t="shared" si="21"/>
        <v>0</v>
      </c>
      <c r="P89" s="33">
        <f t="shared" si="21"/>
        <v>0</v>
      </c>
      <c r="Q89" s="33">
        <f t="shared" si="21"/>
        <v>0</v>
      </c>
      <c r="R89" s="33">
        <f t="shared" si="21"/>
        <v>0</v>
      </c>
      <c r="S89" s="33">
        <f t="shared" si="21"/>
        <v>0</v>
      </c>
      <c r="T89" s="33">
        <f t="shared" si="21"/>
        <v>0</v>
      </c>
      <c r="U89" s="33">
        <f t="shared" si="21"/>
        <v>0</v>
      </c>
      <c r="V89" s="33">
        <f t="shared" si="21"/>
        <v>0</v>
      </c>
      <c r="W89" s="33">
        <f t="shared" si="21"/>
        <v>0</v>
      </c>
      <c r="X89" s="33">
        <f t="shared" si="21"/>
        <v>0</v>
      </c>
    </row>
    <row r="90" spans="2:24">
      <c r="B90" s="52" t="str">
        <f>IF(ISBLANK(B84),"",B84)</f>
        <v/>
      </c>
      <c r="C90" s="52"/>
      <c r="D90" s="52"/>
      <c r="E90" s="52"/>
      <c r="F90" s="52"/>
      <c r="G90" s="52"/>
      <c r="H90" s="52"/>
      <c r="I90" s="52"/>
      <c r="J90" s="52"/>
      <c r="K90" s="33">
        <f t="shared" ref="K90:X90" si="22">ROUND(K84*K78,0)</f>
        <v>0</v>
      </c>
      <c r="L90" s="33">
        <f t="shared" si="22"/>
        <v>0</v>
      </c>
      <c r="M90" s="33">
        <f t="shared" si="22"/>
        <v>0</v>
      </c>
      <c r="N90" s="33">
        <f t="shared" si="22"/>
        <v>0</v>
      </c>
      <c r="O90" s="33">
        <f t="shared" si="22"/>
        <v>0</v>
      </c>
      <c r="P90" s="33">
        <f t="shared" si="22"/>
        <v>0</v>
      </c>
      <c r="Q90" s="33">
        <f t="shared" si="22"/>
        <v>0</v>
      </c>
      <c r="R90" s="33">
        <f t="shared" si="22"/>
        <v>0</v>
      </c>
      <c r="S90" s="33">
        <f t="shared" si="22"/>
        <v>0</v>
      </c>
      <c r="T90" s="33">
        <f t="shared" si="22"/>
        <v>0</v>
      </c>
      <c r="U90" s="33">
        <f t="shared" si="22"/>
        <v>0</v>
      </c>
      <c r="V90" s="33">
        <f t="shared" si="22"/>
        <v>0</v>
      </c>
      <c r="W90" s="33">
        <f t="shared" si="22"/>
        <v>0</v>
      </c>
      <c r="X90" s="33">
        <f t="shared" si="22"/>
        <v>0</v>
      </c>
    </row>
    <row r="91" spans="2:24">
      <c r="B91" s="52" t="str">
        <f>IF(ISBLANK(B85),"",B85)</f>
        <v/>
      </c>
      <c r="C91" s="52"/>
      <c r="D91" s="52"/>
      <c r="E91" s="52"/>
      <c r="F91" s="52"/>
      <c r="G91" s="52"/>
      <c r="H91" s="52"/>
      <c r="I91" s="52"/>
      <c r="J91" s="52"/>
      <c r="K91" s="33">
        <f t="shared" ref="K91:X91" si="23">ROUND(K85*K79,0)</f>
        <v>0</v>
      </c>
      <c r="L91" s="33">
        <f t="shared" si="23"/>
        <v>0</v>
      </c>
      <c r="M91" s="33">
        <f t="shared" si="23"/>
        <v>0</v>
      </c>
      <c r="N91" s="33">
        <f t="shared" si="23"/>
        <v>0</v>
      </c>
      <c r="O91" s="33">
        <f t="shared" si="23"/>
        <v>0</v>
      </c>
      <c r="P91" s="33">
        <f t="shared" si="23"/>
        <v>0</v>
      </c>
      <c r="Q91" s="33">
        <f t="shared" si="23"/>
        <v>0</v>
      </c>
      <c r="R91" s="33">
        <f t="shared" si="23"/>
        <v>0</v>
      </c>
      <c r="S91" s="33">
        <f t="shared" si="23"/>
        <v>0</v>
      </c>
      <c r="T91" s="33">
        <f t="shared" si="23"/>
        <v>0</v>
      </c>
      <c r="U91" s="33">
        <f t="shared" si="23"/>
        <v>0</v>
      </c>
      <c r="V91" s="33">
        <f t="shared" si="23"/>
        <v>0</v>
      </c>
      <c r="W91" s="33">
        <f t="shared" si="23"/>
        <v>0</v>
      </c>
      <c r="X91" s="33">
        <f t="shared" si="23"/>
        <v>0</v>
      </c>
    </row>
    <row r="92" spans="2:24">
      <c r="B92" s="179" t="s">
        <v>280</v>
      </c>
      <c r="C92" s="180"/>
      <c r="D92" s="180"/>
      <c r="E92" s="180"/>
      <c r="F92" s="179"/>
      <c r="G92" s="179"/>
      <c r="H92" s="179"/>
      <c r="I92" s="179"/>
      <c r="J92" s="179"/>
      <c r="K92" s="181">
        <f t="shared" ref="K92:X92" si="24">IF(LataProjekcji&lt;=Koniec,ROUND(SUM(K87:K91),0),0)</f>
        <v>0</v>
      </c>
      <c r="L92" s="181">
        <f t="shared" si="24"/>
        <v>0</v>
      </c>
      <c r="M92" s="181">
        <f t="shared" si="24"/>
        <v>0</v>
      </c>
      <c r="N92" s="181">
        <f t="shared" si="24"/>
        <v>0</v>
      </c>
      <c r="O92" s="181">
        <f t="shared" si="24"/>
        <v>0</v>
      </c>
      <c r="P92" s="181">
        <f t="shared" si="24"/>
        <v>0</v>
      </c>
      <c r="Q92" s="181">
        <f t="shared" si="24"/>
        <v>0</v>
      </c>
      <c r="R92" s="181">
        <f t="shared" si="24"/>
        <v>0</v>
      </c>
      <c r="S92" s="181">
        <f t="shared" si="24"/>
        <v>0</v>
      </c>
      <c r="T92" s="181">
        <f t="shared" si="24"/>
        <v>0</v>
      </c>
      <c r="U92" s="181">
        <f t="shared" si="24"/>
        <v>0</v>
      </c>
      <c r="V92" s="181">
        <f t="shared" si="24"/>
        <v>0</v>
      </c>
      <c r="W92" s="181">
        <f t="shared" si="24"/>
        <v>0</v>
      </c>
      <c r="X92" s="181">
        <f t="shared" si="24"/>
        <v>0</v>
      </c>
    </row>
    <row r="93" spans="2:24">
      <c r="B93" s="7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2:24">
      <c r="B94" s="7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2:24">
      <c r="B95" s="233" t="s">
        <v>281</v>
      </c>
      <c r="C95" s="234"/>
      <c r="D95" s="234"/>
      <c r="E95" s="234"/>
      <c r="F95" s="234"/>
      <c r="G95" s="234"/>
      <c r="H95" s="234"/>
      <c r="I95" s="234"/>
      <c r="J95" s="234"/>
      <c r="K95" s="243" t="str">
        <f t="shared" ref="K95:X95" si="25">LataProjekcji</f>
        <v>Uzupełnij dane</v>
      </c>
      <c r="L95" s="243" t="str">
        <f t="shared" si="25"/>
        <v/>
      </c>
      <c r="M95" s="243" t="str">
        <f t="shared" si="25"/>
        <v/>
      </c>
      <c r="N95" s="243" t="str">
        <f t="shared" si="25"/>
        <v/>
      </c>
      <c r="O95" s="243" t="str">
        <f t="shared" si="25"/>
        <v/>
      </c>
      <c r="P95" s="243" t="str">
        <f t="shared" si="25"/>
        <v/>
      </c>
      <c r="Q95" s="243" t="str">
        <f t="shared" si="25"/>
        <v/>
      </c>
      <c r="R95" s="243" t="str">
        <f t="shared" si="25"/>
        <v/>
      </c>
      <c r="S95" s="243" t="str">
        <f t="shared" si="25"/>
        <v/>
      </c>
      <c r="T95" s="243" t="str">
        <f t="shared" si="25"/>
        <v/>
      </c>
      <c r="U95" s="243" t="str">
        <f t="shared" si="25"/>
        <v/>
      </c>
      <c r="V95" s="243" t="str">
        <f t="shared" si="25"/>
        <v/>
      </c>
      <c r="W95" s="243" t="str">
        <f t="shared" si="25"/>
        <v/>
      </c>
      <c r="X95" s="243" t="str">
        <f t="shared" si="25"/>
        <v/>
      </c>
    </row>
    <row r="96" spans="2:24">
      <c r="B96" s="9"/>
      <c r="C96" s="52"/>
      <c r="D96" s="299"/>
      <c r="E96" s="299"/>
      <c r="F96" s="299"/>
      <c r="G96" s="55"/>
      <c r="H96" s="55"/>
      <c r="I96" s="55"/>
      <c r="J96" s="55"/>
      <c r="K96" s="346"/>
      <c r="L96" s="346"/>
      <c r="M96" s="346"/>
      <c r="N96" s="346"/>
      <c r="O96" s="346"/>
      <c r="P96" s="346"/>
      <c r="Q96" s="346"/>
      <c r="R96" s="346"/>
      <c r="S96" s="346"/>
      <c r="T96" s="346"/>
      <c r="U96" s="346"/>
      <c r="V96" s="346"/>
      <c r="W96" s="346"/>
      <c r="X96" s="346"/>
    </row>
    <row r="97" spans="2:24">
      <c r="B97" s="9"/>
      <c r="C97" s="52"/>
      <c r="D97" s="299"/>
      <c r="E97" s="299"/>
      <c r="F97" s="299"/>
      <c r="G97" s="55"/>
      <c r="H97" s="55"/>
      <c r="I97" s="55"/>
      <c r="J97" s="55"/>
      <c r="K97" s="346"/>
      <c r="L97" s="346"/>
      <c r="M97" s="346"/>
      <c r="N97" s="346"/>
      <c r="O97" s="346"/>
      <c r="P97" s="346"/>
      <c r="Q97" s="346"/>
      <c r="R97" s="346"/>
      <c r="S97" s="346"/>
      <c r="T97" s="346"/>
      <c r="U97" s="346"/>
      <c r="V97" s="346"/>
      <c r="W97" s="346"/>
      <c r="X97" s="346"/>
    </row>
    <row r="98" spans="2:24">
      <c r="B98" s="9"/>
      <c r="C98" s="52"/>
      <c r="D98" s="299"/>
      <c r="E98" s="299"/>
      <c r="F98" s="299"/>
      <c r="G98" s="55"/>
      <c r="H98" s="55"/>
      <c r="I98" s="55"/>
      <c r="J98" s="55"/>
      <c r="K98" s="346"/>
      <c r="L98" s="346"/>
      <c r="M98" s="346"/>
      <c r="N98" s="346"/>
      <c r="O98" s="346"/>
      <c r="P98" s="346"/>
      <c r="Q98" s="346"/>
      <c r="R98" s="346"/>
      <c r="S98" s="346"/>
      <c r="T98" s="346"/>
      <c r="U98" s="346"/>
      <c r="V98" s="346"/>
      <c r="W98" s="346"/>
      <c r="X98" s="346"/>
    </row>
    <row r="99" spans="2:24">
      <c r="B99" s="9"/>
      <c r="C99" s="52"/>
      <c r="D99" s="299"/>
      <c r="E99" s="299"/>
      <c r="F99" s="299"/>
      <c r="G99" s="55"/>
      <c r="H99" s="55"/>
      <c r="I99" s="55"/>
      <c r="J99" s="55"/>
      <c r="K99" s="346"/>
      <c r="L99" s="346"/>
      <c r="M99" s="346"/>
      <c r="N99" s="346"/>
      <c r="O99" s="346"/>
      <c r="P99" s="346"/>
      <c r="Q99" s="346"/>
      <c r="R99" s="346"/>
      <c r="S99" s="346"/>
      <c r="T99" s="346"/>
      <c r="U99" s="346"/>
      <c r="V99" s="346"/>
      <c r="W99" s="346"/>
      <c r="X99" s="346"/>
    </row>
    <row r="100" spans="2:24">
      <c r="B100" s="52" t="s">
        <v>282</v>
      </c>
      <c r="C100" s="52"/>
      <c r="G100" s="52"/>
      <c r="H100" s="52"/>
      <c r="I100" s="52"/>
      <c r="J100" s="52"/>
      <c r="K100" s="33">
        <f>ROUND('Rozliczenie dotacji'!K20,0)</f>
        <v>0</v>
      </c>
      <c r="L100" s="33">
        <f>ROUND('Rozliczenie dotacji'!L20,0)</f>
        <v>0</v>
      </c>
      <c r="M100" s="33">
        <f>ROUND('Rozliczenie dotacji'!M20,0)</f>
        <v>0</v>
      </c>
      <c r="N100" s="33">
        <f>ROUND('Rozliczenie dotacji'!N20,0)</f>
        <v>0</v>
      </c>
      <c r="O100" s="33">
        <f>ROUND('Rozliczenie dotacji'!O20,0)</f>
        <v>0</v>
      </c>
      <c r="P100" s="33">
        <f>ROUND('Rozliczenie dotacji'!P20,0)</f>
        <v>0</v>
      </c>
      <c r="Q100" s="33">
        <f>ROUND('Rozliczenie dotacji'!Q20,0)</f>
        <v>0</v>
      </c>
      <c r="R100" s="33">
        <f>ROUND('Rozliczenie dotacji'!R20,0)</f>
        <v>0</v>
      </c>
      <c r="S100" s="33">
        <f>ROUND('Rozliczenie dotacji'!S20,0)</f>
        <v>0</v>
      </c>
      <c r="T100" s="33">
        <f>ROUND('Rozliczenie dotacji'!T20,0)</f>
        <v>0</v>
      </c>
      <c r="U100" s="33">
        <f>ROUND('Rozliczenie dotacji'!U20,0)</f>
        <v>0</v>
      </c>
      <c r="V100" s="33">
        <f>ROUND('Rozliczenie dotacji'!V20,0)</f>
        <v>0</v>
      </c>
      <c r="W100" s="33">
        <f>ROUND('Rozliczenie dotacji'!W20,0)</f>
        <v>0</v>
      </c>
      <c r="X100" s="33">
        <f>ROUND('Rozliczenie dotacji'!X20,0)</f>
        <v>0</v>
      </c>
    </row>
    <row r="101" spans="2:24">
      <c r="B101" s="179" t="s">
        <v>283</v>
      </c>
      <c r="C101" s="180"/>
      <c r="D101" s="180"/>
      <c r="E101" s="180"/>
      <c r="F101" s="179"/>
      <c r="G101" s="179"/>
      <c r="H101" s="179"/>
      <c r="I101" s="179"/>
      <c r="J101" s="179"/>
      <c r="K101" s="181">
        <f t="shared" ref="K101:X101" si="26">IF(LataProjekcji&lt;=Koniec,ROUND(SUM(K96:K100),0),0)</f>
        <v>0</v>
      </c>
      <c r="L101" s="181">
        <f t="shared" si="26"/>
        <v>0</v>
      </c>
      <c r="M101" s="181">
        <f t="shared" si="26"/>
        <v>0</v>
      </c>
      <c r="N101" s="181">
        <f t="shared" si="26"/>
        <v>0</v>
      </c>
      <c r="O101" s="181">
        <f t="shared" si="26"/>
        <v>0</v>
      </c>
      <c r="P101" s="181">
        <f t="shared" si="26"/>
        <v>0</v>
      </c>
      <c r="Q101" s="181">
        <f t="shared" si="26"/>
        <v>0</v>
      </c>
      <c r="R101" s="181">
        <f t="shared" si="26"/>
        <v>0</v>
      </c>
      <c r="S101" s="181">
        <f t="shared" si="26"/>
        <v>0</v>
      </c>
      <c r="T101" s="181">
        <f t="shared" si="26"/>
        <v>0</v>
      </c>
      <c r="U101" s="181">
        <f t="shared" si="26"/>
        <v>0</v>
      </c>
      <c r="V101" s="181">
        <f t="shared" si="26"/>
        <v>0</v>
      </c>
      <c r="W101" s="181">
        <f t="shared" si="26"/>
        <v>0</v>
      </c>
      <c r="X101" s="181">
        <f t="shared" si="26"/>
        <v>0</v>
      </c>
    </row>
    <row r="102" spans="2:24">
      <c r="B102" s="7"/>
      <c r="F102" s="7"/>
      <c r="G102" s="7"/>
      <c r="H102" s="7"/>
      <c r="I102" s="7"/>
      <c r="J102" s="7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2:24"/>
    <row r="104" spans="2:24">
      <c r="B104" s="233" t="s">
        <v>284</v>
      </c>
      <c r="C104" s="234"/>
      <c r="D104" s="234"/>
      <c r="E104" s="234"/>
      <c r="F104" s="234"/>
      <c r="G104" s="234"/>
      <c r="H104" s="234"/>
      <c r="I104" s="234"/>
      <c r="J104" s="234"/>
      <c r="K104" s="243" t="str">
        <f t="shared" ref="K104:X104" si="27">LataProjekcji</f>
        <v>Uzupełnij dane</v>
      </c>
      <c r="L104" s="243" t="str">
        <f t="shared" si="27"/>
        <v/>
      </c>
      <c r="M104" s="243" t="str">
        <f t="shared" si="27"/>
        <v/>
      </c>
      <c r="N104" s="243" t="str">
        <f t="shared" si="27"/>
        <v/>
      </c>
      <c r="O104" s="243" t="str">
        <f t="shared" si="27"/>
        <v/>
      </c>
      <c r="P104" s="243" t="str">
        <f t="shared" si="27"/>
        <v/>
      </c>
      <c r="Q104" s="243" t="str">
        <f t="shared" si="27"/>
        <v/>
      </c>
      <c r="R104" s="243" t="str">
        <f t="shared" si="27"/>
        <v/>
      </c>
      <c r="S104" s="243" t="str">
        <f t="shared" si="27"/>
        <v/>
      </c>
      <c r="T104" s="243" t="str">
        <f t="shared" si="27"/>
        <v/>
      </c>
      <c r="U104" s="243" t="str">
        <f t="shared" si="27"/>
        <v/>
      </c>
      <c r="V104" s="243" t="str">
        <f t="shared" si="27"/>
        <v/>
      </c>
      <c r="W104" s="243" t="str">
        <f t="shared" si="27"/>
        <v/>
      </c>
      <c r="X104" s="243" t="str">
        <f t="shared" si="27"/>
        <v/>
      </c>
    </row>
    <row r="105" spans="2:24">
      <c r="B105" s="19" t="s">
        <v>285</v>
      </c>
      <c r="C105" s="52"/>
      <c r="G105" s="19"/>
      <c r="H105" s="19"/>
      <c r="I105" s="19"/>
      <c r="J105" s="19"/>
      <c r="K105" s="95">
        <f>ROUND(Finansowanie!K29,0)</f>
        <v>0</v>
      </c>
      <c r="L105" s="95">
        <f ca="1">ROUND(Finansowanie!L29,0)</f>
        <v>0</v>
      </c>
      <c r="M105" s="95">
        <f ca="1">ROUND(Finansowanie!M29,0)</f>
        <v>0</v>
      </c>
      <c r="N105" s="95">
        <f ca="1">ROUND(Finansowanie!N29,0)</f>
        <v>0</v>
      </c>
      <c r="O105" s="95">
        <f ca="1">ROUND(Finansowanie!O29,0)</f>
        <v>0</v>
      </c>
      <c r="P105" s="95">
        <f ca="1">ROUND(Finansowanie!P29,0)</f>
        <v>0</v>
      </c>
      <c r="Q105" s="95">
        <f ca="1">ROUND(Finansowanie!Q29,0)</f>
        <v>0</v>
      </c>
      <c r="R105" s="95">
        <f ca="1">ROUND(Finansowanie!R29,0)</f>
        <v>0</v>
      </c>
      <c r="S105" s="95">
        <f ca="1">ROUND(Finansowanie!S29,0)</f>
        <v>0</v>
      </c>
      <c r="T105" s="95">
        <f ca="1">ROUND(Finansowanie!T29,0)</f>
        <v>0</v>
      </c>
      <c r="U105" s="95">
        <f ca="1">ROUND(Finansowanie!U29,0)</f>
        <v>0</v>
      </c>
      <c r="V105" s="95">
        <f ca="1">ROUND(Finansowanie!V29,0)</f>
        <v>0</v>
      </c>
      <c r="W105" s="95">
        <f ca="1">ROUND(Finansowanie!W29,0)</f>
        <v>0</v>
      </c>
      <c r="X105" s="95">
        <f ca="1">ROUND(Finansowanie!X29,0)</f>
        <v>0</v>
      </c>
    </row>
    <row r="106" spans="2:24">
      <c r="B106" s="52" t="s">
        <v>286</v>
      </c>
      <c r="C106" s="52"/>
      <c r="G106" s="52"/>
      <c r="H106" s="52"/>
      <c r="I106" s="52"/>
      <c r="J106" s="52"/>
      <c r="K106" s="33">
        <f>ROUND(Finansowanie!K38,2)</f>
        <v>0</v>
      </c>
      <c r="L106" s="33">
        <f>ROUND(Finansowanie!L38,2)</f>
        <v>0</v>
      </c>
      <c r="M106" s="33">
        <f>ROUND(Finansowanie!M38,2)</f>
        <v>0</v>
      </c>
      <c r="N106" s="33">
        <f>ROUND(Finansowanie!N38,2)</f>
        <v>0</v>
      </c>
      <c r="O106" s="33">
        <f>ROUND(Finansowanie!O38,2)</f>
        <v>0</v>
      </c>
      <c r="P106" s="33">
        <f>ROUND(Finansowanie!P38,2)</f>
        <v>0</v>
      </c>
      <c r="Q106" s="33">
        <f>ROUND(Finansowanie!Q38,2)</f>
        <v>0</v>
      </c>
      <c r="R106" s="33">
        <f>ROUND(Finansowanie!R38,2)</f>
        <v>0</v>
      </c>
      <c r="S106" s="33">
        <f>ROUND(Finansowanie!S38,2)</f>
        <v>0</v>
      </c>
      <c r="T106" s="33">
        <f>ROUND(Finansowanie!T38,2)</f>
        <v>0</v>
      </c>
      <c r="U106" s="33">
        <f>ROUND(Finansowanie!U38,2)</f>
        <v>0</v>
      </c>
      <c r="V106" s="33">
        <f>ROUND(Finansowanie!V38,2)</f>
        <v>0</v>
      </c>
      <c r="W106" s="33">
        <f>ROUND(Finansowanie!W38,2)</f>
        <v>0</v>
      </c>
      <c r="X106" s="33">
        <f>ROUND(Finansowanie!X38,2)</f>
        <v>0</v>
      </c>
    </row>
    <row r="107" spans="2:24">
      <c r="B107" s="9"/>
      <c r="C107" s="52"/>
      <c r="D107" s="299"/>
      <c r="E107" s="299"/>
      <c r="F107" s="299"/>
      <c r="G107" s="55"/>
      <c r="H107" s="55"/>
      <c r="I107" s="55"/>
      <c r="J107" s="55"/>
      <c r="K107" s="346"/>
      <c r="L107" s="346"/>
      <c r="M107" s="346"/>
      <c r="N107" s="346"/>
      <c r="O107" s="346"/>
      <c r="P107" s="346"/>
      <c r="Q107" s="346"/>
      <c r="R107" s="346"/>
      <c r="S107" s="346"/>
      <c r="T107" s="346"/>
      <c r="U107" s="346"/>
      <c r="V107" s="346"/>
      <c r="W107" s="346"/>
      <c r="X107" s="346"/>
    </row>
    <row r="108" spans="2:24">
      <c r="B108" s="9"/>
      <c r="C108" s="52"/>
      <c r="D108" s="299"/>
      <c r="E108" s="299"/>
      <c r="F108" s="299"/>
      <c r="G108" s="55"/>
      <c r="H108" s="55"/>
      <c r="I108" s="55"/>
      <c r="J108" s="55"/>
      <c r="K108" s="346"/>
      <c r="L108" s="346"/>
      <c r="M108" s="346"/>
      <c r="N108" s="346"/>
      <c r="O108" s="346"/>
      <c r="P108" s="346"/>
      <c r="Q108" s="346"/>
      <c r="R108" s="346"/>
      <c r="S108" s="346"/>
      <c r="T108" s="346"/>
      <c r="U108" s="346"/>
      <c r="V108" s="346"/>
      <c r="W108" s="346"/>
      <c r="X108" s="346"/>
    </row>
    <row r="109" spans="2:24">
      <c r="B109" s="182"/>
      <c r="C109" s="52"/>
      <c r="D109" s="299"/>
      <c r="E109" s="299"/>
      <c r="F109" s="299"/>
      <c r="G109" s="183"/>
      <c r="H109" s="183"/>
      <c r="I109" s="183"/>
      <c r="J109" s="183"/>
      <c r="K109" s="349"/>
      <c r="L109" s="349"/>
      <c r="M109" s="349"/>
      <c r="N109" s="349"/>
      <c r="O109" s="349"/>
      <c r="P109" s="349"/>
      <c r="Q109" s="349"/>
      <c r="R109" s="349"/>
      <c r="S109" s="349"/>
      <c r="T109" s="349"/>
      <c r="U109" s="349"/>
      <c r="V109" s="349"/>
      <c r="W109" s="349"/>
      <c r="X109" s="349"/>
    </row>
    <row r="110" spans="2:24">
      <c r="B110" s="179" t="s">
        <v>287</v>
      </c>
      <c r="C110" s="180"/>
      <c r="D110" s="180"/>
      <c r="E110" s="180"/>
      <c r="F110" s="179"/>
      <c r="G110" s="179"/>
      <c r="H110" s="179"/>
      <c r="I110" s="179"/>
      <c r="J110" s="179"/>
      <c r="K110" s="181">
        <f t="shared" ref="K110:X110" si="28">IF(LataProjekcji&lt;=Koniec,ROUND(SUM(K105:K109),0),0)</f>
        <v>0</v>
      </c>
      <c r="L110" s="181">
        <f t="shared" ca="1" si="28"/>
        <v>0</v>
      </c>
      <c r="M110" s="181">
        <f t="shared" ca="1" si="28"/>
        <v>0</v>
      </c>
      <c r="N110" s="181">
        <f t="shared" ca="1" si="28"/>
        <v>0</v>
      </c>
      <c r="O110" s="181">
        <f t="shared" ca="1" si="28"/>
        <v>0</v>
      </c>
      <c r="P110" s="181">
        <f t="shared" ca="1" si="28"/>
        <v>0</v>
      </c>
      <c r="Q110" s="181">
        <f t="shared" ca="1" si="28"/>
        <v>0</v>
      </c>
      <c r="R110" s="181">
        <f t="shared" ca="1" si="28"/>
        <v>0</v>
      </c>
      <c r="S110" s="181">
        <f t="shared" ca="1" si="28"/>
        <v>0</v>
      </c>
      <c r="T110" s="181">
        <f t="shared" ca="1" si="28"/>
        <v>0</v>
      </c>
      <c r="U110" s="181">
        <f t="shared" ca="1" si="28"/>
        <v>0</v>
      </c>
      <c r="V110" s="181">
        <f t="shared" ca="1" si="28"/>
        <v>0</v>
      </c>
      <c r="W110" s="181">
        <f t="shared" ca="1" si="28"/>
        <v>0</v>
      </c>
      <c r="X110" s="181">
        <f t="shared" ca="1" si="28"/>
        <v>0</v>
      </c>
    </row>
    <row r="111" spans="2:24"/>
    <row r="112" spans="2:24"/>
    <row r="113" spans="2:24">
      <c r="B113" s="29" t="s">
        <v>288</v>
      </c>
      <c r="C113" s="30"/>
      <c r="D113" s="30"/>
      <c r="E113" s="30"/>
      <c r="F113" s="30"/>
      <c r="G113" s="30"/>
      <c r="H113" s="30"/>
      <c r="I113" s="30"/>
      <c r="J113" s="30"/>
      <c r="K113" s="177" t="str">
        <f t="shared" ref="K113:X113" si="29">LataProjekcji</f>
        <v>Uzupełnij dane</v>
      </c>
      <c r="L113" s="177" t="str">
        <f t="shared" si="29"/>
        <v/>
      </c>
      <c r="M113" s="177" t="str">
        <f t="shared" si="29"/>
        <v/>
      </c>
      <c r="N113" s="177" t="str">
        <f t="shared" si="29"/>
        <v/>
      </c>
      <c r="O113" s="177" t="str">
        <f t="shared" si="29"/>
        <v/>
      </c>
      <c r="P113" s="177" t="str">
        <f t="shared" si="29"/>
        <v/>
      </c>
      <c r="Q113" s="177" t="str">
        <f t="shared" si="29"/>
        <v/>
      </c>
      <c r="R113" s="177" t="str">
        <f t="shared" si="29"/>
        <v/>
      </c>
      <c r="S113" s="177" t="str">
        <f t="shared" si="29"/>
        <v/>
      </c>
      <c r="T113" s="177" t="str">
        <f t="shared" si="29"/>
        <v/>
      </c>
      <c r="U113" s="177" t="str">
        <f t="shared" si="29"/>
        <v/>
      </c>
      <c r="V113" s="177" t="str">
        <f t="shared" si="29"/>
        <v/>
      </c>
      <c r="W113" s="177" t="str">
        <f t="shared" si="29"/>
        <v/>
      </c>
      <c r="X113" s="177" t="str">
        <f t="shared" si="29"/>
        <v/>
      </c>
    </row>
    <row r="114" spans="2:24">
      <c r="B114" s="19" t="s">
        <v>289</v>
      </c>
      <c r="C114" s="19"/>
      <c r="D114" s="19"/>
      <c r="E114" s="19"/>
      <c r="F114" s="19"/>
      <c r="G114" s="19"/>
      <c r="H114" s="19"/>
      <c r="I114" s="19"/>
      <c r="J114" s="19"/>
      <c r="K114" s="95">
        <f>ROUND(K32,0)</f>
        <v>0</v>
      </c>
      <c r="L114" s="95">
        <f t="shared" ref="L114:X114" si="30">ROUND(L32,0)</f>
        <v>0</v>
      </c>
      <c r="M114" s="95">
        <f t="shared" si="30"/>
        <v>0</v>
      </c>
      <c r="N114" s="95">
        <f t="shared" si="30"/>
        <v>0</v>
      </c>
      <c r="O114" s="95">
        <f t="shared" si="30"/>
        <v>0</v>
      </c>
      <c r="P114" s="95">
        <f t="shared" si="30"/>
        <v>0</v>
      </c>
      <c r="Q114" s="95">
        <f t="shared" si="30"/>
        <v>0</v>
      </c>
      <c r="R114" s="95">
        <f t="shared" si="30"/>
        <v>0</v>
      </c>
      <c r="S114" s="95">
        <f t="shared" si="30"/>
        <v>0</v>
      </c>
      <c r="T114" s="95">
        <f t="shared" si="30"/>
        <v>0</v>
      </c>
      <c r="U114" s="95">
        <f t="shared" si="30"/>
        <v>0</v>
      </c>
      <c r="V114" s="95">
        <f t="shared" si="30"/>
        <v>0</v>
      </c>
      <c r="W114" s="95">
        <f t="shared" si="30"/>
        <v>0</v>
      </c>
      <c r="X114" s="95">
        <f t="shared" si="30"/>
        <v>0</v>
      </c>
    </row>
    <row r="115" spans="2:24">
      <c r="B115" s="52" t="s">
        <v>290</v>
      </c>
      <c r="C115" s="52"/>
      <c r="D115" s="52"/>
      <c r="E115" s="52"/>
      <c r="F115" s="52"/>
      <c r="G115" s="52"/>
      <c r="H115" s="52"/>
      <c r="I115" s="52"/>
      <c r="J115" s="52"/>
      <c r="K115" s="33">
        <f>ROUND(K41,0)</f>
        <v>0</v>
      </c>
      <c r="L115" s="33">
        <f t="shared" ref="L115:X115" si="31">ROUND(L41,0)</f>
        <v>0</v>
      </c>
      <c r="M115" s="33">
        <f t="shared" si="31"/>
        <v>0</v>
      </c>
      <c r="N115" s="33">
        <f t="shared" si="31"/>
        <v>0</v>
      </c>
      <c r="O115" s="33">
        <f t="shared" si="31"/>
        <v>0</v>
      </c>
      <c r="P115" s="33">
        <f t="shared" si="31"/>
        <v>0</v>
      </c>
      <c r="Q115" s="33">
        <f t="shared" si="31"/>
        <v>0</v>
      </c>
      <c r="R115" s="33">
        <f t="shared" si="31"/>
        <v>0</v>
      </c>
      <c r="S115" s="33">
        <f t="shared" si="31"/>
        <v>0</v>
      </c>
      <c r="T115" s="33">
        <f t="shared" si="31"/>
        <v>0</v>
      </c>
      <c r="U115" s="33">
        <f t="shared" si="31"/>
        <v>0</v>
      </c>
      <c r="V115" s="33">
        <f t="shared" si="31"/>
        <v>0</v>
      </c>
      <c r="W115" s="33">
        <f t="shared" si="31"/>
        <v>0</v>
      </c>
      <c r="X115" s="33">
        <f t="shared" si="31"/>
        <v>0</v>
      </c>
    </row>
    <row r="116" spans="2:24">
      <c r="B116" s="1" t="s">
        <v>272</v>
      </c>
      <c r="K116" s="5">
        <f>ROUND(K50,0)</f>
        <v>0</v>
      </c>
      <c r="L116" s="5">
        <f t="shared" ref="L116:X116" si="32">ROUND(L50,0)</f>
        <v>0</v>
      </c>
      <c r="M116" s="5">
        <f t="shared" si="32"/>
        <v>0</v>
      </c>
      <c r="N116" s="5">
        <f t="shared" si="32"/>
        <v>0</v>
      </c>
      <c r="O116" s="5">
        <f t="shared" si="32"/>
        <v>0</v>
      </c>
      <c r="P116" s="5">
        <f t="shared" si="32"/>
        <v>0</v>
      </c>
      <c r="Q116" s="5">
        <f t="shared" si="32"/>
        <v>0</v>
      </c>
      <c r="R116" s="5">
        <f t="shared" si="32"/>
        <v>0</v>
      </c>
      <c r="S116" s="5">
        <f t="shared" si="32"/>
        <v>0</v>
      </c>
      <c r="T116" s="5">
        <f t="shared" si="32"/>
        <v>0</v>
      </c>
      <c r="U116" s="5">
        <f t="shared" si="32"/>
        <v>0</v>
      </c>
      <c r="V116" s="5">
        <f t="shared" si="32"/>
        <v>0</v>
      </c>
      <c r="W116" s="5">
        <f t="shared" si="32"/>
        <v>0</v>
      </c>
      <c r="X116" s="5">
        <f t="shared" si="32"/>
        <v>0</v>
      </c>
    </row>
    <row r="117" spans="2:24">
      <c r="B117" s="90" t="s">
        <v>291</v>
      </c>
      <c r="C117" s="90"/>
      <c r="D117" s="90"/>
      <c r="E117" s="90"/>
      <c r="F117" s="90"/>
      <c r="G117" s="90"/>
      <c r="H117" s="90"/>
      <c r="I117" s="90"/>
      <c r="J117" s="90"/>
      <c r="K117" s="91">
        <f>ROUND(K71,0)</f>
        <v>0</v>
      </c>
      <c r="L117" s="91">
        <f t="shared" ref="L117:X117" si="33">ROUND(L71,0)</f>
        <v>0</v>
      </c>
      <c r="M117" s="91">
        <f t="shared" si="33"/>
        <v>0</v>
      </c>
      <c r="N117" s="91">
        <f t="shared" si="33"/>
        <v>0</v>
      </c>
      <c r="O117" s="91">
        <f t="shared" si="33"/>
        <v>0</v>
      </c>
      <c r="P117" s="91">
        <f t="shared" si="33"/>
        <v>0</v>
      </c>
      <c r="Q117" s="91">
        <f t="shared" si="33"/>
        <v>0</v>
      </c>
      <c r="R117" s="91">
        <f t="shared" si="33"/>
        <v>0</v>
      </c>
      <c r="S117" s="91">
        <f t="shared" si="33"/>
        <v>0</v>
      </c>
      <c r="T117" s="91">
        <f t="shared" si="33"/>
        <v>0</v>
      </c>
      <c r="U117" s="91">
        <f t="shared" si="33"/>
        <v>0</v>
      </c>
      <c r="V117" s="91">
        <f t="shared" si="33"/>
        <v>0</v>
      </c>
      <c r="W117" s="91">
        <f t="shared" si="33"/>
        <v>0</v>
      </c>
      <c r="X117" s="91">
        <f t="shared" si="33"/>
        <v>0</v>
      </c>
    </row>
    <row r="118" spans="2:24">
      <c r="B118" s="99" t="s">
        <v>292</v>
      </c>
      <c r="C118" s="97"/>
      <c r="D118" s="97"/>
      <c r="E118" s="97"/>
      <c r="F118" s="97"/>
      <c r="G118" s="97"/>
      <c r="H118" s="97"/>
      <c r="I118" s="97"/>
      <c r="J118" s="97"/>
      <c r="K118" s="98">
        <f>ROUND(SUM(K114:K117),0)</f>
        <v>0</v>
      </c>
      <c r="L118" s="98">
        <f t="shared" ref="L118:X118" si="34">ROUND(SUM(L114:L117),0)</f>
        <v>0</v>
      </c>
      <c r="M118" s="98">
        <f t="shared" si="34"/>
        <v>0</v>
      </c>
      <c r="N118" s="98">
        <f t="shared" si="34"/>
        <v>0</v>
      </c>
      <c r="O118" s="98">
        <f t="shared" si="34"/>
        <v>0</v>
      </c>
      <c r="P118" s="98">
        <f t="shared" si="34"/>
        <v>0</v>
      </c>
      <c r="Q118" s="98">
        <f t="shared" si="34"/>
        <v>0</v>
      </c>
      <c r="R118" s="98">
        <f t="shared" si="34"/>
        <v>0</v>
      </c>
      <c r="S118" s="98">
        <f t="shared" si="34"/>
        <v>0</v>
      </c>
      <c r="T118" s="98">
        <f t="shared" si="34"/>
        <v>0</v>
      </c>
      <c r="U118" s="98">
        <f t="shared" si="34"/>
        <v>0</v>
      </c>
      <c r="V118" s="98">
        <f t="shared" si="34"/>
        <v>0</v>
      </c>
      <c r="W118" s="98">
        <f t="shared" si="34"/>
        <v>0</v>
      </c>
      <c r="X118" s="98">
        <f t="shared" si="34"/>
        <v>0</v>
      </c>
    </row>
    <row r="119" spans="2:24">
      <c r="B119" s="1" t="s">
        <v>293</v>
      </c>
      <c r="K119" s="5">
        <f>ROUND(K92,0)</f>
        <v>0</v>
      </c>
      <c r="L119" s="5">
        <f t="shared" ref="L119:X119" si="35">ROUND(L92,0)</f>
        <v>0</v>
      </c>
      <c r="M119" s="5">
        <f t="shared" si="35"/>
        <v>0</v>
      </c>
      <c r="N119" s="5">
        <f t="shared" si="35"/>
        <v>0</v>
      </c>
      <c r="O119" s="5">
        <f t="shared" si="35"/>
        <v>0</v>
      </c>
      <c r="P119" s="5">
        <f t="shared" si="35"/>
        <v>0</v>
      </c>
      <c r="Q119" s="5">
        <f t="shared" si="35"/>
        <v>0</v>
      </c>
      <c r="R119" s="5">
        <f t="shared" si="35"/>
        <v>0</v>
      </c>
      <c r="S119" s="5">
        <f t="shared" si="35"/>
        <v>0</v>
      </c>
      <c r="T119" s="5">
        <f t="shared" si="35"/>
        <v>0</v>
      </c>
      <c r="U119" s="5">
        <f t="shared" si="35"/>
        <v>0</v>
      </c>
      <c r="V119" s="5">
        <f t="shared" si="35"/>
        <v>0</v>
      </c>
      <c r="W119" s="5">
        <f t="shared" si="35"/>
        <v>0</v>
      </c>
      <c r="X119" s="5">
        <f t="shared" si="35"/>
        <v>0</v>
      </c>
    </row>
    <row r="120" spans="2:24">
      <c r="B120" s="99" t="s">
        <v>281</v>
      </c>
      <c r="C120" s="97"/>
      <c r="D120" s="97"/>
      <c r="E120" s="97"/>
      <c r="F120" s="97"/>
      <c r="G120" s="97"/>
      <c r="H120" s="97"/>
      <c r="I120" s="97"/>
      <c r="J120" s="97"/>
      <c r="K120" s="98">
        <f>ROUND(K101,0)</f>
        <v>0</v>
      </c>
      <c r="L120" s="98">
        <f t="shared" ref="L120:X120" si="36">ROUND(L101,0)</f>
        <v>0</v>
      </c>
      <c r="M120" s="98">
        <f t="shared" si="36"/>
        <v>0</v>
      </c>
      <c r="N120" s="98">
        <f t="shared" si="36"/>
        <v>0</v>
      </c>
      <c r="O120" s="98">
        <f t="shared" si="36"/>
        <v>0</v>
      </c>
      <c r="P120" s="98">
        <f t="shared" si="36"/>
        <v>0</v>
      </c>
      <c r="Q120" s="98">
        <f t="shared" si="36"/>
        <v>0</v>
      </c>
      <c r="R120" s="98">
        <f t="shared" si="36"/>
        <v>0</v>
      </c>
      <c r="S120" s="98">
        <f t="shared" si="36"/>
        <v>0</v>
      </c>
      <c r="T120" s="98">
        <f t="shared" si="36"/>
        <v>0</v>
      </c>
      <c r="U120" s="98">
        <f t="shared" si="36"/>
        <v>0</v>
      </c>
      <c r="V120" s="98">
        <f t="shared" si="36"/>
        <v>0</v>
      </c>
      <c r="W120" s="98">
        <f t="shared" si="36"/>
        <v>0</v>
      </c>
      <c r="X120" s="98">
        <f t="shared" si="36"/>
        <v>0</v>
      </c>
    </row>
    <row r="121" spans="2:24">
      <c r="B121" s="99" t="s">
        <v>284</v>
      </c>
      <c r="C121" s="97"/>
      <c r="D121" s="97"/>
      <c r="E121" s="97"/>
      <c r="F121" s="97"/>
      <c r="G121" s="97"/>
      <c r="H121" s="97"/>
      <c r="I121" s="97"/>
      <c r="J121" s="97"/>
      <c r="K121" s="98">
        <f>ROUND(K110,0)</f>
        <v>0</v>
      </c>
      <c r="L121" s="98">
        <f t="shared" ref="L121:X121" ca="1" si="37">ROUND(L110,0)</f>
        <v>0</v>
      </c>
      <c r="M121" s="98">
        <f t="shared" ca="1" si="37"/>
        <v>0</v>
      </c>
      <c r="N121" s="98">
        <f t="shared" ca="1" si="37"/>
        <v>0</v>
      </c>
      <c r="O121" s="98">
        <f t="shared" ca="1" si="37"/>
        <v>0</v>
      </c>
      <c r="P121" s="98">
        <f t="shared" ca="1" si="37"/>
        <v>0</v>
      </c>
      <c r="Q121" s="98">
        <f t="shared" ca="1" si="37"/>
        <v>0</v>
      </c>
      <c r="R121" s="98">
        <f t="shared" ca="1" si="37"/>
        <v>0</v>
      </c>
      <c r="S121" s="98">
        <f t="shared" ca="1" si="37"/>
        <v>0</v>
      </c>
      <c r="T121" s="98">
        <f t="shared" ca="1" si="37"/>
        <v>0</v>
      </c>
      <c r="U121" s="98">
        <f t="shared" ca="1" si="37"/>
        <v>0</v>
      </c>
      <c r="V121" s="98">
        <f t="shared" ca="1" si="37"/>
        <v>0</v>
      </c>
      <c r="W121" s="98">
        <f t="shared" ca="1" si="37"/>
        <v>0</v>
      </c>
      <c r="X121" s="98">
        <f t="shared" ca="1" si="37"/>
        <v>0</v>
      </c>
    </row>
    <row r="122" spans="2:24"/>
    <row r="123" spans="2:24"/>
    <row r="124" spans="2:24" ht="14.4">
      <c r="B124" s="32" t="s">
        <v>294</v>
      </c>
      <c r="C124" s="32"/>
      <c r="D124" s="32"/>
      <c r="E124" s="32"/>
      <c r="F124" s="32"/>
      <c r="G124" s="32">
        <f ca="1">G12</f>
        <v>0</v>
      </c>
      <c r="H124" s="32">
        <f ca="1">H12</f>
        <v>0</v>
      </c>
      <c r="I124" s="32">
        <f ca="1">I12</f>
        <v>0</v>
      </c>
      <c r="J124" s="47" t="str">
        <f>J12</f>
        <v/>
      </c>
      <c r="K124" s="32" t="str">
        <f t="shared" ref="K124:X124" si="38">LataProjekcji</f>
        <v>Uzupełnij dane</v>
      </c>
      <c r="L124" s="32" t="str">
        <f t="shared" si="38"/>
        <v/>
      </c>
      <c r="M124" s="32" t="str">
        <f t="shared" si="38"/>
        <v/>
      </c>
      <c r="N124" s="32" t="str">
        <f t="shared" si="38"/>
        <v/>
      </c>
      <c r="O124" s="32" t="str">
        <f t="shared" si="38"/>
        <v/>
      </c>
      <c r="P124" s="32" t="str">
        <f t="shared" si="38"/>
        <v/>
      </c>
      <c r="Q124" s="32" t="str">
        <f t="shared" si="38"/>
        <v/>
      </c>
      <c r="R124" s="32" t="str">
        <f t="shared" si="38"/>
        <v/>
      </c>
      <c r="S124" s="32" t="str">
        <f t="shared" si="38"/>
        <v/>
      </c>
      <c r="T124" s="32" t="str">
        <f t="shared" si="38"/>
        <v/>
      </c>
      <c r="U124" s="32" t="str">
        <f t="shared" si="38"/>
        <v/>
      </c>
      <c r="V124" s="32" t="str">
        <f t="shared" si="38"/>
        <v/>
      </c>
      <c r="W124" s="32" t="str">
        <f t="shared" si="38"/>
        <v/>
      </c>
      <c r="X124" s="32" t="str">
        <f t="shared" si="38"/>
        <v/>
      </c>
    </row>
    <row r="125" spans="2:24"/>
    <row r="126" spans="2:24">
      <c r="B126" s="236" t="s">
        <v>295</v>
      </c>
      <c r="C126" s="232" t="s">
        <v>296</v>
      </c>
      <c r="D126" s="236"/>
      <c r="E126" s="236"/>
      <c r="F126" s="231"/>
      <c r="G126" s="231"/>
      <c r="H126" s="231"/>
      <c r="I126" s="231"/>
      <c r="J126" s="231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</row>
    <row r="127" spans="2:24">
      <c r="B127" s="297"/>
      <c r="C127" s="307"/>
      <c r="D127" s="55"/>
      <c r="E127" s="298"/>
      <c r="F127" s="298"/>
      <c r="G127" s="298"/>
      <c r="H127" s="298"/>
      <c r="I127" s="298"/>
      <c r="J127" s="298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</row>
    <row r="128" spans="2:24">
      <c r="B128" s="9"/>
      <c r="C128" s="307"/>
      <c r="E128" s="55"/>
      <c r="F128" s="55"/>
      <c r="G128" s="55"/>
      <c r="H128" s="55"/>
      <c r="I128" s="55"/>
      <c r="J128" s="55"/>
      <c r="K128" s="346"/>
      <c r="L128" s="346"/>
      <c r="M128" s="346"/>
      <c r="N128" s="346"/>
      <c r="O128" s="346"/>
      <c r="P128" s="346"/>
      <c r="Q128" s="346"/>
      <c r="R128" s="346"/>
      <c r="S128" s="346"/>
      <c r="T128" s="346"/>
      <c r="U128" s="346"/>
      <c r="V128" s="346"/>
      <c r="W128" s="346"/>
      <c r="X128" s="346"/>
    </row>
    <row r="129" spans="2:24">
      <c r="B129" s="9"/>
      <c r="C129" s="307"/>
      <c r="D129" s="55"/>
      <c r="E129" s="55"/>
      <c r="F129" s="55"/>
      <c r="G129" s="55"/>
      <c r="H129" s="55"/>
      <c r="I129" s="55"/>
      <c r="J129" s="55"/>
      <c r="K129" s="346"/>
      <c r="L129" s="346"/>
      <c r="M129" s="346"/>
      <c r="N129" s="346"/>
      <c r="O129" s="346"/>
      <c r="P129" s="346"/>
      <c r="Q129" s="346"/>
      <c r="R129" s="346"/>
      <c r="S129" s="346"/>
      <c r="T129" s="346"/>
      <c r="U129" s="346"/>
      <c r="V129" s="346"/>
      <c r="W129" s="346"/>
      <c r="X129" s="346"/>
    </row>
    <row r="130" spans="2:24">
      <c r="B130" s="9"/>
      <c r="C130" s="307"/>
      <c r="D130" s="55"/>
      <c r="E130" s="55"/>
      <c r="F130" s="55"/>
      <c r="G130" s="55"/>
      <c r="H130" s="55"/>
      <c r="I130" s="55"/>
      <c r="J130" s="55"/>
      <c r="K130" s="346"/>
      <c r="L130" s="346"/>
      <c r="M130" s="346"/>
      <c r="N130" s="346"/>
      <c r="O130" s="346"/>
      <c r="P130" s="346"/>
      <c r="Q130" s="346"/>
      <c r="R130" s="346"/>
      <c r="S130" s="346"/>
      <c r="T130" s="346"/>
      <c r="U130" s="346"/>
      <c r="V130" s="346"/>
      <c r="W130" s="346"/>
      <c r="X130" s="346"/>
    </row>
    <row r="131" spans="2:24">
      <c r="B131" s="9"/>
      <c r="C131" s="307"/>
      <c r="D131" s="55"/>
      <c r="E131" s="55"/>
      <c r="F131" s="55"/>
      <c r="G131" s="55"/>
      <c r="H131" s="55"/>
      <c r="I131" s="55"/>
      <c r="J131" s="55"/>
      <c r="K131" s="346"/>
      <c r="L131" s="346"/>
      <c r="M131" s="346"/>
      <c r="N131" s="346"/>
      <c r="O131" s="346"/>
      <c r="P131" s="346"/>
      <c r="Q131" s="346"/>
      <c r="R131" s="346"/>
      <c r="S131" s="346"/>
      <c r="T131" s="346"/>
      <c r="U131" s="346"/>
      <c r="V131" s="346"/>
      <c r="W131" s="346"/>
      <c r="X131" s="346"/>
    </row>
    <row r="132" spans="2:24">
      <c r="B132" s="9"/>
      <c r="C132" s="307"/>
      <c r="D132" s="55"/>
      <c r="E132" s="55"/>
      <c r="F132" s="55"/>
      <c r="G132" s="55"/>
      <c r="H132" s="55"/>
      <c r="I132" s="55"/>
      <c r="J132" s="55"/>
      <c r="K132" s="346"/>
      <c r="L132" s="346"/>
      <c r="M132" s="346"/>
      <c r="N132" s="346"/>
      <c r="O132" s="346"/>
      <c r="P132" s="346"/>
      <c r="Q132" s="346"/>
      <c r="R132" s="346"/>
      <c r="S132" s="346"/>
      <c r="T132" s="346"/>
      <c r="U132" s="346"/>
      <c r="V132" s="346"/>
      <c r="W132" s="346"/>
      <c r="X132" s="346"/>
    </row>
    <row r="133" spans="2:24">
      <c r="B133" s="9"/>
      <c r="C133" s="307"/>
      <c r="D133" s="55"/>
      <c r="E133" s="55"/>
      <c r="F133" s="55"/>
      <c r="G133" s="55"/>
      <c r="H133" s="55"/>
      <c r="I133" s="55"/>
      <c r="J133" s="55"/>
      <c r="K133" s="346"/>
      <c r="L133" s="346"/>
      <c r="M133" s="346"/>
      <c r="N133" s="346"/>
      <c r="O133" s="346"/>
      <c r="P133" s="346"/>
      <c r="Q133" s="346"/>
      <c r="R133" s="346"/>
      <c r="S133" s="346"/>
      <c r="T133" s="346"/>
      <c r="U133" s="346"/>
      <c r="V133" s="346"/>
      <c r="W133" s="346"/>
      <c r="X133" s="346"/>
    </row>
    <row r="134" spans="2:24">
      <c r="B134" s="9"/>
      <c r="C134" s="307"/>
      <c r="D134" s="55"/>
      <c r="E134" s="55"/>
      <c r="F134" s="55"/>
      <c r="G134" s="55"/>
      <c r="H134" s="55"/>
      <c r="I134" s="55"/>
      <c r="J134" s="55"/>
      <c r="K134" s="346"/>
      <c r="L134" s="346"/>
      <c r="M134" s="346"/>
      <c r="N134" s="346"/>
      <c r="O134" s="346"/>
      <c r="P134" s="346"/>
      <c r="Q134" s="346"/>
      <c r="R134" s="346"/>
      <c r="S134" s="346"/>
      <c r="T134" s="346"/>
      <c r="U134" s="346"/>
      <c r="V134" s="346"/>
      <c r="W134" s="346"/>
      <c r="X134" s="346"/>
    </row>
    <row r="135" spans="2:24">
      <c r="B135" s="9"/>
      <c r="C135" s="307"/>
      <c r="D135" s="55"/>
      <c r="E135" s="55"/>
      <c r="F135" s="55"/>
      <c r="G135" s="55"/>
      <c r="H135" s="55"/>
      <c r="I135" s="55"/>
      <c r="J135" s="55"/>
      <c r="K135" s="346"/>
      <c r="L135" s="346"/>
      <c r="M135" s="346"/>
      <c r="N135" s="346"/>
      <c r="O135" s="346"/>
      <c r="P135" s="346"/>
      <c r="Q135" s="346"/>
      <c r="R135" s="346"/>
      <c r="S135" s="346"/>
      <c r="T135" s="346"/>
      <c r="U135" s="346"/>
      <c r="V135" s="346"/>
      <c r="W135" s="346"/>
      <c r="X135" s="346"/>
    </row>
    <row r="136" spans="2:24">
      <c r="B136" s="9"/>
      <c r="C136" s="307"/>
      <c r="D136" s="55"/>
      <c r="E136" s="55"/>
      <c r="F136" s="55"/>
      <c r="G136" s="55"/>
      <c r="H136" s="55"/>
      <c r="I136" s="55"/>
      <c r="J136" s="55"/>
      <c r="K136" s="346"/>
      <c r="L136" s="346"/>
      <c r="M136" s="346"/>
      <c r="N136" s="346"/>
      <c r="O136" s="346"/>
      <c r="P136" s="346"/>
      <c r="Q136" s="346"/>
      <c r="R136" s="346"/>
      <c r="S136" s="346"/>
      <c r="T136" s="346"/>
      <c r="U136" s="346"/>
      <c r="V136" s="346"/>
      <c r="W136" s="346"/>
      <c r="X136" s="346"/>
    </row>
    <row r="137" spans="2:24">
      <c r="B137" s="29" t="s">
        <v>267</v>
      </c>
      <c r="C137" s="29"/>
      <c r="D137" s="29"/>
      <c r="E137" s="29"/>
      <c r="F137" s="30"/>
      <c r="G137" s="30"/>
      <c r="H137" s="30"/>
      <c r="I137" s="30"/>
      <c r="J137" s="30"/>
      <c r="K137" s="177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</row>
    <row r="138" spans="2:24">
      <c r="B138" s="52" t="str">
        <f>IF(ISBLANK(B127),"",B127)</f>
        <v/>
      </c>
      <c r="C138" s="492" t="str">
        <f>IF(ISBLANK(C127),"",C127)</f>
        <v/>
      </c>
      <c r="D138" s="52"/>
      <c r="E138" s="52"/>
      <c r="F138" s="52"/>
      <c r="G138" s="52"/>
      <c r="H138" s="52"/>
      <c r="I138" s="52"/>
      <c r="J138" s="52"/>
      <c r="K138" s="347"/>
      <c r="L138" s="347"/>
      <c r="M138" s="347"/>
      <c r="N138" s="347"/>
      <c r="O138" s="347"/>
      <c r="P138" s="347"/>
      <c r="Q138" s="347"/>
      <c r="R138" s="347"/>
      <c r="S138" s="347"/>
      <c r="T138" s="347"/>
      <c r="U138" s="347"/>
      <c r="V138" s="347"/>
      <c r="W138" s="347"/>
      <c r="X138" s="347"/>
    </row>
    <row r="139" spans="2:24">
      <c r="B139" s="52" t="str">
        <f>IF(ISBLANK(B128),"",B128)</f>
        <v/>
      </c>
      <c r="C139" s="492" t="str">
        <f>IF(ISBLANK(C128),"",C128)</f>
        <v/>
      </c>
      <c r="D139" s="52"/>
      <c r="E139" s="52"/>
      <c r="F139" s="52"/>
      <c r="G139" s="52"/>
      <c r="H139" s="52"/>
      <c r="I139" s="52"/>
      <c r="J139" s="52"/>
      <c r="K139" s="347"/>
      <c r="L139" s="347"/>
      <c r="M139" s="347"/>
      <c r="N139" s="347"/>
      <c r="O139" s="347"/>
      <c r="P139" s="347"/>
      <c r="Q139" s="347"/>
      <c r="R139" s="347"/>
      <c r="S139" s="347"/>
      <c r="T139" s="347"/>
      <c r="U139" s="347"/>
      <c r="V139" s="347"/>
      <c r="W139" s="347"/>
      <c r="X139" s="347"/>
    </row>
    <row r="140" spans="2:24">
      <c r="B140" s="52" t="str">
        <f t="shared" ref="B140:C147" si="39">IF(ISBLANK(B129),"",B129)</f>
        <v/>
      </c>
      <c r="C140" s="492" t="str">
        <f t="shared" si="39"/>
        <v/>
      </c>
      <c r="D140" s="52"/>
      <c r="E140" s="52"/>
      <c r="F140" s="52"/>
      <c r="G140" s="52"/>
      <c r="H140" s="52"/>
      <c r="I140" s="52"/>
      <c r="J140" s="52"/>
      <c r="K140" s="347"/>
      <c r="L140" s="347"/>
      <c r="M140" s="347"/>
      <c r="N140" s="347"/>
      <c r="O140" s="347"/>
      <c r="P140" s="347"/>
      <c r="Q140" s="347"/>
      <c r="R140" s="347"/>
      <c r="S140" s="347"/>
      <c r="T140" s="347"/>
      <c r="U140" s="347"/>
      <c r="V140" s="347"/>
      <c r="W140" s="347"/>
      <c r="X140" s="347"/>
    </row>
    <row r="141" spans="2:24">
      <c r="B141" s="52" t="str">
        <f t="shared" si="39"/>
        <v/>
      </c>
      <c r="C141" s="492" t="str">
        <f t="shared" si="39"/>
        <v/>
      </c>
      <c r="D141" s="52"/>
      <c r="E141" s="52"/>
      <c r="F141" s="52"/>
      <c r="G141" s="52"/>
      <c r="H141" s="52"/>
      <c r="I141" s="52"/>
      <c r="J141" s="52"/>
      <c r="K141" s="347"/>
      <c r="L141" s="347"/>
      <c r="M141" s="347"/>
      <c r="N141" s="347"/>
      <c r="O141" s="347"/>
      <c r="P141" s="347"/>
      <c r="Q141" s="347"/>
      <c r="R141" s="347"/>
      <c r="S141" s="347"/>
      <c r="T141" s="347"/>
      <c r="U141" s="347"/>
      <c r="V141" s="347"/>
      <c r="W141" s="347"/>
      <c r="X141" s="347"/>
    </row>
    <row r="142" spans="2:24">
      <c r="B142" s="52" t="str">
        <f t="shared" si="39"/>
        <v/>
      </c>
      <c r="C142" s="492" t="str">
        <f t="shared" si="39"/>
        <v/>
      </c>
      <c r="D142" s="52"/>
      <c r="E142" s="52"/>
      <c r="F142" s="52"/>
      <c r="G142" s="52"/>
      <c r="H142" s="52"/>
      <c r="I142" s="52"/>
      <c r="J142" s="52"/>
      <c r="K142" s="347"/>
      <c r="L142" s="347"/>
      <c r="M142" s="347"/>
      <c r="N142" s="347"/>
      <c r="O142" s="347"/>
      <c r="P142" s="347"/>
      <c r="Q142" s="347"/>
      <c r="R142" s="347"/>
      <c r="S142" s="347"/>
      <c r="T142" s="347"/>
      <c r="U142" s="347"/>
      <c r="V142" s="347"/>
      <c r="W142" s="347"/>
      <c r="X142" s="347"/>
    </row>
    <row r="143" spans="2:24">
      <c r="B143" s="52" t="str">
        <f t="shared" si="39"/>
        <v/>
      </c>
      <c r="C143" s="492" t="str">
        <f t="shared" si="39"/>
        <v/>
      </c>
      <c r="D143" s="52"/>
      <c r="E143" s="52"/>
      <c r="F143" s="52"/>
      <c r="G143" s="52"/>
      <c r="H143" s="52"/>
      <c r="I143" s="52"/>
      <c r="J143" s="52"/>
      <c r="K143" s="347"/>
      <c r="L143" s="347"/>
      <c r="M143" s="347"/>
      <c r="N143" s="347"/>
      <c r="O143" s="347"/>
      <c r="P143" s="347"/>
      <c r="Q143" s="347"/>
      <c r="R143" s="347"/>
      <c r="S143" s="347"/>
      <c r="T143" s="347"/>
      <c r="U143" s="347"/>
      <c r="V143" s="347"/>
      <c r="W143" s="347"/>
      <c r="X143" s="347"/>
    </row>
    <row r="144" spans="2:24">
      <c r="B144" s="52" t="str">
        <f t="shared" si="39"/>
        <v/>
      </c>
      <c r="C144" s="492" t="str">
        <f t="shared" si="39"/>
        <v/>
      </c>
      <c r="D144" s="52"/>
      <c r="E144" s="52"/>
      <c r="F144" s="52"/>
      <c r="G144" s="52"/>
      <c r="H144" s="52"/>
      <c r="I144" s="52"/>
      <c r="J144" s="52"/>
      <c r="K144" s="347"/>
      <c r="L144" s="347"/>
      <c r="M144" s="347"/>
      <c r="N144" s="347"/>
      <c r="O144" s="347"/>
      <c r="P144" s="347"/>
      <c r="Q144" s="347"/>
      <c r="R144" s="347"/>
      <c r="S144" s="347"/>
      <c r="T144" s="347"/>
      <c r="U144" s="347"/>
      <c r="V144" s="347"/>
      <c r="W144" s="347"/>
      <c r="X144" s="347"/>
    </row>
    <row r="145" spans="2:24">
      <c r="B145" s="52" t="str">
        <f t="shared" si="39"/>
        <v/>
      </c>
      <c r="C145" s="492" t="str">
        <f t="shared" si="39"/>
        <v/>
      </c>
      <c r="D145" s="52"/>
      <c r="E145" s="52"/>
      <c r="F145" s="52"/>
      <c r="G145" s="52"/>
      <c r="H145" s="52"/>
      <c r="I145" s="52"/>
      <c r="J145" s="52"/>
      <c r="K145" s="347"/>
      <c r="L145" s="347"/>
      <c r="M145" s="347"/>
      <c r="N145" s="347"/>
      <c r="O145" s="347"/>
      <c r="P145" s="347"/>
      <c r="Q145" s="347"/>
      <c r="R145" s="347"/>
      <c r="S145" s="347"/>
      <c r="T145" s="347"/>
      <c r="U145" s="347"/>
      <c r="V145" s="347"/>
      <c r="W145" s="347"/>
      <c r="X145" s="347"/>
    </row>
    <row r="146" spans="2:24">
      <c r="B146" s="52" t="str">
        <f t="shared" si="39"/>
        <v/>
      </c>
      <c r="C146" s="492" t="str">
        <f t="shared" si="39"/>
        <v/>
      </c>
      <c r="D146" s="52"/>
      <c r="E146" s="52"/>
      <c r="F146" s="52"/>
      <c r="G146" s="52"/>
      <c r="H146" s="52"/>
      <c r="I146" s="52"/>
      <c r="J146" s="52"/>
      <c r="K146" s="347"/>
      <c r="L146" s="347"/>
      <c r="M146" s="347"/>
      <c r="N146" s="347"/>
      <c r="O146" s="347"/>
      <c r="P146" s="347"/>
      <c r="Q146" s="347"/>
      <c r="R146" s="347"/>
      <c r="S146" s="347"/>
      <c r="T146" s="347"/>
      <c r="U146" s="347"/>
      <c r="V146" s="347"/>
      <c r="W146" s="347"/>
      <c r="X146" s="347"/>
    </row>
    <row r="147" spans="2:24">
      <c r="B147" s="52" t="str">
        <f t="shared" si="39"/>
        <v/>
      </c>
      <c r="C147" s="492" t="str">
        <f t="shared" si="39"/>
        <v/>
      </c>
      <c r="D147" s="52"/>
      <c r="E147" s="52"/>
      <c r="F147" s="52"/>
      <c r="G147" s="52"/>
      <c r="H147" s="52"/>
      <c r="I147" s="52"/>
      <c r="J147" s="52"/>
      <c r="K147" s="347"/>
      <c r="L147" s="347"/>
      <c r="M147" s="347"/>
      <c r="N147" s="347"/>
      <c r="O147" s="347"/>
      <c r="P147" s="347"/>
      <c r="Q147" s="347"/>
      <c r="R147" s="347"/>
      <c r="S147" s="347"/>
      <c r="T147" s="347"/>
      <c r="U147" s="347"/>
      <c r="V147" s="347"/>
      <c r="W147" s="347"/>
      <c r="X147" s="347"/>
    </row>
    <row r="148" spans="2:24">
      <c r="B148" s="29" t="s">
        <v>268</v>
      </c>
      <c r="C148" s="29"/>
      <c r="D148" s="29"/>
      <c r="E148" s="29"/>
      <c r="F148" s="30"/>
      <c r="G148" s="30"/>
      <c r="H148" s="30"/>
      <c r="I148" s="30"/>
      <c r="J148" s="30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</row>
    <row r="149" spans="2:24">
      <c r="B149" s="52" t="str">
        <f>IF(ISBLANK(B138),"",B138)</f>
        <v/>
      </c>
      <c r="C149" s="492" t="str">
        <f>IF(ISBLANK(C138),"",C138)</f>
        <v/>
      </c>
      <c r="D149" s="52"/>
      <c r="E149" s="52"/>
      <c r="F149" s="52"/>
      <c r="G149" s="52"/>
      <c r="H149" s="52"/>
      <c r="I149" s="52"/>
      <c r="J149" s="52"/>
      <c r="K149" s="33">
        <f t="shared" ref="K149:X149" si="40">IF(AND(K$180&gt;=Poczatek,K$180&lt;=Koniec,$C149&lt;&gt;""),ROUND(K138*K127,0),0)</f>
        <v>0</v>
      </c>
      <c r="L149" s="33">
        <f t="shared" si="40"/>
        <v>0</v>
      </c>
      <c r="M149" s="33">
        <f t="shared" si="40"/>
        <v>0</v>
      </c>
      <c r="N149" s="33">
        <f t="shared" si="40"/>
        <v>0</v>
      </c>
      <c r="O149" s="33">
        <f t="shared" si="40"/>
        <v>0</v>
      </c>
      <c r="P149" s="33">
        <f t="shared" si="40"/>
        <v>0</v>
      </c>
      <c r="Q149" s="33">
        <f t="shared" si="40"/>
        <v>0</v>
      </c>
      <c r="R149" s="33">
        <f t="shared" si="40"/>
        <v>0</v>
      </c>
      <c r="S149" s="33">
        <f t="shared" si="40"/>
        <v>0</v>
      </c>
      <c r="T149" s="33">
        <f t="shared" si="40"/>
        <v>0</v>
      </c>
      <c r="U149" s="33">
        <f t="shared" si="40"/>
        <v>0</v>
      </c>
      <c r="V149" s="33">
        <f t="shared" si="40"/>
        <v>0</v>
      </c>
      <c r="W149" s="33">
        <f t="shared" si="40"/>
        <v>0</v>
      </c>
      <c r="X149" s="33">
        <f t="shared" si="40"/>
        <v>0</v>
      </c>
    </row>
    <row r="150" spans="2:24">
      <c r="B150" s="52" t="str">
        <f>IF(ISBLANK(B139),"",B139)</f>
        <v/>
      </c>
      <c r="C150" s="492" t="str">
        <f>IF(ISBLANK(C139),"",C139)</f>
        <v/>
      </c>
      <c r="D150" s="52"/>
      <c r="E150" s="52"/>
      <c r="F150" s="52"/>
      <c r="G150" s="52"/>
      <c r="H150" s="52"/>
      <c r="I150" s="52"/>
      <c r="J150" s="52"/>
      <c r="K150" s="33">
        <f t="shared" ref="K150:X150" si="41">IF(AND(K$180&gt;=Poczatek,K$180&lt;=Koniec,$C150&lt;&gt;""),ROUND(K139*K128,0),0)</f>
        <v>0</v>
      </c>
      <c r="L150" s="33">
        <f t="shared" si="41"/>
        <v>0</v>
      </c>
      <c r="M150" s="33">
        <f t="shared" si="41"/>
        <v>0</v>
      </c>
      <c r="N150" s="33">
        <f t="shared" si="41"/>
        <v>0</v>
      </c>
      <c r="O150" s="33">
        <f t="shared" si="41"/>
        <v>0</v>
      </c>
      <c r="P150" s="33">
        <f t="shared" si="41"/>
        <v>0</v>
      </c>
      <c r="Q150" s="33">
        <f t="shared" si="41"/>
        <v>0</v>
      </c>
      <c r="R150" s="33">
        <f t="shared" si="41"/>
        <v>0</v>
      </c>
      <c r="S150" s="33">
        <f t="shared" si="41"/>
        <v>0</v>
      </c>
      <c r="T150" s="33">
        <f t="shared" si="41"/>
        <v>0</v>
      </c>
      <c r="U150" s="33">
        <f t="shared" si="41"/>
        <v>0</v>
      </c>
      <c r="V150" s="33">
        <f t="shared" si="41"/>
        <v>0</v>
      </c>
      <c r="W150" s="33">
        <f t="shared" si="41"/>
        <v>0</v>
      </c>
      <c r="X150" s="33">
        <f t="shared" si="41"/>
        <v>0</v>
      </c>
    </row>
    <row r="151" spans="2:24">
      <c r="B151" s="52" t="str">
        <f t="shared" ref="B151:B158" si="42">IF(ISBLANK(B140),"",B140)</f>
        <v/>
      </c>
      <c r="C151" s="492" t="str">
        <f t="shared" ref="C151:C158" si="43">IF(ISBLANK(C140),"",C140)</f>
        <v/>
      </c>
      <c r="D151" s="52"/>
      <c r="E151" s="52"/>
      <c r="F151" s="52"/>
      <c r="G151" s="52"/>
      <c r="H151" s="52"/>
      <c r="I151" s="52"/>
      <c r="J151" s="52"/>
      <c r="K151" s="33">
        <f t="shared" ref="K151:X151" si="44">IF(AND(K$180&gt;=Poczatek,K$180&lt;=Koniec,$C151&lt;&gt;""),ROUND(K140*K129,0),0)</f>
        <v>0</v>
      </c>
      <c r="L151" s="33">
        <f t="shared" si="44"/>
        <v>0</v>
      </c>
      <c r="M151" s="33">
        <f t="shared" si="44"/>
        <v>0</v>
      </c>
      <c r="N151" s="33">
        <f t="shared" si="44"/>
        <v>0</v>
      </c>
      <c r="O151" s="33">
        <f t="shared" si="44"/>
        <v>0</v>
      </c>
      <c r="P151" s="33">
        <f t="shared" si="44"/>
        <v>0</v>
      </c>
      <c r="Q151" s="33">
        <f t="shared" si="44"/>
        <v>0</v>
      </c>
      <c r="R151" s="33">
        <f t="shared" si="44"/>
        <v>0</v>
      </c>
      <c r="S151" s="33">
        <f t="shared" si="44"/>
        <v>0</v>
      </c>
      <c r="T151" s="33">
        <f t="shared" si="44"/>
        <v>0</v>
      </c>
      <c r="U151" s="33">
        <f t="shared" si="44"/>
        <v>0</v>
      </c>
      <c r="V151" s="33">
        <f t="shared" si="44"/>
        <v>0</v>
      </c>
      <c r="W151" s="33">
        <f t="shared" si="44"/>
        <v>0</v>
      </c>
      <c r="X151" s="33">
        <f t="shared" si="44"/>
        <v>0</v>
      </c>
    </row>
    <row r="152" spans="2:24">
      <c r="B152" s="52" t="str">
        <f t="shared" si="42"/>
        <v/>
      </c>
      <c r="C152" s="492" t="str">
        <f t="shared" si="43"/>
        <v/>
      </c>
      <c r="D152" s="52"/>
      <c r="E152" s="52"/>
      <c r="F152" s="52"/>
      <c r="G152" s="52"/>
      <c r="H152" s="52"/>
      <c r="I152" s="52"/>
      <c r="J152" s="52"/>
      <c r="K152" s="33">
        <f t="shared" ref="K152:X152" si="45">IF(AND(K$180&gt;=Poczatek,K$180&lt;=Koniec,$C152&lt;&gt;""),ROUND(K141*K130,0),0)</f>
        <v>0</v>
      </c>
      <c r="L152" s="33">
        <f t="shared" si="45"/>
        <v>0</v>
      </c>
      <c r="M152" s="33">
        <f t="shared" si="45"/>
        <v>0</v>
      </c>
      <c r="N152" s="33">
        <f t="shared" si="45"/>
        <v>0</v>
      </c>
      <c r="O152" s="33">
        <f t="shared" si="45"/>
        <v>0</v>
      </c>
      <c r="P152" s="33">
        <f t="shared" si="45"/>
        <v>0</v>
      </c>
      <c r="Q152" s="33">
        <f t="shared" si="45"/>
        <v>0</v>
      </c>
      <c r="R152" s="33">
        <f t="shared" si="45"/>
        <v>0</v>
      </c>
      <c r="S152" s="33">
        <f t="shared" si="45"/>
        <v>0</v>
      </c>
      <c r="T152" s="33">
        <f t="shared" si="45"/>
        <v>0</v>
      </c>
      <c r="U152" s="33">
        <f t="shared" si="45"/>
        <v>0</v>
      </c>
      <c r="V152" s="33">
        <f t="shared" si="45"/>
        <v>0</v>
      </c>
      <c r="W152" s="33">
        <f t="shared" si="45"/>
        <v>0</v>
      </c>
      <c r="X152" s="33">
        <f t="shared" si="45"/>
        <v>0</v>
      </c>
    </row>
    <row r="153" spans="2:24">
      <c r="B153" s="52" t="str">
        <f t="shared" si="42"/>
        <v/>
      </c>
      <c r="C153" s="503" t="str">
        <f t="shared" si="43"/>
        <v/>
      </c>
      <c r="D153" s="90"/>
      <c r="E153" s="52"/>
      <c r="F153" s="90"/>
      <c r="G153" s="90"/>
      <c r="H153" s="90"/>
      <c r="I153" s="90"/>
      <c r="J153" s="90"/>
      <c r="K153" s="33">
        <f t="shared" ref="K153:X153" si="46">IF(AND(K$180&gt;=Poczatek,K$180&lt;=Koniec,$C153&lt;&gt;""),ROUND(K142*K131,0),0)</f>
        <v>0</v>
      </c>
      <c r="L153" s="33">
        <f t="shared" si="46"/>
        <v>0</v>
      </c>
      <c r="M153" s="33">
        <f t="shared" si="46"/>
        <v>0</v>
      </c>
      <c r="N153" s="33">
        <f t="shared" si="46"/>
        <v>0</v>
      </c>
      <c r="O153" s="33">
        <f t="shared" si="46"/>
        <v>0</v>
      </c>
      <c r="P153" s="33">
        <f t="shared" si="46"/>
        <v>0</v>
      </c>
      <c r="Q153" s="33">
        <f t="shared" si="46"/>
        <v>0</v>
      </c>
      <c r="R153" s="33">
        <f t="shared" si="46"/>
        <v>0</v>
      </c>
      <c r="S153" s="33">
        <f t="shared" si="46"/>
        <v>0</v>
      </c>
      <c r="T153" s="33">
        <f t="shared" si="46"/>
        <v>0</v>
      </c>
      <c r="U153" s="33">
        <f t="shared" si="46"/>
        <v>0</v>
      </c>
      <c r="V153" s="33">
        <f t="shared" si="46"/>
        <v>0</v>
      </c>
      <c r="W153" s="33">
        <f t="shared" si="46"/>
        <v>0</v>
      </c>
      <c r="X153" s="33">
        <f t="shared" si="46"/>
        <v>0</v>
      </c>
    </row>
    <row r="154" spans="2:24">
      <c r="B154" s="52" t="str">
        <f t="shared" si="42"/>
        <v/>
      </c>
      <c r="C154" s="503" t="str">
        <f t="shared" si="43"/>
        <v/>
      </c>
      <c r="D154" s="90"/>
      <c r="E154" s="52"/>
      <c r="F154" s="90"/>
      <c r="G154" s="90"/>
      <c r="H154" s="90"/>
      <c r="I154" s="90"/>
      <c r="J154" s="90"/>
      <c r="K154" s="33">
        <f t="shared" ref="K154:X154" si="47">IF(AND(K$180&gt;=Poczatek,K$180&lt;=Koniec,$C154&lt;&gt;""),ROUND(K143*K132,0),0)</f>
        <v>0</v>
      </c>
      <c r="L154" s="33">
        <f t="shared" si="47"/>
        <v>0</v>
      </c>
      <c r="M154" s="33">
        <f t="shared" si="47"/>
        <v>0</v>
      </c>
      <c r="N154" s="33">
        <f t="shared" si="47"/>
        <v>0</v>
      </c>
      <c r="O154" s="33">
        <f t="shared" si="47"/>
        <v>0</v>
      </c>
      <c r="P154" s="33">
        <f t="shared" si="47"/>
        <v>0</v>
      </c>
      <c r="Q154" s="33">
        <f t="shared" si="47"/>
        <v>0</v>
      </c>
      <c r="R154" s="33">
        <f t="shared" si="47"/>
        <v>0</v>
      </c>
      <c r="S154" s="33">
        <f t="shared" si="47"/>
        <v>0</v>
      </c>
      <c r="T154" s="33">
        <f t="shared" si="47"/>
        <v>0</v>
      </c>
      <c r="U154" s="33">
        <f t="shared" si="47"/>
        <v>0</v>
      </c>
      <c r="V154" s="33">
        <f t="shared" si="47"/>
        <v>0</v>
      </c>
      <c r="W154" s="33">
        <f t="shared" si="47"/>
        <v>0</v>
      </c>
      <c r="X154" s="33">
        <f t="shared" si="47"/>
        <v>0</v>
      </c>
    </row>
    <row r="155" spans="2:24">
      <c r="B155" s="52" t="str">
        <f t="shared" si="42"/>
        <v/>
      </c>
      <c r="C155" s="503" t="str">
        <f t="shared" si="43"/>
        <v/>
      </c>
      <c r="D155" s="90"/>
      <c r="E155" s="52"/>
      <c r="F155" s="90"/>
      <c r="G155" s="90"/>
      <c r="H155" s="90"/>
      <c r="I155" s="90"/>
      <c r="J155" s="90"/>
      <c r="K155" s="33">
        <f t="shared" ref="K155:X155" si="48">IF(AND(K$180&gt;=Poczatek,K$180&lt;=Koniec,$C155&lt;&gt;""),ROUND(K144*K133,0),0)</f>
        <v>0</v>
      </c>
      <c r="L155" s="33">
        <f t="shared" si="48"/>
        <v>0</v>
      </c>
      <c r="M155" s="33">
        <f t="shared" si="48"/>
        <v>0</v>
      </c>
      <c r="N155" s="33">
        <f t="shared" si="48"/>
        <v>0</v>
      </c>
      <c r="O155" s="33">
        <f t="shared" si="48"/>
        <v>0</v>
      </c>
      <c r="P155" s="33">
        <f t="shared" si="48"/>
        <v>0</v>
      </c>
      <c r="Q155" s="33">
        <f t="shared" si="48"/>
        <v>0</v>
      </c>
      <c r="R155" s="33">
        <f t="shared" si="48"/>
        <v>0</v>
      </c>
      <c r="S155" s="33">
        <f t="shared" si="48"/>
        <v>0</v>
      </c>
      <c r="T155" s="33">
        <f t="shared" si="48"/>
        <v>0</v>
      </c>
      <c r="U155" s="33">
        <f t="shared" si="48"/>
        <v>0</v>
      </c>
      <c r="V155" s="33">
        <f t="shared" si="48"/>
        <v>0</v>
      </c>
      <c r="W155" s="33">
        <f t="shared" si="48"/>
        <v>0</v>
      </c>
      <c r="X155" s="33">
        <f t="shared" si="48"/>
        <v>0</v>
      </c>
    </row>
    <row r="156" spans="2:24">
      <c r="B156" s="52" t="str">
        <f t="shared" si="42"/>
        <v/>
      </c>
      <c r="C156" s="503" t="str">
        <f t="shared" si="43"/>
        <v/>
      </c>
      <c r="D156" s="90"/>
      <c r="E156" s="52"/>
      <c r="F156" s="90"/>
      <c r="G156" s="90"/>
      <c r="H156" s="90"/>
      <c r="I156" s="90"/>
      <c r="J156" s="90"/>
      <c r="K156" s="33">
        <f t="shared" ref="K156:X156" si="49">IF(AND(K$180&gt;=Poczatek,K$180&lt;=Koniec,$C156&lt;&gt;""),ROUND(K145*K134,0),0)</f>
        <v>0</v>
      </c>
      <c r="L156" s="33">
        <f t="shared" si="49"/>
        <v>0</v>
      </c>
      <c r="M156" s="33">
        <f t="shared" si="49"/>
        <v>0</v>
      </c>
      <c r="N156" s="33">
        <f t="shared" si="49"/>
        <v>0</v>
      </c>
      <c r="O156" s="33">
        <f t="shared" si="49"/>
        <v>0</v>
      </c>
      <c r="P156" s="33">
        <f t="shared" si="49"/>
        <v>0</v>
      </c>
      <c r="Q156" s="33">
        <f t="shared" si="49"/>
        <v>0</v>
      </c>
      <c r="R156" s="33">
        <f t="shared" si="49"/>
        <v>0</v>
      </c>
      <c r="S156" s="33">
        <f t="shared" si="49"/>
        <v>0</v>
      </c>
      <c r="T156" s="33">
        <f t="shared" si="49"/>
        <v>0</v>
      </c>
      <c r="U156" s="33">
        <f t="shared" si="49"/>
        <v>0</v>
      </c>
      <c r="V156" s="33">
        <f t="shared" si="49"/>
        <v>0</v>
      </c>
      <c r="W156" s="33">
        <f t="shared" si="49"/>
        <v>0</v>
      </c>
      <c r="X156" s="33">
        <f t="shared" si="49"/>
        <v>0</v>
      </c>
    </row>
    <row r="157" spans="2:24">
      <c r="B157" s="52" t="str">
        <f t="shared" si="42"/>
        <v/>
      </c>
      <c r="C157" s="503" t="str">
        <f t="shared" si="43"/>
        <v/>
      </c>
      <c r="D157" s="90"/>
      <c r="E157" s="52"/>
      <c r="F157" s="90"/>
      <c r="G157" s="90"/>
      <c r="H157" s="90"/>
      <c r="I157" s="90"/>
      <c r="J157" s="90"/>
      <c r="K157" s="33">
        <f t="shared" ref="K157:X157" si="50">IF(AND(K$180&gt;=Poczatek,K$180&lt;=Koniec,$C157&lt;&gt;""),ROUND(K146*K135,0),0)</f>
        <v>0</v>
      </c>
      <c r="L157" s="33">
        <f t="shared" si="50"/>
        <v>0</v>
      </c>
      <c r="M157" s="33">
        <f t="shared" si="50"/>
        <v>0</v>
      </c>
      <c r="N157" s="33">
        <f t="shared" si="50"/>
        <v>0</v>
      </c>
      <c r="O157" s="33">
        <f t="shared" si="50"/>
        <v>0</v>
      </c>
      <c r="P157" s="33">
        <f t="shared" si="50"/>
        <v>0</v>
      </c>
      <c r="Q157" s="33">
        <f t="shared" si="50"/>
        <v>0</v>
      </c>
      <c r="R157" s="33">
        <f t="shared" si="50"/>
        <v>0</v>
      </c>
      <c r="S157" s="33">
        <f t="shared" si="50"/>
        <v>0</v>
      </c>
      <c r="T157" s="33">
        <f t="shared" si="50"/>
        <v>0</v>
      </c>
      <c r="U157" s="33">
        <f t="shared" si="50"/>
        <v>0</v>
      </c>
      <c r="V157" s="33">
        <f t="shared" si="50"/>
        <v>0</v>
      </c>
      <c r="W157" s="33">
        <f t="shared" si="50"/>
        <v>0</v>
      </c>
      <c r="X157" s="33">
        <f t="shared" si="50"/>
        <v>0</v>
      </c>
    </row>
    <row r="158" spans="2:24">
      <c r="B158" s="52" t="str">
        <f t="shared" si="42"/>
        <v/>
      </c>
      <c r="C158" s="503" t="str">
        <f t="shared" si="43"/>
        <v/>
      </c>
      <c r="D158" s="90"/>
      <c r="E158" s="90"/>
      <c r="F158" s="90"/>
      <c r="G158" s="90"/>
      <c r="H158" s="90"/>
      <c r="I158" s="90"/>
      <c r="J158" s="90"/>
      <c r="K158" s="33">
        <f t="shared" ref="K158:X158" si="51">IF(AND(K$180&gt;=Poczatek,K$180&lt;=Koniec,$C158&lt;&gt;""),ROUND(K147*K136,0),0)</f>
        <v>0</v>
      </c>
      <c r="L158" s="33">
        <f t="shared" si="51"/>
        <v>0</v>
      </c>
      <c r="M158" s="33">
        <f t="shared" si="51"/>
        <v>0</v>
      </c>
      <c r="N158" s="33">
        <f t="shared" si="51"/>
        <v>0</v>
      </c>
      <c r="O158" s="33">
        <f t="shared" si="51"/>
        <v>0</v>
      </c>
      <c r="P158" s="33">
        <f t="shared" si="51"/>
        <v>0</v>
      </c>
      <c r="Q158" s="33">
        <f t="shared" si="51"/>
        <v>0</v>
      </c>
      <c r="R158" s="33">
        <f t="shared" si="51"/>
        <v>0</v>
      </c>
      <c r="S158" s="33">
        <f t="shared" si="51"/>
        <v>0</v>
      </c>
      <c r="T158" s="33">
        <f t="shared" si="51"/>
        <v>0</v>
      </c>
      <c r="U158" s="33">
        <f t="shared" si="51"/>
        <v>0</v>
      </c>
      <c r="V158" s="33">
        <f t="shared" si="51"/>
        <v>0</v>
      </c>
      <c r="W158" s="33">
        <f t="shared" si="51"/>
        <v>0</v>
      </c>
      <c r="X158" s="33">
        <f t="shared" si="51"/>
        <v>0</v>
      </c>
    </row>
    <row r="159" spans="2:24">
      <c r="B159" s="179" t="s">
        <v>297</v>
      </c>
      <c r="C159" s="179"/>
      <c r="D159" s="179"/>
      <c r="E159" s="179"/>
      <c r="F159" s="179"/>
      <c r="G159" s="179"/>
      <c r="H159" s="179"/>
      <c r="I159" s="179"/>
      <c r="J159" s="179"/>
      <c r="K159" s="181">
        <f t="shared" ref="K159:X159" si="52">IF(LataProjekcji&lt;=Koniec,SUM(K149:K158),0)</f>
        <v>0</v>
      </c>
      <c r="L159" s="181">
        <f t="shared" si="52"/>
        <v>0</v>
      </c>
      <c r="M159" s="181">
        <f t="shared" si="52"/>
        <v>0</v>
      </c>
      <c r="N159" s="181">
        <f t="shared" si="52"/>
        <v>0</v>
      </c>
      <c r="O159" s="181">
        <f t="shared" si="52"/>
        <v>0</v>
      </c>
      <c r="P159" s="181">
        <f t="shared" si="52"/>
        <v>0</v>
      </c>
      <c r="Q159" s="181">
        <f t="shared" si="52"/>
        <v>0</v>
      </c>
      <c r="R159" s="181">
        <f t="shared" si="52"/>
        <v>0</v>
      </c>
      <c r="S159" s="181">
        <f t="shared" si="52"/>
        <v>0</v>
      </c>
      <c r="T159" s="181">
        <f t="shared" si="52"/>
        <v>0</v>
      </c>
      <c r="U159" s="181">
        <f t="shared" si="52"/>
        <v>0</v>
      </c>
      <c r="V159" s="181">
        <f t="shared" si="52"/>
        <v>0</v>
      </c>
      <c r="W159" s="181">
        <f t="shared" si="52"/>
        <v>0</v>
      </c>
      <c r="X159" s="181">
        <f t="shared" si="52"/>
        <v>0</v>
      </c>
    </row>
    <row r="160" spans="2:24"/>
    <row r="161" spans="2:24">
      <c r="K161" s="480"/>
      <c r="L161" s="480"/>
      <c r="M161" s="480"/>
      <c r="N161" s="480"/>
      <c r="O161" s="480"/>
      <c r="P161" s="480"/>
      <c r="Q161" s="480"/>
      <c r="R161" s="480"/>
      <c r="S161" s="480"/>
      <c r="T161" s="480"/>
      <c r="U161" s="480"/>
      <c r="V161" s="480"/>
    </row>
    <row r="162" spans="2:24">
      <c r="B162" s="236" t="s">
        <v>270</v>
      </c>
      <c r="C162" s="232" t="s">
        <v>296</v>
      </c>
      <c r="D162" s="236"/>
      <c r="E162" s="236"/>
      <c r="F162" s="231"/>
      <c r="G162" s="231"/>
      <c r="H162" s="231"/>
      <c r="I162" s="231"/>
      <c r="J162" s="231"/>
      <c r="K162" s="244" t="str">
        <f t="shared" ref="K162:X162" si="53">LataProjekcji</f>
        <v>Uzupełnij dane</v>
      </c>
      <c r="L162" s="244" t="str">
        <f t="shared" si="53"/>
        <v/>
      </c>
      <c r="M162" s="244" t="str">
        <f t="shared" si="53"/>
        <v/>
      </c>
      <c r="N162" s="244" t="str">
        <f t="shared" si="53"/>
        <v/>
      </c>
      <c r="O162" s="244" t="str">
        <f t="shared" si="53"/>
        <v/>
      </c>
      <c r="P162" s="244" t="str">
        <f t="shared" si="53"/>
        <v/>
      </c>
      <c r="Q162" s="244" t="str">
        <f t="shared" si="53"/>
        <v/>
      </c>
      <c r="R162" s="244" t="str">
        <f t="shared" si="53"/>
        <v/>
      </c>
      <c r="S162" s="244" t="str">
        <f t="shared" si="53"/>
        <v/>
      </c>
      <c r="T162" s="244" t="str">
        <f t="shared" si="53"/>
        <v/>
      </c>
      <c r="U162" s="244" t="str">
        <f t="shared" si="53"/>
        <v/>
      </c>
      <c r="V162" s="244" t="str">
        <f t="shared" si="53"/>
        <v/>
      </c>
      <c r="W162" s="244" t="str">
        <f t="shared" si="53"/>
        <v/>
      </c>
      <c r="X162" s="244" t="str">
        <f t="shared" si="53"/>
        <v/>
      </c>
    </row>
    <row r="163" spans="2:24">
      <c r="B163" s="9"/>
      <c r="C163" s="307"/>
      <c r="D163" s="299"/>
      <c r="E163" s="299"/>
      <c r="F163" s="299"/>
      <c r="G163" s="55"/>
      <c r="H163" s="55"/>
      <c r="I163" s="55"/>
      <c r="J163" s="55"/>
      <c r="K163" s="346"/>
      <c r="L163" s="346"/>
      <c r="M163" s="346"/>
      <c r="N163" s="346"/>
      <c r="O163" s="346"/>
      <c r="P163" s="346"/>
      <c r="Q163" s="346"/>
      <c r="R163" s="346"/>
      <c r="S163" s="346"/>
      <c r="T163" s="346"/>
      <c r="U163" s="346"/>
      <c r="V163" s="346"/>
      <c r="W163" s="346"/>
      <c r="X163" s="346"/>
    </row>
    <row r="164" spans="2:24">
      <c r="B164" s="9"/>
      <c r="C164" s="307"/>
      <c r="D164" s="299"/>
      <c r="E164" s="299"/>
      <c r="F164" s="299"/>
      <c r="G164" s="55"/>
      <c r="H164" s="55"/>
      <c r="I164" s="55"/>
      <c r="J164" s="55"/>
      <c r="K164" s="346"/>
      <c r="L164" s="346"/>
      <c r="M164" s="346"/>
      <c r="N164" s="346"/>
      <c r="O164" s="346"/>
      <c r="P164" s="346"/>
      <c r="Q164" s="346"/>
      <c r="R164" s="346"/>
      <c r="S164" s="346"/>
      <c r="T164" s="346"/>
      <c r="U164" s="346"/>
      <c r="V164" s="346"/>
      <c r="W164" s="346"/>
      <c r="X164" s="346"/>
    </row>
    <row r="165" spans="2:24">
      <c r="B165" s="9"/>
      <c r="C165" s="307"/>
      <c r="D165" s="299"/>
      <c r="E165" s="299"/>
      <c r="F165" s="299"/>
      <c r="G165" s="55"/>
      <c r="H165" s="55"/>
      <c r="I165" s="55"/>
      <c r="J165" s="55"/>
      <c r="K165" s="346"/>
      <c r="L165" s="346"/>
      <c r="M165" s="346"/>
      <c r="N165" s="346"/>
      <c r="O165" s="346"/>
      <c r="P165" s="346"/>
      <c r="Q165" s="346"/>
      <c r="R165" s="346"/>
      <c r="S165" s="346"/>
      <c r="T165" s="346"/>
      <c r="U165" s="346"/>
      <c r="V165" s="346"/>
      <c r="W165" s="346"/>
      <c r="X165" s="346"/>
    </row>
    <row r="166" spans="2:24">
      <c r="B166" s="9"/>
      <c r="C166" s="307"/>
      <c r="D166" s="299"/>
      <c r="E166" s="299"/>
      <c r="F166" s="299"/>
      <c r="G166" s="55"/>
      <c r="H166" s="55"/>
      <c r="I166" s="55"/>
      <c r="J166" s="55"/>
      <c r="K166" s="346"/>
      <c r="L166" s="346"/>
      <c r="M166" s="346"/>
      <c r="N166" s="346"/>
      <c r="O166" s="346"/>
      <c r="P166" s="346"/>
      <c r="Q166" s="346"/>
      <c r="R166" s="346"/>
      <c r="S166" s="346"/>
      <c r="T166" s="346"/>
      <c r="U166" s="346"/>
      <c r="V166" s="346"/>
      <c r="W166" s="346"/>
      <c r="X166" s="346"/>
    </row>
    <row r="167" spans="2:24">
      <c r="B167" s="9"/>
      <c r="C167" s="307"/>
      <c r="D167" s="299"/>
      <c r="E167" s="299"/>
      <c r="F167" s="299"/>
      <c r="G167" s="55"/>
      <c r="H167" s="55"/>
      <c r="I167" s="55"/>
      <c r="J167" s="55"/>
      <c r="K167" s="346"/>
      <c r="L167" s="346"/>
      <c r="M167" s="346"/>
      <c r="N167" s="346"/>
      <c r="O167" s="346"/>
      <c r="P167" s="346"/>
      <c r="Q167" s="346"/>
      <c r="R167" s="346"/>
      <c r="S167" s="346"/>
      <c r="T167" s="346"/>
      <c r="U167" s="346"/>
      <c r="V167" s="346"/>
      <c r="W167" s="346"/>
      <c r="X167" s="346"/>
    </row>
    <row r="168" spans="2:24">
      <c r="B168" s="179" t="s">
        <v>271</v>
      </c>
      <c r="C168" s="180"/>
      <c r="D168" s="180"/>
      <c r="E168" s="180"/>
      <c r="F168" s="179"/>
      <c r="G168" s="179"/>
      <c r="H168" s="179"/>
      <c r="I168" s="179"/>
      <c r="J168" s="179"/>
      <c r="K168" s="181">
        <f t="shared" ref="K168:X168" si="54">IF(LataProjekcji&lt;=Koniec,ROUND(SUM(K163:K167),0),0)</f>
        <v>0</v>
      </c>
      <c r="L168" s="181">
        <f t="shared" si="54"/>
        <v>0</v>
      </c>
      <c r="M168" s="181">
        <f t="shared" si="54"/>
        <v>0</v>
      </c>
      <c r="N168" s="181">
        <f t="shared" si="54"/>
        <v>0</v>
      </c>
      <c r="O168" s="181">
        <f t="shared" si="54"/>
        <v>0</v>
      </c>
      <c r="P168" s="181">
        <f t="shared" si="54"/>
        <v>0</v>
      </c>
      <c r="Q168" s="181">
        <f t="shared" si="54"/>
        <v>0</v>
      </c>
      <c r="R168" s="181">
        <f t="shared" si="54"/>
        <v>0</v>
      </c>
      <c r="S168" s="181">
        <f t="shared" si="54"/>
        <v>0</v>
      </c>
      <c r="T168" s="181">
        <f t="shared" si="54"/>
        <v>0</v>
      </c>
      <c r="U168" s="181">
        <f t="shared" si="54"/>
        <v>0</v>
      </c>
      <c r="V168" s="181">
        <f t="shared" si="54"/>
        <v>0</v>
      </c>
      <c r="W168" s="181">
        <f t="shared" si="54"/>
        <v>0</v>
      </c>
      <c r="X168" s="181">
        <f t="shared" si="54"/>
        <v>0</v>
      </c>
    </row>
    <row r="169" spans="2:24">
      <c r="B169" s="7"/>
      <c r="F169" s="7"/>
      <c r="G169" s="7"/>
      <c r="H169" s="7"/>
      <c r="I169" s="7"/>
      <c r="J169" s="7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2:24">
      <c r="B170" s="7"/>
      <c r="F170" s="7"/>
      <c r="G170" s="7"/>
      <c r="H170" s="7"/>
      <c r="I170" s="7"/>
      <c r="J170" s="7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2:24">
      <c r="B171" s="236" t="s">
        <v>272</v>
      </c>
      <c r="C171" s="232" t="s">
        <v>296</v>
      </c>
      <c r="D171" s="236"/>
      <c r="E171" s="236"/>
      <c r="F171" s="231"/>
      <c r="G171" s="231"/>
      <c r="H171" s="231"/>
      <c r="I171" s="231"/>
      <c r="J171" s="231"/>
      <c r="K171" s="244" t="str">
        <f t="shared" ref="K171:X171" si="55">LataProjekcji</f>
        <v>Uzupełnij dane</v>
      </c>
      <c r="L171" s="244" t="str">
        <f t="shared" si="55"/>
        <v/>
      </c>
      <c r="M171" s="244" t="str">
        <f t="shared" si="55"/>
        <v/>
      </c>
      <c r="N171" s="244" t="str">
        <f t="shared" si="55"/>
        <v/>
      </c>
      <c r="O171" s="244" t="str">
        <f t="shared" si="55"/>
        <v/>
      </c>
      <c r="P171" s="244" t="str">
        <f t="shared" si="55"/>
        <v/>
      </c>
      <c r="Q171" s="244" t="str">
        <f t="shared" si="55"/>
        <v/>
      </c>
      <c r="R171" s="244" t="str">
        <f t="shared" si="55"/>
        <v/>
      </c>
      <c r="S171" s="244" t="str">
        <f t="shared" si="55"/>
        <v/>
      </c>
      <c r="T171" s="244" t="str">
        <f t="shared" si="55"/>
        <v/>
      </c>
      <c r="U171" s="244" t="str">
        <f t="shared" si="55"/>
        <v/>
      </c>
      <c r="V171" s="244" t="str">
        <f t="shared" si="55"/>
        <v/>
      </c>
      <c r="W171" s="244" t="str">
        <f t="shared" si="55"/>
        <v/>
      </c>
      <c r="X171" s="244" t="str">
        <f t="shared" si="55"/>
        <v/>
      </c>
    </row>
    <row r="172" spans="2:24">
      <c r="B172" s="9"/>
      <c r="C172" s="307"/>
      <c r="D172" s="299"/>
      <c r="E172" s="299"/>
      <c r="F172" s="299"/>
      <c r="G172" s="55"/>
      <c r="H172" s="55"/>
      <c r="I172" s="55"/>
      <c r="J172" s="55"/>
      <c r="K172" s="346"/>
      <c r="L172" s="346"/>
      <c r="M172" s="346"/>
      <c r="N172" s="346"/>
      <c r="O172" s="346"/>
      <c r="P172" s="346"/>
      <c r="Q172" s="346"/>
      <c r="R172" s="346"/>
      <c r="S172" s="346"/>
      <c r="T172" s="346"/>
      <c r="U172" s="346"/>
      <c r="V172" s="346"/>
      <c r="W172" s="346"/>
      <c r="X172" s="346"/>
    </row>
    <row r="173" spans="2:24">
      <c r="B173" s="9"/>
      <c r="C173" s="307"/>
      <c r="D173" s="299"/>
      <c r="E173" s="299"/>
      <c r="F173" s="299"/>
      <c r="G173" s="55"/>
      <c r="H173" s="55"/>
      <c r="I173" s="55"/>
      <c r="J173" s="55"/>
      <c r="K173" s="346"/>
      <c r="L173" s="346"/>
      <c r="M173" s="346"/>
      <c r="N173" s="346"/>
      <c r="O173" s="346"/>
      <c r="P173" s="346"/>
      <c r="Q173" s="346"/>
      <c r="R173" s="346"/>
      <c r="S173" s="346"/>
      <c r="T173" s="346"/>
      <c r="U173" s="346"/>
      <c r="V173" s="346"/>
      <c r="W173" s="346"/>
      <c r="X173" s="346"/>
    </row>
    <row r="174" spans="2:24">
      <c r="B174" s="9"/>
      <c r="C174" s="307"/>
      <c r="D174" s="299"/>
      <c r="E174" s="299"/>
      <c r="F174" s="299"/>
      <c r="G174" s="55"/>
      <c r="H174" s="55"/>
      <c r="I174" s="55"/>
      <c r="J174" s="55"/>
      <c r="K174" s="346"/>
      <c r="L174" s="346"/>
      <c r="M174" s="346"/>
      <c r="N174" s="346"/>
      <c r="O174" s="346"/>
      <c r="P174" s="346"/>
      <c r="Q174" s="346"/>
      <c r="R174" s="346"/>
      <c r="S174" s="346"/>
      <c r="T174" s="346"/>
      <c r="U174" s="346"/>
      <c r="V174" s="346"/>
      <c r="W174" s="346"/>
      <c r="X174" s="346"/>
    </row>
    <row r="175" spans="2:24">
      <c r="B175" s="9"/>
      <c r="C175" s="307"/>
      <c r="D175" s="299"/>
      <c r="E175" s="299"/>
      <c r="F175" s="299"/>
      <c r="G175" s="55"/>
      <c r="H175" s="55"/>
      <c r="I175" s="55"/>
      <c r="J175" s="55"/>
      <c r="K175" s="346"/>
      <c r="L175" s="346"/>
      <c r="M175" s="346"/>
      <c r="N175" s="346"/>
      <c r="O175" s="346"/>
      <c r="P175" s="346"/>
      <c r="Q175" s="346"/>
      <c r="R175" s="346"/>
      <c r="S175" s="346"/>
      <c r="T175" s="346"/>
      <c r="U175" s="346"/>
      <c r="V175" s="346"/>
      <c r="W175" s="346"/>
      <c r="X175" s="346"/>
    </row>
    <row r="176" spans="2:24">
      <c r="B176" s="9"/>
      <c r="C176" s="307"/>
      <c r="D176" s="299"/>
      <c r="E176" s="299"/>
      <c r="F176" s="299"/>
      <c r="G176" s="55"/>
      <c r="H176" s="55"/>
      <c r="I176" s="55"/>
      <c r="J176" s="55"/>
      <c r="K176" s="346"/>
      <c r="L176" s="346"/>
      <c r="M176" s="346"/>
      <c r="N176" s="346"/>
      <c r="O176" s="346"/>
      <c r="P176" s="346"/>
      <c r="Q176" s="346"/>
      <c r="R176" s="346"/>
      <c r="S176" s="346"/>
      <c r="T176" s="346"/>
      <c r="U176" s="346"/>
      <c r="V176" s="346"/>
      <c r="W176" s="346"/>
      <c r="X176" s="346"/>
    </row>
    <row r="177" spans="2:24">
      <c r="B177" s="179" t="s">
        <v>273</v>
      </c>
      <c r="C177" s="180"/>
      <c r="D177" s="180"/>
      <c r="E177" s="180"/>
      <c r="F177" s="179"/>
      <c r="G177" s="179"/>
      <c r="H177" s="179"/>
      <c r="I177" s="179"/>
      <c r="J177" s="179"/>
      <c r="K177" s="181">
        <f t="shared" ref="K177:X177" si="56">IF(LataProjekcji&lt;=Koniec,ROUND(SUM(K172:K176),0),0)</f>
        <v>0</v>
      </c>
      <c r="L177" s="181">
        <f t="shared" si="56"/>
        <v>0</v>
      </c>
      <c r="M177" s="181">
        <f t="shared" si="56"/>
        <v>0</v>
      </c>
      <c r="N177" s="181">
        <f t="shared" si="56"/>
        <v>0</v>
      </c>
      <c r="O177" s="181">
        <f t="shared" si="56"/>
        <v>0</v>
      </c>
      <c r="P177" s="181">
        <f t="shared" si="56"/>
        <v>0</v>
      </c>
      <c r="Q177" s="181">
        <f t="shared" si="56"/>
        <v>0</v>
      </c>
      <c r="R177" s="181">
        <f t="shared" si="56"/>
        <v>0</v>
      </c>
      <c r="S177" s="181">
        <f t="shared" si="56"/>
        <v>0</v>
      </c>
      <c r="T177" s="181">
        <f t="shared" si="56"/>
        <v>0</v>
      </c>
      <c r="U177" s="181">
        <f t="shared" si="56"/>
        <v>0</v>
      </c>
      <c r="V177" s="181">
        <f t="shared" si="56"/>
        <v>0</v>
      </c>
      <c r="W177" s="181">
        <f t="shared" si="56"/>
        <v>0</v>
      </c>
      <c r="X177" s="181">
        <f t="shared" si="56"/>
        <v>0</v>
      </c>
    </row>
    <row r="178" spans="2:24">
      <c r="B178" s="7"/>
      <c r="F178" s="7"/>
      <c r="G178" s="7"/>
      <c r="H178" s="7"/>
      <c r="I178" s="7"/>
      <c r="J178" s="7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2:24"/>
    <row r="180" spans="2:24">
      <c r="B180" s="236" t="s">
        <v>298</v>
      </c>
      <c r="C180" s="232" t="s">
        <v>296</v>
      </c>
      <c r="D180" s="236"/>
      <c r="E180" s="236"/>
      <c r="F180" s="231"/>
      <c r="G180" s="231"/>
      <c r="H180" s="231"/>
      <c r="I180" s="231"/>
      <c r="J180" s="231"/>
      <c r="K180" s="244" t="str">
        <f t="shared" ref="K180:X180" si="57">LataProjekcji</f>
        <v>Uzupełnij dane</v>
      </c>
      <c r="L180" s="244" t="str">
        <f t="shared" si="57"/>
        <v/>
      </c>
      <c r="M180" s="244" t="str">
        <f t="shared" si="57"/>
        <v/>
      </c>
      <c r="N180" s="244" t="str">
        <f t="shared" si="57"/>
        <v/>
      </c>
      <c r="O180" s="244" t="str">
        <f t="shared" si="57"/>
        <v/>
      </c>
      <c r="P180" s="244" t="str">
        <f t="shared" si="57"/>
        <v/>
      </c>
      <c r="Q180" s="244" t="str">
        <f t="shared" si="57"/>
        <v/>
      </c>
      <c r="R180" s="244" t="str">
        <f t="shared" si="57"/>
        <v/>
      </c>
      <c r="S180" s="244" t="str">
        <f t="shared" si="57"/>
        <v/>
      </c>
      <c r="T180" s="244" t="str">
        <f t="shared" si="57"/>
        <v/>
      </c>
      <c r="U180" s="244" t="str">
        <f t="shared" si="57"/>
        <v/>
      </c>
      <c r="V180" s="244" t="str">
        <f t="shared" si="57"/>
        <v/>
      </c>
      <c r="W180" s="244" t="str">
        <f t="shared" si="57"/>
        <v/>
      </c>
      <c r="X180" s="244" t="str">
        <f t="shared" si="57"/>
        <v/>
      </c>
    </row>
    <row r="181" spans="2:24">
      <c r="B181" s="9"/>
      <c r="C181" s="307"/>
      <c r="D181" s="55"/>
      <c r="E181" s="55"/>
      <c r="F181" s="55"/>
      <c r="G181" s="55"/>
      <c r="H181" s="55"/>
      <c r="I181" s="55"/>
      <c r="J181" s="55"/>
      <c r="K181" s="346"/>
      <c r="L181" s="346"/>
      <c r="M181" s="346"/>
      <c r="N181" s="346"/>
      <c r="O181" s="346"/>
      <c r="P181" s="346"/>
      <c r="Q181" s="346"/>
      <c r="R181" s="346"/>
      <c r="S181" s="346"/>
      <c r="T181" s="346"/>
      <c r="U181" s="346"/>
      <c r="V181" s="346"/>
      <c r="W181" s="346"/>
      <c r="X181" s="346"/>
    </row>
    <row r="182" spans="2:24">
      <c r="B182" s="9"/>
      <c r="C182" s="307"/>
      <c r="D182" s="55"/>
      <c r="E182" s="55"/>
      <c r="F182" s="55"/>
      <c r="G182" s="55"/>
      <c r="H182" s="55"/>
      <c r="I182" s="55"/>
      <c r="J182" s="55"/>
      <c r="K182" s="346"/>
      <c r="L182" s="346"/>
      <c r="M182" s="346"/>
      <c r="N182" s="346"/>
      <c r="O182" s="346"/>
      <c r="P182" s="346"/>
      <c r="Q182" s="346"/>
      <c r="R182" s="346"/>
      <c r="S182" s="346"/>
      <c r="T182" s="346"/>
      <c r="U182" s="346"/>
      <c r="V182" s="346"/>
      <c r="W182" s="346"/>
      <c r="X182" s="346"/>
    </row>
    <row r="183" spans="2:24">
      <c r="B183" s="9"/>
      <c r="C183" s="307"/>
      <c r="D183" s="55"/>
      <c r="E183" s="55"/>
      <c r="F183" s="55"/>
      <c r="G183" s="55"/>
      <c r="H183" s="55"/>
      <c r="I183" s="55"/>
      <c r="J183" s="55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</row>
    <row r="184" spans="2:24">
      <c r="B184" s="9"/>
      <c r="C184" s="307"/>
      <c r="D184" s="55"/>
      <c r="E184" s="55"/>
      <c r="F184" s="55"/>
      <c r="G184" s="55"/>
      <c r="H184" s="55"/>
      <c r="I184" s="55"/>
      <c r="J184" s="55"/>
      <c r="K184" s="346"/>
      <c r="L184" s="346"/>
      <c r="M184" s="346"/>
      <c r="N184" s="346"/>
      <c r="O184" s="346"/>
      <c r="P184" s="346"/>
      <c r="Q184" s="346"/>
      <c r="R184" s="346"/>
      <c r="S184" s="346"/>
      <c r="T184" s="346"/>
      <c r="U184" s="346"/>
      <c r="V184" s="346"/>
      <c r="W184" s="346"/>
      <c r="X184" s="346"/>
    </row>
    <row r="185" spans="2:24">
      <c r="B185" s="9"/>
      <c r="C185" s="307"/>
      <c r="D185" s="55"/>
      <c r="E185" s="55"/>
      <c r="F185" s="55"/>
      <c r="G185" s="55"/>
      <c r="H185" s="55"/>
      <c r="I185" s="55"/>
      <c r="J185" s="55"/>
      <c r="K185" s="346"/>
      <c r="L185" s="346"/>
      <c r="M185" s="346"/>
      <c r="N185" s="346"/>
      <c r="O185" s="346"/>
      <c r="P185" s="346"/>
      <c r="Q185" s="346"/>
      <c r="R185" s="346"/>
      <c r="S185" s="346"/>
      <c r="T185" s="346"/>
      <c r="U185" s="346"/>
      <c r="V185" s="346"/>
      <c r="W185" s="346"/>
      <c r="X185" s="346"/>
    </row>
    <row r="186" spans="2:24">
      <c r="B186" s="29" t="s">
        <v>275</v>
      </c>
      <c r="C186" s="156"/>
      <c r="D186" s="29"/>
      <c r="E186" s="29"/>
      <c r="F186" s="30"/>
      <c r="G186" s="30"/>
      <c r="H186" s="30"/>
      <c r="I186" s="30"/>
      <c r="J186" s="30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</row>
    <row r="187" spans="2:24">
      <c r="B187" s="52" t="str">
        <f t="shared" ref="B187:C191" si="58">IF(ISBLANK(B181),"",B181)</f>
        <v/>
      </c>
      <c r="C187" s="492" t="str">
        <f t="shared" si="58"/>
        <v/>
      </c>
      <c r="D187" s="52"/>
      <c r="E187" s="52"/>
      <c r="F187" s="52"/>
      <c r="G187" s="52"/>
      <c r="H187" s="52"/>
      <c r="I187" s="52"/>
      <c r="J187" s="52"/>
      <c r="K187" s="347"/>
      <c r="L187" s="347"/>
      <c r="M187" s="347"/>
      <c r="N187" s="347"/>
      <c r="O187" s="347"/>
      <c r="P187" s="347"/>
      <c r="Q187" s="347"/>
      <c r="R187" s="347"/>
      <c r="S187" s="347"/>
      <c r="T187" s="347"/>
      <c r="U187" s="347"/>
      <c r="V187" s="347"/>
      <c r="W187" s="347"/>
      <c r="X187" s="347"/>
    </row>
    <row r="188" spans="2:24">
      <c r="B188" s="52" t="str">
        <f t="shared" si="58"/>
        <v/>
      </c>
      <c r="C188" s="492" t="str">
        <f t="shared" si="58"/>
        <v/>
      </c>
      <c r="D188" s="52"/>
      <c r="E188" s="52"/>
      <c r="F188" s="52"/>
      <c r="G188" s="52"/>
      <c r="H188" s="52"/>
      <c r="I188" s="52"/>
      <c r="J188" s="52"/>
      <c r="K188" s="347"/>
      <c r="L188" s="347"/>
      <c r="M188" s="347"/>
      <c r="N188" s="347"/>
      <c r="O188" s="347"/>
      <c r="P188" s="347"/>
      <c r="Q188" s="347"/>
      <c r="R188" s="347"/>
      <c r="S188" s="347"/>
      <c r="T188" s="347"/>
      <c r="U188" s="347"/>
      <c r="V188" s="347"/>
      <c r="W188" s="347"/>
      <c r="X188" s="347"/>
    </row>
    <row r="189" spans="2:24">
      <c r="B189" s="52" t="str">
        <f t="shared" si="58"/>
        <v/>
      </c>
      <c r="C189" s="492" t="str">
        <f t="shared" si="58"/>
        <v/>
      </c>
      <c r="D189" s="52"/>
      <c r="E189" s="52"/>
      <c r="F189" s="52"/>
      <c r="G189" s="52"/>
      <c r="H189" s="52"/>
      <c r="I189" s="52"/>
      <c r="J189" s="52"/>
      <c r="K189" s="347"/>
      <c r="L189" s="347"/>
      <c r="M189" s="347"/>
      <c r="N189" s="347"/>
      <c r="O189" s="347"/>
      <c r="P189" s="347"/>
      <c r="Q189" s="347"/>
      <c r="R189" s="347"/>
      <c r="S189" s="347"/>
      <c r="T189" s="347"/>
      <c r="U189" s="347"/>
      <c r="V189" s="347"/>
      <c r="W189" s="347"/>
      <c r="X189" s="347"/>
    </row>
    <row r="190" spans="2:24">
      <c r="B190" s="52" t="str">
        <f t="shared" si="58"/>
        <v/>
      </c>
      <c r="C190" s="492" t="str">
        <f t="shared" si="58"/>
        <v/>
      </c>
      <c r="D190" s="52"/>
      <c r="E190" s="52"/>
      <c r="F190" s="52"/>
      <c r="G190" s="52"/>
      <c r="H190" s="52"/>
      <c r="I190" s="52"/>
      <c r="J190" s="52"/>
      <c r="K190" s="347"/>
      <c r="L190" s="347"/>
      <c r="M190" s="347"/>
      <c r="N190" s="347"/>
      <c r="O190" s="347"/>
      <c r="P190" s="347"/>
      <c r="Q190" s="347"/>
      <c r="R190" s="347"/>
      <c r="S190" s="347"/>
      <c r="T190" s="347"/>
      <c r="U190" s="347"/>
      <c r="V190" s="347"/>
      <c r="W190" s="347"/>
      <c r="X190" s="347"/>
    </row>
    <row r="191" spans="2:24">
      <c r="B191" s="52" t="str">
        <f t="shared" si="58"/>
        <v/>
      </c>
      <c r="C191" s="492" t="str">
        <f t="shared" si="58"/>
        <v/>
      </c>
      <c r="D191" s="52"/>
      <c r="E191" s="52"/>
      <c r="F191" s="52"/>
      <c r="G191" s="52"/>
      <c r="H191" s="52"/>
      <c r="I191" s="52"/>
      <c r="J191" s="52"/>
      <c r="K191" s="347"/>
      <c r="L191" s="347"/>
      <c r="M191" s="347"/>
      <c r="N191" s="347"/>
      <c r="O191" s="347"/>
      <c r="P191" s="347"/>
      <c r="Q191" s="347"/>
      <c r="R191" s="347"/>
      <c r="S191" s="347"/>
      <c r="T191" s="347"/>
      <c r="U191" s="347"/>
      <c r="V191" s="347"/>
      <c r="W191" s="347"/>
      <c r="X191" s="347"/>
    </row>
    <row r="192" spans="2:24">
      <c r="B192" s="29" t="s">
        <v>276</v>
      </c>
      <c r="C192" s="156"/>
      <c r="D192" s="29"/>
      <c r="E192" s="29"/>
      <c r="F192" s="30"/>
      <c r="G192" s="30"/>
      <c r="H192" s="30"/>
      <c r="I192" s="30"/>
      <c r="J192" s="30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</row>
    <row r="193" spans="2:24">
      <c r="B193" s="52" t="str">
        <f t="shared" ref="B193:C197" si="59">IF(ISBLANK(B187),"",B187)</f>
        <v/>
      </c>
      <c r="C193" s="492" t="str">
        <f t="shared" si="59"/>
        <v/>
      </c>
      <c r="D193" s="52"/>
      <c r="E193" s="52"/>
      <c r="F193" s="52"/>
      <c r="G193" s="52"/>
      <c r="H193" s="52"/>
      <c r="I193" s="52"/>
      <c r="J193" s="52"/>
      <c r="K193" s="33">
        <f t="shared" ref="K193:X193" si="60">IF(AND(K$180&gt;=Poczatek,K$180&lt;=Koniec,$C193&lt;&gt;""),ROUND(K187*K181,0),0)</f>
        <v>0</v>
      </c>
      <c r="L193" s="33">
        <f t="shared" si="60"/>
        <v>0</v>
      </c>
      <c r="M193" s="33">
        <f t="shared" si="60"/>
        <v>0</v>
      </c>
      <c r="N193" s="33">
        <f t="shared" si="60"/>
        <v>0</v>
      </c>
      <c r="O193" s="33">
        <f t="shared" si="60"/>
        <v>0</v>
      </c>
      <c r="P193" s="33">
        <f t="shared" si="60"/>
        <v>0</v>
      </c>
      <c r="Q193" s="33">
        <f t="shared" si="60"/>
        <v>0</v>
      </c>
      <c r="R193" s="33">
        <f t="shared" si="60"/>
        <v>0</v>
      </c>
      <c r="S193" s="33">
        <f t="shared" si="60"/>
        <v>0</v>
      </c>
      <c r="T193" s="33">
        <f t="shared" si="60"/>
        <v>0</v>
      </c>
      <c r="U193" s="33">
        <f t="shared" si="60"/>
        <v>0</v>
      </c>
      <c r="V193" s="33">
        <f t="shared" si="60"/>
        <v>0</v>
      </c>
      <c r="W193" s="33">
        <f t="shared" si="60"/>
        <v>0</v>
      </c>
      <c r="X193" s="33">
        <f t="shared" si="60"/>
        <v>0</v>
      </c>
    </row>
    <row r="194" spans="2:24">
      <c r="B194" s="52" t="str">
        <f t="shared" si="59"/>
        <v/>
      </c>
      <c r="C194" s="492" t="str">
        <f t="shared" si="59"/>
        <v/>
      </c>
      <c r="D194" s="52"/>
      <c r="E194" s="52"/>
      <c r="F194" s="52"/>
      <c r="G194" s="52"/>
      <c r="H194" s="52"/>
      <c r="I194" s="52"/>
      <c r="J194" s="52"/>
      <c r="K194" s="33">
        <f t="shared" ref="K194:X194" si="61">IF(AND(K$180&gt;=Poczatek,K$180&lt;=Koniec,$C194&lt;&gt;""),ROUND(K188*K182,0),0)</f>
        <v>0</v>
      </c>
      <c r="L194" s="33">
        <f t="shared" si="61"/>
        <v>0</v>
      </c>
      <c r="M194" s="33">
        <f t="shared" si="61"/>
        <v>0</v>
      </c>
      <c r="N194" s="33">
        <f t="shared" si="61"/>
        <v>0</v>
      </c>
      <c r="O194" s="33">
        <f t="shared" si="61"/>
        <v>0</v>
      </c>
      <c r="P194" s="33">
        <f t="shared" si="61"/>
        <v>0</v>
      </c>
      <c r="Q194" s="33">
        <f t="shared" si="61"/>
        <v>0</v>
      </c>
      <c r="R194" s="33">
        <f t="shared" si="61"/>
        <v>0</v>
      </c>
      <c r="S194" s="33">
        <f t="shared" si="61"/>
        <v>0</v>
      </c>
      <c r="T194" s="33">
        <f t="shared" si="61"/>
        <v>0</v>
      </c>
      <c r="U194" s="33">
        <f t="shared" si="61"/>
        <v>0</v>
      </c>
      <c r="V194" s="33">
        <f t="shared" si="61"/>
        <v>0</v>
      </c>
      <c r="W194" s="33">
        <f t="shared" si="61"/>
        <v>0</v>
      </c>
      <c r="X194" s="33">
        <f t="shared" si="61"/>
        <v>0</v>
      </c>
    </row>
    <row r="195" spans="2:24">
      <c r="B195" s="52" t="str">
        <f t="shared" si="59"/>
        <v/>
      </c>
      <c r="C195" s="492" t="str">
        <f t="shared" si="59"/>
        <v/>
      </c>
      <c r="D195" s="52"/>
      <c r="E195" s="52"/>
      <c r="F195" s="52"/>
      <c r="G195" s="52"/>
      <c r="H195" s="52"/>
      <c r="I195" s="52"/>
      <c r="J195" s="52"/>
      <c r="K195" s="33">
        <f t="shared" ref="K195:X195" si="62">IF(AND(K$180&gt;=Poczatek,K$180&lt;=Koniec,$C195&lt;&gt;""),ROUND(K189*K183,0),0)</f>
        <v>0</v>
      </c>
      <c r="L195" s="33">
        <f t="shared" si="62"/>
        <v>0</v>
      </c>
      <c r="M195" s="33">
        <f t="shared" si="62"/>
        <v>0</v>
      </c>
      <c r="N195" s="33">
        <f t="shared" si="62"/>
        <v>0</v>
      </c>
      <c r="O195" s="33">
        <f t="shared" si="62"/>
        <v>0</v>
      </c>
      <c r="P195" s="33">
        <f t="shared" si="62"/>
        <v>0</v>
      </c>
      <c r="Q195" s="33">
        <f t="shared" si="62"/>
        <v>0</v>
      </c>
      <c r="R195" s="33">
        <f t="shared" si="62"/>
        <v>0</v>
      </c>
      <c r="S195" s="33">
        <f t="shared" si="62"/>
        <v>0</v>
      </c>
      <c r="T195" s="33">
        <f t="shared" si="62"/>
        <v>0</v>
      </c>
      <c r="U195" s="33">
        <f t="shared" si="62"/>
        <v>0</v>
      </c>
      <c r="V195" s="33">
        <f t="shared" si="62"/>
        <v>0</v>
      </c>
      <c r="W195" s="33">
        <f t="shared" si="62"/>
        <v>0</v>
      </c>
      <c r="X195" s="33">
        <f t="shared" si="62"/>
        <v>0</v>
      </c>
    </row>
    <row r="196" spans="2:24">
      <c r="B196" s="52" t="str">
        <f t="shared" si="59"/>
        <v/>
      </c>
      <c r="C196" s="492" t="str">
        <f t="shared" si="59"/>
        <v/>
      </c>
      <c r="D196" s="52"/>
      <c r="E196" s="52"/>
      <c r="F196" s="52"/>
      <c r="G196" s="52"/>
      <c r="H196" s="52"/>
      <c r="I196" s="52"/>
      <c r="J196" s="52"/>
      <c r="K196" s="33">
        <f t="shared" ref="K196:X196" si="63">IF(AND(K$180&gt;=Poczatek,K$180&lt;=Koniec,$C196&lt;&gt;""),ROUND(K190*K184,0),0)</f>
        <v>0</v>
      </c>
      <c r="L196" s="33">
        <f t="shared" si="63"/>
        <v>0</v>
      </c>
      <c r="M196" s="33">
        <f t="shared" si="63"/>
        <v>0</v>
      </c>
      <c r="N196" s="33">
        <f t="shared" si="63"/>
        <v>0</v>
      </c>
      <c r="O196" s="33">
        <f t="shared" si="63"/>
        <v>0</v>
      </c>
      <c r="P196" s="33">
        <f t="shared" si="63"/>
        <v>0</v>
      </c>
      <c r="Q196" s="33">
        <f t="shared" si="63"/>
        <v>0</v>
      </c>
      <c r="R196" s="33">
        <f t="shared" si="63"/>
        <v>0</v>
      </c>
      <c r="S196" s="33">
        <f t="shared" si="63"/>
        <v>0</v>
      </c>
      <c r="T196" s="33">
        <f t="shared" si="63"/>
        <v>0</v>
      </c>
      <c r="U196" s="33">
        <f t="shared" si="63"/>
        <v>0</v>
      </c>
      <c r="V196" s="33">
        <f t="shared" si="63"/>
        <v>0</v>
      </c>
      <c r="W196" s="33">
        <f t="shared" si="63"/>
        <v>0</v>
      </c>
      <c r="X196" s="33">
        <f t="shared" si="63"/>
        <v>0</v>
      </c>
    </row>
    <row r="197" spans="2:24">
      <c r="B197" s="90" t="str">
        <f t="shared" si="59"/>
        <v/>
      </c>
      <c r="C197" s="503" t="str">
        <f t="shared" si="59"/>
        <v/>
      </c>
      <c r="D197" s="90"/>
      <c r="E197" s="90"/>
      <c r="F197" s="90"/>
      <c r="G197" s="90"/>
      <c r="H197" s="90"/>
      <c r="I197" s="90"/>
      <c r="J197" s="90"/>
      <c r="K197" s="91">
        <f t="shared" ref="K197:X197" si="64">IF(AND(K$180&gt;=Poczatek,K$180&lt;=Koniec,$C197&lt;&gt;""),ROUND(K191*K185,0),0)</f>
        <v>0</v>
      </c>
      <c r="L197" s="91">
        <f t="shared" si="64"/>
        <v>0</v>
      </c>
      <c r="M197" s="91">
        <f t="shared" si="64"/>
        <v>0</v>
      </c>
      <c r="N197" s="91">
        <f t="shared" si="64"/>
        <v>0</v>
      </c>
      <c r="O197" s="91">
        <f t="shared" si="64"/>
        <v>0</v>
      </c>
      <c r="P197" s="91">
        <f t="shared" si="64"/>
        <v>0</v>
      </c>
      <c r="Q197" s="91">
        <f t="shared" si="64"/>
        <v>0</v>
      </c>
      <c r="R197" s="91">
        <f t="shared" si="64"/>
        <v>0</v>
      </c>
      <c r="S197" s="91">
        <f t="shared" si="64"/>
        <v>0</v>
      </c>
      <c r="T197" s="91">
        <f t="shared" si="64"/>
        <v>0</v>
      </c>
      <c r="U197" s="91">
        <f t="shared" si="64"/>
        <v>0</v>
      </c>
      <c r="V197" s="91">
        <f t="shared" si="64"/>
        <v>0</v>
      </c>
      <c r="W197" s="91">
        <f t="shared" si="64"/>
        <v>0</v>
      </c>
      <c r="X197" s="91">
        <f t="shared" si="64"/>
        <v>0</v>
      </c>
    </row>
    <row r="198" spans="2:24">
      <c r="B198" s="179" t="s">
        <v>299</v>
      </c>
      <c r="C198" s="179"/>
      <c r="D198" s="179"/>
      <c r="E198" s="179"/>
      <c r="F198" s="179"/>
      <c r="G198" s="179"/>
      <c r="H198" s="179"/>
      <c r="I198" s="179"/>
      <c r="J198" s="179"/>
      <c r="K198" s="181">
        <f t="shared" ref="K198:X198" si="65">IF(LataProjekcji&lt;=Koniec,SUM(K193:K197),0)</f>
        <v>0</v>
      </c>
      <c r="L198" s="181">
        <f t="shared" si="65"/>
        <v>0</v>
      </c>
      <c r="M198" s="181">
        <f t="shared" si="65"/>
        <v>0</v>
      </c>
      <c r="N198" s="181">
        <f t="shared" si="65"/>
        <v>0</v>
      </c>
      <c r="O198" s="181">
        <f t="shared" si="65"/>
        <v>0</v>
      </c>
      <c r="P198" s="181">
        <f t="shared" si="65"/>
        <v>0</v>
      </c>
      <c r="Q198" s="181">
        <f t="shared" si="65"/>
        <v>0</v>
      </c>
      <c r="R198" s="181">
        <f t="shared" si="65"/>
        <v>0</v>
      </c>
      <c r="S198" s="181">
        <f t="shared" si="65"/>
        <v>0</v>
      </c>
      <c r="T198" s="181">
        <f t="shared" si="65"/>
        <v>0</v>
      </c>
      <c r="U198" s="181">
        <f t="shared" si="65"/>
        <v>0</v>
      </c>
      <c r="V198" s="181">
        <f t="shared" si="65"/>
        <v>0</v>
      </c>
      <c r="W198" s="181">
        <f t="shared" si="65"/>
        <v>0</v>
      </c>
      <c r="X198" s="181">
        <f t="shared" si="65"/>
        <v>0</v>
      </c>
    </row>
    <row r="199" spans="2:24"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2:24"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2:24">
      <c r="B201" s="236" t="s">
        <v>300</v>
      </c>
      <c r="C201" s="232" t="s">
        <v>296</v>
      </c>
      <c r="D201" s="236"/>
      <c r="E201" s="236"/>
      <c r="F201" s="231"/>
      <c r="G201" s="231"/>
      <c r="H201" s="231"/>
      <c r="I201" s="231"/>
      <c r="J201" s="231"/>
      <c r="K201" s="244" t="str">
        <f t="shared" ref="K201:X201" si="66">LataProjekcji</f>
        <v>Uzupełnij dane</v>
      </c>
      <c r="L201" s="244" t="str">
        <f t="shared" si="66"/>
        <v/>
      </c>
      <c r="M201" s="244" t="str">
        <f t="shared" si="66"/>
        <v/>
      </c>
      <c r="N201" s="244" t="str">
        <f t="shared" si="66"/>
        <v/>
      </c>
      <c r="O201" s="244" t="str">
        <f t="shared" si="66"/>
        <v/>
      </c>
      <c r="P201" s="244" t="str">
        <f t="shared" si="66"/>
        <v/>
      </c>
      <c r="Q201" s="244" t="str">
        <f t="shared" si="66"/>
        <v/>
      </c>
      <c r="R201" s="244" t="str">
        <f t="shared" si="66"/>
        <v/>
      </c>
      <c r="S201" s="244" t="str">
        <f t="shared" si="66"/>
        <v/>
      </c>
      <c r="T201" s="244" t="str">
        <f t="shared" si="66"/>
        <v/>
      </c>
      <c r="U201" s="244" t="str">
        <f t="shared" si="66"/>
        <v/>
      </c>
      <c r="V201" s="244" t="str">
        <f t="shared" si="66"/>
        <v/>
      </c>
      <c r="W201" s="244" t="str">
        <f t="shared" si="66"/>
        <v/>
      </c>
      <c r="X201" s="244" t="str">
        <f t="shared" si="66"/>
        <v/>
      </c>
    </row>
    <row r="202" spans="2:24">
      <c r="B202" s="9"/>
      <c r="C202" s="307"/>
      <c r="D202" s="55"/>
      <c r="E202" s="55"/>
      <c r="F202" s="55"/>
      <c r="G202" s="55"/>
      <c r="H202" s="55"/>
      <c r="I202" s="55"/>
      <c r="J202" s="55"/>
      <c r="K202" s="346"/>
      <c r="L202" s="346"/>
      <c r="M202" s="346"/>
      <c r="N202" s="346"/>
      <c r="O202" s="346"/>
      <c r="P202" s="346"/>
      <c r="Q202" s="346"/>
      <c r="R202" s="346"/>
      <c r="S202" s="346"/>
      <c r="T202" s="346"/>
      <c r="U202" s="346"/>
      <c r="V202" s="346"/>
      <c r="W202" s="346"/>
      <c r="X202" s="346"/>
    </row>
    <row r="203" spans="2:24">
      <c r="B203" s="9"/>
      <c r="C203" s="307"/>
      <c r="D203" s="55"/>
      <c r="E203" s="55"/>
      <c r="F203" s="55"/>
      <c r="G203" s="55"/>
      <c r="H203" s="55"/>
      <c r="I203" s="55"/>
      <c r="J203" s="55"/>
      <c r="K203" s="346"/>
      <c r="L203" s="346"/>
      <c r="M203" s="346"/>
      <c r="N203" s="346"/>
      <c r="O203" s="346"/>
      <c r="P203" s="346"/>
      <c r="Q203" s="346"/>
      <c r="R203" s="346"/>
      <c r="S203" s="346"/>
      <c r="T203" s="346"/>
      <c r="U203" s="346"/>
      <c r="V203" s="346"/>
      <c r="W203" s="346"/>
      <c r="X203" s="346"/>
    </row>
    <row r="204" spans="2:24">
      <c r="B204" s="9"/>
      <c r="C204" s="307"/>
      <c r="D204" s="55"/>
      <c r="E204" s="55"/>
      <c r="F204" s="55"/>
      <c r="G204" s="55"/>
      <c r="H204" s="55"/>
      <c r="I204" s="55"/>
      <c r="J204" s="55"/>
      <c r="K204" s="346"/>
      <c r="L204" s="346"/>
      <c r="M204" s="346"/>
      <c r="N204" s="346"/>
      <c r="O204" s="346"/>
      <c r="P204" s="346"/>
      <c r="Q204" s="346"/>
      <c r="R204" s="346"/>
      <c r="S204" s="346"/>
      <c r="T204" s="346"/>
      <c r="U204" s="346"/>
      <c r="V204" s="346"/>
      <c r="W204" s="346"/>
      <c r="X204" s="346"/>
    </row>
    <row r="205" spans="2:24">
      <c r="B205" s="9"/>
      <c r="C205" s="307"/>
      <c r="D205" s="55"/>
      <c r="E205" s="55"/>
      <c r="F205" s="55"/>
      <c r="G205" s="55"/>
      <c r="H205" s="55"/>
      <c r="I205" s="55"/>
      <c r="J205" s="55"/>
      <c r="K205" s="346"/>
      <c r="L205" s="346"/>
      <c r="M205" s="346"/>
      <c r="N205" s="346"/>
      <c r="O205" s="346"/>
      <c r="P205" s="346"/>
      <c r="Q205" s="346"/>
      <c r="R205" s="346"/>
      <c r="S205" s="346"/>
      <c r="T205" s="346"/>
      <c r="U205" s="346"/>
      <c r="V205" s="346"/>
      <c r="W205" s="346"/>
      <c r="X205" s="346"/>
    </row>
    <row r="206" spans="2:24">
      <c r="B206" s="9"/>
      <c r="C206" s="307"/>
      <c r="D206" s="55"/>
      <c r="E206" s="55"/>
      <c r="F206" s="55"/>
      <c r="G206" s="55"/>
      <c r="H206" s="55"/>
      <c r="I206" s="55"/>
      <c r="J206" s="55"/>
      <c r="K206" s="346"/>
      <c r="L206" s="346"/>
      <c r="M206" s="346"/>
      <c r="N206" s="346"/>
      <c r="O206" s="346"/>
      <c r="P206" s="346"/>
      <c r="Q206" s="346"/>
      <c r="R206" s="346"/>
      <c r="S206" s="346"/>
      <c r="T206" s="346"/>
      <c r="U206" s="346"/>
      <c r="V206" s="346"/>
      <c r="W206" s="346"/>
      <c r="X206" s="346"/>
    </row>
    <row r="207" spans="2:24">
      <c r="B207" s="178" t="s">
        <v>275</v>
      </c>
      <c r="C207" s="504"/>
      <c r="D207" s="106"/>
      <c r="E207" s="106"/>
      <c r="F207" s="106"/>
      <c r="G207" s="106"/>
      <c r="H207" s="106"/>
      <c r="I207" s="106"/>
      <c r="J207" s="106"/>
      <c r="K207" s="178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  <c r="W207" s="106"/>
      <c r="X207" s="106"/>
    </row>
    <row r="208" spans="2:24">
      <c r="B208" s="19" t="str">
        <f t="shared" ref="B208:C212" si="67">IF(ISBLANK(B202),"",B202)</f>
        <v/>
      </c>
      <c r="C208" s="501" t="str">
        <f t="shared" si="67"/>
        <v/>
      </c>
      <c r="D208" s="19"/>
      <c r="E208" s="19"/>
      <c r="F208" s="19"/>
      <c r="G208" s="19"/>
      <c r="H208" s="19"/>
      <c r="I208" s="19"/>
      <c r="J208" s="19"/>
      <c r="K208" s="348"/>
      <c r="L208" s="348"/>
      <c r="M208" s="348"/>
      <c r="N208" s="348"/>
      <c r="O208" s="348"/>
      <c r="P208" s="348"/>
      <c r="Q208" s="348"/>
      <c r="R208" s="348"/>
      <c r="S208" s="348"/>
      <c r="T208" s="348"/>
      <c r="U208" s="348"/>
      <c r="V208" s="348"/>
      <c r="W208" s="348"/>
      <c r="X208" s="348"/>
    </row>
    <row r="209" spans="2:24">
      <c r="B209" s="52" t="str">
        <f t="shared" si="67"/>
        <v/>
      </c>
      <c r="C209" s="492" t="str">
        <f t="shared" si="67"/>
        <v/>
      </c>
      <c r="D209" s="52"/>
      <c r="E209" s="52"/>
      <c r="F209" s="52"/>
      <c r="G209" s="52"/>
      <c r="H209" s="52"/>
      <c r="I209" s="52"/>
      <c r="J209" s="52"/>
      <c r="K209" s="347"/>
      <c r="L209" s="347"/>
      <c r="M209" s="347"/>
      <c r="N209" s="347"/>
      <c r="O209" s="347"/>
      <c r="P209" s="347"/>
      <c r="Q209" s="347"/>
      <c r="R209" s="347"/>
      <c r="S209" s="347"/>
      <c r="T209" s="347"/>
      <c r="U209" s="347"/>
      <c r="V209" s="347"/>
      <c r="W209" s="347"/>
      <c r="X209" s="347"/>
    </row>
    <row r="210" spans="2:24">
      <c r="B210" s="52" t="str">
        <f t="shared" si="67"/>
        <v/>
      </c>
      <c r="C210" s="492" t="str">
        <f t="shared" si="67"/>
        <v/>
      </c>
      <c r="D210" s="52"/>
      <c r="E210" s="52"/>
      <c r="F210" s="52"/>
      <c r="G210" s="52"/>
      <c r="H210" s="52"/>
      <c r="I210" s="52"/>
      <c r="J210" s="52"/>
      <c r="K210" s="347"/>
      <c r="L210" s="347"/>
      <c r="M210" s="347"/>
      <c r="N210" s="347"/>
      <c r="O210" s="347"/>
      <c r="P210" s="347"/>
      <c r="Q210" s="347"/>
      <c r="R210" s="347"/>
      <c r="S210" s="347"/>
      <c r="T210" s="347"/>
      <c r="U210" s="347"/>
      <c r="V210" s="347"/>
      <c r="W210" s="347"/>
      <c r="X210" s="347"/>
    </row>
    <row r="211" spans="2:24">
      <c r="B211" s="52" t="str">
        <f t="shared" si="67"/>
        <v/>
      </c>
      <c r="C211" s="492" t="str">
        <f t="shared" si="67"/>
        <v/>
      </c>
      <c r="D211" s="52"/>
      <c r="E211" s="52"/>
      <c r="F211" s="52"/>
      <c r="G211" s="52"/>
      <c r="H211" s="52"/>
      <c r="I211" s="52"/>
      <c r="J211" s="52"/>
      <c r="K211" s="347"/>
      <c r="L211" s="347"/>
      <c r="M211" s="347"/>
      <c r="N211" s="347"/>
      <c r="O211" s="347"/>
      <c r="P211" s="347"/>
      <c r="Q211" s="347"/>
      <c r="R211" s="347"/>
      <c r="S211" s="347"/>
      <c r="T211" s="347"/>
      <c r="U211" s="347"/>
      <c r="V211" s="347"/>
      <c r="W211" s="347"/>
      <c r="X211" s="347"/>
    </row>
    <row r="212" spans="2:24">
      <c r="B212" s="52" t="str">
        <f t="shared" si="67"/>
        <v/>
      </c>
      <c r="C212" s="492" t="str">
        <f t="shared" si="67"/>
        <v/>
      </c>
      <c r="D212" s="52"/>
      <c r="E212" s="52"/>
      <c r="F212" s="52"/>
      <c r="G212" s="52"/>
      <c r="H212" s="52"/>
      <c r="I212" s="52"/>
      <c r="J212" s="52"/>
      <c r="K212" s="347"/>
      <c r="L212" s="347"/>
      <c r="M212" s="347"/>
      <c r="N212" s="347"/>
      <c r="O212" s="347"/>
      <c r="P212" s="347"/>
      <c r="Q212" s="347"/>
      <c r="R212" s="347"/>
      <c r="S212" s="347"/>
      <c r="T212" s="347"/>
      <c r="U212" s="347"/>
      <c r="V212" s="347"/>
      <c r="W212" s="347"/>
      <c r="X212" s="347"/>
    </row>
    <row r="213" spans="2:24">
      <c r="B213" s="178" t="s">
        <v>279</v>
      </c>
      <c r="C213" s="504"/>
      <c r="D213" s="106"/>
      <c r="E213" s="106"/>
      <c r="F213" s="106"/>
      <c r="G213" s="106"/>
      <c r="H213" s="106"/>
      <c r="I213" s="106"/>
      <c r="J213" s="106"/>
      <c r="K213" s="178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</row>
    <row r="214" spans="2:24">
      <c r="B214" s="19" t="str">
        <f t="shared" ref="B214:C218" si="68">IF(ISBLANK(B208),"",B208)</f>
        <v/>
      </c>
      <c r="C214" s="501" t="str">
        <f t="shared" si="68"/>
        <v/>
      </c>
      <c r="D214" s="19"/>
      <c r="E214" s="19"/>
      <c r="F214" s="19"/>
      <c r="G214" s="19"/>
      <c r="H214" s="19"/>
      <c r="I214" s="19"/>
      <c r="J214" s="19"/>
      <c r="K214" s="33">
        <f t="shared" ref="K214:U214" si="69">IF(AND(K$180&gt;=Poczatek,K$180&lt;=Koniec,$C214&lt;&gt;""),ROUND(K208*K202,0),0)</f>
        <v>0</v>
      </c>
      <c r="L214" s="33">
        <f t="shared" si="69"/>
        <v>0</v>
      </c>
      <c r="M214" s="33">
        <f t="shared" si="69"/>
        <v>0</v>
      </c>
      <c r="N214" s="33">
        <f t="shared" si="69"/>
        <v>0</v>
      </c>
      <c r="O214" s="33">
        <f t="shared" si="69"/>
        <v>0</v>
      </c>
      <c r="P214" s="33">
        <f t="shared" si="69"/>
        <v>0</v>
      </c>
      <c r="Q214" s="33">
        <f t="shared" si="69"/>
        <v>0</v>
      </c>
      <c r="R214" s="33">
        <f t="shared" si="69"/>
        <v>0</v>
      </c>
      <c r="S214" s="33">
        <f t="shared" si="69"/>
        <v>0</v>
      </c>
      <c r="T214" s="33">
        <f t="shared" si="69"/>
        <v>0</v>
      </c>
      <c r="U214" s="33">
        <f t="shared" si="69"/>
        <v>0</v>
      </c>
      <c r="V214" s="33">
        <f t="shared" ref="V214:X214" si="70">IF(AND(V$180&gt;=Poczatek,V$180&lt;=Koniec,$C214&lt;&gt;""),ROUND(V208*V202,0),0)</f>
        <v>0</v>
      </c>
      <c r="W214" s="33">
        <f t="shared" si="70"/>
        <v>0</v>
      </c>
      <c r="X214" s="33">
        <f t="shared" si="70"/>
        <v>0</v>
      </c>
    </row>
    <row r="215" spans="2:24">
      <c r="B215" s="52" t="str">
        <f t="shared" si="68"/>
        <v/>
      </c>
      <c r="C215" s="492" t="str">
        <f t="shared" si="68"/>
        <v/>
      </c>
      <c r="D215" s="52"/>
      <c r="E215" s="52"/>
      <c r="F215" s="52"/>
      <c r="G215" s="52"/>
      <c r="H215" s="52"/>
      <c r="I215" s="52"/>
      <c r="J215" s="52"/>
      <c r="K215" s="33">
        <f t="shared" ref="K215:X215" si="71">IF(AND(K$180&gt;=Poczatek,K$180&lt;=Koniec,$C215&lt;&gt;""),ROUND(K209*K203,0),0)</f>
        <v>0</v>
      </c>
      <c r="L215" s="33">
        <f t="shared" si="71"/>
        <v>0</v>
      </c>
      <c r="M215" s="33">
        <f t="shared" si="71"/>
        <v>0</v>
      </c>
      <c r="N215" s="33">
        <f t="shared" si="71"/>
        <v>0</v>
      </c>
      <c r="O215" s="33">
        <f t="shared" si="71"/>
        <v>0</v>
      </c>
      <c r="P215" s="33">
        <f t="shared" si="71"/>
        <v>0</v>
      </c>
      <c r="Q215" s="33">
        <f t="shared" si="71"/>
        <v>0</v>
      </c>
      <c r="R215" s="33">
        <f t="shared" si="71"/>
        <v>0</v>
      </c>
      <c r="S215" s="33">
        <f t="shared" si="71"/>
        <v>0</v>
      </c>
      <c r="T215" s="33">
        <f t="shared" si="71"/>
        <v>0</v>
      </c>
      <c r="U215" s="33">
        <f t="shared" si="71"/>
        <v>0</v>
      </c>
      <c r="V215" s="33">
        <f t="shared" si="71"/>
        <v>0</v>
      </c>
      <c r="W215" s="33">
        <f t="shared" si="71"/>
        <v>0</v>
      </c>
      <c r="X215" s="33">
        <f t="shared" si="71"/>
        <v>0</v>
      </c>
    </row>
    <row r="216" spans="2:24">
      <c r="B216" s="52" t="str">
        <f t="shared" si="68"/>
        <v/>
      </c>
      <c r="C216" s="492" t="str">
        <f t="shared" si="68"/>
        <v/>
      </c>
      <c r="D216" s="52"/>
      <c r="E216" s="52"/>
      <c r="F216" s="52"/>
      <c r="G216" s="52"/>
      <c r="H216" s="52"/>
      <c r="I216" s="52"/>
      <c r="J216" s="52"/>
      <c r="K216" s="33">
        <f t="shared" ref="K216:X216" si="72">IF(AND(K$180&gt;=Poczatek,K$180&lt;=Koniec,$C216&lt;&gt;""),ROUND(K210*K204,0),0)</f>
        <v>0</v>
      </c>
      <c r="L216" s="33">
        <f t="shared" si="72"/>
        <v>0</v>
      </c>
      <c r="M216" s="33">
        <f t="shared" si="72"/>
        <v>0</v>
      </c>
      <c r="N216" s="33">
        <f t="shared" si="72"/>
        <v>0</v>
      </c>
      <c r="O216" s="33">
        <f t="shared" si="72"/>
        <v>0</v>
      </c>
      <c r="P216" s="33">
        <f t="shared" si="72"/>
        <v>0</v>
      </c>
      <c r="Q216" s="33">
        <f t="shared" si="72"/>
        <v>0</v>
      </c>
      <c r="R216" s="33">
        <f t="shared" si="72"/>
        <v>0</v>
      </c>
      <c r="S216" s="33">
        <f t="shared" si="72"/>
        <v>0</v>
      </c>
      <c r="T216" s="33">
        <f t="shared" si="72"/>
        <v>0</v>
      </c>
      <c r="U216" s="33">
        <f t="shared" si="72"/>
        <v>0</v>
      </c>
      <c r="V216" s="33">
        <f t="shared" si="72"/>
        <v>0</v>
      </c>
      <c r="W216" s="33">
        <f t="shared" si="72"/>
        <v>0</v>
      </c>
      <c r="X216" s="33">
        <f t="shared" si="72"/>
        <v>0</v>
      </c>
    </row>
    <row r="217" spans="2:24">
      <c r="B217" s="52" t="str">
        <f t="shared" si="68"/>
        <v/>
      </c>
      <c r="C217" s="492" t="str">
        <f t="shared" si="68"/>
        <v/>
      </c>
      <c r="D217" s="52"/>
      <c r="E217" s="52"/>
      <c r="F217" s="52"/>
      <c r="G217" s="52"/>
      <c r="H217" s="52"/>
      <c r="I217" s="52"/>
      <c r="J217" s="52"/>
      <c r="K217" s="33">
        <f t="shared" ref="K217:X217" si="73">IF(AND(K$180&gt;=Poczatek,K$180&lt;=Koniec,$C217&lt;&gt;""),ROUND(K211*K205,0),0)</f>
        <v>0</v>
      </c>
      <c r="L217" s="33">
        <f t="shared" si="73"/>
        <v>0</v>
      </c>
      <c r="M217" s="33">
        <f t="shared" si="73"/>
        <v>0</v>
      </c>
      <c r="N217" s="33">
        <f t="shared" si="73"/>
        <v>0</v>
      </c>
      <c r="O217" s="33">
        <f t="shared" si="73"/>
        <v>0</v>
      </c>
      <c r="P217" s="33">
        <f t="shared" si="73"/>
        <v>0</v>
      </c>
      <c r="Q217" s="33">
        <f t="shared" si="73"/>
        <v>0</v>
      </c>
      <c r="R217" s="33">
        <f t="shared" si="73"/>
        <v>0</v>
      </c>
      <c r="S217" s="33">
        <f t="shared" si="73"/>
        <v>0</v>
      </c>
      <c r="T217" s="33">
        <f t="shared" si="73"/>
        <v>0</v>
      </c>
      <c r="U217" s="33">
        <f t="shared" si="73"/>
        <v>0</v>
      </c>
      <c r="V217" s="33">
        <f t="shared" si="73"/>
        <v>0</v>
      </c>
      <c r="W217" s="33">
        <f t="shared" si="73"/>
        <v>0</v>
      </c>
      <c r="X217" s="33">
        <f t="shared" si="73"/>
        <v>0</v>
      </c>
    </row>
    <row r="218" spans="2:24">
      <c r="B218" s="90" t="str">
        <f t="shared" si="68"/>
        <v/>
      </c>
      <c r="C218" s="503" t="str">
        <f t="shared" si="68"/>
        <v/>
      </c>
      <c r="D218" s="90"/>
      <c r="E218" s="90"/>
      <c r="F218" s="90"/>
      <c r="G218" s="90"/>
      <c r="H218" s="90"/>
      <c r="I218" s="90"/>
      <c r="J218" s="90"/>
      <c r="K218" s="91">
        <f t="shared" ref="K218:X218" si="74">IF(AND(K$180&gt;=Poczatek,K$180&lt;=Koniec,$C218&lt;&gt;""),ROUND(K212*K206,0),0)</f>
        <v>0</v>
      </c>
      <c r="L218" s="91">
        <f t="shared" si="74"/>
        <v>0</v>
      </c>
      <c r="M218" s="91">
        <f t="shared" si="74"/>
        <v>0</v>
      </c>
      <c r="N218" s="91">
        <f t="shared" si="74"/>
        <v>0</v>
      </c>
      <c r="O218" s="91">
        <f t="shared" si="74"/>
        <v>0</v>
      </c>
      <c r="P218" s="91">
        <f t="shared" si="74"/>
        <v>0</v>
      </c>
      <c r="Q218" s="91">
        <f t="shared" si="74"/>
        <v>0</v>
      </c>
      <c r="R218" s="91">
        <f t="shared" si="74"/>
        <v>0</v>
      </c>
      <c r="S218" s="91">
        <f t="shared" si="74"/>
        <v>0</v>
      </c>
      <c r="T218" s="91">
        <f t="shared" si="74"/>
        <v>0</v>
      </c>
      <c r="U218" s="91">
        <f t="shared" si="74"/>
        <v>0</v>
      </c>
      <c r="V218" s="91">
        <f t="shared" si="74"/>
        <v>0</v>
      </c>
      <c r="W218" s="91">
        <f t="shared" si="74"/>
        <v>0</v>
      </c>
      <c r="X218" s="91">
        <f t="shared" si="74"/>
        <v>0</v>
      </c>
    </row>
    <row r="219" spans="2:24">
      <c r="B219" s="179" t="s">
        <v>301</v>
      </c>
      <c r="C219" s="180"/>
      <c r="D219" s="180"/>
      <c r="E219" s="180"/>
      <c r="F219" s="180"/>
      <c r="G219" s="180"/>
      <c r="H219" s="180"/>
      <c r="I219" s="180"/>
      <c r="J219" s="180"/>
      <c r="K219" s="181">
        <f t="shared" ref="K219:X219" si="75">IF(LataProjekcji&lt;=Koniec,SUM(K214:K218),0)</f>
        <v>0</v>
      </c>
      <c r="L219" s="181">
        <f t="shared" si="75"/>
        <v>0</v>
      </c>
      <c r="M219" s="181">
        <f t="shared" si="75"/>
        <v>0</v>
      </c>
      <c r="N219" s="181">
        <f t="shared" si="75"/>
        <v>0</v>
      </c>
      <c r="O219" s="181">
        <f t="shared" si="75"/>
        <v>0</v>
      </c>
      <c r="P219" s="181">
        <f t="shared" si="75"/>
        <v>0</v>
      </c>
      <c r="Q219" s="181">
        <f t="shared" si="75"/>
        <v>0</v>
      </c>
      <c r="R219" s="181">
        <f t="shared" si="75"/>
        <v>0</v>
      </c>
      <c r="S219" s="181">
        <f t="shared" si="75"/>
        <v>0</v>
      </c>
      <c r="T219" s="181">
        <f t="shared" si="75"/>
        <v>0</v>
      </c>
      <c r="U219" s="181">
        <f t="shared" si="75"/>
        <v>0</v>
      </c>
      <c r="V219" s="181">
        <f t="shared" si="75"/>
        <v>0</v>
      </c>
      <c r="W219" s="181">
        <f t="shared" si="75"/>
        <v>0</v>
      </c>
      <c r="X219" s="181">
        <f t="shared" si="75"/>
        <v>0</v>
      </c>
    </row>
    <row r="220" spans="2:24">
      <c r="B220" s="7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2:24"/>
    <row r="222" spans="2:24">
      <c r="B222" s="236" t="s">
        <v>302</v>
      </c>
      <c r="C222" s="232" t="s">
        <v>296</v>
      </c>
      <c r="D222" s="236"/>
      <c r="E222" s="236"/>
      <c r="F222" s="231"/>
      <c r="G222" s="231"/>
      <c r="H222" s="231"/>
      <c r="I222" s="231"/>
      <c r="J222" s="231"/>
      <c r="K222" s="244" t="str">
        <f t="shared" ref="K222:X222" si="76">LataProjekcji</f>
        <v>Uzupełnij dane</v>
      </c>
      <c r="L222" s="244" t="str">
        <f t="shared" si="76"/>
        <v/>
      </c>
      <c r="M222" s="244" t="str">
        <f t="shared" si="76"/>
        <v/>
      </c>
      <c r="N222" s="244" t="str">
        <f t="shared" si="76"/>
        <v/>
      </c>
      <c r="O222" s="244" t="str">
        <f t="shared" si="76"/>
        <v/>
      </c>
      <c r="P222" s="244" t="str">
        <f t="shared" si="76"/>
        <v/>
      </c>
      <c r="Q222" s="244" t="str">
        <f t="shared" si="76"/>
        <v/>
      </c>
      <c r="R222" s="244" t="str">
        <f t="shared" si="76"/>
        <v/>
      </c>
      <c r="S222" s="244" t="str">
        <f t="shared" si="76"/>
        <v/>
      </c>
      <c r="T222" s="244" t="str">
        <f t="shared" si="76"/>
        <v/>
      </c>
      <c r="U222" s="244" t="str">
        <f t="shared" si="76"/>
        <v/>
      </c>
      <c r="V222" s="244" t="str">
        <f t="shared" si="76"/>
        <v/>
      </c>
      <c r="W222" s="244" t="str">
        <f t="shared" si="76"/>
        <v/>
      </c>
      <c r="X222" s="244" t="str">
        <f t="shared" si="76"/>
        <v/>
      </c>
    </row>
    <row r="223" spans="2:24">
      <c r="B223" s="297"/>
      <c r="C223" s="308"/>
      <c r="D223" s="298"/>
      <c r="E223" s="298"/>
      <c r="F223" s="298"/>
      <c r="G223" s="298"/>
      <c r="H223" s="298"/>
      <c r="I223" s="298"/>
      <c r="J223" s="298"/>
      <c r="K223" s="345"/>
      <c r="L223" s="345"/>
      <c r="M223" s="345"/>
      <c r="N223" s="345"/>
      <c r="O223" s="345"/>
      <c r="P223" s="345"/>
      <c r="Q223" s="345"/>
      <c r="R223" s="345"/>
      <c r="S223" s="345"/>
      <c r="T223" s="345"/>
      <c r="U223" s="345"/>
      <c r="V223" s="345"/>
      <c r="W223" s="345"/>
      <c r="X223" s="345"/>
    </row>
    <row r="224" spans="2:24">
      <c r="B224" s="9"/>
      <c r="C224" s="307"/>
      <c r="D224" s="55"/>
      <c r="E224" s="55"/>
      <c r="F224" s="55"/>
      <c r="G224" s="55"/>
      <c r="H224" s="55"/>
      <c r="I224" s="55"/>
      <c r="J224" s="55"/>
      <c r="K224" s="346"/>
      <c r="L224" s="346"/>
      <c r="M224" s="346"/>
      <c r="N224" s="346"/>
      <c r="O224" s="346"/>
      <c r="P224" s="346"/>
      <c r="Q224" s="346"/>
      <c r="R224" s="346"/>
      <c r="S224" s="346"/>
      <c r="T224" s="346"/>
      <c r="U224" s="346"/>
      <c r="V224" s="346"/>
      <c r="W224" s="346"/>
      <c r="X224" s="346"/>
    </row>
    <row r="225" spans="2:24">
      <c r="B225" s="9"/>
      <c r="C225" s="307"/>
      <c r="D225" s="55"/>
      <c r="E225" s="55"/>
      <c r="F225" s="55"/>
      <c r="G225" s="55"/>
      <c r="H225" s="55"/>
      <c r="I225" s="55"/>
      <c r="J225" s="55"/>
      <c r="K225" s="346"/>
      <c r="L225" s="346"/>
      <c r="M225" s="346"/>
      <c r="N225" s="346"/>
      <c r="O225" s="346"/>
      <c r="P225" s="346"/>
      <c r="Q225" s="346"/>
      <c r="R225" s="346"/>
      <c r="S225" s="346"/>
      <c r="T225" s="346"/>
      <c r="U225" s="346"/>
      <c r="V225" s="346"/>
      <c r="W225" s="346"/>
      <c r="X225" s="346"/>
    </row>
    <row r="226" spans="2:24">
      <c r="B226" s="9"/>
      <c r="C226" s="307"/>
      <c r="D226" s="55"/>
      <c r="E226" s="55"/>
      <c r="F226" s="55"/>
      <c r="G226" s="55"/>
      <c r="H226" s="55"/>
      <c r="I226" s="55"/>
      <c r="J226" s="55"/>
      <c r="K226" s="346"/>
      <c r="L226" s="346"/>
      <c r="M226" s="346"/>
      <c r="N226" s="346"/>
      <c r="O226" s="346"/>
      <c r="P226" s="346"/>
      <c r="Q226" s="346"/>
      <c r="R226" s="346"/>
      <c r="S226" s="346"/>
      <c r="T226" s="346"/>
      <c r="U226" s="346"/>
      <c r="V226" s="346"/>
      <c r="W226" s="346"/>
      <c r="X226" s="346"/>
    </row>
    <row r="227" spans="2:24">
      <c r="B227" s="90" t="s">
        <v>303</v>
      </c>
      <c r="C227" s="503"/>
      <c r="D227" s="90"/>
      <c r="E227" s="90"/>
      <c r="F227" s="90"/>
      <c r="G227" s="90"/>
      <c r="H227" s="90"/>
      <c r="I227" s="90"/>
      <c r="J227" s="90"/>
      <c r="K227" s="91">
        <f ca="1">'Rozliczenie dotacji'!K252</f>
        <v>0</v>
      </c>
      <c r="L227" s="91">
        <f ca="1">'Rozliczenie dotacji'!L252</f>
        <v>0</v>
      </c>
      <c r="M227" s="91">
        <f ca="1">'Rozliczenie dotacji'!M252</f>
        <v>0</v>
      </c>
      <c r="N227" s="91">
        <f ca="1">'Rozliczenie dotacji'!N252</f>
        <v>0</v>
      </c>
      <c r="O227" s="91">
        <f ca="1">'Rozliczenie dotacji'!O252</f>
        <v>0</v>
      </c>
      <c r="P227" s="91">
        <f ca="1">'Rozliczenie dotacji'!P252</f>
        <v>0</v>
      </c>
      <c r="Q227" s="91">
        <f ca="1">'Rozliczenie dotacji'!Q252</f>
        <v>0</v>
      </c>
      <c r="R227" s="91">
        <f ca="1">'Rozliczenie dotacji'!R252</f>
        <v>0</v>
      </c>
      <c r="S227" s="91">
        <f ca="1">'Rozliczenie dotacji'!S252</f>
        <v>0</v>
      </c>
      <c r="T227" s="91">
        <f ca="1">'Rozliczenie dotacji'!T252</f>
        <v>0</v>
      </c>
      <c r="U227" s="91">
        <f ca="1">'Rozliczenie dotacji'!U252</f>
        <v>0</v>
      </c>
      <c r="V227" s="91">
        <f ca="1">'Rozliczenie dotacji'!V252</f>
        <v>0</v>
      </c>
      <c r="W227" s="91">
        <f ca="1">'Rozliczenie dotacji'!W252</f>
        <v>0</v>
      </c>
      <c r="X227" s="91">
        <f ca="1">'Rozliczenie dotacji'!X252</f>
        <v>0</v>
      </c>
    </row>
    <row r="228" spans="2:24">
      <c r="B228" s="179" t="s">
        <v>304</v>
      </c>
      <c r="C228" s="180"/>
      <c r="D228" s="180"/>
      <c r="E228" s="180"/>
      <c r="F228" s="179"/>
      <c r="G228" s="179"/>
      <c r="H228" s="179"/>
      <c r="I228" s="179"/>
      <c r="J228" s="179"/>
      <c r="K228" s="181">
        <f t="shared" ref="K228:X228" ca="1" si="77">IF(AND(LataProjekcji&gt;=Poczatek,LataProjekcji&lt;=Koniec),SUM(K223:K227),0)</f>
        <v>0</v>
      </c>
      <c r="L228" s="181">
        <f t="shared" ca="1" si="77"/>
        <v>0</v>
      </c>
      <c r="M228" s="181">
        <f t="shared" ca="1" si="77"/>
        <v>0</v>
      </c>
      <c r="N228" s="181">
        <f t="shared" ca="1" si="77"/>
        <v>0</v>
      </c>
      <c r="O228" s="181">
        <f t="shared" ca="1" si="77"/>
        <v>0</v>
      </c>
      <c r="P228" s="181">
        <f t="shared" ca="1" si="77"/>
        <v>0</v>
      </c>
      <c r="Q228" s="181">
        <f t="shared" ca="1" si="77"/>
        <v>0</v>
      </c>
      <c r="R228" s="181">
        <f t="shared" ca="1" si="77"/>
        <v>0</v>
      </c>
      <c r="S228" s="181">
        <f t="shared" ca="1" si="77"/>
        <v>0</v>
      </c>
      <c r="T228" s="181">
        <f t="shared" ca="1" si="77"/>
        <v>0</v>
      </c>
      <c r="U228" s="181">
        <f t="shared" ca="1" si="77"/>
        <v>0</v>
      </c>
      <c r="V228" s="181">
        <f t="shared" ca="1" si="77"/>
        <v>0</v>
      </c>
      <c r="W228" s="181">
        <f t="shared" ca="1" si="77"/>
        <v>0</v>
      </c>
      <c r="X228" s="181">
        <f t="shared" ca="1" si="77"/>
        <v>0</v>
      </c>
    </row>
    <row r="229" spans="2:24"/>
    <row r="230" spans="2:24"/>
    <row r="231" spans="2:24">
      <c r="B231" s="236" t="s">
        <v>305</v>
      </c>
      <c r="C231" s="232" t="s">
        <v>296</v>
      </c>
      <c r="D231" s="236"/>
      <c r="E231" s="236"/>
      <c r="F231" s="231"/>
      <c r="G231" s="231"/>
      <c r="H231" s="231"/>
      <c r="I231" s="231"/>
      <c r="J231" s="231"/>
      <c r="K231" s="244" t="str">
        <f t="shared" ref="K231:X231" si="78">LataProjekcji</f>
        <v>Uzupełnij dane</v>
      </c>
      <c r="L231" s="244" t="str">
        <f t="shared" si="78"/>
        <v/>
      </c>
      <c r="M231" s="244" t="str">
        <f t="shared" si="78"/>
        <v/>
      </c>
      <c r="N231" s="244" t="str">
        <f t="shared" si="78"/>
        <v/>
      </c>
      <c r="O231" s="244" t="str">
        <f t="shared" si="78"/>
        <v/>
      </c>
      <c r="P231" s="244" t="str">
        <f t="shared" si="78"/>
        <v/>
      </c>
      <c r="Q231" s="244" t="str">
        <f t="shared" si="78"/>
        <v/>
      </c>
      <c r="R231" s="244" t="str">
        <f t="shared" si="78"/>
        <v/>
      </c>
      <c r="S231" s="244" t="str">
        <f t="shared" si="78"/>
        <v/>
      </c>
      <c r="T231" s="244" t="str">
        <f t="shared" si="78"/>
        <v/>
      </c>
      <c r="U231" s="244" t="str">
        <f t="shared" si="78"/>
        <v/>
      </c>
      <c r="V231" s="244" t="str">
        <f t="shared" si="78"/>
        <v/>
      </c>
      <c r="W231" s="244" t="str">
        <f t="shared" si="78"/>
        <v/>
      </c>
      <c r="X231" s="244" t="str">
        <f t="shared" si="78"/>
        <v/>
      </c>
    </row>
    <row r="232" spans="2:24">
      <c r="B232" s="19" t="s">
        <v>285</v>
      </c>
      <c r="C232" s="498"/>
      <c r="D232" s="19"/>
      <c r="E232" s="19"/>
      <c r="F232" s="19"/>
      <c r="G232" s="19"/>
      <c r="H232" s="19"/>
      <c r="I232" s="19"/>
      <c r="J232" s="19"/>
      <c r="K232" s="345">
        <f>IFERROR(ROUND(Finansowanie!K91+Finansowanie!K100,0),0)</f>
        <v>0</v>
      </c>
      <c r="L232" s="345">
        <f ca="1">IFERROR(ROUND(Finansowanie!L91+Finansowanie!L100,0),0)</f>
        <v>0</v>
      </c>
      <c r="M232" s="345">
        <f ca="1">IFERROR(ROUND(Finansowanie!M91+Finansowanie!M100,0),0)</f>
        <v>0</v>
      </c>
      <c r="N232" s="345">
        <f ca="1">IFERROR(ROUND(Finansowanie!N91+Finansowanie!N100,0),0)</f>
        <v>0</v>
      </c>
      <c r="O232" s="345">
        <f ca="1">IFERROR(ROUND(Finansowanie!O91+Finansowanie!O100,0),0)</f>
        <v>0</v>
      </c>
      <c r="P232" s="345">
        <f ca="1">IFERROR(ROUND(Finansowanie!P91+Finansowanie!P100,0),0)</f>
        <v>0</v>
      </c>
      <c r="Q232" s="345">
        <f ca="1">IFERROR(ROUND(Finansowanie!Q91+Finansowanie!Q100,0),0)</f>
        <v>0</v>
      </c>
      <c r="R232" s="345">
        <f ca="1">IFERROR(ROUND(Finansowanie!R91+Finansowanie!R100,0),0)</f>
        <v>0</v>
      </c>
      <c r="S232" s="345">
        <f ca="1">IFERROR(ROUND(Finansowanie!S91+Finansowanie!S100,0),0)</f>
        <v>0</v>
      </c>
      <c r="T232" s="345">
        <f ca="1">IFERROR(ROUND(Finansowanie!T91+Finansowanie!T100,0),0)</f>
        <v>0</v>
      </c>
      <c r="U232" s="345">
        <f ca="1">IFERROR(ROUND(Finansowanie!U91+Finansowanie!U100,0),0)</f>
        <v>0</v>
      </c>
      <c r="V232" s="345">
        <f ca="1">IFERROR(ROUND(Finansowanie!V91+Finansowanie!V100,0),0)</f>
        <v>0</v>
      </c>
      <c r="W232" s="345">
        <f ca="1">IFERROR(ROUND(Finansowanie!W91+Finansowanie!W100,0),0)</f>
        <v>0</v>
      </c>
      <c r="X232" s="345">
        <f ca="1">IFERROR(ROUND(Finansowanie!X91+Finansowanie!X100,0),0)</f>
        <v>0</v>
      </c>
    </row>
    <row r="233" spans="2:24">
      <c r="B233" s="9"/>
      <c r="C233" s="307"/>
      <c r="D233" s="55"/>
      <c r="E233" s="55"/>
      <c r="F233" s="55"/>
      <c r="G233" s="55"/>
      <c r="H233" s="55"/>
      <c r="I233" s="55"/>
      <c r="J233" s="55"/>
      <c r="K233" s="346"/>
      <c r="L233" s="346"/>
      <c r="M233" s="346"/>
      <c r="N233" s="346"/>
      <c r="O233" s="346"/>
      <c r="P233" s="346"/>
      <c r="Q233" s="346"/>
      <c r="R233" s="346"/>
      <c r="S233" s="346"/>
      <c r="T233" s="346"/>
      <c r="U233" s="346"/>
      <c r="V233" s="346"/>
      <c r="W233" s="346"/>
      <c r="X233" s="346"/>
    </row>
    <row r="234" spans="2:24">
      <c r="B234" s="9"/>
      <c r="C234" s="307"/>
      <c r="D234" s="55"/>
      <c r="E234" s="55"/>
      <c r="F234" s="55"/>
      <c r="G234" s="55"/>
      <c r="H234" s="55"/>
      <c r="I234" s="55"/>
      <c r="J234" s="55"/>
      <c r="K234" s="346"/>
      <c r="L234" s="346"/>
      <c r="M234" s="346"/>
      <c r="N234" s="346"/>
      <c r="O234" s="346"/>
      <c r="P234" s="346"/>
      <c r="Q234" s="346"/>
      <c r="R234" s="346"/>
      <c r="S234" s="346"/>
      <c r="T234" s="346"/>
      <c r="U234" s="346"/>
      <c r="V234" s="346"/>
      <c r="W234" s="346"/>
      <c r="X234" s="346"/>
    </row>
    <row r="235" spans="2:24">
      <c r="B235" s="9"/>
      <c r="C235" s="307"/>
      <c r="D235" s="55"/>
      <c r="E235" s="55"/>
      <c r="F235" s="55"/>
      <c r="G235" s="55"/>
      <c r="H235" s="55"/>
      <c r="I235" s="55"/>
      <c r="J235" s="55"/>
      <c r="K235" s="346"/>
      <c r="L235" s="346"/>
      <c r="M235" s="346"/>
      <c r="N235" s="346"/>
      <c r="O235" s="346"/>
      <c r="P235" s="346"/>
      <c r="Q235" s="346"/>
      <c r="R235" s="346"/>
      <c r="S235" s="346"/>
      <c r="T235" s="346"/>
      <c r="U235" s="346"/>
      <c r="V235" s="346"/>
      <c r="W235" s="346"/>
      <c r="X235" s="346"/>
    </row>
    <row r="236" spans="2:24">
      <c r="B236" s="182"/>
      <c r="C236" s="499"/>
      <c r="D236" s="183"/>
      <c r="E236" s="183"/>
      <c r="F236" s="183"/>
      <c r="G236" s="183"/>
      <c r="H236" s="183"/>
      <c r="I236" s="183"/>
      <c r="J236" s="183"/>
      <c r="K236" s="349"/>
      <c r="L236" s="349"/>
      <c r="M236" s="349"/>
      <c r="N236" s="349"/>
      <c r="O236" s="349"/>
      <c r="P236" s="349"/>
      <c r="Q236" s="349"/>
      <c r="R236" s="349"/>
      <c r="S236" s="349"/>
      <c r="T236" s="349"/>
      <c r="U236" s="349"/>
      <c r="V236" s="349"/>
      <c r="W236" s="349"/>
      <c r="X236" s="349"/>
    </row>
    <row r="237" spans="2:24">
      <c r="B237" s="179" t="s">
        <v>306</v>
      </c>
      <c r="C237" s="180"/>
      <c r="D237" s="180"/>
      <c r="E237" s="180"/>
      <c r="F237" s="179"/>
      <c r="G237" s="179"/>
      <c r="H237" s="179"/>
      <c r="I237" s="179"/>
      <c r="J237" s="179"/>
      <c r="K237" s="181">
        <f t="shared" ref="K237:X237" si="79">IF(LataProjekcji&lt;=Koniec,SUM(K232:K236),0)</f>
        <v>0</v>
      </c>
      <c r="L237" s="181">
        <f t="shared" ca="1" si="79"/>
        <v>0</v>
      </c>
      <c r="M237" s="181">
        <f t="shared" ca="1" si="79"/>
        <v>0</v>
      </c>
      <c r="N237" s="181">
        <f t="shared" ca="1" si="79"/>
        <v>0</v>
      </c>
      <c r="O237" s="181">
        <f t="shared" ca="1" si="79"/>
        <v>0</v>
      </c>
      <c r="P237" s="181">
        <f t="shared" ca="1" si="79"/>
        <v>0</v>
      </c>
      <c r="Q237" s="181">
        <f t="shared" ca="1" si="79"/>
        <v>0</v>
      </c>
      <c r="R237" s="181">
        <f t="shared" ca="1" si="79"/>
        <v>0</v>
      </c>
      <c r="S237" s="181">
        <f t="shared" ca="1" si="79"/>
        <v>0</v>
      </c>
      <c r="T237" s="181">
        <f t="shared" ca="1" si="79"/>
        <v>0</v>
      </c>
      <c r="U237" s="181">
        <f t="shared" ca="1" si="79"/>
        <v>0</v>
      </c>
      <c r="V237" s="181">
        <f t="shared" ca="1" si="79"/>
        <v>0</v>
      </c>
      <c r="W237" s="181">
        <f t="shared" ca="1" si="79"/>
        <v>0</v>
      </c>
      <c r="X237" s="181">
        <f t="shared" ca="1" si="79"/>
        <v>0</v>
      </c>
    </row>
    <row r="238" spans="2:24"/>
    <row r="239" spans="2:24"/>
    <row r="240" spans="2:24">
      <c r="B240" s="29" t="s">
        <v>307</v>
      </c>
      <c r="C240" s="30"/>
      <c r="D240" s="30"/>
      <c r="E240" s="30"/>
      <c r="F240" s="30"/>
      <c r="G240" s="30"/>
      <c r="H240" s="30"/>
      <c r="I240" s="30"/>
      <c r="J240" s="30"/>
      <c r="K240" s="177" t="str">
        <f t="shared" ref="K240:X240" si="80">LataProjekcji</f>
        <v>Uzupełnij dane</v>
      </c>
      <c r="L240" s="177" t="str">
        <f t="shared" si="80"/>
        <v/>
      </c>
      <c r="M240" s="177" t="str">
        <f t="shared" si="80"/>
        <v/>
      </c>
      <c r="N240" s="177" t="str">
        <f t="shared" si="80"/>
        <v/>
      </c>
      <c r="O240" s="177" t="str">
        <f t="shared" si="80"/>
        <v/>
      </c>
      <c r="P240" s="177" t="str">
        <f t="shared" si="80"/>
        <v/>
      </c>
      <c r="Q240" s="177" t="str">
        <f t="shared" si="80"/>
        <v/>
      </c>
      <c r="R240" s="177" t="str">
        <f t="shared" si="80"/>
        <v/>
      </c>
      <c r="S240" s="177" t="str">
        <f t="shared" si="80"/>
        <v/>
      </c>
      <c r="T240" s="177" t="str">
        <f t="shared" si="80"/>
        <v/>
      </c>
      <c r="U240" s="177" t="str">
        <f t="shared" si="80"/>
        <v/>
      </c>
      <c r="V240" s="177" t="str">
        <f t="shared" si="80"/>
        <v/>
      </c>
      <c r="W240" s="177" t="str">
        <f t="shared" si="80"/>
        <v/>
      </c>
      <c r="X240" s="177" t="str">
        <f t="shared" si="80"/>
        <v/>
      </c>
    </row>
    <row r="241" spans="2:24">
      <c r="B241" s="19" t="s">
        <v>308</v>
      </c>
      <c r="C241" s="19"/>
      <c r="D241" s="19"/>
      <c r="E241" s="19"/>
      <c r="F241" s="19"/>
      <c r="G241" s="19"/>
      <c r="H241" s="19"/>
      <c r="I241" s="19"/>
      <c r="J241" s="19"/>
      <c r="K241" s="95">
        <f t="shared" ref="K241:X241" si="81">IF(AND(LataProjekcji&gt;=Poczatek,LataProjekcji&lt;=Koniec),K159,0)</f>
        <v>0</v>
      </c>
      <c r="L241" s="95">
        <f t="shared" si="81"/>
        <v>0</v>
      </c>
      <c r="M241" s="95">
        <f t="shared" si="81"/>
        <v>0</v>
      </c>
      <c r="N241" s="95">
        <f t="shared" si="81"/>
        <v>0</v>
      </c>
      <c r="O241" s="95">
        <f t="shared" si="81"/>
        <v>0</v>
      </c>
      <c r="P241" s="95">
        <f t="shared" si="81"/>
        <v>0</v>
      </c>
      <c r="Q241" s="95">
        <f t="shared" si="81"/>
        <v>0</v>
      </c>
      <c r="R241" s="95">
        <f t="shared" si="81"/>
        <v>0</v>
      </c>
      <c r="S241" s="95">
        <f t="shared" si="81"/>
        <v>0</v>
      </c>
      <c r="T241" s="95">
        <f t="shared" si="81"/>
        <v>0</v>
      </c>
      <c r="U241" s="95">
        <f t="shared" si="81"/>
        <v>0</v>
      </c>
      <c r="V241" s="95">
        <f t="shared" si="81"/>
        <v>0</v>
      </c>
      <c r="W241" s="95">
        <f t="shared" si="81"/>
        <v>0</v>
      </c>
      <c r="X241" s="95">
        <f t="shared" si="81"/>
        <v>0</v>
      </c>
    </row>
    <row r="242" spans="2:24">
      <c r="B242" s="52" t="s">
        <v>290</v>
      </c>
      <c r="C242" s="52"/>
      <c r="D242" s="52"/>
      <c r="E242" s="52"/>
      <c r="F242" s="52"/>
      <c r="G242" s="52"/>
      <c r="H242" s="52"/>
      <c r="I242" s="52"/>
      <c r="J242" s="52"/>
      <c r="K242" s="33">
        <f t="shared" ref="K242:X242" si="82">IF(AND(LataProjekcji&gt;=Poczatek,LataProjekcji&lt;=Koniec),K168,0)</f>
        <v>0</v>
      </c>
      <c r="L242" s="33">
        <f t="shared" si="82"/>
        <v>0</v>
      </c>
      <c r="M242" s="33">
        <f t="shared" si="82"/>
        <v>0</v>
      </c>
      <c r="N242" s="33">
        <f t="shared" si="82"/>
        <v>0</v>
      </c>
      <c r="O242" s="33">
        <f t="shared" si="82"/>
        <v>0</v>
      </c>
      <c r="P242" s="33">
        <f t="shared" si="82"/>
        <v>0</v>
      </c>
      <c r="Q242" s="33">
        <f t="shared" si="82"/>
        <v>0</v>
      </c>
      <c r="R242" s="33">
        <f t="shared" si="82"/>
        <v>0</v>
      </c>
      <c r="S242" s="33">
        <f t="shared" si="82"/>
        <v>0</v>
      </c>
      <c r="T242" s="33">
        <f t="shared" si="82"/>
        <v>0</v>
      </c>
      <c r="U242" s="33">
        <f t="shared" si="82"/>
        <v>0</v>
      </c>
      <c r="V242" s="33">
        <f t="shared" si="82"/>
        <v>0</v>
      </c>
      <c r="W242" s="33">
        <f t="shared" si="82"/>
        <v>0</v>
      </c>
      <c r="X242" s="33">
        <f t="shared" si="82"/>
        <v>0</v>
      </c>
    </row>
    <row r="243" spans="2:24">
      <c r="B243" s="1" t="s">
        <v>272</v>
      </c>
      <c r="K243" s="5">
        <f t="shared" ref="K243:X243" si="83">IF(AND(LataProjekcji&gt;=Poczatek,LataProjekcji&lt;=Koniec),K177,0)</f>
        <v>0</v>
      </c>
      <c r="L243" s="5">
        <f t="shared" si="83"/>
        <v>0</v>
      </c>
      <c r="M243" s="5">
        <f t="shared" si="83"/>
        <v>0</v>
      </c>
      <c r="N243" s="5">
        <f t="shared" si="83"/>
        <v>0</v>
      </c>
      <c r="O243" s="5">
        <f t="shared" si="83"/>
        <v>0</v>
      </c>
      <c r="P243" s="5">
        <f t="shared" si="83"/>
        <v>0</v>
      </c>
      <c r="Q243" s="5">
        <f t="shared" si="83"/>
        <v>0</v>
      </c>
      <c r="R243" s="5">
        <f t="shared" si="83"/>
        <v>0</v>
      </c>
      <c r="S243" s="5">
        <f t="shared" si="83"/>
        <v>0</v>
      </c>
      <c r="T243" s="5">
        <f t="shared" si="83"/>
        <v>0</v>
      </c>
      <c r="U243" s="5">
        <f t="shared" si="83"/>
        <v>0</v>
      </c>
      <c r="V243" s="5">
        <f t="shared" si="83"/>
        <v>0</v>
      </c>
      <c r="W243" s="5">
        <f t="shared" si="83"/>
        <v>0</v>
      </c>
      <c r="X243" s="5">
        <f t="shared" si="83"/>
        <v>0</v>
      </c>
    </row>
    <row r="244" spans="2:24">
      <c r="B244" s="90" t="s">
        <v>291</v>
      </c>
      <c r="C244" s="90"/>
      <c r="D244" s="90"/>
      <c r="E244" s="90"/>
      <c r="F244" s="90"/>
      <c r="G244" s="90"/>
      <c r="H244" s="90"/>
      <c r="I244" s="90"/>
      <c r="J244" s="90"/>
      <c r="K244" s="91">
        <f t="shared" ref="K244:X244" si="84">IF(AND(LataProjekcji&gt;=Poczatek,LataProjekcji&lt;=Koniec),K198,0)</f>
        <v>0</v>
      </c>
      <c r="L244" s="91">
        <f t="shared" si="84"/>
        <v>0</v>
      </c>
      <c r="M244" s="91">
        <f t="shared" si="84"/>
        <v>0</v>
      </c>
      <c r="N244" s="91">
        <f t="shared" si="84"/>
        <v>0</v>
      </c>
      <c r="O244" s="91">
        <f t="shared" si="84"/>
        <v>0</v>
      </c>
      <c r="P244" s="91">
        <f t="shared" si="84"/>
        <v>0</v>
      </c>
      <c r="Q244" s="91">
        <f t="shared" si="84"/>
        <v>0</v>
      </c>
      <c r="R244" s="91">
        <f t="shared" si="84"/>
        <v>0</v>
      </c>
      <c r="S244" s="91">
        <f t="shared" si="84"/>
        <v>0</v>
      </c>
      <c r="T244" s="91">
        <f t="shared" si="84"/>
        <v>0</v>
      </c>
      <c r="U244" s="91">
        <f t="shared" si="84"/>
        <v>0</v>
      </c>
      <c r="V244" s="91">
        <f t="shared" si="84"/>
        <v>0</v>
      </c>
      <c r="W244" s="91">
        <f t="shared" si="84"/>
        <v>0</v>
      </c>
      <c r="X244" s="91">
        <f t="shared" si="84"/>
        <v>0</v>
      </c>
    </row>
    <row r="245" spans="2:24">
      <c r="B245" s="99" t="s">
        <v>292</v>
      </c>
      <c r="C245" s="97"/>
      <c r="D245" s="97"/>
      <c r="E245" s="97"/>
      <c r="F245" s="97"/>
      <c r="G245" s="97"/>
      <c r="H245" s="97"/>
      <c r="I245" s="97"/>
      <c r="J245" s="97"/>
      <c r="K245" s="98">
        <f>SUM(K241:K244)</f>
        <v>0</v>
      </c>
      <c r="L245" s="98">
        <f t="shared" ref="L245:X245" si="85">SUM(L241:L244)</f>
        <v>0</v>
      </c>
      <c r="M245" s="98">
        <f t="shared" si="85"/>
        <v>0</v>
      </c>
      <c r="N245" s="98">
        <f t="shared" si="85"/>
        <v>0</v>
      </c>
      <c r="O245" s="98">
        <f t="shared" si="85"/>
        <v>0</v>
      </c>
      <c r="P245" s="98">
        <f t="shared" si="85"/>
        <v>0</v>
      </c>
      <c r="Q245" s="98">
        <f t="shared" si="85"/>
        <v>0</v>
      </c>
      <c r="R245" s="98">
        <f t="shared" si="85"/>
        <v>0</v>
      </c>
      <c r="S245" s="98">
        <f t="shared" si="85"/>
        <v>0</v>
      </c>
      <c r="T245" s="98">
        <f t="shared" si="85"/>
        <v>0</v>
      </c>
      <c r="U245" s="98">
        <f t="shared" si="85"/>
        <v>0</v>
      </c>
      <c r="V245" s="98">
        <f t="shared" si="85"/>
        <v>0</v>
      </c>
      <c r="W245" s="98">
        <f t="shared" si="85"/>
        <v>0</v>
      </c>
      <c r="X245" s="98">
        <f t="shared" si="85"/>
        <v>0</v>
      </c>
    </row>
    <row r="246" spans="2:24">
      <c r="B246" s="1" t="s">
        <v>293</v>
      </c>
      <c r="K246" s="5">
        <f t="shared" ref="K246:X246" si="86">IF(AND(LataProjekcji&gt;=Poczatek,LataProjekcji&lt;=Koniec),K219,0)</f>
        <v>0</v>
      </c>
      <c r="L246" s="5">
        <f t="shared" si="86"/>
        <v>0</v>
      </c>
      <c r="M246" s="5">
        <f t="shared" si="86"/>
        <v>0</v>
      </c>
      <c r="N246" s="5">
        <f t="shared" si="86"/>
        <v>0</v>
      </c>
      <c r="O246" s="5">
        <f t="shared" si="86"/>
        <v>0</v>
      </c>
      <c r="P246" s="5">
        <f t="shared" si="86"/>
        <v>0</v>
      </c>
      <c r="Q246" s="5">
        <f t="shared" si="86"/>
        <v>0</v>
      </c>
      <c r="R246" s="5">
        <f t="shared" si="86"/>
        <v>0</v>
      </c>
      <c r="S246" s="5">
        <f t="shared" si="86"/>
        <v>0</v>
      </c>
      <c r="T246" s="5">
        <f t="shared" si="86"/>
        <v>0</v>
      </c>
      <c r="U246" s="5">
        <f t="shared" si="86"/>
        <v>0</v>
      </c>
      <c r="V246" s="5">
        <f t="shared" si="86"/>
        <v>0</v>
      </c>
      <c r="W246" s="5">
        <f t="shared" si="86"/>
        <v>0</v>
      </c>
      <c r="X246" s="5">
        <f t="shared" si="86"/>
        <v>0</v>
      </c>
    </row>
    <row r="247" spans="2:24">
      <c r="B247" s="99" t="s">
        <v>281</v>
      </c>
      <c r="C247" s="97"/>
      <c r="D247" s="97"/>
      <c r="E247" s="97"/>
      <c r="F247" s="97"/>
      <c r="G247" s="97"/>
      <c r="H247" s="97"/>
      <c r="I247" s="97"/>
      <c r="J247" s="97"/>
      <c r="K247" s="98">
        <f t="shared" ref="K247:X247" ca="1" si="87">IF(AND(LataProjekcji&gt;=Poczatek,LataProjekcji&lt;=Koniec),K228,0)</f>
        <v>0</v>
      </c>
      <c r="L247" s="98">
        <f t="shared" ca="1" si="87"/>
        <v>0</v>
      </c>
      <c r="M247" s="98">
        <f t="shared" ca="1" si="87"/>
        <v>0</v>
      </c>
      <c r="N247" s="98">
        <f t="shared" ca="1" si="87"/>
        <v>0</v>
      </c>
      <c r="O247" s="98">
        <f t="shared" ca="1" si="87"/>
        <v>0</v>
      </c>
      <c r="P247" s="98">
        <f t="shared" ca="1" si="87"/>
        <v>0</v>
      </c>
      <c r="Q247" s="98">
        <f t="shared" ca="1" si="87"/>
        <v>0</v>
      </c>
      <c r="R247" s="98">
        <f t="shared" ca="1" si="87"/>
        <v>0</v>
      </c>
      <c r="S247" s="98">
        <f t="shared" ca="1" si="87"/>
        <v>0</v>
      </c>
      <c r="T247" s="98">
        <f t="shared" ca="1" si="87"/>
        <v>0</v>
      </c>
      <c r="U247" s="98">
        <f t="shared" ca="1" si="87"/>
        <v>0</v>
      </c>
      <c r="V247" s="98">
        <f t="shared" ca="1" si="87"/>
        <v>0</v>
      </c>
      <c r="W247" s="98">
        <f t="shared" ca="1" si="87"/>
        <v>0</v>
      </c>
      <c r="X247" s="98">
        <f t="shared" ca="1" si="87"/>
        <v>0</v>
      </c>
    </row>
    <row r="248" spans="2:24">
      <c r="B248" s="99" t="s">
        <v>284</v>
      </c>
      <c r="C248" s="97"/>
      <c r="D248" s="97"/>
      <c r="E248" s="97"/>
      <c r="F248" s="97"/>
      <c r="G248" s="97"/>
      <c r="H248" s="97"/>
      <c r="I248" s="97"/>
      <c r="J248" s="97"/>
      <c r="K248" s="98">
        <f t="shared" ref="K248:X248" si="88">IF(AND(LataProjekcji&gt;=Poczatek,LataProjekcji&lt;=Koniec),K237,0)</f>
        <v>0</v>
      </c>
      <c r="L248" s="98">
        <f t="shared" ca="1" si="88"/>
        <v>0</v>
      </c>
      <c r="M248" s="98">
        <f t="shared" ca="1" si="88"/>
        <v>0</v>
      </c>
      <c r="N248" s="98">
        <f t="shared" ca="1" si="88"/>
        <v>0</v>
      </c>
      <c r="O248" s="98">
        <f t="shared" ca="1" si="88"/>
        <v>0</v>
      </c>
      <c r="P248" s="98">
        <f t="shared" ca="1" si="88"/>
        <v>0</v>
      </c>
      <c r="Q248" s="98">
        <f t="shared" ca="1" si="88"/>
        <v>0</v>
      </c>
      <c r="R248" s="98">
        <f t="shared" ca="1" si="88"/>
        <v>0</v>
      </c>
      <c r="S248" s="98">
        <f t="shared" ca="1" si="88"/>
        <v>0</v>
      </c>
      <c r="T248" s="98">
        <f t="shared" ca="1" si="88"/>
        <v>0</v>
      </c>
      <c r="U248" s="98">
        <f t="shared" ca="1" si="88"/>
        <v>0</v>
      </c>
      <c r="V248" s="98">
        <f t="shared" ca="1" si="88"/>
        <v>0</v>
      </c>
      <c r="W248" s="98">
        <f t="shared" ca="1" si="88"/>
        <v>0</v>
      </c>
      <c r="X248" s="98">
        <f t="shared" ca="1" si="88"/>
        <v>0</v>
      </c>
    </row>
    <row r="249" spans="2:24"/>
    <row r="250" spans="2:24"/>
    <row r="251" spans="2:24" ht="14.4">
      <c r="B251" s="11" t="s">
        <v>309</v>
      </c>
    </row>
    <row r="252" spans="2:24"/>
    <row r="253" spans="2:24"/>
    <row r="254" spans="2:24"/>
    <row r="255" spans="2:24"/>
    <row r="256" spans="2:24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20"/>
    <row r="405" spans="3:3" hidden="1">
      <c r="C405" s="1" t="b">
        <v>1</v>
      </c>
    </row>
  </sheetData>
  <sheetProtection algorithmName="SHA-512" hashValue="8ZZph6O0YCPMnUtNeKprzYESpxgUaJ+14Vs+fL4Ba1QF0nMFQb1pnB5D4pzySYWOMoguR2rgS2xqsCrwR+JRgA==" saltValue="nkNNozaZGxaeDpZZgSN0bA==" spinCount="100000" sheet="1" objects="1" scenarios="1"/>
  <mergeCells count="1">
    <mergeCell ref="B2:M3"/>
  </mergeCells>
  <conditionalFormatting sqref="K127:X136 K163:X167 K172:X176 K181:X185 K187:X191 K202:X206 K208:X212 K223:X226 K233:X236 K138:X147">
    <cfRule type="expression" dxfId="637" priority="5">
      <formula>AND(K$124&gt;=Poczatek,K$124&lt;=Koniec_Projekt)</formula>
    </cfRule>
  </conditionalFormatting>
  <conditionalFormatting sqref="K15:X19 K21:X25 K36:X40 K45:X49 K54:X58 K60:X64 K75:X79 K81:X85 K96:X99 K107:X109">
    <cfRule type="expression" dxfId="636" priority="3">
      <formula>AND(K$12&gt;Koniec_Projekt,K$12&lt;=Koniec)</formula>
    </cfRule>
    <cfRule type="expression" dxfId="635" priority="4">
      <formula>K$124&lt;=Koniec_Projekt</formula>
    </cfRule>
  </conditionalFormatting>
  <conditionalFormatting sqref="K127:X136 K138:X147 K163:X167 K172:X176 K181:X185 K187:X191 K202:X206 K208:X212 K223:X226 K233:X236">
    <cfRule type="expression" dxfId="634" priority="2">
      <formula>AND(K$12&gt;Koniec_Projekt,K$12&lt;=Koniec)</formula>
    </cfRule>
  </conditionalFormatting>
  <conditionalFormatting sqref="C127:C136 C163:C167 C172:C176 C181:C185 C202:C206 C223:C226 C232:C236">
    <cfRule type="expression" dxfId="633" priority="1">
      <formula>Kontrola_modulow_Przychody</formula>
    </cfRule>
  </conditionalFormatting>
  <dataValidations disablePrompts="1" count="1">
    <dataValidation type="list" allowBlank="1" showInputMessage="1" showErrorMessage="1" sqref="C163:E167 C172:E176 C233:E236 C202:E206 C223:E226 C181:E185 C127:D127 C128 E127:E128 C129:E136" xr:uid="{7773EB4F-193E-434C-A05B-2DD9A150CF43}">
      <formula1>Lista_Modulow_Menu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3" fitToHeight="0" orientation="landscape" r:id="rId1"/>
  <headerFooter>
    <oddHeader>&amp;A</oddHeader>
    <oddFooter>&amp;L&amp;F&amp;CStrona &amp;P z &amp;N&amp;RData i godzina wydruku: &amp;D &amp;T</oddFooter>
  </headerFooter>
  <rowBreaks count="6" manualBreakCount="6">
    <brk id="52" min="1" max="23" man="1"/>
    <brk id="94" min="1" max="23" man="1"/>
    <brk id="123" min="1" max="23" man="1"/>
    <brk id="179" min="1" max="23" man="1"/>
    <brk id="221" min="1" max="23" man="1"/>
    <brk id="25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29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91440</xdr:rowOff>
                  </from>
                  <to>
                    <xdr:col>15</xdr:col>
                    <xdr:colOff>396240</xdr:colOff>
                    <xdr:row>10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pageSetUpPr fitToPage="1"/>
  </sheetPr>
  <dimension ref="A1:AL1949"/>
  <sheetViews>
    <sheetView showGridLines="0" zoomScaleNormal="100" workbookViewId="0"/>
  </sheetViews>
  <sheetFormatPr defaultColWidth="0" defaultRowHeight="12" zeroHeight="1"/>
  <cols>
    <col min="1" max="1" width="2.85546875" style="1" customWidth="1"/>
    <col min="2" max="2" width="63.28515625" style="1" customWidth="1"/>
    <col min="3" max="3" width="20.7109375" style="1" customWidth="1"/>
    <col min="4" max="4" width="17.42578125" style="1" bestFit="1" customWidth="1"/>
    <col min="5" max="5" width="21.28515625" style="1" bestFit="1" customWidth="1"/>
    <col min="6" max="6" width="9.28515625" style="1" hidden="1" customWidth="1"/>
    <col min="7" max="10" width="9.85546875" style="1" hidden="1" customWidth="1"/>
    <col min="11" max="24" width="12.85546875" style="1" customWidth="1"/>
    <col min="25" max="25" width="2.85546875" style="1" customWidth="1"/>
    <col min="26" max="30" width="9.28515625" style="1" hidden="1" customWidth="1"/>
    <col min="31" max="31" width="10.140625" style="1" hidden="1" customWidth="1"/>
    <col min="32" max="38" width="0" style="1" hidden="1" customWidth="1"/>
    <col min="39" max="16384" width="9.28515625" style="1" hidden="1"/>
  </cols>
  <sheetData>
    <row r="1" spans="2:24"/>
    <row r="2" spans="2:24">
      <c r="B2" s="543" t="str">
        <f>IF(ISBLANK(Firma),"Wstaw nazwę firmy w zakładce Dane Firmy",Firma)</f>
        <v>Wstaw nazwę firmy w zakładce Dane Firmy</v>
      </c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</row>
    <row r="3" spans="2:24"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</row>
    <row r="4" spans="2:24"/>
    <row r="5" spans="2:24">
      <c r="E5" s="331"/>
    </row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4">
      <c r="B12" s="23" t="s">
        <v>265</v>
      </c>
      <c r="C12" s="23"/>
      <c r="D12" s="24"/>
      <c r="E12" s="24"/>
      <c r="F12" s="24"/>
      <c r="G12" s="23">
        <f ca="1">Założenia!G28</f>
        <v>0</v>
      </c>
      <c r="H12" s="23">
        <f ca="1">Założenia!H28</f>
        <v>0</v>
      </c>
      <c r="I12" s="23">
        <f ca="1">Założenia!I28</f>
        <v>0</v>
      </c>
      <c r="J12" s="44" t="str">
        <f>Założenia!J28</f>
        <v/>
      </c>
      <c r="K12" s="23" t="str">
        <f t="shared" ref="K12:X12" si="0">LataProjekcji</f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9" t="s">
        <v>310</v>
      </c>
      <c r="C14" s="29"/>
      <c r="D14" s="30"/>
      <c r="E14" s="30"/>
      <c r="F14" s="30"/>
      <c r="G14" s="30"/>
      <c r="H14" s="30"/>
      <c r="I14" s="30"/>
      <c r="J14" s="30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</row>
    <row r="15" spans="2:24">
      <c r="B15" s="9"/>
      <c r="C15" s="55"/>
      <c r="D15" s="55"/>
      <c r="E15" s="55"/>
      <c r="F15" s="55"/>
      <c r="G15" s="55"/>
      <c r="H15" s="55"/>
      <c r="I15" s="55"/>
      <c r="J15" s="55"/>
      <c r="K15" s="346"/>
      <c r="L15" s="346"/>
      <c r="M15" s="346"/>
      <c r="N15" s="346"/>
      <c r="O15" s="346"/>
      <c r="P15" s="346"/>
      <c r="Q15" s="346"/>
      <c r="R15" s="346"/>
      <c r="S15" s="346"/>
      <c r="T15" s="346"/>
      <c r="U15" s="346"/>
      <c r="V15" s="346"/>
      <c r="W15" s="346"/>
      <c r="X15" s="346"/>
    </row>
    <row r="16" spans="2:24">
      <c r="B16" s="9"/>
      <c r="C16" s="55"/>
      <c r="D16" s="55"/>
      <c r="E16" s="55"/>
      <c r="F16" s="55"/>
      <c r="G16" s="55"/>
      <c r="H16" s="55"/>
      <c r="I16" s="55"/>
      <c r="J16" s="55"/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6"/>
      <c r="X16" s="346"/>
    </row>
    <row r="17" spans="2:24">
      <c r="B17" s="9"/>
      <c r="C17" s="55"/>
      <c r="D17" s="55"/>
      <c r="E17" s="55"/>
      <c r="F17" s="55"/>
      <c r="G17" s="55"/>
      <c r="H17" s="55"/>
      <c r="I17" s="55"/>
      <c r="J17" s="55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</row>
    <row r="18" spans="2:24">
      <c r="B18" s="9"/>
      <c r="C18" s="55"/>
      <c r="D18" s="55"/>
      <c r="E18" s="55"/>
      <c r="F18" s="55"/>
      <c r="G18" s="55"/>
      <c r="H18" s="55"/>
      <c r="I18" s="55"/>
      <c r="J18" s="55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</row>
    <row r="19" spans="2:24">
      <c r="B19" s="182"/>
      <c r="C19" s="183"/>
      <c r="D19" s="183"/>
      <c r="E19" s="183"/>
      <c r="F19" s="183"/>
      <c r="G19" s="183"/>
      <c r="H19" s="183"/>
      <c r="I19" s="183"/>
      <c r="J19" s="183"/>
      <c r="K19" s="349"/>
      <c r="L19" s="349"/>
      <c r="M19" s="349"/>
      <c r="N19" s="349"/>
      <c r="O19" s="349"/>
      <c r="P19" s="349"/>
      <c r="Q19" s="349"/>
      <c r="R19" s="349"/>
      <c r="S19" s="349"/>
      <c r="T19" s="349"/>
      <c r="U19" s="349"/>
      <c r="V19" s="349"/>
      <c r="W19" s="349"/>
      <c r="X19" s="349"/>
    </row>
    <row r="20" spans="2:24">
      <c r="B20" s="179" t="s">
        <v>311</v>
      </c>
      <c r="C20" s="180"/>
      <c r="D20" s="180"/>
      <c r="E20" s="180"/>
      <c r="F20" s="180"/>
      <c r="G20" s="180"/>
      <c r="H20" s="180"/>
      <c r="I20" s="180"/>
      <c r="J20" s="180"/>
      <c r="K20" s="181">
        <f t="shared" ref="K20:X20" si="1">IF(LataProjekcji&lt;=Koniec,ROUND(SUM(K15:K19),0),0)</f>
        <v>0</v>
      </c>
      <c r="L20" s="181">
        <f t="shared" si="1"/>
        <v>0</v>
      </c>
      <c r="M20" s="181">
        <f t="shared" si="1"/>
        <v>0</v>
      </c>
      <c r="N20" s="181">
        <f t="shared" si="1"/>
        <v>0</v>
      </c>
      <c r="O20" s="181">
        <f t="shared" si="1"/>
        <v>0</v>
      </c>
      <c r="P20" s="181">
        <f t="shared" si="1"/>
        <v>0</v>
      </c>
      <c r="Q20" s="181">
        <f t="shared" si="1"/>
        <v>0</v>
      </c>
      <c r="R20" s="181">
        <f t="shared" si="1"/>
        <v>0</v>
      </c>
      <c r="S20" s="181">
        <f t="shared" si="1"/>
        <v>0</v>
      </c>
      <c r="T20" s="181">
        <f t="shared" si="1"/>
        <v>0</v>
      </c>
      <c r="U20" s="181">
        <f t="shared" si="1"/>
        <v>0</v>
      </c>
      <c r="V20" s="181">
        <f t="shared" si="1"/>
        <v>0</v>
      </c>
      <c r="W20" s="181">
        <f t="shared" si="1"/>
        <v>0</v>
      </c>
      <c r="X20" s="181">
        <f t="shared" si="1"/>
        <v>0</v>
      </c>
    </row>
    <row r="21" spans="2:24"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2:24"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2:24">
      <c r="B23" s="29" t="s">
        <v>312</v>
      </c>
      <c r="C23" s="30"/>
      <c r="D23" s="30"/>
      <c r="E23" s="30"/>
      <c r="F23" s="30"/>
      <c r="G23" s="30"/>
      <c r="H23" s="30"/>
      <c r="I23" s="30"/>
      <c r="J23" s="30"/>
      <c r="K23" s="185" t="str">
        <f t="shared" ref="K23:X23" si="2">LataProjekcji</f>
        <v>Uzupełnij dane</v>
      </c>
      <c r="L23" s="185" t="str">
        <f t="shared" si="2"/>
        <v/>
      </c>
      <c r="M23" s="185" t="str">
        <f t="shared" si="2"/>
        <v/>
      </c>
      <c r="N23" s="185" t="str">
        <f t="shared" si="2"/>
        <v/>
      </c>
      <c r="O23" s="185" t="str">
        <f t="shared" si="2"/>
        <v/>
      </c>
      <c r="P23" s="185" t="str">
        <f t="shared" si="2"/>
        <v/>
      </c>
      <c r="Q23" s="185" t="str">
        <f t="shared" si="2"/>
        <v/>
      </c>
      <c r="R23" s="185" t="str">
        <f t="shared" si="2"/>
        <v/>
      </c>
      <c r="S23" s="185" t="str">
        <f t="shared" si="2"/>
        <v/>
      </c>
      <c r="T23" s="185" t="str">
        <f t="shared" si="2"/>
        <v/>
      </c>
      <c r="U23" s="185" t="str">
        <f t="shared" si="2"/>
        <v/>
      </c>
      <c r="V23" s="185" t="str">
        <f t="shared" si="2"/>
        <v/>
      </c>
      <c r="W23" s="185" t="str">
        <f t="shared" si="2"/>
        <v/>
      </c>
      <c r="X23" s="185" t="str">
        <f t="shared" si="2"/>
        <v/>
      </c>
    </row>
    <row r="24" spans="2:24">
      <c r="B24" s="9"/>
      <c r="C24" s="55"/>
      <c r="D24" s="55"/>
      <c r="E24" s="55"/>
      <c r="F24" s="55"/>
      <c r="G24" s="55"/>
      <c r="H24" s="55"/>
      <c r="I24" s="55"/>
      <c r="J24" s="55"/>
      <c r="K24" s="346"/>
      <c r="L24" s="346"/>
      <c r="M24" s="346"/>
      <c r="N24" s="346"/>
      <c r="O24" s="346"/>
      <c r="P24" s="346"/>
      <c r="Q24" s="346"/>
      <c r="R24" s="346"/>
      <c r="S24" s="346"/>
      <c r="T24" s="346"/>
      <c r="U24" s="346"/>
      <c r="V24" s="346"/>
      <c r="W24" s="346"/>
      <c r="X24" s="346"/>
    </row>
    <row r="25" spans="2:24">
      <c r="B25" s="9"/>
      <c r="C25" s="55"/>
      <c r="D25" s="55"/>
      <c r="E25" s="55"/>
      <c r="F25" s="55"/>
      <c r="G25" s="55"/>
      <c r="H25" s="55"/>
      <c r="I25" s="55"/>
      <c r="J25" s="55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</row>
    <row r="26" spans="2:24">
      <c r="B26" s="9"/>
      <c r="C26" s="55"/>
      <c r="D26" s="55"/>
      <c r="E26" s="55"/>
      <c r="F26" s="55"/>
      <c r="G26" s="55"/>
      <c r="H26" s="55"/>
      <c r="I26" s="55"/>
      <c r="J26" s="55"/>
      <c r="K26" s="346"/>
      <c r="L26" s="346"/>
      <c r="M26" s="346"/>
      <c r="N26" s="346"/>
      <c r="O26" s="346"/>
      <c r="P26" s="346"/>
      <c r="Q26" s="346"/>
      <c r="R26" s="346"/>
      <c r="S26" s="346"/>
      <c r="T26" s="346"/>
      <c r="U26" s="346"/>
      <c r="V26" s="346"/>
      <c r="W26" s="346"/>
      <c r="X26" s="346"/>
    </row>
    <row r="27" spans="2:24">
      <c r="B27" s="9"/>
      <c r="C27" s="55"/>
      <c r="D27" s="55"/>
      <c r="E27" s="55"/>
      <c r="F27" s="55"/>
      <c r="G27" s="55"/>
      <c r="H27" s="55"/>
      <c r="I27" s="55"/>
      <c r="J27" s="55"/>
      <c r="K27" s="346"/>
      <c r="L27" s="346"/>
      <c r="M27" s="346"/>
      <c r="N27" s="346"/>
      <c r="O27" s="346"/>
      <c r="P27" s="346"/>
      <c r="Q27" s="346"/>
      <c r="R27" s="346"/>
      <c r="S27" s="346"/>
      <c r="T27" s="346"/>
      <c r="U27" s="346"/>
      <c r="V27" s="346"/>
      <c r="W27" s="346"/>
      <c r="X27" s="346"/>
    </row>
    <row r="28" spans="2:24">
      <c r="B28" s="9"/>
      <c r="C28" s="55"/>
      <c r="D28" s="55"/>
      <c r="E28" s="55"/>
      <c r="F28" s="55"/>
      <c r="G28" s="55"/>
      <c r="H28" s="55"/>
      <c r="I28" s="55"/>
      <c r="J28" s="55"/>
      <c r="K28" s="346"/>
      <c r="L28" s="346"/>
      <c r="M28" s="346"/>
      <c r="N28" s="346"/>
      <c r="O28" s="346"/>
      <c r="P28" s="346"/>
      <c r="Q28" s="346"/>
      <c r="R28" s="346"/>
      <c r="S28" s="346"/>
      <c r="T28" s="346"/>
      <c r="U28" s="346"/>
      <c r="V28" s="346"/>
      <c r="W28" s="346"/>
      <c r="X28" s="346"/>
    </row>
    <row r="29" spans="2:24">
      <c r="B29" s="179" t="s">
        <v>313</v>
      </c>
      <c r="C29" s="180"/>
      <c r="D29" s="180"/>
      <c r="E29" s="180"/>
      <c r="F29" s="180"/>
      <c r="G29" s="180"/>
      <c r="H29" s="180"/>
      <c r="I29" s="180"/>
      <c r="J29" s="180"/>
      <c r="K29" s="181">
        <f t="shared" ref="K29:X29" si="3">IF(LataProjekcji&lt;=Koniec,ROUND(SUM(K24:K28),0),0)</f>
        <v>0</v>
      </c>
      <c r="L29" s="181">
        <f t="shared" si="3"/>
        <v>0</v>
      </c>
      <c r="M29" s="181">
        <f t="shared" si="3"/>
        <v>0</v>
      </c>
      <c r="N29" s="181">
        <f t="shared" si="3"/>
        <v>0</v>
      </c>
      <c r="O29" s="181">
        <f t="shared" si="3"/>
        <v>0</v>
      </c>
      <c r="P29" s="181">
        <f t="shared" si="3"/>
        <v>0</v>
      </c>
      <c r="Q29" s="181">
        <f t="shared" si="3"/>
        <v>0</v>
      </c>
      <c r="R29" s="181">
        <f t="shared" si="3"/>
        <v>0</v>
      </c>
      <c r="S29" s="181">
        <f t="shared" si="3"/>
        <v>0</v>
      </c>
      <c r="T29" s="181">
        <f t="shared" si="3"/>
        <v>0</v>
      </c>
      <c r="U29" s="181">
        <f t="shared" si="3"/>
        <v>0</v>
      </c>
      <c r="V29" s="181">
        <f t="shared" si="3"/>
        <v>0</v>
      </c>
      <c r="W29" s="181">
        <f t="shared" si="3"/>
        <v>0</v>
      </c>
      <c r="X29" s="181">
        <f t="shared" si="3"/>
        <v>0</v>
      </c>
    </row>
    <row r="30" spans="2:24"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2:24"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2:24">
      <c r="B32" s="29" t="s">
        <v>314</v>
      </c>
      <c r="C32" s="30"/>
      <c r="D32" s="30"/>
      <c r="E32" s="30"/>
      <c r="F32" s="30"/>
      <c r="G32" s="30"/>
      <c r="H32" s="30"/>
      <c r="I32" s="30"/>
      <c r="J32" s="30"/>
      <c r="K32" s="185" t="str">
        <f t="shared" ref="K32:X32" si="4">LataProjekcji</f>
        <v>Uzupełnij dane</v>
      </c>
      <c r="L32" s="185" t="str">
        <f t="shared" si="4"/>
        <v/>
      </c>
      <c r="M32" s="185" t="str">
        <f t="shared" si="4"/>
        <v/>
      </c>
      <c r="N32" s="185" t="str">
        <f t="shared" si="4"/>
        <v/>
      </c>
      <c r="O32" s="185" t="str">
        <f t="shared" si="4"/>
        <v/>
      </c>
      <c r="P32" s="185" t="str">
        <f t="shared" si="4"/>
        <v/>
      </c>
      <c r="Q32" s="185" t="str">
        <f t="shared" si="4"/>
        <v/>
      </c>
      <c r="R32" s="185" t="str">
        <f t="shared" si="4"/>
        <v/>
      </c>
      <c r="S32" s="185" t="str">
        <f t="shared" si="4"/>
        <v/>
      </c>
      <c r="T32" s="185" t="str">
        <f t="shared" si="4"/>
        <v/>
      </c>
      <c r="U32" s="185" t="str">
        <f t="shared" si="4"/>
        <v/>
      </c>
      <c r="V32" s="185" t="str">
        <f t="shared" si="4"/>
        <v/>
      </c>
      <c r="W32" s="185" t="str">
        <f t="shared" si="4"/>
        <v/>
      </c>
      <c r="X32" s="185" t="str">
        <f t="shared" si="4"/>
        <v/>
      </c>
    </row>
    <row r="33" spans="2:24">
      <c r="B33" s="9"/>
      <c r="C33" s="55"/>
      <c r="D33" s="55"/>
      <c r="E33" s="55"/>
      <c r="F33" s="55"/>
      <c r="G33" s="55"/>
      <c r="H33" s="55"/>
      <c r="I33" s="55"/>
      <c r="J33" s="55"/>
      <c r="K33" s="346"/>
      <c r="L33" s="346"/>
      <c r="M33" s="346"/>
      <c r="N33" s="346"/>
      <c r="O33" s="346"/>
      <c r="P33" s="346"/>
      <c r="Q33" s="346"/>
      <c r="R33" s="346"/>
      <c r="S33" s="346"/>
      <c r="T33" s="346"/>
      <c r="U33" s="346"/>
      <c r="V33" s="346"/>
      <c r="W33" s="346"/>
      <c r="X33" s="346"/>
    </row>
    <row r="34" spans="2:24">
      <c r="B34" s="9"/>
      <c r="C34" s="55"/>
      <c r="D34" s="55"/>
      <c r="E34" s="55"/>
      <c r="F34" s="55"/>
      <c r="G34" s="55"/>
      <c r="H34" s="55"/>
      <c r="I34" s="55"/>
      <c r="J34" s="55"/>
      <c r="K34" s="346"/>
      <c r="L34" s="346"/>
      <c r="M34" s="346"/>
      <c r="N34" s="346"/>
      <c r="O34" s="346"/>
      <c r="P34" s="346"/>
      <c r="Q34" s="346"/>
      <c r="R34" s="346"/>
      <c r="S34" s="346"/>
      <c r="T34" s="346"/>
      <c r="U34" s="346"/>
      <c r="V34" s="346"/>
      <c r="W34" s="346"/>
      <c r="X34" s="346"/>
    </row>
    <row r="35" spans="2:24">
      <c r="B35" s="9"/>
      <c r="C35" s="55"/>
      <c r="D35" s="55"/>
      <c r="E35" s="55"/>
      <c r="F35" s="55"/>
      <c r="G35" s="55"/>
      <c r="H35" s="55"/>
      <c r="I35" s="55"/>
      <c r="J35" s="55"/>
      <c r="K35" s="346"/>
      <c r="L35" s="346"/>
      <c r="M35" s="346"/>
      <c r="N35" s="346"/>
      <c r="O35" s="346"/>
      <c r="P35" s="346"/>
      <c r="Q35" s="346"/>
      <c r="R35" s="346"/>
      <c r="S35" s="346"/>
      <c r="T35" s="346"/>
      <c r="U35" s="346"/>
      <c r="V35" s="346"/>
      <c r="W35" s="346"/>
      <c r="X35" s="346"/>
    </row>
    <row r="36" spans="2:24">
      <c r="B36" s="9"/>
      <c r="C36" s="55"/>
      <c r="D36" s="55"/>
      <c r="E36" s="55"/>
      <c r="F36" s="55"/>
      <c r="G36" s="55"/>
      <c r="H36" s="55"/>
      <c r="I36" s="55"/>
      <c r="J36" s="55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  <c r="V36" s="346"/>
      <c r="W36" s="346"/>
      <c r="X36" s="346"/>
    </row>
    <row r="37" spans="2:24">
      <c r="B37" s="9"/>
      <c r="C37" s="55"/>
      <c r="D37" s="55"/>
      <c r="E37" s="55"/>
      <c r="F37" s="55"/>
      <c r="G37" s="55"/>
      <c r="H37" s="55"/>
      <c r="I37" s="55"/>
      <c r="J37" s="55"/>
      <c r="K37" s="346"/>
      <c r="L37" s="346"/>
      <c r="M37" s="346"/>
      <c r="N37" s="346"/>
      <c r="O37" s="346"/>
      <c r="P37" s="346"/>
      <c r="Q37" s="346"/>
      <c r="R37" s="346"/>
      <c r="S37" s="346"/>
      <c r="T37" s="346"/>
      <c r="U37" s="346"/>
      <c r="V37" s="346"/>
      <c r="W37" s="346"/>
      <c r="X37" s="346"/>
    </row>
    <row r="38" spans="2:24">
      <c r="B38" s="179" t="s">
        <v>315</v>
      </c>
      <c r="C38" s="180"/>
      <c r="D38" s="180"/>
      <c r="E38" s="180"/>
      <c r="F38" s="180"/>
      <c r="G38" s="180"/>
      <c r="H38" s="180"/>
      <c r="I38" s="180"/>
      <c r="J38" s="180"/>
      <c r="K38" s="181">
        <f t="shared" ref="K38:X38" si="5">IF(LataProjekcji&lt;=Koniec,ROUND(SUM(K33:K37),0),0)</f>
        <v>0</v>
      </c>
      <c r="L38" s="181">
        <f t="shared" si="5"/>
        <v>0</v>
      </c>
      <c r="M38" s="181">
        <f t="shared" si="5"/>
        <v>0</v>
      </c>
      <c r="N38" s="181">
        <f t="shared" si="5"/>
        <v>0</v>
      </c>
      <c r="O38" s="181">
        <f t="shared" si="5"/>
        <v>0</v>
      </c>
      <c r="P38" s="181">
        <f t="shared" si="5"/>
        <v>0</v>
      </c>
      <c r="Q38" s="181">
        <f t="shared" si="5"/>
        <v>0</v>
      </c>
      <c r="R38" s="181">
        <f t="shared" si="5"/>
        <v>0</v>
      </c>
      <c r="S38" s="181">
        <f t="shared" si="5"/>
        <v>0</v>
      </c>
      <c r="T38" s="181">
        <f t="shared" si="5"/>
        <v>0</v>
      </c>
      <c r="U38" s="181">
        <f t="shared" si="5"/>
        <v>0</v>
      </c>
      <c r="V38" s="181">
        <f t="shared" si="5"/>
        <v>0</v>
      </c>
      <c r="W38" s="181">
        <f t="shared" si="5"/>
        <v>0</v>
      </c>
      <c r="X38" s="181">
        <f t="shared" si="5"/>
        <v>0</v>
      </c>
    </row>
    <row r="39" spans="2:24"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2:24"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2:24">
      <c r="B41" s="7" t="s">
        <v>316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2:24">
      <c r="B42" s="29" t="s">
        <v>317</v>
      </c>
      <c r="C42" s="30"/>
      <c r="D42" s="30"/>
      <c r="E42" s="30"/>
      <c r="F42" s="30"/>
      <c r="G42" s="30"/>
      <c r="H42" s="30"/>
      <c r="I42" s="30"/>
      <c r="J42" s="30"/>
      <c r="K42" s="185" t="str">
        <f t="shared" ref="K42:X42" si="6">LataProjekcji</f>
        <v>Uzupełnij dane</v>
      </c>
      <c r="L42" s="185" t="str">
        <f t="shared" si="6"/>
        <v/>
      </c>
      <c r="M42" s="185" t="str">
        <f t="shared" si="6"/>
        <v/>
      </c>
      <c r="N42" s="185" t="str">
        <f t="shared" si="6"/>
        <v/>
      </c>
      <c r="O42" s="185" t="str">
        <f t="shared" si="6"/>
        <v/>
      </c>
      <c r="P42" s="185" t="str">
        <f t="shared" si="6"/>
        <v/>
      </c>
      <c r="Q42" s="185" t="str">
        <f t="shared" si="6"/>
        <v/>
      </c>
      <c r="R42" s="185" t="str">
        <f t="shared" si="6"/>
        <v/>
      </c>
      <c r="S42" s="185" t="str">
        <f t="shared" si="6"/>
        <v/>
      </c>
      <c r="T42" s="185" t="str">
        <f t="shared" si="6"/>
        <v/>
      </c>
      <c r="U42" s="185" t="str">
        <f t="shared" si="6"/>
        <v/>
      </c>
      <c r="V42" s="185" t="str">
        <f t="shared" si="6"/>
        <v/>
      </c>
      <c r="W42" s="185" t="str">
        <f t="shared" si="6"/>
        <v/>
      </c>
      <c r="X42" s="185" t="str">
        <f t="shared" si="6"/>
        <v/>
      </c>
    </row>
    <row r="43" spans="2:24">
      <c r="B43" s="9"/>
      <c r="C43" s="55"/>
      <c r="D43" s="55"/>
      <c r="E43" s="55"/>
      <c r="F43" s="55"/>
      <c r="G43" s="55"/>
      <c r="H43" s="55"/>
      <c r="I43" s="55"/>
      <c r="J43" s="55"/>
      <c r="K43" s="346"/>
      <c r="L43" s="346"/>
      <c r="M43" s="346"/>
      <c r="N43" s="346"/>
      <c r="O43" s="346"/>
      <c r="P43" s="346"/>
      <c r="Q43" s="346"/>
      <c r="R43" s="346"/>
      <c r="S43" s="346"/>
      <c r="T43" s="346"/>
      <c r="U43" s="346"/>
      <c r="V43" s="346"/>
      <c r="W43" s="346"/>
      <c r="X43" s="346"/>
    </row>
    <row r="44" spans="2:24">
      <c r="B44" s="9"/>
      <c r="C44" s="55"/>
      <c r="D44" s="55"/>
      <c r="E44" s="55"/>
      <c r="F44" s="55"/>
      <c r="G44" s="55"/>
      <c r="H44" s="55"/>
      <c r="I44" s="55"/>
      <c r="J44" s="55"/>
      <c r="K44" s="346"/>
      <c r="L44" s="346"/>
      <c r="M44" s="346"/>
      <c r="N44" s="346"/>
      <c r="O44" s="346"/>
      <c r="P44" s="346"/>
      <c r="Q44" s="346"/>
      <c r="R44" s="346"/>
      <c r="S44" s="346"/>
      <c r="T44" s="346"/>
      <c r="U44" s="346"/>
      <c r="V44" s="346"/>
      <c r="W44" s="346"/>
      <c r="X44" s="346"/>
    </row>
    <row r="45" spans="2:24">
      <c r="B45" s="9"/>
      <c r="C45" s="55"/>
      <c r="D45" s="55"/>
      <c r="E45" s="55"/>
      <c r="F45" s="55"/>
      <c r="G45" s="55"/>
      <c r="H45" s="55"/>
      <c r="I45" s="55"/>
      <c r="J45" s="55"/>
      <c r="K45" s="346"/>
      <c r="L45" s="346"/>
      <c r="M45" s="346"/>
      <c r="N45" s="346"/>
      <c r="O45" s="346"/>
      <c r="P45" s="346"/>
      <c r="Q45" s="346"/>
      <c r="R45" s="346"/>
      <c r="S45" s="346"/>
      <c r="T45" s="346"/>
      <c r="U45" s="346"/>
      <c r="V45" s="346"/>
      <c r="W45" s="346"/>
      <c r="X45" s="346"/>
    </row>
    <row r="46" spans="2:24">
      <c r="B46" s="9"/>
      <c r="C46" s="55"/>
      <c r="D46" s="55"/>
      <c r="E46" s="55"/>
      <c r="F46" s="55"/>
      <c r="G46" s="55"/>
      <c r="H46" s="55"/>
      <c r="I46" s="55"/>
      <c r="J46" s="55"/>
      <c r="K46" s="346"/>
      <c r="L46" s="346"/>
      <c r="M46" s="346"/>
      <c r="N46" s="346"/>
      <c r="O46" s="346"/>
      <c r="P46" s="346"/>
      <c r="Q46" s="346"/>
      <c r="R46" s="346"/>
      <c r="S46" s="346"/>
      <c r="T46" s="346"/>
      <c r="U46" s="346"/>
      <c r="V46" s="346"/>
      <c r="W46" s="346"/>
      <c r="X46" s="346"/>
    </row>
    <row r="47" spans="2:24">
      <c r="B47" s="9"/>
      <c r="C47" s="55"/>
      <c r="D47" s="55"/>
      <c r="E47" s="55"/>
      <c r="F47" s="55"/>
      <c r="G47" s="55"/>
      <c r="H47" s="55"/>
      <c r="I47" s="55"/>
      <c r="J47" s="55"/>
      <c r="K47" s="346"/>
      <c r="L47" s="346"/>
      <c r="M47" s="346"/>
      <c r="N47" s="346"/>
      <c r="O47" s="346"/>
      <c r="P47" s="346"/>
      <c r="Q47" s="346"/>
      <c r="R47" s="346"/>
      <c r="S47" s="346"/>
      <c r="T47" s="346"/>
      <c r="U47" s="346"/>
      <c r="V47" s="346"/>
      <c r="W47" s="346"/>
      <c r="X47" s="346"/>
    </row>
    <row r="48" spans="2:24">
      <c r="B48" s="186" t="s">
        <v>668</v>
      </c>
      <c r="C48" s="186"/>
      <c r="D48" s="178"/>
      <c r="E48" s="106"/>
      <c r="F48" s="106"/>
      <c r="G48" s="106"/>
      <c r="H48" s="106"/>
      <c r="I48" s="106"/>
      <c r="J48" s="106"/>
      <c r="K48" s="186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</row>
    <row r="49" spans="2:24">
      <c r="B49" s="52" t="str">
        <f>IF(ISBLANK(B43),"",B43)</f>
        <v/>
      </c>
      <c r="C49" s="52"/>
      <c r="D49" s="52"/>
      <c r="E49" s="52"/>
      <c r="F49" s="52"/>
      <c r="G49" s="52"/>
      <c r="H49" s="52"/>
      <c r="I49" s="52"/>
      <c r="J49" s="52"/>
      <c r="K49" s="347"/>
      <c r="L49" s="347"/>
      <c r="M49" s="347"/>
      <c r="N49" s="347"/>
      <c r="O49" s="347"/>
      <c r="P49" s="347"/>
      <c r="Q49" s="347"/>
      <c r="R49" s="347"/>
      <c r="S49" s="347"/>
      <c r="T49" s="347"/>
      <c r="U49" s="347"/>
      <c r="V49" s="347"/>
      <c r="W49" s="347"/>
      <c r="X49" s="347"/>
    </row>
    <row r="50" spans="2:24">
      <c r="B50" s="52" t="str">
        <f>IF(ISBLANK(B44),"",B44)</f>
        <v/>
      </c>
      <c r="C50" s="52"/>
      <c r="D50" s="52"/>
      <c r="E50" s="52"/>
      <c r="F50" s="52"/>
      <c r="G50" s="52"/>
      <c r="H50" s="52"/>
      <c r="I50" s="52"/>
      <c r="J50" s="52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</row>
    <row r="51" spans="2:24">
      <c r="B51" s="52" t="str">
        <f>IF(ISBLANK(B45),"",B45)</f>
        <v/>
      </c>
      <c r="C51" s="52"/>
      <c r="D51" s="52"/>
      <c r="E51" s="52"/>
      <c r="F51" s="52"/>
      <c r="G51" s="52"/>
      <c r="H51" s="52"/>
      <c r="I51" s="52"/>
      <c r="J51" s="52"/>
      <c r="K51" s="347"/>
      <c r="L51" s="347"/>
      <c r="M51" s="347"/>
      <c r="N51" s="347"/>
      <c r="O51" s="347"/>
      <c r="P51" s="347"/>
      <c r="Q51" s="347"/>
      <c r="R51" s="347"/>
      <c r="S51" s="347"/>
      <c r="T51" s="347"/>
      <c r="U51" s="347"/>
      <c r="V51" s="347"/>
      <c r="W51" s="347"/>
      <c r="X51" s="347"/>
    </row>
    <row r="52" spans="2:24">
      <c r="B52" s="52" t="str">
        <f>IF(ISBLANK(B46),"",B46)</f>
        <v/>
      </c>
      <c r="C52" s="52"/>
      <c r="D52" s="52"/>
      <c r="E52" s="52"/>
      <c r="F52" s="52"/>
      <c r="G52" s="52"/>
      <c r="H52" s="52"/>
      <c r="I52" s="52"/>
      <c r="J52" s="52"/>
      <c r="K52" s="347"/>
      <c r="L52" s="347"/>
      <c r="M52" s="347"/>
      <c r="N52" s="347"/>
      <c r="O52" s="347"/>
      <c r="P52" s="347"/>
      <c r="Q52" s="347"/>
      <c r="R52" s="347"/>
      <c r="S52" s="347"/>
      <c r="T52" s="347"/>
      <c r="U52" s="347"/>
      <c r="V52" s="347"/>
      <c r="W52" s="347"/>
      <c r="X52" s="347"/>
    </row>
    <row r="53" spans="2:24">
      <c r="B53" s="52" t="str">
        <f>IF(ISBLANK(B47),"",B47)</f>
        <v/>
      </c>
      <c r="C53" s="52"/>
      <c r="D53" s="52"/>
      <c r="E53" s="52"/>
      <c r="F53" s="52"/>
      <c r="G53" s="52"/>
      <c r="H53" s="52"/>
      <c r="I53" s="52"/>
      <c r="J53" s="52"/>
      <c r="K53" s="347"/>
      <c r="L53" s="347"/>
      <c r="M53" s="347"/>
      <c r="N53" s="347"/>
      <c r="O53" s="347"/>
      <c r="P53" s="347"/>
      <c r="Q53" s="347"/>
      <c r="R53" s="347"/>
      <c r="S53" s="347"/>
      <c r="T53" s="347"/>
      <c r="U53" s="347"/>
      <c r="V53" s="347"/>
      <c r="W53" s="347"/>
      <c r="X53" s="347"/>
    </row>
    <row r="54" spans="2:24">
      <c r="B54" s="186" t="s">
        <v>318</v>
      </c>
      <c r="C54" s="186"/>
      <c r="D54" s="178"/>
      <c r="E54" s="106"/>
      <c r="F54" s="106"/>
      <c r="G54" s="106"/>
      <c r="H54" s="106"/>
      <c r="I54" s="106"/>
      <c r="J54" s="106"/>
      <c r="K54" s="186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</row>
    <row r="55" spans="2:24">
      <c r="B55" s="19" t="str">
        <f>IF(ISBLANK(B49),"",B49)</f>
        <v/>
      </c>
      <c r="C55" s="19"/>
      <c r="D55" s="19"/>
      <c r="E55" s="19"/>
      <c r="F55" s="19"/>
      <c r="G55" s="19"/>
      <c r="H55" s="19"/>
      <c r="I55" s="19"/>
      <c r="J55" s="19"/>
      <c r="K55" s="95">
        <f t="shared" ref="K55:X55" si="7">ROUND(K49*K43*12,0)</f>
        <v>0</v>
      </c>
      <c r="L55" s="95">
        <f t="shared" si="7"/>
        <v>0</v>
      </c>
      <c r="M55" s="95">
        <f t="shared" si="7"/>
        <v>0</v>
      </c>
      <c r="N55" s="95">
        <f t="shared" si="7"/>
        <v>0</v>
      </c>
      <c r="O55" s="95">
        <f t="shared" si="7"/>
        <v>0</v>
      </c>
      <c r="P55" s="95">
        <f t="shared" si="7"/>
        <v>0</v>
      </c>
      <c r="Q55" s="95">
        <f t="shared" si="7"/>
        <v>0</v>
      </c>
      <c r="R55" s="95">
        <f t="shared" si="7"/>
        <v>0</v>
      </c>
      <c r="S55" s="95">
        <f t="shared" si="7"/>
        <v>0</v>
      </c>
      <c r="T55" s="95">
        <f t="shared" si="7"/>
        <v>0</v>
      </c>
      <c r="U55" s="95">
        <f t="shared" si="7"/>
        <v>0</v>
      </c>
      <c r="V55" s="95">
        <f t="shared" si="7"/>
        <v>0</v>
      </c>
      <c r="W55" s="95">
        <f t="shared" si="7"/>
        <v>0</v>
      </c>
      <c r="X55" s="95">
        <f t="shared" si="7"/>
        <v>0</v>
      </c>
    </row>
    <row r="56" spans="2:24">
      <c r="B56" s="52" t="str">
        <f>IF(ISBLANK(B50),"",B50)</f>
        <v/>
      </c>
      <c r="C56" s="52"/>
      <c r="D56" s="52"/>
      <c r="E56" s="52"/>
      <c r="F56" s="52"/>
      <c r="G56" s="52"/>
      <c r="H56" s="52"/>
      <c r="I56" s="52"/>
      <c r="J56" s="52"/>
      <c r="K56" s="33">
        <f t="shared" ref="K56:X56" si="8">ROUND(K50*K44*12,0)</f>
        <v>0</v>
      </c>
      <c r="L56" s="33">
        <f t="shared" si="8"/>
        <v>0</v>
      </c>
      <c r="M56" s="33">
        <f t="shared" si="8"/>
        <v>0</v>
      </c>
      <c r="N56" s="33">
        <f t="shared" si="8"/>
        <v>0</v>
      </c>
      <c r="O56" s="33">
        <f t="shared" si="8"/>
        <v>0</v>
      </c>
      <c r="P56" s="33">
        <f t="shared" si="8"/>
        <v>0</v>
      </c>
      <c r="Q56" s="33">
        <f t="shared" si="8"/>
        <v>0</v>
      </c>
      <c r="R56" s="33">
        <f t="shared" si="8"/>
        <v>0</v>
      </c>
      <c r="S56" s="33">
        <f t="shared" si="8"/>
        <v>0</v>
      </c>
      <c r="T56" s="33">
        <f t="shared" si="8"/>
        <v>0</v>
      </c>
      <c r="U56" s="33">
        <f t="shared" si="8"/>
        <v>0</v>
      </c>
      <c r="V56" s="33">
        <f t="shared" si="8"/>
        <v>0</v>
      </c>
      <c r="W56" s="33">
        <f t="shared" si="8"/>
        <v>0</v>
      </c>
      <c r="X56" s="33">
        <f t="shared" si="8"/>
        <v>0</v>
      </c>
    </row>
    <row r="57" spans="2:24">
      <c r="B57" s="52" t="str">
        <f>IF(ISBLANK(B51),"",B51)</f>
        <v/>
      </c>
      <c r="C57" s="52"/>
      <c r="D57" s="52"/>
      <c r="E57" s="52"/>
      <c r="F57" s="52"/>
      <c r="G57" s="52"/>
      <c r="H57" s="52"/>
      <c r="I57" s="52"/>
      <c r="J57" s="52"/>
      <c r="K57" s="33">
        <f t="shared" ref="K57:X57" si="9">ROUND(K51*K45*12,0)</f>
        <v>0</v>
      </c>
      <c r="L57" s="33">
        <f t="shared" si="9"/>
        <v>0</v>
      </c>
      <c r="M57" s="33">
        <f t="shared" si="9"/>
        <v>0</v>
      </c>
      <c r="N57" s="33">
        <f t="shared" si="9"/>
        <v>0</v>
      </c>
      <c r="O57" s="33">
        <f t="shared" si="9"/>
        <v>0</v>
      </c>
      <c r="P57" s="33">
        <f t="shared" si="9"/>
        <v>0</v>
      </c>
      <c r="Q57" s="33">
        <f t="shared" si="9"/>
        <v>0</v>
      </c>
      <c r="R57" s="33">
        <f t="shared" si="9"/>
        <v>0</v>
      </c>
      <c r="S57" s="33">
        <f t="shared" si="9"/>
        <v>0</v>
      </c>
      <c r="T57" s="33">
        <f t="shared" si="9"/>
        <v>0</v>
      </c>
      <c r="U57" s="33">
        <f t="shared" si="9"/>
        <v>0</v>
      </c>
      <c r="V57" s="33">
        <f t="shared" si="9"/>
        <v>0</v>
      </c>
      <c r="W57" s="33">
        <f t="shared" si="9"/>
        <v>0</v>
      </c>
      <c r="X57" s="33">
        <f t="shared" si="9"/>
        <v>0</v>
      </c>
    </row>
    <row r="58" spans="2:24">
      <c r="B58" s="52" t="str">
        <f>IF(ISBLANK(B52),"",B52)</f>
        <v/>
      </c>
      <c r="C58" s="52"/>
      <c r="D58" s="52"/>
      <c r="E58" s="52"/>
      <c r="F58" s="52"/>
      <c r="G58" s="52"/>
      <c r="H58" s="52"/>
      <c r="I58" s="52"/>
      <c r="J58" s="52"/>
      <c r="K58" s="33">
        <f t="shared" ref="K58:X58" si="10">ROUND(K52*K46*12,0)</f>
        <v>0</v>
      </c>
      <c r="L58" s="33">
        <f t="shared" si="10"/>
        <v>0</v>
      </c>
      <c r="M58" s="33">
        <f t="shared" si="10"/>
        <v>0</v>
      </c>
      <c r="N58" s="33">
        <f t="shared" si="10"/>
        <v>0</v>
      </c>
      <c r="O58" s="33">
        <f t="shared" si="10"/>
        <v>0</v>
      </c>
      <c r="P58" s="33">
        <f t="shared" si="10"/>
        <v>0</v>
      </c>
      <c r="Q58" s="33">
        <f t="shared" si="10"/>
        <v>0</v>
      </c>
      <c r="R58" s="33">
        <f t="shared" si="10"/>
        <v>0</v>
      </c>
      <c r="S58" s="33">
        <f t="shared" si="10"/>
        <v>0</v>
      </c>
      <c r="T58" s="33">
        <f t="shared" si="10"/>
        <v>0</v>
      </c>
      <c r="U58" s="33">
        <f t="shared" si="10"/>
        <v>0</v>
      </c>
      <c r="V58" s="33">
        <f t="shared" si="10"/>
        <v>0</v>
      </c>
      <c r="W58" s="33">
        <f t="shared" si="10"/>
        <v>0</v>
      </c>
      <c r="X58" s="33">
        <f t="shared" si="10"/>
        <v>0</v>
      </c>
    </row>
    <row r="59" spans="2:24">
      <c r="B59" s="106" t="str">
        <f>IF(ISBLANK(B53),"",B53)</f>
        <v/>
      </c>
      <c r="C59" s="106"/>
      <c r="D59" s="106"/>
      <c r="E59" s="106"/>
      <c r="F59" s="106"/>
      <c r="G59" s="106"/>
      <c r="H59" s="106"/>
      <c r="I59" s="106"/>
      <c r="J59" s="106"/>
      <c r="K59" s="107">
        <f t="shared" ref="K59:X59" si="11">ROUND(K53*K47*12,0)</f>
        <v>0</v>
      </c>
      <c r="L59" s="107">
        <f t="shared" si="11"/>
        <v>0</v>
      </c>
      <c r="M59" s="107">
        <f t="shared" si="11"/>
        <v>0</v>
      </c>
      <c r="N59" s="107">
        <f t="shared" si="11"/>
        <v>0</v>
      </c>
      <c r="O59" s="107">
        <f t="shared" si="11"/>
        <v>0</v>
      </c>
      <c r="P59" s="107">
        <f t="shared" si="11"/>
        <v>0</v>
      </c>
      <c r="Q59" s="107">
        <f t="shared" si="11"/>
        <v>0</v>
      </c>
      <c r="R59" s="107">
        <f t="shared" si="11"/>
        <v>0</v>
      </c>
      <c r="S59" s="107">
        <f t="shared" si="11"/>
        <v>0</v>
      </c>
      <c r="T59" s="107">
        <f t="shared" si="11"/>
        <v>0</v>
      </c>
      <c r="U59" s="107">
        <f t="shared" si="11"/>
        <v>0</v>
      </c>
      <c r="V59" s="107">
        <f t="shared" si="11"/>
        <v>0</v>
      </c>
      <c r="W59" s="107">
        <f t="shared" si="11"/>
        <v>0</v>
      </c>
      <c r="X59" s="107">
        <f t="shared" si="11"/>
        <v>0</v>
      </c>
    </row>
    <row r="60" spans="2:24">
      <c r="B60" s="179" t="s">
        <v>319</v>
      </c>
      <c r="C60" s="179"/>
      <c r="D60" s="180"/>
      <c r="E60" s="180"/>
      <c r="F60" s="180"/>
      <c r="G60" s="180"/>
      <c r="H60" s="180"/>
      <c r="I60" s="180"/>
      <c r="J60" s="180"/>
      <c r="K60" s="181">
        <f t="shared" ref="K60:X60" si="12">IF(LataProjekcji&lt;=Koniec,ROUND(SUM(K55:K59),0),0)</f>
        <v>0</v>
      </c>
      <c r="L60" s="181">
        <f t="shared" si="12"/>
        <v>0</v>
      </c>
      <c r="M60" s="181">
        <f t="shared" si="12"/>
        <v>0</v>
      </c>
      <c r="N60" s="181">
        <f t="shared" si="12"/>
        <v>0</v>
      </c>
      <c r="O60" s="181">
        <f t="shared" si="12"/>
        <v>0</v>
      </c>
      <c r="P60" s="181">
        <f t="shared" si="12"/>
        <v>0</v>
      </c>
      <c r="Q60" s="181">
        <f t="shared" si="12"/>
        <v>0</v>
      </c>
      <c r="R60" s="181">
        <f t="shared" si="12"/>
        <v>0</v>
      </c>
      <c r="S60" s="181">
        <f t="shared" si="12"/>
        <v>0</v>
      </c>
      <c r="T60" s="181">
        <f t="shared" si="12"/>
        <v>0</v>
      </c>
      <c r="U60" s="181">
        <f t="shared" si="12"/>
        <v>0</v>
      </c>
      <c r="V60" s="181">
        <f t="shared" si="12"/>
        <v>0</v>
      </c>
      <c r="W60" s="181">
        <f t="shared" si="12"/>
        <v>0</v>
      </c>
      <c r="X60" s="181">
        <f t="shared" si="12"/>
        <v>0</v>
      </c>
    </row>
    <row r="61" spans="2:24"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2:24"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2:24">
      <c r="B63" s="29" t="s">
        <v>320</v>
      </c>
      <c r="C63" s="29"/>
      <c r="D63" s="30"/>
      <c r="E63" s="30"/>
      <c r="F63" s="30"/>
      <c r="G63" s="30"/>
      <c r="H63" s="30"/>
      <c r="I63" s="30"/>
      <c r="J63" s="30"/>
      <c r="K63" s="185" t="str">
        <f t="shared" ref="K63:X63" si="13">LataProjekcji</f>
        <v>Uzupełnij dane</v>
      </c>
      <c r="L63" s="185" t="str">
        <f t="shared" si="13"/>
        <v/>
      </c>
      <c r="M63" s="185" t="str">
        <f t="shared" si="13"/>
        <v/>
      </c>
      <c r="N63" s="185" t="str">
        <f t="shared" si="13"/>
        <v/>
      </c>
      <c r="O63" s="185" t="str">
        <f t="shared" si="13"/>
        <v/>
      </c>
      <c r="P63" s="185" t="str">
        <f t="shared" si="13"/>
        <v/>
      </c>
      <c r="Q63" s="185" t="str">
        <f t="shared" si="13"/>
        <v/>
      </c>
      <c r="R63" s="185" t="str">
        <f t="shared" si="13"/>
        <v/>
      </c>
      <c r="S63" s="185" t="str">
        <f t="shared" si="13"/>
        <v/>
      </c>
      <c r="T63" s="185" t="str">
        <f t="shared" si="13"/>
        <v/>
      </c>
      <c r="U63" s="185" t="str">
        <f t="shared" si="13"/>
        <v/>
      </c>
      <c r="V63" s="185" t="str">
        <f t="shared" si="13"/>
        <v/>
      </c>
      <c r="W63" s="185" t="str">
        <f t="shared" si="13"/>
        <v/>
      </c>
      <c r="X63" s="185" t="str">
        <f t="shared" si="13"/>
        <v/>
      </c>
    </row>
    <row r="64" spans="2:24">
      <c r="B64" s="7" t="s">
        <v>321</v>
      </c>
      <c r="C64" s="7"/>
      <c r="D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2:24">
      <c r="B65" s="52" t="str">
        <f>IF(ISBLANK(B43),"",B43)</f>
        <v/>
      </c>
      <c r="C65" s="52"/>
      <c r="D65" s="52"/>
      <c r="E65" s="52"/>
      <c r="F65" s="52"/>
      <c r="G65" s="52"/>
      <c r="H65" s="52"/>
      <c r="I65" s="52"/>
      <c r="J65" s="52"/>
      <c r="K65" s="33">
        <f t="shared" ref="K65:X65" si="14">ROUND(K55*ZUS,0)</f>
        <v>0</v>
      </c>
      <c r="L65" s="33">
        <f t="shared" si="14"/>
        <v>0</v>
      </c>
      <c r="M65" s="33">
        <f t="shared" si="14"/>
        <v>0</v>
      </c>
      <c r="N65" s="33">
        <f t="shared" si="14"/>
        <v>0</v>
      </c>
      <c r="O65" s="33">
        <f t="shared" si="14"/>
        <v>0</v>
      </c>
      <c r="P65" s="33">
        <f t="shared" si="14"/>
        <v>0</v>
      </c>
      <c r="Q65" s="33">
        <f t="shared" si="14"/>
        <v>0</v>
      </c>
      <c r="R65" s="33">
        <f t="shared" si="14"/>
        <v>0</v>
      </c>
      <c r="S65" s="33">
        <f t="shared" si="14"/>
        <v>0</v>
      </c>
      <c r="T65" s="33">
        <f t="shared" si="14"/>
        <v>0</v>
      </c>
      <c r="U65" s="33">
        <f t="shared" si="14"/>
        <v>0</v>
      </c>
      <c r="V65" s="33">
        <f t="shared" si="14"/>
        <v>0</v>
      </c>
      <c r="W65" s="33">
        <f t="shared" si="14"/>
        <v>0</v>
      </c>
      <c r="X65" s="33">
        <f t="shared" si="14"/>
        <v>0</v>
      </c>
    </row>
    <row r="66" spans="2:24">
      <c r="B66" s="52" t="str">
        <f>IF(ISBLANK(B44),"",B44)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5">ROUND(K56*ZUS,0)</f>
        <v>0</v>
      </c>
      <c r="L66" s="33">
        <f t="shared" si="15"/>
        <v>0</v>
      </c>
      <c r="M66" s="33">
        <f t="shared" si="15"/>
        <v>0</v>
      </c>
      <c r="N66" s="33">
        <f t="shared" si="15"/>
        <v>0</v>
      </c>
      <c r="O66" s="33">
        <f t="shared" si="15"/>
        <v>0</v>
      </c>
      <c r="P66" s="33">
        <f t="shared" si="15"/>
        <v>0</v>
      </c>
      <c r="Q66" s="33">
        <f t="shared" si="15"/>
        <v>0</v>
      </c>
      <c r="R66" s="33">
        <f t="shared" si="15"/>
        <v>0</v>
      </c>
      <c r="S66" s="33">
        <f t="shared" si="15"/>
        <v>0</v>
      </c>
      <c r="T66" s="33">
        <f t="shared" si="15"/>
        <v>0</v>
      </c>
      <c r="U66" s="33">
        <f t="shared" si="15"/>
        <v>0</v>
      </c>
      <c r="V66" s="33">
        <f t="shared" si="15"/>
        <v>0</v>
      </c>
      <c r="W66" s="33">
        <f t="shared" si="15"/>
        <v>0</v>
      </c>
      <c r="X66" s="33">
        <f t="shared" si="15"/>
        <v>0</v>
      </c>
    </row>
    <row r="67" spans="2:24">
      <c r="B67" s="52" t="str">
        <f>IF(ISBLANK(B45),"",B45)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6">ROUND(K57*ZUS,0)</f>
        <v>0</v>
      </c>
      <c r="L67" s="33">
        <f t="shared" si="16"/>
        <v>0</v>
      </c>
      <c r="M67" s="33">
        <f t="shared" si="16"/>
        <v>0</v>
      </c>
      <c r="N67" s="33">
        <f t="shared" si="16"/>
        <v>0</v>
      </c>
      <c r="O67" s="33">
        <f t="shared" si="16"/>
        <v>0</v>
      </c>
      <c r="P67" s="33">
        <f t="shared" si="16"/>
        <v>0</v>
      </c>
      <c r="Q67" s="33">
        <f t="shared" si="16"/>
        <v>0</v>
      </c>
      <c r="R67" s="33">
        <f t="shared" si="16"/>
        <v>0</v>
      </c>
      <c r="S67" s="33">
        <f t="shared" si="16"/>
        <v>0</v>
      </c>
      <c r="T67" s="33">
        <f t="shared" si="16"/>
        <v>0</v>
      </c>
      <c r="U67" s="33">
        <f t="shared" si="16"/>
        <v>0</v>
      </c>
      <c r="V67" s="33">
        <f t="shared" si="16"/>
        <v>0</v>
      </c>
      <c r="W67" s="33">
        <f t="shared" si="16"/>
        <v>0</v>
      </c>
      <c r="X67" s="33">
        <f t="shared" si="16"/>
        <v>0</v>
      </c>
    </row>
    <row r="68" spans="2:24">
      <c r="B68" s="52" t="str">
        <f>IF(ISBLANK(B46),"",B46)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7">ROUND(K58*ZUS,0)</f>
        <v>0</v>
      </c>
      <c r="L68" s="33">
        <f t="shared" si="17"/>
        <v>0</v>
      </c>
      <c r="M68" s="33">
        <f t="shared" si="17"/>
        <v>0</v>
      </c>
      <c r="N68" s="33">
        <f t="shared" si="17"/>
        <v>0</v>
      </c>
      <c r="O68" s="33">
        <f t="shared" si="17"/>
        <v>0</v>
      </c>
      <c r="P68" s="33">
        <f t="shared" si="17"/>
        <v>0</v>
      </c>
      <c r="Q68" s="33">
        <f t="shared" si="17"/>
        <v>0</v>
      </c>
      <c r="R68" s="33">
        <f t="shared" si="17"/>
        <v>0</v>
      </c>
      <c r="S68" s="33">
        <f t="shared" si="17"/>
        <v>0</v>
      </c>
      <c r="T68" s="33">
        <f t="shared" si="17"/>
        <v>0</v>
      </c>
      <c r="U68" s="33">
        <f t="shared" si="17"/>
        <v>0</v>
      </c>
      <c r="V68" s="33">
        <f t="shared" si="17"/>
        <v>0</v>
      </c>
      <c r="W68" s="33">
        <f t="shared" si="17"/>
        <v>0</v>
      </c>
      <c r="X68" s="33">
        <f t="shared" si="17"/>
        <v>0</v>
      </c>
    </row>
    <row r="69" spans="2:24">
      <c r="B69" s="106" t="str">
        <f>IF(ISBLANK(B47),"",B47)</f>
        <v/>
      </c>
      <c r="C69" s="106"/>
      <c r="D69" s="106"/>
      <c r="E69" s="106"/>
      <c r="F69" s="106"/>
      <c r="G69" s="106"/>
      <c r="H69" s="106"/>
      <c r="I69" s="106"/>
      <c r="J69" s="106"/>
      <c r="K69" s="107">
        <f t="shared" ref="K69:X69" si="18">ROUND(K59*ZUS,0)</f>
        <v>0</v>
      </c>
      <c r="L69" s="107">
        <f t="shared" si="18"/>
        <v>0</v>
      </c>
      <c r="M69" s="107">
        <f t="shared" si="18"/>
        <v>0</v>
      </c>
      <c r="N69" s="107">
        <f t="shared" si="18"/>
        <v>0</v>
      </c>
      <c r="O69" s="107">
        <f t="shared" si="18"/>
        <v>0</v>
      </c>
      <c r="P69" s="107">
        <f t="shared" si="18"/>
        <v>0</v>
      </c>
      <c r="Q69" s="107">
        <f t="shared" si="18"/>
        <v>0</v>
      </c>
      <c r="R69" s="107">
        <f t="shared" si="18"/>
        <v>0</v>
      </c>
      <c r="S69" s="107">
        <f t="shared" si="18"/>
        <v>0</v>
      </c>
      <c r="T69" s="107">
        <f t="shared" si="18"/>
        <v>0</v>
      </c>
      <c r="U69" s="107">
        <f t="shared" si="18"/>
        <v>0</v>
      </c>
      <c r="V69" s="107">
        <f t="shared" si="18"/>
        <v>0</v>
      </c>
      <c r="W69" s="107">
        <f t="shared" si="18"/>
        <v>0</v>
      </c>
      <c r="X69" s="107">
        <f t="shared" si="18"/>
        <v>0</v>
      </c>
    </row>
    <row r="70" spans="2:24">
      <c r="B70" s="179" t="s">
        <v>322</v>
      </c>
      <c r="C70" s="179"/>
      <c r="D70" s="180"/>
      <c r="E70" s="180"/>
      <c r="F70" s="180"/>
      <c r="G70" s="180"/>
      <c r="H70" s="180"/>
      <c r="I70" s="180"/>
      <c r="J70" s="180"/>
      <c r="K70" s="181">
        <f t="shared" ref="K70:X70" si="19">IF(LataProjekcji&lt;=Koniec,ROUND(SUM(K65:K69),0),0)</f>
        <v>0</v>
      </c>
      <c r="L70" s="181">
        <f t="shared" si="19"/>
        <v>0</v>
      </c>
      <c r="M70" s="181">
        <f t="shared" si="19"/>
        <v>0</v>
      </c>
      <c r="N70" s="181">
        <f t="shared" si="19"/>
        <v>0</v>
      </c>
      <c r="O70" s="181">
        <f t="shared" si="19"/>
        <v>0</v>
      </c>
      <c r="P70" s="181">
        <f t="shared" si="19"/>
        <v>0</v>
      </c>
      <c r="Q70" s="181">
        <f t="shared" si="19"/>
        <v>0</v>
      </c>
      <c r="R70" s="181">
        <f t="shared" si="19"/>
        <v>0</v>
      </c>
      <c r="S70" s="181">
        <f t="shared" si="19"/>
        <v>0</v>
      </c>
      <c r="T70" s="181">
        <f t="shared" si="19"/>
        <v>0</v>
      </c>
      <c r="U70" s="181">
        <f t="shared" si="19"/>
        <v>0</v>
      </c>
      <c r="V70" s="181">
        <f t="shared" si="19"/>
        <v>0</v>
      </c>
      <c r="W70" s="181">
        <f t="shared" si="19"/>
        <v>0</v>
      </c>
      <c r="X70" s="181">
        <f t="shared" si="19"/>
        <v>0</v>
      </c>
    </row>
    <row r="71" spans="2:24"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2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>
      <c r="B73" s="29" t="s">
        <v>323</v>
      </c>
      <c r="C73" s="29"/>
      <c r="D73" s="30"/>
      <c r="E73" s="30"/>
      <c r="F73" s="30"/>
      <c r="G73" s="30"/>
      <c r="H73" s="30"/>
      <c r="I73" s="30"/>
      <c r="J73" s="30"/>
      <c r="K73" s="185" t="str">
        <f t="shared" ref="K73:X73" si="20">LataProjekcji</f>
        <v>Uzupełnij dane</v>
      </c>
      <c r="L73" s="185" t="str">
        <f t="shared" si="20"/>
        <v/>
      </c>
      <c r="M73" s="185" t="str">
        <f t="shared" si="20"/>
        <v/>
      </c>
      <c r="N73" s="185" t="str">
        <f t="shared" si="20"/>
        <v/>
      </c>
      <c r="O73" s="185" t="str">
        <f t="shared" si="20"/>
        <v/>
      </c>
      <c r="P73" s="185" t="str">
        <f t="shared" si="20"/>
        <v/>
      </c>
      <c r="Q73" s="185" t="str">
        <f t="shared" si="20"/>
        <v/>
      </c>
      <c r="R73" s="185" t="str">
        <f t="shared" si="20"/>
        <v/>
      </c>
      <c r="S73" s="185" t="str">
        <f t="shared" si="20"/>
        <v/>
      </c>
      <c r="T73" s="185" t="str">
        <f t="shared" si="20"/>
        <v/>
      </c>
      <c r="U73" s="185" t="str">
        <f t="shared" si="20"/>
        <v/>
      </c>
      <c r="V73" s="185" t="str">
        <f t="shared" si="20"/>
        <v/>
      </c>
      <c r="W73" s="185" t="str">
        <f t="shared" si="20"/>
        <v/>
      </c>
      <c r="X73" s="185" t="str">
        <f t="shared" si="20"/>
        <v/>
      </c>
    </row>
    <row r="74" spans="2:24">
      <c r="B74" s="9"/>
      <c r="C74" s="55"/>
      <c r="D74" s="55"/>
      <c r="E74" s="55"/>
      <c r="F74" s="55"/>
      <c r="G74" s="55"/>
      <c r="H74" s="55"/>
      <c r="I74" s="55"/>
      <c r="J74" s="55"/>
      <c r="K74" s="346"/>
      <c r="L74" s="346"/>
      <c r="M74" s="346"/>
      <c r="N74" s="346"/>
      <c r="O74" s="346"/>
      <c r="P74" s="346"/>
      <c r="Q74" s="346"/>
      <c r="R74" s="346"/>
      <c r="S74" s="346"/>
      <c r="T74" s="346"/>
      <c r="U74" s="346"/>
      <c r="V74" s="346"/>
      <c r="W74" s="346"/>
      <c r="X74" s="346"/>
    </row>
    <row r="75" spans="2:24">
      <c r="B75" s="9"/>
      <c r="C75" s="55"/>
      <c r="D75" s="55"/>
      <c r="E75" s="55"/>
      <c r="F75" s="55"/>
      <c r="G75" s="55"/>
      <c r="H75" s="55"/>
      <c r="I75" s="55"/>
      <c r="J75" s="55"/>
      <c r="K75" s="346"/>
      <c r="L75" s="346"/>
      <c r="M75" s="346"/>
      <c r="N75" s="346"/>
      <c r="O75" s="346"/>
      <c r="P75" s="346"/>
      <c r="Q75" s="346"/>
      <c r="R75" s="346"/>
      <c r="S75" s="346"/>
      <c r="T75" s="346"/>
      <c r="U75" s="346"/>
      <c r="V75" s="346"/>
      <c r="W75" s="346"/>
      <c r="X75" s="346"/>
    </row>
    <row r="76" spans="2:24">
      <c r="B76" s="9"/>
      <c r="C76" s="55"/>
      <c r="D76" s="55"/>
      <c r="E76" s="55"/>
      <c r="F76" s="55"/>
      <c r="G76" s="55"/>
      <c r="H76" s="55"/>
      <c r="I76" s="55"/>
      <c r="J76" s="55"/>
      <c r="K76" s="346"/>
      <c r="L76" s="346"/>
      <c r="M76" s="346"/>
      <c r="N76" s="346"/>
      <c r="O76" s="346"/>
      <c r="P76" s="346"/>
      <c r="Q76" s="346"/>
      <c r="R76" s="346"/>
      <c r="S76" s="346"/>
      <c r="T76" s="346"/>
      <c r="U76" s="346"/>
      <c r="V76" s="346"/>
      <c r="W76" s="346"/>
      <c r="X76" s="346"/>
    </row>
    <row r="77" spans="2:24">
      <c r="B77" s="9"/>
      <c r="C77" s="55"/>
      <c r="D77" s="55"/>
      <c r="E77" s="55"/>
      <c r="F77" s="55"/>
      <c r="G77" s="55"/>
      <c r="H77" s="55"/>
      <c r="I77" s="55"/>
      <c r="J77" s="55"/>
      <c r="K77" s="346"/>
      <c r="L77" s="346"/>
      <c r="M77" s="346"/>
      <c r="N77" s="346"/>
      <c r="O77" s="346"/>
      <c r="P77" s="346"/>
      <c r="Q77" s="346"/>
      <c r="R77" s="346"/>
      <c r="S77" s="346"/>
      <c r="T77" s="346"/>
      <c r="U77" s="346"/>
      <c r="V77" s="346"/>
      <c r="W77" s="346"/>
      <c r="X77" s="346"/>
    </row>
    <row r="78" spans="2:24">
      <c r="B78" s="9"/>
      <c r="C78" s="55"/>
      <c r="D78" s="55"/>
      <c r="E78" s="55"/>
      <c r="F78" s="55"/>
      <c r="G78" s="55"/>
      <c r="H78" s="55"/>
      <c r="I78" s="55"/>
      <c r="J78" s="55"/>
      <c r="K78" s="346"/>
      <c r="L78" s="346"/>
      <c r="M78" s="346"/>
      <c r="N78" s="346"/>
      <c r="O78" s="346"/>
      <c r="P78" s="346"/>
      <c r="Q78" s="346"/>
      <c r="R78" s="346"/>
      <c r="S78" s="346"/>
      <c r="T78" s="346"/>
      <c r="U78" s="346"/>
      <c r="V78" s="346"/>
      <c r="W78" s="346"/>
      <c r="X78" s="346"/>
    </row>
    <row r="79" spans="2:24">
      <c r="B79" s="179" t="s">
        <v>324</v>
      </c>
      <c r="C79" s="180"/>
      <c r="D79" s="180"/>
      <c r="E79" s="180"/>
      <c r="F79" s="180"/>
      <c r="G79" s="180"/>
      <c r="H79" s="180"/>
      <c r="I79" s="180"/>
      <c r="J79" s="180"/>
      <c r="K79" s="181">
        <f t="shared" ref="K79:X79" si="21">IF(LataProjekcji&lt;=Koniec,ROUND(SUM(K74:K78),0),0)</f>
        <v>0</v>
      </c>
      <c r="L79" s="181">
        <f t="shared" si="21"/>
        <v>0</v>
      </c>
      <c r="M79" s="181">
        <f t="shared" si="21"/>
        <v>0</v>
      </c>
      <c r="N79" s="181">
        <f t="shared" si="21"/>
        <v>0</v>
      </c>
      <c r="O79" s="181">
        <f t="shared" si="21"/>
        <v>0</v>
      </c>
      <c r="P79" s="181">
        <f t="shared" si="21"/>
        <v>0</v>
      </c>
      <c r="Q79" s="181">
        <f t="shared" si="21"/>
        <v>0</v>
      </c>
      <c r="R79" s="181">
        <f t="shared" si="21"/>
        <v>0</v>
      </c>
      <c r="S79" s="181">
        <f t="shared" si="21"/>
        <v>0</v>
      </c>
      <c r="T79" s="181">
        <f t="shared" si="21"/>
        <v>0</v>
      </c>
      <c r="U79" s="181">
        <f t="shared" si="21"/>
        <v>0</v>
      </c>
      <c r="V79" s="181">
        <f t="shared" si="21"/>
        <v>0</v>
      </c>
      <c r="W79" s="181">
        <f t="shared" si="21"/>
        <v>0</v>
      </c>
      <c r="X79" s="181">
        <f t="shared" si="21"/>
        <v>0</v>
      </c>
    </row>
    <row r="80" spans="2:24"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2:24"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2:24">
      <c r="B82" s="29" t="s">
        <v>325</v>
      </c>
      <c r="C82" s="30"/>
      <c r="D82" s="30"/>
      <c r="E82" s="30"/>
      <c r="F82" s="30"/>
      <c r="G82" s="30"/>
      <c r="H82" s="30"/>
      <c r="I82" s="30"/>
      <c r="J82" s="30"/>
      <c r="K82" s="185" t="str">
        <f t="shared" ref="K82:X82" si="22">LataProjekcji</f>
        <v>Uzupełnij dane</v>
      </c>
      <c r="L82" s="185" t="str">
        <f t="shared" si="22"/>
        <v/>
      </c>
      <c r="M82" s="185" t="str">
        <f t="shared" si="22"/>
        <v/>
      </c>
      <c r="N82" s="185" t="str">
        <f t="shared" si="22"/>
        <v/>
      </c>
      <c r="O82" s="185" t="str">
        <f t="shared" si="22"/>
        <v/>
      </c>
      <c r="P82" s="185" t="str">
        <f t="shared" si="22"/>
        <v/>
      </c>
      <c r="Q82" s="185" t="str">
        <f t="shared" si="22"/>
        <v/>
      </c>
      <c r="R82" s="185" t="str">
        <f t="shared" si="22"/>
        <v/>
      </c>
      <c r="S82" s="185" t="str">
        <f t="shared" si="22"/>
        <v/>
      </c>
      <c r="T82" s="185" t="str">
        <f t="shared" si="22"/>
        <v/>
      </c>
      <c r="U82" s="185" t="str">
        <f t="shared" si="22"/>
        <v/>
      </c>
      <c r="V82" s="185" t="str">
        <f t="shared" si="22"/>
        <v/>
      </c>
      <c r="W82" s="185" t="str">
        <f t="shared" si="22"/>
        <v/>
      </c>
      <c r="X82" s="185" t="str">
        <f t="shared" si="22"/>
        <v/>
      </c>
    </row>
    <row r="83" spans="2:24">
      <c r="B83" s="9"/>
      <c r="C83" s="55"/>
      <c r="D83" s="55"/>
      <c r="E83" s="55"/>
      <c r="F83" s="55"/>
      <c r="G83" s="55"/>
      <c r="H83" s="55"/>
      <c r="I83" s="55"/>
      <c r="J83" s="55"/>
      <c r="K83" s="346"/>
      <c r="L83" s="346"/>
      <c r="M83" s="346"/>
      <c r="N83" s="346"/>
      <c r="O83" s="346"/>
      <c r="P83" s="346"/>
      <c r="Q83" s="346"/>
      <c r="R83" s="346"/>
      <c r="S83" s="346"/>
      <c r="T83" s="346"/>
      <c r="U83" s="346"/>
      <c r="V83" s="346"/>
      <c r="W83" s="346"/>
      <c r="X83" s="346"/>
    </row>
    <row r="84" spans="2:24">
      <c r="B84" s="9"/>
      <c r="C84" s="55"/>
      <c r="D84" s="55"/>
      <c r="E84" s="55"/>
      <c r="F84" s="55"/>
      <c r="G84" s="55"/>
      <c r="H84" s="55"/>
      <c r="I84" s="55"/>
      <c r="J84" s="55"/>
      <c r="K84" s="346"/>
      <c r="L84" s="346"/>
      <c r="M84" s="346"/>
      <c r="N84" s="346"/>
      <c r="O84" s="346"/>
      <c r="P84" s="346"/>
      <c r="Q84" s="346"/>
      <c r="R84" s="346"/>
      <c r="S84" s="346"/>
      <c r="T84" s="346"/>
      <c r="U84" s="346"/>
      <c r="V84" s="346"/>
      <c r="W84" s="346"/>
      <c r="X84" s="346"/>
    </row>
    <row r="85" spans="2:24">
      <c r="B85" s="9"/>
      <c r="C85" s="55"/>
      <c r="D85" s="55"/>
      <c r="E85" s="55"/>
      <c r="F85" s="55"/>
      <c r="G85" s="55"/>
      <c r="H85" s="55"/>
      <c r="I85" s="55"/>
      <c r="J85" s="55"/>
      <c r="K85" s="346"/>
      <c r="L85" s="346"/>
      <c r="M85" s="346"/>
      <c r="N85" s="346"/>
      <c r="O85" s="346"/>
      <c r="P85" s="346"/>
      <c r="Q85" s="346"/>
      <c r="R85" s="346"/>
      <c r="S85" s="346"/>
      <c r="T85" s="346"/>
      <c r="U85" s="346"/>
      <c r="V85" s="346"/>
      <c r="W85" s="346"/>
      <c r="X85" s="346"/>
    </row>
    <row r="86" spans="2:24">
      <c r="B86" s="9"/>
      <c r="C86" s="55"/>
      <c r="D86" s="55"/>
      <c r="E86" s="55"/>
      <c r="F86" s="55"/>
      <c r="G86" s="55"/>
      <c r="H86" s="55"/>
      <c r="I86" s="55"/>
      <c r="J86" s="55"/>
      <c r="K86" s="346"/>
      <c r="L86" s="346"/>
      <c r="M86" s="346"/>
      <c r="N86" s="346"/>
      <c r="O86" s="346"/>
      <c r="P86" s="346"/>
      <c r="Q86" s="346"/>
      <c r="R86" s="346"/>
      <c r="S86" s="346"/>
      <c r="T86" s="346"/>
      <c r="U86" s="346"/>
      <c r="V86" s="346"/>
      <c r="W86" s="346"/>
      <c r="X86" s="346"/>
    </row>
    <row r="87" spans="2:24">
      <c r="B87" s="9"/>
      <c r="C87" s="55"/>
      <c r="D87" s="55"/>
      <c r="E87" s="55"/>
      <c r="F87" s="55"/>
      <c r="G87" s="55"/>
      <c r="H87" s="55"/>
      <c r="I87" s="55"/>
      <c r="J87" s="55"/>
      <c r="K87" s="346"/>
      <c r="L87" s="346"/>
      <c r="M87" s="346"/>
      <c r="N87" s="346"/>
      <c r="O87" s="346"/>
      <c r="P87" s="346"/>
      <c r="Q87" s="346"/>
      <c r="R87" s="346"/>
      <c r="S87" s="346"/>
      <c r="T87" s="346"/>
      <c r="U87" s="346"/>
      <c r="V87" s="346"/>
      <c r="W87" s="346"/>
      <c r="X87" s="346"/>
    </row>
    <row r="88" spans="2:24">
      <c r="B88" s="179" t="s">
        <v>326</v>
      </c>
      <c r="C88" s="180"/>
      <c r="D88" s="180"/>
      <c r="E88" s="180"/>
      <c r="F88" s="180"/>
      <c r="G88" s="180"/>
      <c r="H88" s="180"/>
      <c r="I88" s="180"/>
      <c r="J88" s="180"/>
      <c r="K88" s="181">
        <f t="shared" ref="K88:X88" si="23">IF(LataProjekcji&lt;=Koniec,ROUND(SUM(K83:K87),0),0)</f>
        <v>0</v>
      </c>
      <c r="L88" s="181">
        <f t="shared" si="23"/>
        <v>0</v>
      </c>
      <c r="M88" s="181">
        <f t="shared" si="23"/>
        <v>0</v>
      </c>
      <c r="N88" s="181">
        <f t="shared" si="23"/>
        <v>0</v>
      </c>
      <c r="O88" s="181">
        <f t="shared" si="23"/>
        <v>0</v>
      </c>
      <c r="P88" s="181">
        <f t="shared" si="23"/>
        <v>0</v>
      </c>
      <c r="Q88" s="181">
        <f t="shared" si="23"/>
        <v>0</v>
      </c>
      <c r="R88" s="181">
        <f t="shared" si="23"/>
        <v>0</v>
      </c>
      <c r="S88" s="181">
        <f t="shared" si="23"/>
        <v>0</v>
      </c>
      <c r="T88" s="181">
        <f t="shared" si="23"/>
        <v>0</v>
      </c>
      <c r="U88" s="181">
        <f t="shared" si="23"/>
        <v>0</v>
      </c>
      <c r="V88" s="181">
        <f t="shared" si="23"/>
        <v>0</v>
      </c>
      <c r="W88" s="181">
        <f t="shared" si="23"/>
        <v>0</v>
      </c>
      <c r="X88" s="181">
        <f t="shared" si="23"/>
        <v>0</v>
      </c>
    </row>
    <row r="89" spans="2:24"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2:24"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2:24">
      <c r="B91" s="29" t="s">
        <v>327</v>
      </c>
      <c r="C91" s="30"/>
      <c r="D91" s="30"/>
      <c r="E91" s="30"/>
      <c r="F91" s="30"/>
      <c r="G91" s="30"/>
      <c r="H91" s="30"/>
      <c r="I91" s="30"/>
      <c r="J91" s="30"/>
      <c r="K91" s="185" t="str">
        <f t="shared" ref="K91:X91" si="24">LataProjekcji</f>
        <v>Uzupełnij dane</v>
      </c>
      <c r="L91" s="185" t="str">
        <f t="shared" si="24"/>
        <v/>
      </c>
      <c r="M91" s="185" t="str">
        <f t="shared" si="24"/>
        <v/>
      </c>
      <c r="N91" s="185" t="str">
        <f t="shared" si="24"/>
        <v/>
      </c>
      <c r="O91" s="185" t="str">
        <f t="shared" si="24"/>
        <v/>
      </c>
      <c r="P91" s="185" t="str">
        <f t="shared" si="24"/>
        <v/>
      </c>
      <c r="Q91" s="185" t="str">
        <f t="shared" si="24"/>
        <v/>
      </c>
      <c r="R91" s="185" t="str">
        <f t="shared" si="24"/>
        <v/>
      </c>
      <c r="S91" s="185" t="str">
        <f t="shared" si="24"/>
        <v/>
      </c>
      <c r="T91" s="185" t="str">
        <f t="shared" si="24"/>
        <v/>
      </c>
      <c r="U91" s="185" t="str">
        <f t="shared" si="24"/>
        <v/>
      </c>
      <c r="V91" s="185" t="str">
        <f t="shared" si="24"/>
        <v/>
      </c>
      <c r="W91" s="185" t="str">
        <f t="shared" si="24"/>
        <v/>
      </c>
      <c r="X91" s="185" t="str">
        <f t="shared" si="24"/>
        <v/>
      </c>
    </row>
    <row r="92" spans="2:24">
      <c r="B92" s="19" t="s">
        <v>328</v>
      </c>
      <c r="C92" s="19"/>
      <c r="D92" s="19"/>
      <c r="E92" s="19"/>
      <c r="F92" s="19"/>
      <c r="G92" s="19"/>
      <c r="H92" s="19"/>
      <c r="I92" s="19"/>
      <c r="J92" s="19"/>
      <c r="K92" s="95">
        <f>ROUND(Finansowanie!K47+Finansowanie!K56+Finansowanie!K65,0)</f>
        <v>0</v>
      </c>
      <c r="L92" s="95">
        <f>ROUND(Finansowanie!L47+Finansowanie!L56+Finansowanie!L65,0)</f>
        <v>0</v>
      </c>
      <c r="M92" s="95">
        <f>ROUND(Finansowanie!M47+Finansowanie!M56+Finansowanie!M65,0)</f>
        <v>0</v>
      </c>
      <c r="N92" s="95">
        <f>ROUND(Finansowanie!N47+Finansowanie!N56+Finansowanie!N65,0)</f>
        <v>0</v>
      </c>
      <c r="O92" s="95">
        <f>ROUND(Finansowanie!O47+Finansowanie!O56+Finansowanie!O65,0)</f>
        <v>0</v>
      </c>
      <c r="P92" s="95">
        <f>ROUND(Finansowanie!P47+Finansowanie!P56+Finansowanie!P65,0)</f>
        <v>0</v>
      </c>
      <c r="Q92" s="95">
        <f>ROUND(Finansowanie!Q47+Finansowanie!Q56+Finansowanie!Q65,0)</f>
        <v>0</v>
      </c>
      <c r="R92" s="95">
        <f>ROUND(Finansowanie!R47+Finansowanie!R56+Finansowanie!R65,0)</f>
        <v>0</v>
      </c>
      <c r="S92" s="95">
        <f>ROUND(Finansowanie!S47+Finansowanie!S56+Finansowanie!S65,0)</f>
        <v>0</v>
      </c>
      <c r="T92" s="95">
        <f>ROUND(Finansowanie!T47+Finansowanie!T56+Finansowanie!T65,0)</f>
        <v>0</v>
      </c>
      <c r="U92" s="95">
        <f>ROUND(Finansowanie!U47+Finansowanie!U56+Finansowanie!U65,0)</f>
        <v>0</v>
      </c>
      <c r="V92" s="95">
        <f>ROUND(Finansowanie!V47+Finansowanie!V56+Finansowanie!V65,0)</f>
        <v>0</v>
      </c>
      <c r="W92" s="95">
        <f>ROUND(Finansowanie!W47+Finansowanie!W56+Finansowanie!W65,0)</f>
        <v>0</v>
      </c>
      <c r="X92" s="95">
        <f>ROUND(Finansowanie!X47+Finansowanie!X56+Finansowanie!X65,0)</f>
        <v>0</v>
      </c>
    </row>
    <row r="93" spans="2:24">
      <c r="B93" s="9"/>
      <c r="C93" s="55"/>
      <c r="D93" s="55"/>
      <c r="E93" s="55"/>
      <c r="F93" s="55"/>
      <c r="G93" s="55"/>
      <c r="H93" s="55"/>
      <c r="I93" s="55"/>
      <c r="J93" s="55"/>
      <c r="K93" s="346"/>
      <c r="L93" s="346"/>
      <c r="M93" s="346"/>
      <c r="N93" s="346"/>
      <c r="O93" s="346"/>
      <c r="P93" s="346"/>
      <c r="Q93" s="346"/>
      <c r="R93" s="346"/>
      <c r="S93" s="346"/>
      <c r="T93" s="346"/>
      <c r="U93" s="346"/>
      <c r="V93" s="346"/>
      <c r="W93" s="346"/>
      <c r="X93" s="346"/>
    </row>
    <row r="94" spans="2:24">
      <c r="B94" s="9"/>
      <c r="C94" s="55"/>
      <c r="D94" s="55"/>
      <c r="E94" s="55"/>
      <c r="F94" s="55"/>
      <c r="G94" s="55"/>
      <c r="H94" s="55"/>
      <c r="I94" s="55"/>
      <c r="J94" s="55"/>
      <c r="K94" s="346"/>
      <c r="L94" s="346"/>
      <c r="M94" s="346"/>
      <c r="N94" s="346"/>
      <c r="O94" s="346"/>
      <c r="P94" s="346"/>
      <c r="Q94" s="346"/>
      <c r="R94" s="346"/>
      <c r="S94" s="346"/>
      <c r="T94" s="346"/>
      <c r="U94" s="346"/>
      <c r="V94" s="346"/>
      <c r="W94" s="346"/>
      <c r="X94" s="346"/>
    </row>
    <row r="95" spans="2:24">
      <c r="B95" s="9"/>
      <c r="C95" s="55"/>
      <c r="D95" s="55"/>
      <c r="E95" s="55"/>
      <c r="F95" s="55"/>
      <c r="G95" s="55"/>
      <c r="H95" s="55"/>
      <c r="I95" s="55"/>
      <c r="J95" s="55"/>
      <c r="K95" s="346"/>
      <c r="L95" s="346"/>
      <c r="M95" s="346"/>
      <c r="N95" s="346"/>
      <c r="O95" s="346"/>
      <c r="P95" s="346"/>
      <c r="Q95" s="346"/>
      <c r="R95" s="346"/>
      <c r="S95" s="346"/>
      <c r="T95" s="346"/>
      <c r="U95" s="346"/>
      <c r="V95" s="346"/>
      <c r="W95" s="346"/>
      <c r="X95" s="346"/>
    </row>
    <row r="96" spans="2:24">
      <c r="B96" s="9"/>
      <c r="C96" s="55"/>
      <c r="D96" s="55"/>
      <c r="E96" s="55"/>
      <c r="F96" s="55"/>
      <c r="G96" s="55"/>
      <c r="H96" s="55"/>
      <c r="I96" s="55"/>
      <c r="J96" s="55"/>
      <c r="K96" s="346"/>
      <c r="L96" s="346"/>
      <c r="M96" s="346"/>
      <c r="N96" s="346"/>
      <c r="O96" s="346"/>
      <c r="P96" s="346"/>
      <c r="Q96" s="346"/>
      <c r="R96" s="346"/>
      <c r="S96" s="346"/>
      <c r="T96" s="346"/>
      <c r="U96" s="346"/>
      <c r="V96" s="346"/>
      <c r="W96" s="346"/>
      <c r="X96" s="346"/>
    </row>
    <row r="97" spans="2:24">
      <c r="B97" s="179" t="s">
        <v>329</v>
      </c>
      <c r="C97" s="179"/>
      <c r="D97" s="180"/>
      <c r="E97" s="180"/>
      <c r="F97" s="180"/>
      <c r="G97" s="180"/>
      <c r="H97" s="180"/>
      <c r="I97" s="180"/>
      <c r="J97" s="180"/>
      <c r="K97" s="181">
        <f t="shared" ref="K97:X97" si="25">IF(LataProjekcji&lt;=Koniec,ROUND(SUM(K92:K96),0),0)</f>
        <v>0</v>
      </c>
      <c r="L97" s="181">
        <f t="shared" si="25"/>
        <v>0</v>
      </c>
      <c r="M97" s="181">
        <f t="shared" si="25"/>
        <v>0</v>
      </c>
      <c r="N97" s="181">
        <f t="shared" si="25"/>
        <v>0</v>
      </c>
      <c r="O97" s="181">
        <f t="shared" si="25"/>
        <v>0</v>
      </c>
      <c r="P97" s="181">
        <f t="shared" si="25"/>
        <v>0</v>
      </c>
      <c r="Q97" s="181">
        <f t="shared" si="25"/>
        <v>0</v>
      </c>
      <c r="R97" s="181">
        <f t="shared" si="25"/>
        <v>0</v>
      </c>
      <c r="S97" s="181">
        <f t="shared" si="25"/>
        <v>0</v>
      </c>
      <c r="T97" s="181">
        <f t="shared" si="25"/>
        <v>0</v>
      </c>
      <c r="U97" s="181">
        <f t="shared" si="25"/>
        <v>0</v>
      </c>
      <c r="V97" s="181">
        <f t="shared" si="25"/>
        <v>0</v>
      </c>
      <c r="W97" s="181">
        <f t="shared" si="25"/>
        <v>0</v>
      </c>
      <c r="X97" s="181">
        <f t="shared" si="25"/>
        <v>0</v>
      </c>
    </row>
    <row r="98" spans="2:24"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>
      <c r="B100" s="29" t="s">
        <v>330</v>
      </c>
      <c r="C100" s="29"/>
      <c r="D100" s="30"/>
      <c r="E100" s="30"/>
      <c r="F100" s="30"/>
      <c r="G100" s="30"/>
      <c r="H100" s="30"/>
      <c r="I100" s="30"/>
      <c r="J100" s="30"/>
      <c r="K100" s="156" t="str">
        <f t="shared" ref="K100:X100" si="26">LataProjekcji</f>
        <v>Uzupełnij dane</v>
      </c>
      <c r="L100" s="156" t="str">
        <f t="shared" si="26"/>
        <v/>
      </c>
      <c r="M100" s="156" t="str">
        <f t="shared" si="26"/>
        <v/>
      </c>
      <c r="N100" s="156" t="str">
        <f t="shared" si="26"/>
        <v/>
      </c>
      <c r="O100" s="156" t="str">
        <f t="shared" si="26"/>
        <v/>
      </c>
      <c r="P100" s="156" t="str">
        <f t="shared" si="26"/>
        <v/>
      </c>
      <c r="Q100" s="156" t="str">
        <f t="shared" si="26"/>
        <v/>
      </c>
      <c r="R100" s="156" t="str">
        <f t="shared" si="26"/>
        <v/>
      </c>
      <c r="S100" s="185" t="str">
        <f t="shared" si="26"/>
        <v/>
      </c>
      <c r="T100" s="185" t="str">
        <f t="shared" si="26"/>
        <v/>
      </c>
      <c r="U100" s="185" t="str">
        <f t="shared" si="26"/>
        <v/>
      </c>
      <c r="V100" s="185" t="str">
        <f t="shared" si="26"/>
        <v/>
      </c>
      <c r="W100" s="185" t="str">
        <f t="shared" si="26"/>
        <v/>
      </c>
      <c r="X100" s="185" t="str">
        <f t="shared" si="26"/>
        <v/>
      </c>
    </row>
    <row r="101" spans="2:24">
      <c r="B101" s="52" t="s">
        <v>331</v>
      </c>
      <c r="C101" s="52"/>
      <c r="D101" s="52"/>
      <c r="E101" s="52"/>
      <c r="F101" s="52"/>
      <c r="G101" s="52"/>
      <c r="H101" s="52"/>
      <c r="I101" s="52"/>
      <c r="J101" s="52"/>
      <c r="K101" s="33">
        <f>ROUND('Środki trwałe'!K91,0)</f>
        <v>0</v>
      </c>
      <c r="L101" s="33">
        <f>ROUND('Środki trwałe'!L91,0)</f>
        <v>0</v>
      </c>
      <c r="M101" s="33">
        <f>ROUND('Środki trwałe'!M91,0)</f>
        <v>0</v>
      </c>
      <c r="N101" s="33">
        <f>ROUND('Środki trwałe'!N91,0)</f>
        <v>0</v>
      </c>
      <c r="O101" s="33">
        <f>ROUND('Środki trwałe'!O91,0)</f>
        <v>0</v>
      </c>
      <c r="P101" s="33">
        <f>ROUND('Środki trwałe'!P91,0)</f>
        <v>0</v>
      </c>
      <c r="Q101" s="33">
        <f>ROUND('Środki trwałe'!Q91,0)</f>
        <v>0</v>
      </c>
      <c r="R101" s="33">
        <f>ROUND('Środki trwałe'!R91,0)</f>
        <v>0</v>
      </c>
      <c r="S101" s="33">
        <f>ROUND('Środki trwałe'!S91,0)</f>
        <v>0</v>
      </c>
      <c r="T101" s="33">
        <f>ROUND('Środki trwałe'!T91,0)</f>
        <v>0</v>
      </c>
      <c r="U101" s="33">
        <f>ROUND('Środki trwałe'!U91,0)</f>
        <v>0</v>
      </c>
      <c r="V101" s="33">
        <f>ROUND('Środki trwałe'!V91,0)</f>
        <v>0</v>
      </c>
      <c r="W101" s="33">
        <f>ROUND('Środki trwałe'!W91,0)</f>
        <v>0</v>
      </c>
      <c r="X101" s="33">
        <f>ROUND('Środki trwałe'!X91,0)</f>
        <v>0</v>
      </c>
    </row>
    <row r="102" spans="2:24">
      <c r="B102" s="52" t="s">
        <v>332</v>
      </c>
      <c r="C102" s="52"/>
      <c r="D102" s="52"/>
      <c r="E102" s="52"/>
      <c r="F102" s="52"/>
      <c r="G102" s="52"/>
      <c r="H102" s="52"/>
      <c r="I102" s="52"/>
      <c r="J102" s="52"/>
      <c r="K102" s="33">
        <f>ROUND(K20,0)</f>
        <v>0</v>
      </c>
      <c r="L102" s="33">
        <f t="shared" ref="L102:X102" si="27">ROUND(L20,0)</f>
        <v>0</v>
      </c>
      <c r="M102" s="33">
        <f t="shared" si="27"/>
        <v>0</v>
      </c>
      <c r="N102" s="33">
        <f t="shared" si="27"/>
        <v>0</v>
      </c>
      <c r="O102" s="33">
        <f t="shared" si="27"/>
        <v>0</v>
      </c>
      <c r="P102" s="33">
        <f t="shared" si="27"/>
        <v>0</v>
      </c>
      <c r="Q102" s="33">
        <f t="shared" si="27"/>
        <v>0</v>
      </c>
      <c r="R102" s="33">
        <f t="shared" si="27"/>
        <v>0</v>
      </c>
      <c r="S102" s="33">
        <f t="shared" si="27"/>
        <v>0</v>
      </c>
      <c r="T102" s="33">
        <f t="shared" si="27"/>
        <v>0</v>
      </c>
      <c r="U102" s="33">
        <f t="shared" si="27"/>
        <v>0</v>
      </c>
      <c r="V102" s="33">
        <f t="shared" si="27"/>
        <v>0</v>
      </c>
      <c r="W102" s="33">
        <f t="shared" si="27"/>
        <v>0</v>
      </c>
      <c r="X102" s="33">
        <f t="shared" si="27"/>
        <v>0</v>
      </c>
    </row>
    <row r="103" spans="2:24">
      <c r="B103" s="52" t="s">
        <v>312</v>
      </c>
      <c r="C103" s="52"/>
      <c r="D103" s="52"/>
      <c r="E103" s="52"/>
      <c r="F103" s="52"/>
      <c r="G103" s="52"/>
      <c r="H103" s="52"/>
      <c r="I103" s="52"/>
      <c r="J103" s="52"/>
      <c r="K103" s="33">
        <f>ROUND(K29,0)</f>
        <v>0</v>
      </c>
      <c r="L103" s="33">
        <f t="shared" ref="L103:X103" si="28">ROUND(L29,0)</f>
        <v>0</v>
      </c>
      <c r="M103" s="33">
        <f t="shared" si="28"/>
        <v>0</v>
      </c>
      <c r="N103" s="33">
        <f t="shared" si="28"/>
        <v>0</v>
      </c>
      <c r="O103" s="33">
        <f t="shared" si="28"/>
        <v>0</v>
      </c>
      <c r="P103" s="33">
        <f t="shared" si="28"/>
        <v>0</v>
      </c>
      <c r="Q103" s="33">
        <f t="shared" si="28"/>
        <v>0</v>
      </c>
      <c r="R103" s="33">
        <f t="shared" si="28"/>
        <v>0</v>
      </c>
      <c r="S103" s="33">
        <f t="shared" si="28"/>
        <v>0</v>
      </c>
      <c r="T103" s="33">
        <f t="shared" si="28"/>
        <v>0</v>
      </c>
      <c r="U103" s="33">
        <f t="shared" si="28"/>
        <v>0</v>
      </c>
      <c r="V103" s="33">
        <f t="shared" si="28"/>
        <v>0</v>
      </c>
      <c r="W103" s="33">
        <f t="shared" si="28"/>
        <v>0</v>
      </c>
      <c r="X103" s="33">
        <f t="shared" si="28"/>
        <v>0</v>
      </c>
    </row>
    <row r="104" spans="2:24">
      <c r="B104" s="52" t="s">
        <v>314</v>
      </c>
      <c r="C104" s="52"/>
      <c r="D104" s="52"/>
      <c r="E104" s="52"/>
      <c r="F104" s="52"/>
      <c r="G104" s="52"/>
      <c r="H104" s="52"/>
      <c r="I104" s="52"/>
      <c r="J104" s="52"/>
      <c r="K104" s="33">
        <f>ROUND(K38,0)</f>
        <v>0</v>
      </c>
      <c r="L104" s="33">
        <f t="shared" ref="L104:X104" si="29">ROUND(L38,0)</f>
        <v>0</v>
      </c>
      <c r="M104" s="33">
        <f t="shared" si="29"/>
        <v>0</v>
      </c>
      <c r="N104" s="33">
        <f t="shared" si="29"/>
        <v>0</v>
      </c>
      <c r="O104" s="33">
        <f t="shared" si="29"/>
        <v>0</v>
      </c>
      <c r="P104" s="33">
        <f t="shared" si="29"/>
        <v>0</v>
      </c>
      <c r="Q104" s="33">
        <f t="shared" si="29"/>
        <v>0</v>
      </c>
      <c r="R104" s="33">
        <f t="shared" si="29"/>
        <v>0</v>
      </c>
      <c r="S104" s="33">
        <f t="shared" si="29"/>
        <v>0</v>
      </c>
      <c r="T104" s="33">
        <f t="shared" si="29"/>
        <v>0</v>
      </c>
      <c r="U104" s="33">
        <f t="shared" si="29"/>
        <v>0</v>
      </c>
      <c r="V104" s="33">
        <f t="shared" si="29"/>
        <v>0</v>
      </c>
      <c r="W104" s="33">
        <f t="shared" si="29"/>
        <v>0</v>
      </c>
      <c r="X104" s="33">
        <f t="shared" si="29"/>
        <v>0</v>
      </c>
    </row>
    <row r="105" spans="2:24">
      <c r="B105" s="52" t="s">
        <v>333</v>
      </c>
      <c r="C105" s="52"/>
      <c r="D105" s="52"/>
      <c r="E105" s="52"/>
      <c r="F105" s="52"/>
      <c r="G105" s="52"/>
      <c r="H105" s="52"/>
      <c r="I105" s="52"/>
      <c r="J105" s="52"/>
      <c r="K105" s="33">
        <f>ROUND(K60,0)</f>
        <v>0</v>
      </c>
      <c r="L105" s="33">
        <f t="shared" ref="L105:X105" si="30">ROUND(L60,0)</f>
        <v>0</v>
      </c>
      <c r="M105" s="33">
        <f t="shared" si="30"/>
        <v>0</v>
      </c>
      <c r="N105" s="33">
        <f t="shared" si="30"/>
        <v>0</v>
      </c>
      <c r="O105" s="33">
        <f t="shared" si="30"/>
        <v>0</v>
      </c>
      <c r="P105" s="33">
        <f t="shared" si="30"/>
        <v>0</v>
      </c>
      <c r="Q105" s="33">
        <f t="shared" si="30"/>
        <v>0</v>
      </c>
      <c r="R105" s="33">
        <f t="shared" si="30"/>
        <v>0</v>
      </c>
      <c r="S105" s="33">
        <f t="shared" si="30"/>
        <v>0</v>
      </c>
      <c r="T105" s="33">
        <f t="shared" si="30"/>
        <v>0</v>
      </c>
      <c r="U105" s="33">
        <f t="shared" si="30"/>
        <v>0</v>
      </c>
      <c r="V105" s="33">
        <f t="shared" si="30"/>
        <v>0</v>
      </c>
      <c r="W105" s="33">
        <f t="shared" si="30"/>
        <v>0</v>
      </c>
      <c r="X105" s="33">
        <f t="shared" si="30"/>
        <v>0</v>
      </c>
    </row>
    <row r="106" spans="2:24">
      <c r="B106" s="52" t="s">
        <v>320</v>
      </c>
      <c r="C106" s="52"/>
      <c r="D106" s="52"/>
      <c r="E106" s="52"/>
      <c r="F106" s="52"/>
      <c r="G106" s="52"/>
      <c r="H106" s="52"/>
      <c r="I106" s="52"/>
      <c r="J106" s="52"/>
      <c r="K106" s="33">
        <f>ROUND(K70,0)</f>
        <v>0</v>
      </c>
      <c r="L106" s="33">
        <f t="shared" ref="L106:X106" si="31">ROUND(L70,0)</f>
        <v>0</v>
      </c>
      <c r="M106" s="33">
        <f t="shared" si="31"/>
        <v>0</v>
      </c>
      <c r="N106" s="33">
        <f t="shared" si="31"/>
        <v>0</v>
      </c>
      <c r="O106" s="33">
        <f t="shared" si="31"/>
        <v>0</v>
      </c>
      <c r="P106" s="33">
        <f t="shared" si="31"/>
        <v>0</v>
      </c>
      <c r="Q106" s="33">
        <f t="shared" si="31"/>
        <v>0</v>
      </c>
      <c r="R106" s="33">
        <f t="shared" si="31"/>
        <v>0</v>
      </c>
      <c r="S106" s="33">
        <f t="shared" si="31"/>
        <v>0</v>
      </c>
      <c r="T106" s="33">
        <f t="shared" si="31"/>
        <v>0</v>
      </c>
      <c r="U106" s="33">
        <f t="shared" si="31"/>
        <v>0</v>
      </c>
      <c r="V106" s="33">
        <f t="shared" si="31"/>
        <v>0</v>
      </c>
      <c r="W106" s="33">
        <f t="shared" si="31"/>
        <v>0</v>
      </c>
      <c r="X106" s="33">
        <f t="shared" si="31"/>
        <v>0</v>
      </c>
    </row>
    <row r="107" spans="2:24">
      <c r="B107" s="52" t="s">
        <v>323</v>
      </c>
      <c r="C107" s="52"/>
      <c r="D107" s="52"/>
      <c r="E107" s="52"/>
      <c r="F107" s="52"/>
      <c r="G107" s="52"/>
      <c r="H107" s="52"/>
      <c r="I107" s="52"/>
      <c r="J107" s="52"/>
      <c r="K107" s="33">
        <f>ROUND(K79,0)</f>
        <v>0</v>
      </c>
      <c r="L107" s="33">
        <f t="shared" ref="L107:X107" si="32">ROUND(L79,0)</f>
        <v>0</v>
      </c>
      <c r="M107" s="33">
        <f t="shared" si="32"/>
        <v>0</v>
      </c>
      <c r="N107" s="33">
        <f t="shared" si="32"/>
        <v>0</v>
      </c>
      <c r="O107" s="33">
        <f t="shared" si="32"/>
        <v>0</v>
      </c>
      <c r="P107" s="33">
        <f t="shared" si="32"/>
        <v>0</v>
      </c>
      <c r="Q107" s="33">
        <f t="shared" si="32"/>
        <v>0</v>
      </c>
      <c r="R107" s="33">
        <f t="shared" si="32"/>
        <v>0</v>
      </c>
      <c r="S107" s="33">
        <f t="shared" si="32"/>
        <v>0</v>
      </c>
      <c r="T107" s="33">
        <f t="shared" si="32"/>
        <v>0</v>
      </c>
      <c r="U107" s="33">
        <f t="shared" si="32"/>
        <v>0</v>
      </c>
      <c r="V107" s="33">
        <f t="shared" si="32"/>
        <v>0</v>
      </c>
      <c r="W107" s="33">
        <f t="shared" si="32"/>
        <v>0</v>
      </c>
      <c r="X107" s="33">
        <f t="shared" si="32"/>
        <v>0</v>
      </c>
    </row>
    <row r="108" spans="2:24">
      <c r="B108" s="106" t="s">
        <v>334</v>
      </c>
      <c r="C108" s="106"/>
      <c r="D108" s="106"/>
      <c r="E108" s="106"/>
      <c r="F108" s="106"/>
      <c r="G108" s="106"/>
      <c r="H108" s="106"/>
      <c r="I108" s="106"/>
      <c r="J108" s="106"/>
      <c r="K108" s="107">
        <f>ROUND(Przychody!K92,0)</f>
        <v>0</v>
      </c>
      <c r="L108" s="107">
        <f>ROUND(Przychody!L92,0)</f>
        <v>0</v>
      </c>
      <c r="M108" s="107">
        <f>ROUND(Przychody!M92,0)</f>
        <v>0</v>
      </c>
      <c r="N108" s="107">
        <f>ROUND(Przychody!N92,0)</f>
        <v>0</v>
      </c>
      <c r="O108" s="107">
        <f>ROUND(Przychody!O92,0)</f>
        <v>0</v>
      </c>
      <c r="P108" s="107">
        <f>ROUND(Przychody!P92,0)</f>
        <v>0</v>
      </c>
      <c r="Q108" s="107">
        <f>ROUND(Przychody!Q92,0)</f>
        <v>0</v>
      </c>
      <c r="R108" s="107">
        <f>ROUND(Przychody!R92,0)</f>
        <v>0</v>
      </c>
      <c r="S108" s="107">
        <f>ROUND(Przychody!S92,0)</f>
        <v>0</v>
      </c>
      <c r="T108" s="107">
        <f>ROUND(Przychody!T92,0)</f>
        <v>0</v>
      </c>
      <c r="U108" s="107">
        <f>ROUND(Przychody!U92,0)</f>
        <v>0</v>
      </c>
      <c r="V108" s="107">
        <f>ROUND(Przychody!V92,0)</f>
        <v>0</v>
      </c>
      <c r="W108" s="107">
        <f>ROUND(Przychody!W92,0)</f>
        <v>0</v>
      </c>
      <c r="X108" s="107">
        <f>ROUND(Przychody!X92,0)</f>
        <v>0</v>
      </c>
    </row>
    <row r="109" spans="2:24">
      <c r="B109" s="195" t="s">
        <v>335</v>
      </c>
      <c r="C109" s="195"/>
      <c r="D109" s="196"/>
      <c r="E109" s="196"/>
      <c r="F109" s="196"/>
      <c r="G109" s="196"/>
      <c r="H109" s="196"/>
      <c r="I109" s="196"/>
      <c r="J109" s="196"/>
      <c r="K109" s="197">
        <f>ROUND(SUM(K101:K108),0)</f>
        <v>0</v>
      </c>
      <c r="L109" s="197">
        <f t="shared" ref="L109:X109" si="33">ROUND(SUM(L101:L108),0)</f>
        <v>0</v>
      </c>
      <c r="M109" s="197">
        <f t="shared" si="33"/>
        <v>0</v>
      </c>
      <c r="N109" s="197">
        <f t="shared" si="33"/>
        <v>0</v>
      </c>
      <c r="O109" s="197">
        <f t="shared" si="33"/>
        <v>0</v>
      </c>
      <c r="P109" s="197">
        <f t="shared" si="33"/>
        <v>0</v>
      </c>
      <c r="Q109" s="197">
        <f t="shared" si="33"/>
        <v>0</v>
      </c>
      <c r="R109" s="197">
        <f t="shared" si="33"/>
        <v>0</v>
      </c>
      <c r="S109" s="197">
        <f t="shared" si="33"/>
        <v>0</v>
      </c>
      <c r="T109" s="197">
        <f t="shared" si="33"/>
        <v>0</v>
      </c>
      <c r="U109" s="197">
        <f t="shared" si="33"/>
        <v>0</v>
      </c>
      <c r="V109" s="197">
        <f t="shared" si="33"/>
        <v>0</v>
      </c>
      <c r="W109" s="197">
        <f t="shared" si="33"/>
        <v>0</v>
      </c>
      <c r="X109" s="197">
        <f t="shared" si="33"/>
        <v>0</v>
      </c>
    </row>
    <row r="110" spans="2:24">
      <c r="B110" s="99" t="s">
        <v>325</v>
      </c>
      <c r="C110" s="99"/>
      <c r="D110" s="99"/>
      <c r="E110" s="99"/>
      <c r="F110" s="99"/>
      <c r="G110" s="99"/>
      <c r="H110" s="99"/>
      <c r="I110" s="99"/>
      <c r="J110" s="99"/>
      <c r="K110" s="98">
        <f>ROUND(K88,0)</f>
        <v>0</v>
      </c>
      <c r="L110" s="98">
        <f t="shared" ref="L110:X110" si="34">ROUND(L88,0)</f>
        <v>0</v>
      </c>
      <c r="M110" s="98">
        <f t="shared" si="34"/>
        <v>0</v>
      </c>
      <c r="N110" s="98">
        <f t="shared" si="34"/>
        <v>0</v>
      </c>
      <c r="O110" s="98">
        <f t="shared" si="34"/>
        <v>0</v>
      </c>
      <c r="P110" s="98">
        <f t="shared" si="34"/>
        <v>0</v>
      </c>
      <c r="Q110" s="98">
        <f t="shared" si="34"/>
        <v>0</v>
      </c>
      <c r="R110" s="98">
        <f t="shared" si="34"/>
        <v>0</v>
      </c>
      <c r="S110" s="98">
        <f t="shared" si="34"/>
        <v>0</v>
      </c>
      <c r="T110" s="98">
        <f t="shared" si="34"/>
        <v>0</v>
      </c>
      <c r="U110" s="98">
        <f t="shared" si="34"/>
        <v>0</v>
      </c>
      <c r="V110" s="98">
        <f t="shared" si="34"/>
        <v>0</v>
      </c>
      <c r="W110" s="98">
        <f t="shared" si="34"/>
        <v>0</v>
      </c>
      <c r="X110" s="98">
        <f t="shared" si="34"/>
        <v>0</v>
      </c>
    </row>
    <row r="111" spans="2:24">
      <c r="B111" s="99" t="s">
        <v>327</v>
      </c>
      <c r="C111" s="99"/>
      <c r="D111" s="99"/>
      <c r="E111" s="99"/>
      <c r="F111" s="99"/>
      <c r="G111" s="99"/>
      <c r="H111" s="99"/>
      <c r="I111" s="99"/>
      <c r="J111" s="99"/>
      <c r="K111" s="98">
        <f>ROUND(K97,0)</f>
        <v>0</v>
      </c>
      <c r="L111" s="98">
        <f t="shared" ref="L111:X111" si="35">ROUND(L97,0)</f>
        <v>0</v>
      </c>
      <c r="M111" s="98">
        <f t="shared" si="35"/>
        <v>0</v>
      </c>
      <c r="N111" s="98">
        <f t="shared" si="35"/>
        <v>0</v>
      </c>
      <c r="O111" s="98">
        <f t="shared" si="35"/>
        <v>0</v>
      </c>
      <c r="P111" s="98">
        <f t="shared" si="35"/>
        <v>0</v>
      </c>
      <c r="Q111" s="98">
        <f t="shared" si="35"/>
        <v>0</v>
      </c>
      <c r="R111" s="98">
        <f t="shared" si="35"/>
        <v>0</v>
      </c>
      <c r="S111" s="98">
        <f t="shared" si="35"/>
        <v>0</v>
      </c>
      <c r="T111" s="98">
        <f t="shared" si="35"/>
        <v>0</v>
      </c>
      <c r="U111" s="98">
        <f t="shared" si="35"/>
        <v>0</v>
      </c>
      <c r="V111" s="98">
        <f t="shared" si="35"/>
        <v>0</v>
      </c>
      <c r="W111" s="98">
        <f t="shared" si="35"/>
        <v>0</v>
      </c>
      <c r="X111" s="98">
        <f t="shared" si="35"/>
        <v>0</v>
      </c>
    </row>
    <row r="112" spans="2:24"/>
    <row r="113" spans="2:24"/>
    <row r="114" spans="2:24" ht="14.4">
      <c r="B114" s="32" t="s">
        <v>294</v>
      </c>
      <c r="C114" s="32" t="s">
        <v>296</v>
      </c>
      <c r="D114" s="32" t="s">
        <v>336</v>
      </c>
      <c r="E114" s="32" t="s">
        <v>337</v>
      </c>
      <c r="F114" s="36"/>
      <c r="G114" s="32">
        <f ca="1">G12</f>
        <v>0</v>
      </c>
      <c r="H114" s="32">
        <f ca="1">H12</f>
        <v>0</v>
      </c>
      <c r="I114" s="32">
        <f ca="1">I12</f>
        <v>0</v>
      </c>
      <c r="J114" s="47" t="str">
        <f>J12</f>
        <v/>
      </c>
      <c r="K114" s="32" t="str">
        <f t="shared" ref="K114:X114" si="36">LataProjekcji</f>
        <v>Uzupełnij dane</v>
      </c>
      <c r="L114" s="32" t="str">
        <f t="shared" si="36"/>
        <v/>
      </c>
      <c r="M114" s="32" t="str">
        <f t="shared" si="36"/>
        <v/>
      </c>
      <c r="N114" s="32" t="str">
        <f t="shared" si="36"/>
        <v/>
      </c>
      <c r="O114" s="32" t="str">
        <f t="shared" si="36"/>
        <v/>
      </c>
      <c r="P114" s="32" t="str">
        <f t="shared" si="36"/>
        <v/>
      </c>
      <c r="Q114" s="32" t="str">
        <f t="shared" si="36"/>
        <v/>
      </c>
      <c r="R114" s="32" t="str">
        <f t="shared" si="36"/>
        <v/>
      </c>
      <c r="S114" s="32" t="str">
        <f t="shared" si="36"/>
        <v/>
      </c>
      <c r="T114" s="32" t="str">
        <f t="shared" si="36"/>
        <v/>
      </c>
      <c r="U114" s="32" t="str">
        <f t="shared" si="36"/>
        <v/>
      </c>
      <c r="V114" s="32" t="str">
        <f t="shared" si="36"/>
        <v/>
      </c>
      <c r="W114" s="32" t="str">
        <f t="shared" si="36"/>
        <v/>
      </c>
      <c r="X114" s="32" t="str">
        <f t="shared" si="36"/>
        <v/>
      </c>
    </row>
    <row r="115" spans="2:24"/>
    <row r="116" spans="2:24">
      <c r="B116" s="351" t="s">
        <v>338</v>
      </c>
      <c r="C116" s="350" t="str">
        <f>C$114</f>
        <v>Moduł</v>
      </c>
      <c r="D116" s="350" t="str">
        <f t="shared" ref="D116:X116" si="37">D$114</f>
        <v>Kwalifikowalne</v>
      </c>
      <c r="E116" s="350" t="str">
        <f t="shared" si="37"/>
        <v>Koszty B+R</v>
      </c>
      <c r="F116" s="350"/>
      <c r="G116" s="350">
        <f t="shared" ca="1" si="37"/>
        <v>0</v>
      </c>
      <c r="H116" s="350">
        <f t="shared" ca="1" si="37"/>
        <v>0</v>
      </c>
      <c r="I116" s="350">
        <f t="shared" ca="1" si="37"/>
        <v>0</v>
      </c>
      <c r="J116" s="350" t="str">
        <f t="shared" si="37"/>
        <v/>
      </c>
      <c r="K116" s="350" t="str">
        <f t="shared" si="37"/>
        <v>Uzupełnij dane</v>
      </c>
      <c r="L116" s="350" t="str">
        <f t="shared" si="37"/>
        <v/>
      </c>
      <c r="M116" s="350" t="str">
        <f t="shared" si="37"/>
        <v/>
      </c>
      <c r="N116" s="350" t="str">
        <f t="shared" si="37"/>
        <v/>
      </c>
      <c r="O116" s="350" t="str">
        <f t="shared" si="37"/>
        <v/>
      </c>
      <c r="P116" s="350" t="str">
        <f t="shared" si="37"/>
        <v/>
      </c>
      <c r="Q116" s="350" t="str">
        <f t="shared" si="37"/>
        <v/>
      </c>
      <c r="R116" s="350" t="str">
        <f t="shared" si="37"/>
        <v/>
      </c>
      <c r="S116" s="350" t="str">
        <f t="shared" si="37"/>
        <v/>
      </c>
      <c r="T116" s="350" t="str">
        <f t="shared" si="37"/>
        <v/>
      </c>
      <c r="U116" s="350" t="str">
        <f t="shared" si="37"/>
        <v/>
      </c>
      <c r="V116" s="350" t="str">
        <f t="shared" si="37"/>
        <v/>
      </c>
      <c r="W116" s="350" t="str">
        <f t="shared" si="37"/>
        <v/>
      </c>
      <c r="X116" s="350" t="str">
        <f t="shared" si="37"/>
        <v/>
      </c>
    </row>
    <row r="117" spans="2:24">
      <c r="B117" s="297"/>
      <c r="C117" s="308"/>
      <c r="D117" s="308"/>
      <c r="E117" s="297"/>
      <c r="F117" s="298"/>
      <c r="G117" s="298"/>
      <c r="H117" s="298"/>
      <c r="I117" s="298"/>
      <c r="J117" s="298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</row>
    <row r="118" spans="2:24">
      <c r="B118" s="297"/>
      <c r="C118" s="308"/>
      <c r="D118" s="308"/>
      <c r="E118" s="297"/>
      <c r="F118" s="55"/>
      <c r="G118" s="55"/>
      <c r="H118" s="55"/>
      <c r="I118" s="55"/>
      <c r="J118" s="55"/>
      <c r="K118" s="346"/>
      <c r="L118" s="346"/>
      <c r="M118" s="346"/>
      <c r="N118" s="346"/>
      <c r="O118" s="346"/>
      <c r="P118" s="346"/>
      <c r="Q118" s="346"/>
      <c r="R118" s="346"/>
      <c r="S118" s="346"/>
      <c r="T118" s="346"/>
      <c r="U118" s="346"/>
      <c r="V118" s="346"/>
      <c r="W118" s="346"/>
      <c r="X118" s="346"/>
    </row>
    <row r="119" spans="2:24">
      <c r="B119" s="297"/>
      <c r="C119" s="308"/>
      <c r="D119" s="308"/>
      <c r="E119" s="297"/>
      <c r="F119" s="55"/>
      <c r="G119" s="55"/>
      <c r="H119" s="55"/>
      <c r="I119" s="55"/>
      <c r="J119" s="55"/>
      <c r="K119" s="346"/>
      <c r="L119" s="346"/>
      <c r="M119" s="346"/>
      <c r="N119" s="346"/>
      <c r="O119" s="346"/>
      <c r="P119" s="346"/>
      <c r="Q119" s="346"/>
      <c r="R119" s="346"/>
      <c r="S119" s="346"/>
      <c r="T119" s="346"/>
      <c r="U119" s="346"/>
      <c r="V119" s="346"/>
      <c r="W119" s="346"/>
      <c r="X119" s="346"/>
    </row>
    <row r="120" spans="2:24">
      <c r="B120" s="297"/>
      <c r="C120" s="308"/>
      <c r="D120" s="307"/>
      <c r="E120" s="297"/>
      <c r="F120" s="55"/>
      <c r="G120" s="55"/>
      <c r="H120" s="55"/>
      <c r="I120" s="55"/>
      <c r="J120" s="55"/>
      <c r="K120" s="346"/>
      <c r="L120" s="346"/>
      <c r="M120" s="346"/>
      <c r="N120" s="346"/>
      <c r="O120" s="346"/>
      <c r="P120" s="346"/>
      <c r="Q120" s="346"/>
      <c r="R120" s="346"/>
      <c r="S120" s="346"/>
      <c r="T120" s="346"/>
      <c r="U120" s="346"/>
      <c r="V120" s="346"/>
      <c r="W120" s="346"/>
      <c r="X120" s="346"/>
    </row>
    <row r="121" spans="2:24">
      <c r="B121" s="297"/>
      <c r="C121" s="308"/>
      <c r="D121" s="308"/>
      <c r="E121" s="297"/>
      <c r="F121" s="55"/>
      <c r="G121" s="55"/>
      <c r="H121" s="55"/>
      <c r="I121" s="55"/>
      <c r="J121" s="55"/>
      <c r="K121" s="346"/>
      <c r="L121" s="346"/>
      <c r="M121" s="346"/>
      <c r="N121" s="346"/>
      <c r="O121" s="346"/>
      <c r="P121" s="346"/>
      <c r="Q121" s="346"/>
      <c r="R121" s="346"/>
      <c r="S121" s="346"/>
      <c r="T121" s="346"/>
      <c r="U121" s="346"/>
      <c r="V121" s="346"/>
      <c r="W121" s="346"/>
      <c r="X121" s="346"/>
    </row>
    <row r="122" spans="2:24">
      <c r="B122" s="297"/>
      <c r="C122" s="308"/>
      <c r="D122" s="308"/>
      <c r="E122" s="297"/>
      <c r="F122" s="299"/>
      <c r="G122" s="55"/>
      <c r="H122" s="55"/>
      <c r="I122" s="55"/>
      <c r="J122" s="55"/>
      <c r="K122" s="346"/>
      <c r="L122" s="346"/>
      <c r="M122" s="346"/>
      <c r="N122" s="346"/>
      <c r="O122" s="346"/>
      <c r="P122" s="346"/>
      <c r="Q122" s="346"/>
      <c r="R122" s="346"/>
      <c r="S122" s="346"/>
      <c r="T122" s="346"/>
      <c r="U122" s="346"/>
      <c r="V122" s="346"/>
      <c r="W122" s="346"/>
      <c r="X122" s="346"/>
    </row>
    <row r="123" spans="2:24">
      <c r="B123" s="297"/>
      <c r="C123" s="308"/>
      <c r="D123" s="308"/>
      <c r="E123" s="297"/>
      <c r="F123" s="298"/>
      <c r="G123" s="298"/>
      <c r="H123" s="298"/>
      <c r="I123" s="298"/>
      <c r="J123" s="298"/>
      <c r="K123" s="345"/>
      <c r="L123" s="345"/>
      <c r="M123" s="345"/>
      <c r="N123" s="345"/>
      <c r="O123" s="346"/>
      <c r="P123" s="346"/>
      <c r="Q123" s="346"/>
      <c r="R123" s="346"/>
      <c r="S123" s="346"/>
      <c r="T123" s="346"/>
      <c r="U123" s="346"/>
      <c r="V123" s="346"/>
      <c r="W123" s="346"/>
      <c r="X123" s="346"/>
    </row>
    <row r="124" spans="2:24">
      <c r="B124" s="297"/>
      <c r="C124" s="308"/>
      <c r="D124" s="308"/>
      <c r="E124" s="297"/>
      <c r="F124" s="55"/>
      <c r="G124" s="55"/>
      <c r="H124" s="55"/>
      <c r="I124" s="55"/>
      <c r="J124" s="55"/>
      <c r="K124" s="346"/>
      <c r="L124" s="346"/>
      <c r="M124" s="346"/>
      <c r="N124" s="346"/>
      <c r="O124" s="346"/>
      <c r="P124" s="346"/>
      <c r="Q124" s="346"/>
      <c r="R124" s="346"/>
      <c r="S124" s="346"/>
      <c r="T124" s="346"/>
      <c r="U124" s="346"/>
      <c r="V124" s="346"/>
      <c r="W124" s="346"/>
      <c r="X124" s="346"/>
    </row>
    <row r="125" spans="2:24">
      <c r="B125" s="297"/>
      <c r="C125" s="308"/>
      <c r="D125" s="308"/>
      <c r="E125" s="297"/>
      <c r="F125" s="55"/>
      <c r="G125" s="55"/>
      <c r="H125" s="55"/>
      <c r="I125" s="55"/>
      <c r="J125" s="55"/>
      <c r="K125" s="346"/>
      <c r="L125" s="346"/>
      <c r="M125" s="346"/>
      <c r="N125" s="346"/>
      <c r="O125" s="346"/>
      <c r="P125" s="346"/>
      <c r="Q125" s="346"/>
      <c r="R125" s="346"/>
      <c r="S125" s="346"/>
      <c r="T125" s="346"/>
      <c r="U125" s="346"/>
      <c r="V125" s="346"/>
      <c r="W125" s="346"/>
      <c r="X125" s="346"/>
    </row>
    <row r="126" spans="2:24">
      <c r="B126" s="297"/>
      <c r="C126" s="308"/>
      <c r="D126" s="307"/>
      <c r="E126" s="297"/>
      <c r="F126" s="55"/>
      <c r="G126" s="55"/>
      <c r="H126" s="55"/>
      <c r="I126" s="55"/>
      <c r="J126" s="55"/>
      <c r="K126" s="346"/>
      <c r="L126" s="346"/>
      <c r="M126" s="346"/>
      <c r="N126" s="346"/>
      <c r="O126" s="346"/>
      <c r="P126" s="346"/>
      <c r="Q126" s="346"/>
      <c r="R126" s="346"/>
      <c r="S126" s="346"/>
      <c r="T126" s="346"/>
      <c r="U126" s="346"/>
      <c r="V126" s="346"/>
      <c r="W126" s="346"/>
      <c r="X126" s="346"/>
    </row>
    <row r="127" spans="2:24">
      <c r="B127" s="297"/>
      <c r="C127" s="308"/>
      <c r="D127" s="308"/>
      <c r="E127" s="297"/>
      <c r="F127" s="55"/>
      <c r="G127" s="55"/>
      <c r="H127" s="55"/>
      <c r="I127" s="55"/>
      <c r="J127" s="55"/>
      <c r="K127" s="346"/>
      <c r="L127" s="346"/>
      <c r="M127" s="346"/>
      <c r="N127" s="346"/>
      <c r="O127" s="346"/>
      <c r="P127" s="346"/>
      <c r="Q127" s="346"/>
      <c r="R127" s="346"/>
      <c r="S127" s="346"/>
      <c r="T127" s="346"/>
      <c r="U127" s="346"/>
      <c r="V127" s="346"/>
      <c r="W127" s="346"/>
      <c r="X127" s="346"/>
    </row>
    <row r="128" spans="2:24">
      <c r="B128" s="297"/>
      <c r="C128" s="308"/>
      <c r="D128" s="308"/>
      <c r="E128" s="297"/>
      <c r="F128" s="299"/>
      <c r="G128" s="55"/>
      <c r="H128" s="55"/>
      <c r="I128" s="55"/>
      <c r="J128" s="55"/>
      <c r="K128" s="346"/>
      <c r="L128" s="346"/>
      <c r="M128" s="346"/>
      <c r="N128" s="346"/>
      <c r="O128" s="346"/>
      <c r="P128" s="346"/>
      <c r="Q128" s="346"/>
      <c r="R128" s="346"/>
      <c r="S128" s="346"/>
      <c r="T128" s="346"/>
      <c r="U128" s="346"/>
      <c r="V128" s="346"/>
      <c r="W128" s="346"/>
      <c r="X128" s="346"/>
    </row>
    <row r="129" spans="2:24">
      <c r="B129" s="9"/>
      <c r="C129" s="307"/>
      <c r="D129" s="307"/>
      <c r="E129" s="9"/>
      <c r="F129" s="55"/>
      <c r="G129" s="55"/>
      <c r="H129" s="55"/>
      <c r="I129" s="55"/>
      <c r="J129" s="55"/>
      <c r="K129" s="346"/>
      <c r="L129" s="346"/>
      <c r="M129" s="346"/>
      <c r="N129" s="346"/>
      <c r="O129" s="346"/>
      <c r="P129" s="346"/>
      <c r="Q129" s="346"/>
      <c r="R129" s="346"/>
      <c r="S129" s="346"/>
      <c r="T129" s="346"/>
      <c r="U129" s="346"/>
      <c r="V129" s="346"/>
      <c r="W129" s="346"/>
      <c r="X129" s="346"/>
    </row>
    <row r="130" spans="2:24">
      <c r="B130" s="9"/>
      <c r="C130" s="307"/>
      <c r="D130" s="307"/>
      <c r="E130" s="9"/>
      <c r="F130" s="55"/>
      <c r="G130" s="55"/>
      <c r="H130" s="55"/>
      <c r="I130" s="55"/>
      <c r="J130" s="55"/>
      <c r="K130" s="346"/>
      <c r="L130" s="346"/>
      <c r="M130" s="346"/>
      <c r="N130" s="346"/>
      <c r="O130" s="346"/>
      <c r="P130" s="346"/>
      <c r="Q130" s="346"/>
      <c r="R130" s="346"/>
      <c r="S130" s="346"/>
      <c r="T130" s="346"/>
      <c r="U130" s="346"/>
      <c r="V130" s="346"/>
      <c r="W130" s="346"/>
      <c r="X130" s="346"/>
    </row>
    <row r="131" spans="2:24">
      <c r="B131" s="9"/>
      <c r="C131" s="308"/>
      <c r="D131" s="307"/>
      <c r="E131" s="9"/>
      <c r="F131" s="55"/>
      <c r="G131" s="55"/>
      <c r="H131" s="55"/>
      <c r="I131" s="55"/>
      <c r="J131" s="55"/>
      <c r="K131" s="346"/>
      <c r="L131" s="346"/>
      <c r="M131" s="346"/>
      <c r="N131" s="346"/>
      <c r="O131" s="346"/>
      <c r="P131" s="346"/>
      <c r="Q131" s="346"/>
      <c r="R131" s="346"/>
      <c r="S131" s="346"/>
      <c r="T131" s="346"/>
      <c r="U131" s="346"/>
      <c r="V131" s="346"/>
      <c r="W131" s="346"/>
      <c r="X131" s="346"/>
    </row>
    <row r="132" spans="2:24">
      <c r="B132" s="9"/>
      <c r="C132" s="307"/>
      <c r="D132" s="307"/>
      <c r="E132" s="9"/>
      <c r="F132" s="55"/>
      <c r="G132" s="55"/>
      <c r="H132" s="55"/>
      <c r="I132" s="55"/>
      <c r="J132" s="55"/>
      <c r="K132" s="346"/>
      <c r="L132" s="346"/>
      <c r="M132" s="346"/>
      <c r="N132" s="346"/>
      <c r="O132" s="346"/>
      <c r="P132" s="346"/>
      <c r="Q132" s="346"/>
      <c r="R132" s="346"/>
      <c r="S132" s="346"/>
      <c r="T132" s="346"/>
      <c r="U132" s="346"/>
      <c r="V132" s="346"/>
      <c r="W132" s="346"/>
      <c r="X132" s="346"/>
    </row>
    <row r="133" spans="2:24">
      <c r="B133" s="9"/>
      <c r="C133" s="307"/>
      <c r="D133" s="307"/>
      <c r="E133" s="9"/>
      <c r="F133" s="55"/>
      <c r="G133" s="55"/>
      <c r="H133" s="55"/>
      <c r="I133" s="55"/>
      <c r="J133" s="55"/>
      <c r="K133" s="346"/>
      <c r="L133" s="346"/>
      <c r="M133" s="346"/>
      <c r="N133" s="346"/>
      <c r="O133" s="346"/>
      <c r="P133" s="346"/>
      <c r="Q133" s="346"/>
      <c r="R133" s="346"/>
      <c r="S133" s="346"/>
      <c r="T133" s="346"/>
      <c r="U133" s="346"/>
      <c r="V133" s="346"/>
      <c r="W133" s="346"/>
      <c r="X133" s="346"/>
    </row>
    <row r="134" spans="2:24">
      <c r="B134" s="9"/>
      <c r="C134" s="307"/>
      <c r="D134" s="307"/>
      <c r="E134" s="9"/>
      <c r="F134" s="55"/>
      <c r="G134" s="55"/>
      <c r="H134" s="55"/>
      <c r="I134" s="55"/>
      <c r="J134" s="55"/>
      <c r="K134" s="346"/>
      <c r="L134" s="346"/>
      <c r="M134" s="346"/>
      <c r="N134" s="346"/>
      <c r="O134" s="346"/>
      <c r="P134" s="346"/>
      <c r="Q134" s="346"/>
      <c r="R134" s="346"/>
      <c r="S134" s="346"/>
      <c r="T134" s="346"/>
      <c r="U134" s="346"/>
      <c r="V134" s="346"/>
      <c r="W134" s="346"/>
      <c r="X134" s="346"/>
    </row>
    <row r="135" spans="2:24">
      <c r="B135" s="9"/>
      <c r="C135" s="307"/>
      <c r="D135" s="307"/>
      <c r="E135" s="9"/>
      <c r="F135" s="55"/>
      <c r="G135" s="55"/>
      <c r="H135" s="55"/>
      <c r="I135" s="55"/>
      <c r="J135" s="55"/>
      <c r="K135" s="346"/>
      <c r="L135" s="346"/>
      <c r="M135" s="346"/>
      <c r="N135" s="346"/>
      <c r="O135" s="346"/>
      <c r="P135" s="346"/>
      <c r="Q135" s="346"/>
      <c r="R135" s="346"/>
      <c r="S135" s="346"/>
      <c r="T135" s="346"/>
      <c r="U135" s="346"/>
      <c r="V135" s="346"/>
      <c r="W135" s="346"/>
      <c r="X135" s="346"/>
    </row>
    <row r="136" spans="2:24">
      <c r="B136" s="9"/>
      <c r="C136" s="307"/>
      <c r="D136" s="307"/>
      <c r="E136" s="9"/>
      <c r="F136" s="55"/>
      <c r="G136" s="55"/>
      <c r="H136" s="55"/>
      <c r="I136" s="55"/>
      <c r="J136" s="55"/>
      <c r="K136" s="346"/>
      <c r="L136" s="346"/>
      <c r="M136" s="346"/>
      <c r="N136" s="346"/>
      <c r="O136" s="346"/>
      <c r="P136" s="346"/>
      <c r="Q136" s="346"/>
      <c r="R136" s="346"/>
      <c r="S136" s="346"/>
      <c r="T136" s="346"/>
      <c r="U136" s="346"/>
      <c r="V136" s="346"/>
      <c r="W136" s="346"/>
      <c r="X136" s="346"/>
    </row>
    <row r="137" spans="2:24">
      <c r="B137" s="179" t="s">
        <v>339</v>
      </c>
      <c r="C137" s="179"/>
      <c r="D137" s="180"/>
      <c r="E137" s="180"/>
      <c r="F137" s="180"/>
      <c r="G137" s="180"/>
      <c r="H137" s="180"/>
      <c r="I137" s="180"/>
      <c r="J137" s="180"/>
      <c r="K137" s="181">
        <f t="shared" ref="K137:X137" si="38">IF(AND(LataProjekcji&gt;=Poczatek,LataProjekcji&lt;=Koniec),ROUND(SUM(K117:K136),0),0)</f>
        <v>0</v>
      </c>
      <c r="L137" s="181">
        <f t="shared" si="38"/>
        <v>0</v>
      </c>
      <c r="M137" s="181">
        <f t="shared" si="38"/>
        <v>0</v>
      </c>
      <c r="N137" s="181">
        <f t="shared" si="38"/>
        <v>0</v>
      </c>
      <c r="O137" s="181">
        <f t="shared" si="38"/>
        <v>0</v>
      </c>
      <c r="P137" s="181">
        <f t="shared" si="38"/>
        <v>0</v>
      </c>
      <c r="Q137" s="181">
        <f t="shared" si="38"/>
        <v>0</v>
      </c>
      <c r="R137" s="181">
        <f t="shared" si="38"/>
        <v>0</v>
      </c>
      <c r="S137" s="181">
        <f t="shared" si="38"/>
        <v>0</v>
      </c>
      <c r="T137" s="181">
        <f t="shared" si="38"/>
        <v>0</v>
      </c>
      <c r="U137" s="181">
        <f t="shared" si="38"/>
        <v>0</v>
      </c>
      <c r="V137" s="181">
        <f t="shared" si="38"/>
        <v>0</v>
      </c>
      <c r="W137" s="181">
        <f t="shared" si="38"/>
        <v>0</v>
      </c>
      <c r="X137" s="181">
        <f t="shared" si="38"/>
        <v>0</v>
      </c>
    </row>
    <row r="138" spans="2:24" ht="12" customHeight="1">
      <c r="B138" s="189" t="s">
        <v>340</v>
      </c>
      <c r="C138" s="189"/>
      <c r="D138" s="190"/>
      <c r="E138" s="191"/>
      <c r="F138" s="191"/>
      <c r="G138" s="191"/>
      <c r="H138" s="191"/>
      <c r="I138" s="191"/>
      <c r="J138" s="191"/>
      <c r="K138" s="552" t="s">
        <v>341</v>
      </c>
      <c r="L138" s="553"/>
      <c r="M138" s="553"/>
      <c r="N138" s="553"/>
      <c r="O138" s="553"/>
      <c r="P138" s="553"/>
      <c r="Q138" s="553"/>
      <c r="R138" s="553"/>
      <c r="S138" s="553"/>
      <c r="T138" s="553"/>
      <c r="U138" s="553"/>
      <c r="V138" s="553"/>
      <c r="W138" s="553"/>
      <c r="X138" s="553"/>
    </row>
    <row r="139" spans="2:24">
      <c r="B139" s="63" t="str">
        <f t="shared" ref="B139:C157" si="39">IF(ISBLANK(B117),"",B117)</f>
        <v/>
      </c>
      <c r="C139" s="500" t="str">
        <f t="shared" si="39"/>
        <v/>
      </c>
      <c r="D139" s="500" t="str">
        <f t="shared" ref="D139:E158" si="40">IF(ISBLANK(D117),"",D117)</f>
        <v/>
      </c>
      <c r="E139" s="63" t="str">
        <f t="shared" si="40"/>
        <v/>
      </c>
      <c r="F139" s="63"/>
      <c r="G139" s="63"/>
      <c r="H139" s="63"/>
      <c r="I139" s="63"/>
      <c r="J139" s="63"/>
      <c r="K139" s="329"/>
      <c r="L139" s="329"/>
      <c r="M139" s="329"/>
      <c r="N139" s="329"/>
      <c r="O139" s="329"/>
      <c r="P139" s="329"/>
      <c r="Q139" s="329"/>
      <c r="R139" s="329"/>
      <c r="S139" s="329"/>
      <c r="T139" s="329"/>
      <c r="U139" s="329"/>
      <c r="V139" s="329"/>
      <c r="W139" s="329"/>
      <c r="X139" s="329"/>
    </row>
    <row r="140" spans="2:24">
      <c r="B140" s="63" t="str">
        <f t="shared" si="39"/>
        <v/>
      </c>
      <c r="C140" s="500" t="str">
        <f t="shared" si="39"/>
        <v/>
      </c>
      <c r="D140" s="500" t="str">
        <f t="shared" si="40"/>
        <v/>
      </c>
      <c r="E140" s="63" t="str">
        <f t="shared" si="40"/>
        <v/>
      </c>
      <c r="F140" s="63"/>
      <c r="G140" s="63"/>
      <c r="H140" s="63"/>
      <c r="I140" s="63"/>
      <c r="J140" s="63"/>
      <c r="K140" s="329"/>
      <c r="L140" s="329"/>
      <c r="M140" s="329"/>
      <c r="N140" s="329"/>
      <c r="O140" s="329"/>
      <c r="P140" s="329"/>
      <c r="Q140" s="329"/>
      <c r="R140" s="329"/>
      <c r="S140" s="329"/>
      <c r="T140" s="329"/>
      <c r="U140" s="329"/>
      <c r="V140" s="329"/>
      <c r="W140" s="329"/>
      <c r="X140" s="329"/>
    </row>
    <row r="141" spans="2:24">
      <c r="B141" s="63" t="str">
        <f t="shared" si="39"/>
        <v/>
      </c>
      <c r="C141" s="500" t="str">
        <f t="shared" si="39"/>
        <v/>
      </c>
      <c r="D141" s="500" t="str">
        <f t="shared" si="40"/>
        <v/>
      </c>
      <c r="E141" s="63" t="str">
        <f t="shared" si="40"/>
        <v/>
      </c>
      <c r="F141" s="63"/>
      <c r="G141" s="63"/>
      <c r="H141" s="63"/>
      <c r="I141" s="63"/>
      <c r="J141" s="63"/>
      <c r="K141" s="329"/>
      <c r="L141" s="329"/>
      <c r="M141" s="329"/>
      <c r="N141" s="329"/>
      <c r="O141" s="329"/>
      <c r="P141" s="329"/>
      <c r="Q141" s="329"/>
      <c r="R141" s="329"/>
      <c r="S141" s="329"/>
      <c r="T141" s="329"/>
      <c r="U141" s="329"/>
      <c r="V141" s="329"/>
      <c r="W141" s="329"/>
      <c r="X141" s="329"/>
    </row>
    <row r="142" spans="2:24">
      <c r="B142" s="63" t="str">
        <f t="shared" si="39"/>
        <v/>
      </c>
      <c r="C142" s="500" t="str">
        <f t="shared" si="39"/>
        <v/>
      </c>
      <c r="D142" s="500" t="str">
        <f t="shared" si="40"/>
        <v/>
      </c>
      <c r="E142" s="63" t="str">
        <f t="shared" si="40"/>
        <v/>
      </c>
      <c r="F142" s="63"/>
      <c r="G142" s="63"/>
      <c r="H142" s="63"/>
      <c r="I142" s="63"/>
      <c r="J142" s="63"/>
      <c r="K142" s="329"/>
      <c r="L142" s="329"/>
      <c r="M142" s="329"/>
      <c r="N142" s="329"/>
      <c r="O142" s="329"/>
      <c r="P142" s="329"/>
      <c r="Q142" s="329"/>
      <c r="R142" s="329"/>
      <c r="S142" s="329"/>
      <c r="T142" s="329"/>
      <c r="U142" s="329"/>
      <c r="V142" s="329"/>
      <c r="W142" s="329"/>
      <c r="X142" s="329"/>
    </row>
    <row r="143" spans="2:24">
      <c r="B143" s="63" t="str">
        <f t="shared" si="39"/>
        <v/>
      </c>
      <c r="C143" s="500" t="str">
        <f t="shared" si="39"/>
        <v/>
      </c>
      <c r="D143" s="500" t="str">
        <f t="shared" si="40"/>
        <v/>
      </c>
      <c r="E143" s="63" t="str">
        <f t="shared" si="40"/>
        <v/>
      </c>
      <c r="F143" s="63"/>
      <c r="G143" s="63"/>
      <c r="H143" s="63"/>
      <c r="I143" s="63"/>
      <c r="J143" s="63"/>
      <c r="K143" s="329"/>
      <c r="L143" s="329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</row>
    <row r="144" spans="2:24">
      <c r="B144" s="63" t="str">
        <f t="shared" si="39"/>
        <v/>
      </c>
      <c r="C144" s="500" t="str">
        <f t="shared" si="39"/>
        <v/>
      </c>
      <c r="D144" s="500" t="str">
        <f t="shared" si="40"/>
        <v/>
      </c>
      <c r="E144" s="63" t="str">
        <f t="shared" si="40"/>
        <v/>
      </c>
      <c r="F144" s="63"/>
      <c r="G144" s="63"/>
      <c r="H144" s="63"/>
      <c r="I144" s="63"/>
      <c r="J144" s="63"/>
      <c r="K144" s="329"/>
      <c r="L144" s="329"/>
      <c r="M144" s="329"/>
      <c r="N144" s="329"/>
      <c r="O144" s="329"/>
      <c r="P144" s="329"/>
      <c r="Q144" s="329"/>
      <c r="R144" s="329"/>
      <c r="S144" s="329"/>
      <c r="T144" s="329"/>
      <c r="U144" s="329"/>
      <c r="V144" s="329"/>
      <c r="W144" s="329"/>
      <c r="X144" s="329"/>
    </row>
    <row r="145" spans="2:24">
      <c r="B145" s="63" t="str">
        <f t="shared" si="39"/>
        <v/>
      </c>
      <c r="C145" s="500" t="str">
        <f t="shared" si="39"/>
        <v/>
      </c>
      <c r="D145" s="500" t="str">
        <f t="shared" si="40"/>
        <v/>
      </c>
      <c r="E145" s="63" t="str">
        <f t="shared" si="40"/>
        <v/>
      </c>
      <c r="F145" s="63"/>
      <c r="G145" s="63"/>
      <c r="H145" s="63"/>
      <c r="I145" s="63"/>
      <c r="J145" s="63"/>
      <c r="K145" s="329"/>
      <c r="L145" s="329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</row>
    <row r="146" spans="2:24">
      <c r="B146" s="63" t="str">
        <f t="shared" si="39"/>
        <v/>
      </c>
      <c r="C146" s="500" t="str">
        <f t="shared" si="39"/>
        <v/>
      </c>
      <c r="D146" s="500" t="str">
        <f t="shared" si="40"/>
        <v/>
      </c>
      <c r="E146" s="63" t="str">
        <f t="shared" si="40"/>
        <v/>
      </c>
      <c r="F146" s="63"/>
      <c r="G146" s="63"/>
      <c r="H146" s="63"/>
      <c r="I146" s="63"/>
      <c r="J146" s="63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</row>
    <row r="147" spans="2:24">
      <c r="B147" s="63" t="str">
        <f t="shared" si="39"/>
        <v/>
      </c>
      <c r="C147" s="500" t="str">
        <f t="shared" si="39"/>
        <v/>
      </c>
      <c r="D147" s="500" t="str">
        <f t="shared" si="40"/>
        <v/>
      </c>
      <c r="E147" s="63" t="str">
        <f t="shared" si="40"/>
        <v/>
      </c>
      <c r="F147" s="63"/>
      <c r="G147" s="63"/>
      <c r="H147" s="63"/>
      <c r="I147" s="63"/>
      <c r="J147" s="63"/>
      <c r="K147" s="329"/>
      <c r="L147" s="329"/>
      <c r="M147" s="329"/>
      <c r="N147" s="329"/>
      <c r="O147" s="329"/>
      <c r="P147" s="329"/>
      <c r="Q147" s="329"/>
      <c r="R147" s="329"/>
      <c r="S147" s="329"/>
      <c r="T147" s="329"/>
      <c r="U147" s="329"/>
      <c r="V147" s="329"/>
      <c r="W147" s="329"/>
      <c r="X147" s="329"/>
    </row>
    <row r="148" spans="2:24">
      <c r="B148" s="63" t="str">
        <f t="shared" si="39"/>
        <v/>
      </c>
      <c r="C148" s="500" t="str">
        <f t="shared" si="39"/>
        <v/>
      </c>
      <c r="D148" s="500" t="str">
        <f t="shared" si="40"/>
        <v/>
      </c>
      <c r="E148" s="63" t="str">
        <f t="shared" si="40"/>
        <v/>
      </c>
      <c r="F148" s="63"/>
      <c r="G148" s="63"/>
      <c r="H148" s="63"/>
      <c r="I148" s="63"/>
      <c r="J148" s="63"/>
      <c r="K148" s="329"/>
      <c r="L148" s="329"/>
      <c r="M148" s="329"/>
      <c r="N148" s="329"/>
      <c r="O148" s="329"/>
      <c r="P148" s="329"/>
      <c r="Q148" s="329"/>
      <c r="R148" s="329"/>
      <c r="S148" s="329"/>
      <c r="T148" s="329"/>
      <c r="U148" s="329"/>
      <c r="V148" s="329"/>
      <c r="W148" s="329"/>
      <c r="X148" s="329"/>
    </row>
    <row r="149" spans="2:24">
      <c r="B149" s="63" t="str">
        <f t="shared" si="39"/>
        <v/>
      </c>
      <c r="C149" s="500" t="str">
        <f t="shared" si="39"/>
        <v/>
      </c>
      <c r="D149" s="500" t="str">
        <f t="shared" si="40"/>
        <v/>
      </c>
      <c r="E149" s="63" t="str">
        <f t="shared" si="40"/>
        <v/>
      </c>
      <c r="F149" s="63"/>
      <c r="G149" s="63"/>
      <c r="H149" s="63"/>
      <c r="I149" s="63"/>
      <c r="J149" s="63"/>
      <c r="K149" s="329"/>
      <c r="L149" s="329"/>
      <c r="M149" s="329"/>
      <c r="N149" s="329"/>
      <c r="O149" s="329"/>
      <c r="P149" s="329"/>
      <c r="Q149" s="329"/>
      <c r="R149" s="329"/>
      <c r="S149" s="329"/>
      <c r="T149" s="329"/>
      <c r="U149" s="329"/>
      <c r="V149" s="329"/>
      <c r="W149" s="329"/>
      <c r="X149" s="329"/>
    </row>
    <row r="150" spans="2:24">
      <c r="B150" s="63" t="str">
        <f t="shared" si="39"/>
        <v/>
      </c>
      <c r="C150" s="500" t="str">
        <f t="shared" si="39"/>
        <v/>
      </c>
      <c r="D150" s="500" t="str">
        <f t="shared" si="40"/>
        <v/>
      </c>
      <c r="E150" s="63" t="str">
        <f t="shared" si="40"/>
        <v/>
      </c>
      <c r="F150" s="63"/>
      <c r="G150" s="63"/>
      <c r="H150" s="63"/>
      <c r="I150" s="63"/>
      <c r="J150" s="63"/>
      <c r="K150" s="329"/>
      <c r="L150" s="329"/>
      <c r="M150" s="329"/>
      <c r="N150" s="329"/>
      <c r="O150" s="329"/>
      <c r="P150" s="329"/>
      <c r="Q150" s="329"/>
      <c r="R150" s="329"/>
      <c r="S150" s="329"/>
      <c r="T150" s="329"/>
      <c r="U150" s="329"/>
      <c r="V150" s="329"/>
      <c r="W150" s="329"/>
      <c r="X150" s="329"/>
    </row>
    <row r="151" spans="2:24">
      <c r="B151" s="63" t="str">
        <f t="shared" si="39"/>
        <v/>
      </c>
      <c r="C151" s="500" t="str">
        <f t="shared" si="39"/>
        <v/>
      </c>
      <c r="D151" s="500" t="str">
        <f t="shared" si="40"/>
        <v/>
      </c>
      <c r="E151" s="63" t="str">
        <f t="shared" si="40"/>
        <v/>
      </c>
      <c r="F151" s="63"/>
      <c r="G151" s="63"/>
      <c r="H151" s="63"/>
      <c r="I151" s="63"/>
      <c r="J151" s="63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</row>
    <row r="152" spans="2:24">
      <c r="B152" s="63" t="str">
        <f t="shared" si="39"/>
        <v/>
      </c>
      <c r="C152" s="500" t="str">
        <f t="shared" si="39"/>
        <v/>
      </c>
      <c r="D152" s="500" t="str">
        <f t="shared" si="40"/>
        <v/>
      </c>
      <c r="E152" s="63" t="str">
        <f t="shared" si="40"/>
        <v/>
      </c>
      <c r="F152" s="63"/>
      <c r="G152" s="63"/>
      <c r="H152" s="63"/>
      <c r="I152" s="63"/>
      <c r="J152" s="63"/>
      <c r="K152" s="329"/>
      <c r="L152" s="329"/>
      <c r="M152" s="329"/>
      <c r="N152" s="329"/>
      <c r="O152" s="329"/>
      <c r="P152" s="329"/>
      <c r="Q152" s="329"/>
      <c r="R152" s="329"/>
      <c r="S152" s="329"/>
      <c r="T152" s="329"/>
      <c r="U152" s="329"/>
      <c r="V152" s="329"/>
      <c r="W152" s="329"/>
      <c r="X152" s="329"/>
    </row>
    <row r="153" spans="2:24">
      <c r="B153" s="63" t="str">
        <f t="shared" si="39"/>
        <v/>
      </c>
      <c r="C153" s="500" t="str">
        <f t="shared" si="39"/>
        <v/>
      </c>
      <c r="D153" s="500" t="str">
        <f t="shared" si="40"/>
        <v/>
      </c>
      <c r="E153" s="63" t="str">
        <f t="shared" si="40"/>
        <v/>
      </c>
      <c r="F153" s="63"/>
      <c r="G153" s="63"/>
      <c r="H153" s="63"/>
      <c r="I153" s="63"/>
      <c r="J153" s="63"/>
      <c r="K153" s="329"/>
      <c r="L153" s="329"/>
      <c r="M153" s="329"/>
      <c r="N153" s="329"/>
      <c r="O153" s="329"/>
      <c r="P153" s="329"/>
      <c r="Q153" s="329"/>
      <c r="R153" s="329"/>
      <c r="S153" s="329"/>
      <c r="T153" s="329"/>
      <c r="U153" s="329"/>
      <c r="V153" s="329"/>
      <c r="W153" s="329"/>
      <c r="X153" s="329"/>
    </row>
    <row r="154" spans="2:24">
      <c r="B154" s="63" t="str">
        <f t="shared" si="39"/>
        <v/>
      </c>
      <c r="C154" s="500" t="str">
        <f t="shared" si="39"/>
        <v/>
      </c>
      <c r="D154" s="500" t="str">
        <f t="shared" si="40"/>
        <v/>
      </c>
      <c r="E154" s="63" t="str">
        <f t="shared" si="40"/>
        <v/>
      </c>
      <c r="F154" s="63"/>
      <c r="G154" s="63"/>
      <c r="H154" s="63"/>
      <c r="I154" s="63"/>
      <c r="J154" s="63"/>
      <c r="K154" s="329"/>
      <c r="L154" s="329"/>
      <c r="M154" s="329"/>
      <c r="N154" s="329"/>
      <c r="O154" s="329"/>
      <c r="P154" s="329"/>
      <c r="Q154" s="329"/>
      <c r="R154" s="329"/>
      <c r="S154" s="329"/>
      <c r="T154" s="329"/>
      <c r="U154" s="329"/>
      <c r="V154" s="329"/>
      <c r="W154" s="329"/>
      <c r="X154" s="329"/>
    </row>
    <row r="155" spans="2:24">
      <c r="B155" s="63" t="str">
        <f t="shared" si="39"/>
        <v/>
      </c>
      <c r="C155" s="500" t="str">
        <f t="shared" si="39"/>
        <v/>
      </c>
      <c r="D155" s="500" t="str">
        <f t="shared" si="40"/>
        <v/>
      </c>
      <c r="E155" s="63" t="str">
        <f t="shared" si="40"/>
        <v/>
      </c>
      <c r="F155" s="63"/>
      <c r="G155" s="63"/>
      <c r="H155" s="63"/>
      <c r="I155" s="63"/>
      <c r="J155" s="63"/>
      <c r="K155" s="329"/>
      <c r="L155" s="329"/>
      <c r="M155" s="329"/>
      <c r="N155" s="329"/>
      <c r="O155" s="329"/>
      <c r="P155" s="329"/>
      <c r="Q155" s="329"/>
      <c r="R155" s="329"/>
      <c r="S155" s="329"/>
      <c r="T155" s="329"/>
      <c r="U155" s="329"/>
      <c r="V155" s="329"/>
      <c r="W155" s="329"/>
      <c r="X155" s="329"/>
    </row>
    <row r="156" spans="2:24">
      <c r="B156" s="63" t="str">
        <f t="shared" si="39"/>
        <v/>
      </c>
      <c r="C156" s="500" t="str">
        <f t="shared" si="39"/>
        <v/>
      </c>
      <c r="D156" s="500" t="str">
        <f t="shared" si="40"/>
        <v/>
      </c>
      <c r="E156" s="63" t="str">
        <f t="shared" si="40"/>
        <v/>
      </c>
      <c r="F156" s="63"/>
      <c r="G156" s="63"/>
      <c r="H156" s="63"/>
      <c r="I156" s="63"/>
      <c r="J156" s="63"/>
      <c r="K156" s="329"/>
      <c r="L156" s="329"/>
      <c r="M156" s="329"/>
      <c r="N156" s="329"/>
      <c r="O156" s="329"/>
      <c r="P156" s="329"/>
      <c r="Q156" s="329"/>
      <c r="R156" s="329"/>
      <c r="S156" s="329"/>
      <c r="T156" s="329"/>
      <c r="U156" s="329"/>
      <c r="V156" s="329"/>
      <c r="W156" s="329"/>
      <c r="X156" s="329"/>
    </row>
    <row r="157" spans="2:24">
      <c r="B157" s="63" t="str">
        <f t="shared" si="39"/>
        <v/>
      </c>
      <c r="C157" s="500" t="str">
        <f t="shared" si="39"/>
        <v/>
      </c>
      <c r="D157" s="500" t="str">
        <f t="shared" si="40"/>
        <v/>
      </c>
      <c r="E157" s="63" t="str">
        <f t="shared" si="40"/>
        <v/>
      </c>
      <c r="F157" s="63"/>
      <c r="G157" s="63"/>
      <c r="H157" s="63"/>
      <c r="I157" s="63"/>
      <c r="J157" s="63"/>
      <c r="K157" s="329"/>
      <c r="L157" s="329"/>
      <c r="M157" s="329"/>
      <c r="N157" s="329"/>
      <c r="O157" s="329"/>
      <c r="P157" s="329"/>
      <c r="Q157" s="329"/>
      <c r="R157" s="329"/>
      <c r="S157" s="329"/>
      <c r="T157" s="329"/>
      <c r="U157" s="329"/>
      <c r="V157" s="329"/>
      <c r="W157" s="329"/>
      <c r="X157" s="329"/>
    </row>
    <row r="158" spans="2:24">
      <c r="B158" s="63" t="str">
        <f>IF(ISBLANK(B136),"",B136)</f>
        <v/>
      </c>
      <c r="C158" s="500" t="str">
        <f>IF(ISBLANK(C136),"",C136)</f>
        <v/>
      </c>
      <c r="D158" s="500" t="str">
        <f t="shared" si="40"/>
        <v/>
      </c>
      <c r="E158" s="63" t="str">
        <f t="shared" si="40"/>
        <v/>
      </c>
      <c r="F158" s="63"/>
      <c r="G158" s="63"/>
      <c r="H158" s="63"/>
      <c r="I158" s="63"/>
      <c r="J158" s="63"/>
      <c r="K158" s="329"/>
      <c r="L158" s="329"/>
      <c r="M158" s="329"/>
      <c r="N158" s="329"/>
      <c r="O158" s="329"/>
      <c r="P158" s="329"/>
      <c r="Q158" s="329"/>
      <c r="R158" s="329"/>
      <c r="S158" s="329"/>
      <c r="T158" s="329"/>
      <c r="U158" s="329"/>
      <c r="V158" s="329"/>
      <c r="W158" s="329"/>
      <c r="X158" s="329"/>
    </row>
    <row r="159" spans="2:24"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2:24">
      <c r="B161" s="351" t="s">
        <v>342</v>
      </c>
      <c r="C161" s="350" t="str">
        <f>C$114</f>
        <v>Moduł</v>
      </c>
      <c r="D161" s="350" t="str">
        <f t="shared" ref="D161:X161" si="41">D$114</f>
        <v>Kwalifikowalne</v>
      </c>
      <c r="E161" s="350" t="str">
        <f t="shared" si="41"/>
        <v>Koszty B+R</v>
      </c>
      <c r="F161" s="350"/>
      <c r="G161" s="350">
        <f t="shared" ca="1" si="41"/>
        <v>0</v>
      </c>
      <c r="H161" s="350">
        <f t="shared" ca="1" si="41"/>
        <v>0</v>
      </c>
      <c r="I161" s="350">
        <f t="shared" ca="1" si="41"/>
        <v>0</v>
      </c>
      <c r="J161" s="350" t="str">
        <f t="shared" si="41"/>
        <v/>
      </c>
      <c r="K161" s="350" t="str">
        <f t="shared" si="41"/>
        <v>Uzupełnij dane</v>
      </c>
      <c r="L161" s="350" t="str">
        <f t="shared" si="41"/>
        <v/>
      </c>
      <c r="M161" s="350" t="str">
        <f t="shared" si="41"/>
        <v/>
      </c>
      <c r="N161" s="350" t="str">
        <f t="shared" si="41"/>
        <v/>
      </c>
      <c r="O161" s="350" t="str">
        <f t="shared" si="41"/>
        <v/>
      </c>
      <c r="P161" s="350" t="str">
        <f t="shared" si="41"/>
        <v/>
      </c>
      <c r="Q161" s="350" t="str">
        <f t="shared" si="41"/>
        <v/>
      </c>
      <c r="R161" s="350" t="str">
        <f t="shared" si="41"/>
        <v/>
      </c>
      <c r="S161" s="350" t="str">
        <f t="shared" si="41"/>
        <v/>
      </c>
      <c r="T161" s="350" t="str">
        <f t="shared" si="41"/>
        <v/>
      </c>
      <c r="U161" s="350" t="str">
        <f t="shared" si="41"/>
        <v/>
      </c>
      <c r="V161" s="350" t="str">
        <f t="shared" si="41"/>
        <v/>
      </c>
      <c r="W161" s="350" t="str">
        <f t="shared" si="41"/>
        <v/>
      </c>
      <c r="X161" s="350" t="str">
        <f t="shared" si="41"/>
        <v/>
      </c>
    </row>
    <row r="162" spans="2:24">
      <c r="B162" s="297"/>
      <c r="C162" s="308"/>
      <c r="D162" s="308"/>
      <c r="E162" s="297"/>
      <c r="F162" s="298"/>
      <c r="G162" s="298"/>
      <c r="H162" s="298"/>
      <c r="I162" s="298"/>
      <c r="J162" s="298"/>
      <c r="K162" s="345"/>
      <c r="L162" s="345"/>
      <c r="M162" s="345"/>
      <c r="N162" s="345"/>
      <c r="O162" s="345"/>
      <c r="P162" s="345"/>
      <c r="Q162" s="345"/>
      <c r="R162" s="345"/>
      <c r="S162" s="345"/>
      <c r="T162" s="345"/>
      <c r="U162" s="345"/>
      <c r="V162" s="345"/>
      <c r="W162" s="345"/>
      <c r="X162" s="345"/>
    </row>
    <row r="163" spans="2:24">
      <c r="B163" s="9"/>
      <c r="C163" s="307"/>
      <c r="D163" s="307"/>
      <c r="E163" s="9"/>
      <c r="F163" s="55"/>
      <c r="G163" s="55"/>
      <c r="H163" s="55"/>
      <c r="I163" s="55"/>
      <c r="J163" s="55"/>
      <c r="K163" s="346"/>
      <c r="L163" s="346"/>
      <c r="M163" s="346"/>
      <c r="N163" s="346"/>
      <c r="O163" s="346"/>
      <c r="P163" s="346"/>
      <c r="Q163" s="346"/>
      <c r="R163" s="346"/>
      <c r="S163" s="346"/>
      <c r="T163" s="346"/>
      <c r="U163" s="346"/>
      <c r="V163" s="346"/>
      <c r="W163" s="346"/>
      <c r="X163" s="346"/>
    </row>
    <row r="164" spans="2:24">
      <c r="B164" s="9"/>
      <c r="C164" s="307"/>
      <c r="D164" s="307"/>
      <c r="E164" s="9"/>
      <c r="F164" s="55"/>
      <c r="G164" s="55"/>
      <c r="H164" s="55"/>
      <c r="I164" s="55"/>
      <c r="J164" s="55"/>
      <c r="K164" s="346"/>
      <c r="L164" s="346"/>
      <c r="M164" s="346"/>
      <c r="N164" s="346"/>
      <c r="O164" s="346"/>
      <c r="P164" s="346"/>
      <c r="Q164" s="346"/>
      <c r="R164" s="346"/>
      <c r="S164" s="346"/>
      <c r="T164" s="346"/>
      <c r="U164" s="346"/>
      <c r="V164" s="346"/>
      <c r="W164" s="346"/>
      <c r="X164" s="346"/>
    </row>
    <row r="165" spans="2:24">
      <c r="B165" s="9"/>
      <c r="C165" s="307"/>
      <c r="D165" s="307"/>
      <c r="E165" s="9"/>
      <c r="F165" s="55"/>
      <c r="G165" s="55"/>
      <c r="H165" s="55"/>
      <c r="I165" s="55"/>
      <c r="J165" s="55"/>
      <c r="K165" s="346"/>
      <c r="L165" s="346"/>
      <c r="M165" s="346"/>
      <c r="N165" s="346"/>
      <c r="O165" s="346"/>
      <c r="P165" s="346"/>
      <c r="Q165" s="346"/>
      <c r="R165" s="346"/>
      <c r="S165" s="346"/>
      <c r="T165" s="346"/>
      <c r="U165" s="346"/>
      <c r="V165" s="346"/>
      <c r="W165" s="346"/>
      <c r="X165" s="346"/>
    </row>
    <row r="166" spans="2:24">
      <c r="B166" s="9"/>
      <c r="C166" s="307"/>
      <c r="D166" s="307"/>
      <c r="E166" s="9"/>
      <c r="F166" s="55"/>
      <c r="G166" s="55"/>
      <c r="H166" s="55"/>
      <c r="I166" s="55"/>
      <c r="J166" s="55"/>
      <c r="K166" s="346"/>
      <c r="L166" s="346"/>
      <c r="M166" s="346"/>
      <c r="N166" s="346"/>
      <c r="O166" s="346"/>
      <c r="P166" s="346"/>
      <c r="Q166" s="346"/>
      <c r="R166" s="346"/>
      <c r="S166" s="346"/>
      <c r="T166" s="346"/>
      <c r="U166" s="346"/>
      <c r="V166" s="346"/>
      <c r="W166" s="346"/>
      <c r="X166" s="346"/>
    </row>
    <row r="167" spans="2:24">
      <c r="B167" s="9"/>
      <c r="C167" s="307"/>
      <c r="D167" s="307"/>
      <c r="E167" s="9"/>
      <c r="F167" s="299"/>
      <c r="G167" s="55"/>
      <c r="H167" s="55"/>
      <c r="I167" s="55"/>
      <c r="J167" s="55"/>
      <c r="K167" s="346"/>
      <c r="L167" s="346"/>
      <c r="M167" s="346"/>
      <c r="N167" s="346"/>
      <c r="O167" s="346"/>
      <c r="P167" s="346"/>
      <c r="Q167" s="346"/>
      <c r="R167" s="346"/>
      <c r="S167" s="346"/>
      <c r="T167" s="346"/>
      <c r="U167" s="346"/>
      <c r="V167" s="346"/>
      <c r="W167" s="346"/>
      <c r="X167" s="346"/>
    </row>
    <row r="168" spans="2:24">
      <c r="B168" s="9"/>
      <c r="C168" s="307"/>
      <c r="D168" s="307"/>
      <c r="E168" s="9"/>
      <c r="F168" s="55"/>
      <c r="G168" s="55"/>
      <c r="H168" s="55"/>
      <c r="I168" s="55"/>
      <c r="J168" s="55"/>
      <c r="K168" s="346"/>
      <c r="L168" s="346"/>
      <c r="M168" s="346"/>
      <c r="N168" s="346"/>
      <c r="O168" s="346"/>
      <c r="P168" s="346"/>
      <c r="Q168" s="346"/>
      <c r="R168" s="346"/>
      <c r="S168" s="346"/>
      <c r="T168" s="346"/>
      <c r="U168" s="346"/>
      <c r="V168" s="346"/>
      <c r="W168" s="346"/>
      <c r="X168" s="346"/>
    </row>
    <row r="169" spans="2:24">
      <c r="B169" s="9"/>
      <c r="C169" s="308"/>
      <c r="D169" s="307"/>
      <c r="E169" s="9"/>
      <c r="F169" s="55"/>
      <c r="G169" s="55"/>
      <c r="H169" s="55"/>
      <c r="I169" s="55"/>
      <c r="J169" s="55"/>
      <c r="K169" s="346"/>
      <c r="L169" s="346"/>
      <c r="M169" s="346"/>
      <c r="N169" s="346"/>
      <c r="O169" s="346"/>
      <c r="P169" s="346"/>
      <c r="Q169" s="346"/>
      <c r="R169" s="346"/>
      <c r="S169" s="346"/>
      <c r="T169" s="346"/>
      <c r="U169" s="346"/>
      <c r="V169" s="346"/>
      <c r="W169" s="346"/>
      <c r="X169" s="346"/>
    </row>
    <row r="170" spans="2:24">
      <c r="B170" s="9"/>
      <c r="C170" s="307"/>
      <c r="D170" s="307"/>
      <c r="E170" s="9"/>
      <c r="F170" s="55"/>
      <c r="G170" s="55"/>
      <c r="H170" s="55"/>
      <c r="I170" s="55"/>
      <c r="J170" s="55"/>
      <c r="K170" s="346"/>
      <c r="L170" s="346"/>
      <c r="M170" s="346"/>
      <c r="N170" s="346"/>
      <c r="O170" s="346"/>
      <c r="P170" s="346"/>
      <c r="Q170" s="346"/>
      <c r="R170" s="346"/>
      <c r="S170" s="346"/>
      <c r="T170" s="346"/>
      <c r="U170" s="346"/>
      <c r="V170" s="346"/>
      <c r="W170" s="346"/>
      <c r="X170" s="346"/>
    </row>
    <row r="171" spans="2:24">
      <c r="B171" s="9"/>
      <c r="C171" s="307"/>
      <c r="D171" s="307"/>
      <c r="E171" s="9"/>
      <c r="F171" s="55"/>
      <c r="G171" s="55"/>
      <c r="H171" s="55"/>
      <c r="I171" s="55"/>
      <c r="J171" s="55"/>
      <c r="K171" s="346"/>
      <c r="L171" s="346"/>
      <c r="M171" s="346"/>
      <c r="N171" s="346"/>
      <c r="O171" s="346"/>
      <c r="P171" s="346"/>
      <c r="Q171" s="346"/>
      <c r="R171" s="346"/>
      <c r="S171" s="346"/>
      <c r="T171" s="346"/>
      <c r="U171" s="346"/>
      <c r="V171" s="346"/>
      <c r="W171" s="346"/>
      <c r="X171" s="346"/>
    </row>
    <row r="172" spans="2:24">
      <c r="B172" s="9"/>
      <c r="C172" s="307"/>
      <c r="D172" s="307"/>
      <c r="E172" s="9"/>
      <c r="F172" s="55"/>
      <c r="G172" s="55"/>
      <c r="H172" s="55"/>
      <c r="I172" s="55"/>
      <c r="J172" s="55"/>
      <c r="K172" s="346"/>
      <c r="L172" s="346"/>
      <c r="M172" s="346"/>
      <c r="N172" s="346"/>
      <c r="O172" s="346"/>
      <c r="P172" s="346"/>
      <c r="Q172" s="346"/>
      <c r="R172" s="346"/>
      <c r="S172" s="346"/>
      <c r="T172" s="346"/>
      <c r="U172" s="346"/>
      <c r="V172" s="346"/>
      <c r="W172" s="346"/>
      <c r="X172" s="346"/>
    </row>
    <row r="173" spans="2:24">
      <c r="B173" s="9"/>
      <c r="C173" s="307"/>
      <c r="D173" s="307"/>
      <c r="E173" s="9"/>
      <c r="F173" s="55"/>
      <c r="G173" s="55"/>
      <c r="H173" s="55"/>
      <c r="I173" s="55"/>
      <c r="J173" s="55"/>
      <c r="K173" s="346"/>
      <c r="L173" s="346"/>
      <c r="M173" s="346"/>
      <c r="N173" s="346"/>
      <c r="O173" s="346"/>
      <c r="P173" s="346"/>
      <c r="Q173" s="346"/>
      <c r="R173" s="346"/>
      <c r="S173" s="346"/>
      <c r="T173" s="346"/>
      <c r="U173" s="346"/>
      <c r="V173" s="346"/>
      <c r="W173" s="346"/>
      <c r="X173" s="346"/>
    </row>
    <row r="174" spans="2:24">
      <c r="B174" s="9"/>
      <c r="C174" s="307"/>
      <c r="D174" s="307"/>
      <c r="E174" s="9"/>
      <c r="F174" s="55"/>
      <c r="G174" s="55"/>
      <c r="H174" s="55"/>
      <c r="I174" s="55"/>
      <c r="J174" s="55"/>
      <c r="K174" s="346"/>
      <c r="L174" s="346"/>
      <c r="M174" s="346"/>
      <c r="N174" s="346"/>
      <c r="O174" s="346"/>
      <c r="P174" s="346"/>
      <c r="Q174" s="346"/>
      <c r="R174" s="346"/>
      <c r="S174" s="346"/>
      <c r="T174" s="346"/>
      <c r="U174" s="346"/>
      <c r="V174" s="346"/>
      <c r="W174" s="346"/>
      <c r="X174" s="346"/>
    </row>
    <row r="175" spans="2:24">
      <c r="B175" s="9"/>
      <c r="C175" s="307"/>
      <c r="D175" s="307"/>
      <c r="E175" s="9"/>
      <c r="F175" s="55"/>
      <c r="G175" s="55"/>
      <c r="H175" s="55"/>
      <c r="I175" s="55"/>
      <c r="J175" s="55"/>
      <c r="K175" s="346"/>
      <c r="L175" s="346"/>
      <c r="M175" s="346"/>
      <c r="N175" s="346"/>
      <c r="O175" s="346"/>
      <c r="P175" s="346"/>
      <c r="Q175" s="346"/>
      <c r="R175" s="346"/>
      <c r="S175" s="346"/>
      <c r="T175" s="346"/>
      <c r="U175" s="346"/>
      <c r="V175" s="346"/>
      <c r="W175" s="346"/>
      <c r="X175" s="346"/>
    </row>
    <row r="176" spans="2:24">
      <c r="B176" s="9"/>
      <c r="C176" s="308"/>
      <c r="D176" s="307"/>
      <c r="E176" s="9"/>
      <c r="F176" s="55"/>
      <c r="G176" s="55"/>
      <c r="H176" s="55"/>
      <c r="I176" s="55"/>
      <c r="J176" s="55"/>
      <c r="K176" s="346"/>
      <c r="L176" s="346"/>
      <c r="M176" s="346"/>
      <c r="N176" s="346"/>
      <c r="O176" s="346"/>
      <c r="P176" s="346"/>
      <c r="Q176" s="346"/>
      <c r="R176" s="346"/>
      <c r="S176" s="346"/>
      <c r="T176" s="346"/>
      <c r="U176" s="346"/>
      <c r="V176" s="346"/>
      <c r="W176" s="346"/>
      <c r="X176" s="346"/>
    </row>
    <row r="177" spans="2:24">
      <c r="B177" s="9"/>
      <c r="C177" s="307"/>
      <c r="D177" s="307"/>
      <c r="E177" s="9"/>
      <c r="F177" s="55"/>
      <c r="G177" s="55"/>
      <c r="H177" s="55"/>
      <c r="I177" s="55"/>
      <c r="J177" s="55"/>
      <c r="K177" s="346"/>
      <c r="L177" s="346"/>
      <c r="M177" s="346"/>
      <c r="N177" s="346"/>
      <c r="O177" s="346"/>
      <c r="P177" s="346"/>
      <c r="Q177" s="346"/>
      <c r="R177" s="346"/>
      <c r="S177" s="346"/>
      <c r="T177" s="346"/>
      <c r="U177" s="346"/>
      <c r="V177" s="346"/>
      <c r="W177" s="346"/>
      <c r="X177" s="346"/>
    </row>
    <row r="178" spans="2:24">
      <c r="B178" s="9"/>
      <c r="C178" s="307"/>
      <c r="D178" s="307"/>
      <c r="E178" s="9"/>
      <c r="F178" s="55"/>
      <c r="G178" s="55"/>
      <c r="H178" s="55"/>
      <c r="I178" s="55"/>
      <c r="J178" s="55"/>
      <c r="K178" s="346"/>
      <c r="L178" s="346"/>
      <c r="M178" s="346"/>
      <c r="N178" s="346"/>
      <c r="O178" s="346"/>
      <c r="P178" s="346"/>
      <c r="Q178" s="346"/>
      <c r="R178" s="346"/>
      <c r="S178" s="346"/>
      <c r="T178" s="346"/>
      <c r="U178" s="346"/>
      <c r="V178" s="346"/>
      <c r="W178" s="346"/>
      <c r="X178" s="346"/>
    </row>
    <row r="179" spans="2:24">
      <c r="B179" s="9"/>
      <c r="C179" s="307"/>
      <c r="D179" s="307"/>
      <c r="E179" s="9"/>
      <c r="F179" s="55"/>
      <c r="G179" s="55"/>
      <c r="H179" s="55"/>
      <c r="I179" s="55"/>
      <c r="J179" s="55"/>
      <c r="K179" s="346"/>
      <c r="L179" s="346"/>
      <c r="M179" s="346"/>
      <c r="N179" s="346"/>
      <c r="O179" s="346"/>
      <c r="P179" s="346"/>
      <c r="Q179" s="346"/>
      <c r="R179" s="346"/>
      <c r="S179" s="346"/>
      <c r="T179" s="346"/>
      <c r="U179" s="346"/>
      <c r="V179" s="346"/>
      <c r="W179" s="346"/>
      <c r="X179" s="346"/>
    </row>
    <row r="180" spans="2:24">
      <c r="B180" s="9"/>
      <c r="C180" s="307"/>
      <c r="D180" s="307"/>
      <c r="E180" s="9"/>
      <c r="F180" s="55"/>
      <c r="G180" s="55"/>
      <c r="H180" s="55"/>
      <c r="I180" s="55"/>
      <c r="J180" s="55"/>
      <c r="K180" s="346"/>
      <c r="L180" s="346"/>
      <c r="M180" s="346"/>
      <c r="N180" s="346"/>
      <c r="O180" s="346"/>
      <c r="P180" s="346"/>
      <c r="Q180" s="346"/>
      <c r="R180" s="346"/>
      <c r="S180" s="346"/>
      <c r="T180" s="346"/>
      <c r="U180" s="346"/>
      <c r="V180" s="346"/>
      <c r="W180" s="346"/>
      <c r="X180" s="346"/>
    </row>
    <row r="181" spans="2:24">
      <c r="B181" s="9"/>
      <c r="C181" s="307"/>
      <c r="D181" s="307"/>
      <c r="E181" s="9"/>
      <c r="F181" s="55"/>
      <c r="G181" s="55"/>
      <c r="H181" s="55"/>
      <c r="I181" s="55"/>
      <c r="J181" s="55"/>
      <c r="K181" s="346"/>
      <c r="L181" s="346"/>
      <c r="M181" s="346"/>
      <c r="N181" s="346"/>
      <c r="O181" s="346"/>
      <c r="P181" s="346"/>
      <c r="Q181" s="346"/>
      <c r="R181" s="346"/>
      <c r="S181" s="346"/>
      <c r="T181" s="346"/>
      <c r="U181" s="346"/>
      <c r="V181" s="346"/>
      <c r="W181" s="346"/>
      <c r="X181" s="346"/>
    </row>
    <row r="182" spans="2:24">
      <c r="B182" s="179" t="s">
        <v>343</v>
      </c>
      <c r="C182" s="179"/>
      <c r="D182" s="180"/>
      <c r="E182" s="180"/>
      <c r="F182" s="180"/>
      <c r="G182" s="180"/>
      <c r="H182" s="180"/>
      <c r="I182" s="180"/>
      <c r="J182" s="180"/>
      <c r="K182" s="181">
        <f t="shared" ref="K182:X182" si="42">IF(LataProjekcji&lt;=Koniec,ROUND(SUM(K162:K181),0),0)</f>
        <v>0</v>
      </c>
      <c r="L182" s="181">
        <f t="shared" si="42"/>
        <v>0</v>
      </c>
      <c r="M182" s="181">
        <f t="shared" si="42"/>
        <v>0</v>
      </c>
      <c r="N182" s="181">
        <f t="shared" si="42"/>
        <v>0</v>
      </c>
      <c r="O182" s="181">
        <f t="shared" si="42"/>
        <v>0</v>
      </c>
      <c r="P182" s="181">
        <f t="shared" si="42"/>
        <v>0</v>
      </c>
      <c r="Q182" s="181">
        <f t="shared" si="42"/>
        <v>0</v>
      </c>
      <c r="R182" s="181">
        <f t="shared" si="42"/>
        <v>0</v>
      </c>
      <c r="S182" s="181">
        <f t="shared" si="42"/>
        <v>0</v>
      </c>
      <c r="T182" s="181">
        <f t="shared" si="42"/>
        <v>0</v>
      </c>
      <c r="U182" s="181">
        <f t="shared" si="42"/>
        <v>0</v>
      </c>
      <c r="V182" s="181">
        <f t="shared" si="42"/>
        <v>0</v>
      </c>
      <c r="W182" s="181">
        <f t="shared" si="42"/>
        <v>0</v>
      </c>
      <c r="X182" s="181">
        <f t="shared" si="42"/>
        <v>0</v>
      </c>
    </row>
    <row r="183" spans="2:24" ht="12" customHeight="1">
      <c r="B183" s="189" t="s">
        <v>340</v>
      </c>
      <c r="C183" s="189"/>
      <c r="D183" s="190"/>
      <c r="E183" s="190"/>
      <c r="F183" s="191"/>
      <c r="G183" s="191"/>
      <c r="H183" s="191"/>
      <c r="I183" s="191"/>
      <c r="J183" s="191"/>
      <c r="K183" s="552" t="s">
        <v>341</v>
      </c>
      <c r="L183" s="553"/>
      <c r="M183" s="553"/>
      <c r="N183" s="553"/>
      <c r="O183" s="553"/>
      <c r="P183" s="553"/>
      <c r="Q183" s="553"/>
      <c r="R183" s="553"/>
      <c r="S183" s="553"/>
      <c r="T183" s="553"/>
      <c r="U183" s="553"/>
      <c r="V183" s="553"/>
      <c r="W183" s="553"/>
      <c r="X183" s="553"/>
    </row>
    <row r="184" spans="2:24">
      <c r="B184" s="63" t="str">
        <f t="shared" ref="B184:B190" si="43">IF(ISBLANK(B162),"",B162)</f>
        <v/>
      </c>
      <c r="C184" s="500" t="str">
        <f t="shared" ref="C184:E203" si="44">IF(ISBLANK(C162),"",C162)</f>
        <v/>
      </c>
      <c r="D184" s="500" t="str">
        <f t="shared" si="44"/>
        <v/>
      </c>
      <c r="E184" s="63" t="str">
        <f t="shared" si="44"/>
        <v/>
      </c>
      <c r="F184" s="63"/>
      <c r="G184" s="63"/>
      <c r="H184" s="63"/>
      <c r="I184" s="63"/>
      <c r="J184" s="63"/>
      <c r="K184" s="329"/>
      <c r="L184" s="329"/>
      <c r="M184" s="329"/>
      <c r="N184" s="329"/>
      <c r="O184" s="329"/>
      <c r="P184" s="329"/>
      <c r="Q184" s="329"/>
      <c r="R184" s="329"/>
      <c r="S184" s="329"/>
      <c r="T184" s="329"/>
      <c r="U184" s="329"/>
      <c r="V184" s="329"/>
      <c r="W184" s="329"/>
      <c r="X184" s="329"/>
    </row>
    <row r="185" spans="2:24">
      <c r="B185" s="63" t="str">
        <f t="shared" si="43"/>
        <v/>
      </c>
      <c r="C185" s="500" t="str">
        <f t="shared" si="44"/>
        <v/>
      </c>
      <c r="D185" s="500" t="str">
        <f t="shared" si="44"/>
        <v/>
      </c>
      <c r="E185" s="63" t="str">
        <f t="shared" si="44"/>
        <v/>
      </c>
      <c r="F185" s="63"/>
      <c r="G185" s="63"/>
      <c r="H185" s="63"/>
      <c r="I185" s="63"/>
      <c r="J185" s="63"/>
      <c r="K185" s="329"/>
      <c r="L185" s="329"/>
      <c r="M185" s="329"/>
      <c r="N185" s="329"/>
      <c r="O185" s="329"/>
      <c r="P185" s="329"/>
      <c r="Q185" s="329"/>
      <c r="R185" s="329"/>
      <c r="S185" s="329"/>
      <c r="T185" s="329"/>
      <c r="U185" s="329"/>
      <c r="V185" s="329"/>
      <c r="W185" s="329"/>
      <c r="X185" s="329"/>
    </row>
    <row r="186" spans="2:24">
      <c r="B186" s="63" t="str">
        <f t="shared" si="43"/>
        <v/>
      </c>
      <c r="C186" s="500" t="str">
        <f t="shared" si="44"/>
        <v/>
      </c>
      <c r="D186" s="500" t="str">
        <f t="shared" si="44"/>
        <v/>
      </c>
      <c r="E186" s="63" t="str">
        <f t="shared" si="44"/>
        <v/>
      </c>
      <c r="F186" s="63"/>
      <c r="G186" s="63"/>
      <c r="H186" s="63"/>
      <c r="I186" s="63"/>
      <c r="J186" s="63"/>
      <c r="K186" s="329"/>
      <c r="L186" s="329"/>
      <c r="M186" s="329"/>
      <c r="N186" s="329"/>
      <c r="O186" s="329"/>
      <c r="P186" s="329"/>
      <c r="Q186" s="329"/>
      <c r="R186" s="329"/>
      <c r="S186" s="329"/>
      <c r="T186" s="329"/>
      <c r="U186" s="329"/>
      <c r="V186" s="329"/>
      <c r="W186" s="329"/>
      <c r="X186" s="329"/>
    </row>
    <row r="187" spans="2:24">
      <c r="B187" s="63" t="str">
        <f t="shared" si="43"/>
        <v/>
      </c>
      <c r="C187" s="500" t="str">
        <f t="shared" si="44"/>
        <v/>
      </c>
      <c r="D187" s="500" t="str">
        <f t="shared" si="44"/>
        <v/>
      </c>
      <c r="E187" s="63" t="str">
        <f t="shared" si="44"/>
        <v/>
      </c>
      <c r="F187" s="63"/>
      <c r="G187" s="63"/>
      <c r="H187" s="63"/>
      <c r="I187" s="63"/>
      <c r="J187" s="63"/>
      <c r="K187" s="329"/>
      <c r="L187" s="329"/>
      <c r="M187" s="329"/>
      <c r="N187" s="329"/>
      <c r="O187" s="329"/>
      <c r="P187" s="329"/>
      <c r="Q187" s="329"/>
      <c r="R187" s="329"/>
      <c r="S187" s="329"/>
      <c r="T187" s="329"/>
      <c r="U187" s="329"/>
      <c r="V187" s="329"/>
      <c r="W187" s="329"/>
      <c r="X187" s="329"/>
    </row>
    <row r="188" spans="2:24">
      <c r="B188" s="63" t="str">
        <f t="shared" si="43"/>
        <v/>
      </c>
      <c r="C188" s="500" t="str">
        <f t="shared" si="44"/>
        <v/>
      </c>
      <c r="D188" s="500" t="str">
        <f t="shared" si="44"/>
        <v/>
      </c>
      <c r="E188" s="63" t="str">
        <f t="shared" si="44"/>
        <v/>
      </c>
      <c r="F188" s="63"/>
      <c r="G188" s="63"/>
      <c r="H188" s="63"/>
      <c r="I188" s="63"/>
      <c r="J188" s="63"/>
      <c r="K188" s="329"/>
      <c r="L188" s="329"/>
      <c r="M188" s="329"/>
      <c r="N188" s="329"/>
      <c r="O188" s="329"/>
      <c r="P188" s="329"/>
      <c r="Q188" s="329"/>
      <c r="R188" s="329"/>
      <c r="S188" s="329"/>
      <c r="T188" s="329"/>
      <c r="U188" s="329"/>
      <c r="V188" s="329"/>
      <c r="W188" s="329"/>
      <c r="X188" s="329"/>
    </row>
    <row r="189" spans="2:24">
      <c r="B189" s="63" t="str">
        <f t="shared" si="43"/>
        <v/>
      </c>
      <c r="C189" s="500" t="str">
        <f t="shared" si="44"/>
        <v/>
      </c>
      <c r="D189" s="500" t="str">
        <f t="shared" si="44"/>
        <v/>
      </c>
      <c r="E189" s="63" t="str">
        <f t="shared" si="44"/>
        <v/>
      </c>
      <c r="F189" s="63"/>
      <c r="G189" s="63"/>
      <c r="H189" s="63"/>
      <c r="I189" s="63"/>
      <c r="J189" s="63"/>
      <c r="K189" s="329"/>
      <c r="L189" s="329"/>
      <c r="M189" s="329"/>
      <c r="N189" s="329"/>
      <c r="O189" s="329"/>
      <c r="P189" s="329"/>
      <c r="Q189" s="329"/>
      <c r="R189" s="329"/>
      <c r="S189" s="329"/>
      <c r="T189" s="329"/>
      <c r="U189" s="329"/>
      <c r="V189" s="329"/>
      <c r="W189" s="329"/>
      <c r="X189" s="329"/>
    </row>
    <row r="190" spans="2:24">
      <c r="B190" s="63" t="str">
        <f t="shared" si="43"/>
        <v/>
      </c>
      <c r="C190" s="500" t="str">
        <f t="shared" si="44"/>
        <v/>
      </c>
      <c r="D190" s="500" t="str">
        <f t="shared" si="44"/>
        <v/>
      </c>
      <c r="E190" s="63" t="str">
        <f t="shared" si="44"/>
        <v/>
      </c>
      <c r="F190" s="63"/>
      <c r="G190" s="63"/>
      <c r="H190" s="63"/>
      <c r="I190" s="63"/>
      <c r="J190" s="63"/>
      <c r="K190" s="329"/>
      <c r="L190" s="329"/>
      <c r="M190" s="329"/>
      <c r="N190" s="329"/>
      <c r="O190" s="329"/>
      <c r="P190" s="329"/>
      <c r="Q190" s="329"/>
      <c r="R190" s="329"/>
      <c r="S190" s="329"/>
      <c r="T190" s="329"/>
      <c r="U190" s="329"/>
      <c r="V190" s="329"/>
      <c r="W190" s="329"/>
      <c r="X190" s="329"/>
    </row>
    <row r="191" spans="2:24">
      <c r="B191" s="63" t="str">
        <f t="shared" ref="B191:B203" si="45">IF(ISBLANK(B169),"",B169)</f>
        <v/>
      </c>
      <c r="C191" s="500" t="str">
        <f t="shared" si="44"/>
        <v/>
      </c>
      <c r="D191" s="500" t="str">
        <f t="shared" si="44"/>
        <v/>
      </c>
      <c r="E191" s="63" t="str">
        <f t="shared" si="44"/>
        <v/>
      </c>
      <c r="F191" s="63"/>
      <c r="G191" s="63"/>
      <c r="H191" s="63"/>
      <c r="I191" s="63"/>
      <c r="J191" s="63"/>
      <c r="K191" s="329"/>
      <c r="L191" s="329"/>
      <c r="M191" s="329"/>
      <c r="N191" s="329"/>
      <c r="O191" s="329"/>
      <c r="P191" s="329"/>
      <c r="Q191" s="329"/>
      <c r="R191" s="329"/>
      <c r="S191" s="329"/>
      <c r="T191" s="329"/>
      <c r="U191" s="329"/>
      <c r="V191" s="329"/>
      <c r="W191" s="329"/>
      <c r="X191" s="329"/>
    </row>
    <row r="192" spans="2:24">
      <c r="B192" s="63" t="str">
        <f t="shared" si="45"/>
        <v/>
      </c>
      <c r="C192" s="500" t="str">
        <f t="shared" si="44"/>
        <v/>
      </c>
      <c r="D192" s="500" t="str">
        <f t="shared" si="44"/>
        <v/>
      </c>
      <c r="E192" s="63" t="str">
        <f t="shared" si="44"/>
        <v/>
      </c>
      <c r="F192" s="63"/>
      <c r="G192" s="63"/>
      <c r="H192" s="63"/>
      <c r="I192" s="63"/>
      <c r="J192" s="63"/>
      <c r="K192" s="329"/>
      <c r="L192" s="329"/>
      <c r="M192" s="329"/>
      <c r="N192" s="329"/>
      <c r="O192" s="329"/>
      <c r="P192" s="329"/>
      <c r="Q192" s="329"/>
      <c r="R192" s="329"/>
      <c r="S192" s="329"/>
      <c r="T192" s="329"/>
      <c r="U192" s="329"/>
      <c r="V192" s="329"/>
      <c r="W192" s="329"/>
      <c r="X192" s="329"/>
    </row>
    <row r="193" spans="2:24">
      <c r="B193" s="63" t="str">
        <f t="shared" si="45"/>
        <v/>
      </c>
      <c r="C193" s="500" t="str">
        <f t="shared" si="44"/>
        <v/>
      </c>
      <c r="D193" s="500" t="str">
        <f t="shared" si="44"/>
        <v/>
      </c>
      <c r="E193" s="63" t="str">
        <f t="shared" si="44"/>
        <v/>
      </c>
      <c r="F193" s="63"/>
      <c r="G193" s="63"/>
      <c r="H193" s="63"/>
      <c r="I193" s="63"/>
      <c r="J193" s="63"/>
      <c r="K193" s="329"/>
      <c r="L193" s="329"/>
      <c r="M193" s="329"/>
      <c r="N193" s="329"/>
      <c r="O193" s="329"/>
      <c r="P193" s="329"/>
      <c r="Q193" s="329"/>
      <c r="R193" s="329"/>
      <c r="S193" s="329"/>
      <c r="T193" s="329"/>
      <c r="U193" s="329"/>
      <c r="V193" s="329"/>
      <c r="W193" s="329"/>
      <c r="X193" s="329"/>
    </row>
    <row r="194" spans="2:24">
      <c r="B194" s="63" t="str">
        <f t="shared" si="45"/>
        <v/>
      </c>
      <c r="C194" s="500" t="str">
        <f t="shared" si="44"/>
        <v/>
      </c>
      <c r="D194" s="500" t="str">
        <f t="shared" si="44"/>
        <v/>
      </c>
      <c r="E194" s="63" t="str">
        <f t="shared" si="44"/>
        <v/>
      </c>
      <c r="F194" s="63"/>
      <c r="G194" s="63"/>
      <c r="H194" s="63"/>
      <c r="I194" s="63"/>
      <c r="J194" s="63"/>
      <c r="K194" s="329"/>
      <c r="L194" s="329"/>
      <c r="M194" s="329"/>
      <c r="N194" s="329"/>
      <c r="O194" s="329"/>
      <c r="P194" s="329"/>
      <c r="Q194" s="329"/>
      <c r="R194" s="329"/>
      <c r="S194" s="329"/>
      <c r="T194" s="329"/>
      <c r="U194" s="329"/>
      <c r="V194" s="329"/>
      <c r="W194" s="329"/>
      <c r="X194" s="329"/>
    </row>
    <row r="195" spans="2:24">
      <c r="B195" s="63" t="str">
        <f t="shared" si="45"/>
        <v/>
      </c>
      <c r="C195" s="500" t="str">
        <f t="shared" si="44"/>
        <v/>
      </c>
      <c r="D195" s="500" t="str">
        <f t="shared" si="44"/>
        <v/>
      </c>
      <c r="E195" s="63" t="str">
        <f t="shared" si="44"/>
        <v/>
      </c>
      <c r="F195" s="63"/>
      <c r="G195" s="63"/>
      <c r="H195" s="63"/>
      <c r="I195" s="63"/>
      <c r="J195" s="63"/>
      <c r="K195" s="329"/>
      <c r="L195" s="329"/>
      <c r="M195" s="329"/>
      <c r="N195" s="329"/>
      <c r="O195" s="329"/>
      <c r="P195" s="329"/>
      <c r="Q195" s="329"/>
      <c r="R195" s="329"/>
      <c r="S195" s="329"/>
      <c r="T195" s="329"/>
      <c r="U195" s="329"/>
      <c r="V195" s="329"/>
      <c r="W195" s="329"/>
      <c r="X195" s="329"/>
    </row>
    <row r="196" spans="2:24">
      <c r="B196" s="63" t="str">
        <f t="shared" si="45"/>
        <v/>
      </c>
      <c r="C196" s="500" t="str">
        <f t="shared" si="44"/>
        <v/>
      </c>
      <c r="D196" s="500" t="str">
        <f t="shared" si="44"/>
        <v/>
      </c>
      <c r="E196" s="63" t="str">
        <f t="shared" si="44"/>
        <v/>
      </c>
      <c r="F196" s="63"/>
      <c r="G196" s="63"/>
      <c r="H196" s="63"/>
      <c r="I196" s="63"/>
      <c r="J196" s="63"/>
      <c r="K196" s="329"/>
      <c r="L196" s="329"/>
      <c r="M196" s="329"/>
      <c r="N196" s="329"/>
      <c r="O196" s="329"/>
      <c r="P196" s="329"/>
      <c r="Q196" s="329"/>
      <c r="R196" s="329"/>
      <c r="S196" s="329"/>
      <c r="T196" s="329"/>
      <c r="U196" s="329"/>
      <c r="V196" s="329"/>
      <c r="W196" s="329"/>
      <c r="X196" s="329"/>
    </row>
    <row r="197" spans="2:24">
      <c r="B197" s="63" t="str">
        <f t="shared" si="45"/>
        <v/>
      </c>
      <c r="C197" s="500" t="str">
        <f t="shared" si="44"/>
        <v/>
      </c>
      <c r="D197" s="500" t="str">
        <f t="shared" si="44"/>
        <v/>
      </c>
      <c r="E197" s="63" t="str">
        <f t="shared" si="44"/>
        <v/>
      </c>
      <c r="F197" s="63"/>
      <c r="G197" s="63"/>
      <c r="H197" s="63"/>
      <c r="I197" s="63"/>
      <c r="J197" s="63"/>
      <c r="K197" s="329"/>
      <c r="L197" s="329"/>
      <c r="M197" s="329"/>
      <c r="N197" s="329"/>
      <c r="O197" s="329"/>
      <c r="P197" s="329"/>
      <c r="Q197" s="329"/>
      <c r="R197" s="329"/>
      <c r="S197" s="329"/>
      <c r="T197" s="329"/>
      <c r="U197" s="329"/>
      <c r="V197" s="329"/>
      <c r="W197" s="329"/>
      <c r="X197" s="329"/>
    </row>
    <row r="198" spans="2:24">
      <c r="B198" s="63" t="str">
        <f t="shared" si="45"/>
        <v/>
      </c>
      <c r="C198" s="500" t="str">
        <f t="shared" si="44"/>
        <v/>
      </c>
      <c r="D198" s="500" t="str">
        <f t="shared" si="44"/>
        <v/>
      </c>
      <c r="E198" s="63" t="str">
        <f t="shared" si="44"/>
        <v/>
      </c>
      <c r="F198" s="63"/>
      <c r="G198" s="63"/>
      <c r="H198" s="63"/>
      <c r="I198" s="63"/>
      <c r="J198" s="63"/>
      <c r="K198" s="329"/>
      <c r="L198" s="329"/>
      <c r="M198" s="329"/>
      <c r="N198" s="329"/>
      <c r="O198" s="329"/>
      <c r="P198" s="329"/>
      <c r="Q198" s="329"/>
      <c r="R198" s="329"/>
      <c r="S198" s="329"/>
      <c r="T198" s="329"/>
      <c r="U198" s="329"/>
      <c r="V198" s="329"/>
      <c r="W198" s="329"/>
      <c r="X198" s="329"/>
    </row>
    <row r="199" spans="2:24">
      <c r="B199" s="63" t="str">
        <f t="shared" si="45"/>
        <v/>
      </c>
      <c r="C199" s="500" t="str">
        <f t="shared" si="44"/>
        <v/>
      </c>
      <c r="D199" s="500" t="str">
        <f t="shared" si="44"/>
        <v/>
      </c>
      <c r="E199" s="63" t="str">
        <f t="shared" si="44"/>
        <v/>
      </c>
      <c r="F199" s="63"/>
      <c r="G199" s="63"/>
      <c r="H199" s="63"/>
      <c r="I199" s="63"/>
      <c r="J199" s="63"/>
      <c r="K199" s="329"/>
      <c r="L199" s="329"/>
      <c r="M199" s="329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/>
      <c r="X199" s="329"/>
    </row>
    <row r="200" spans="2:24">
      <c r="B200" s="63" t="str">
        <f t="shared" si="45"/>
        <v/>
      </c>
      <c r="C200" s="500" t="str">
        <f t="shared" si="44"/>
        <v/>
      </c>
      <c r="D200" s="500" t="str">
        <f t="shared" si="44"/>
        <v/>
      </c>
      <c r="E200" s="63" t="str">
        <f t="shared" si="44"/>
        <v/>
      </c>
      <c r="F200" s="63"/>
      <c r="G200" s="63"/>
      <c r="H200" s="63"/>
      <c r="I200" s="63"/>
      <c r="J200" s="63"/>
      <c r="K200" s="329"/>
      <c r="L200" s="329"/>
      <c r="M200" s="329"/>
      <c r="N200" s="329"/>
      <c r="O200" s="329"/>
      <c r="P200" s="329"/>
      <c r="Q200" s="329"/>
      <c r="R200" s="329"/>
      <c r="S200" s="329"/>
      <c r="T200" s="329"/>
      <c r="U200" s="329"/>
      <c r="V200" s="329"/>
      <c r="W200" s="329"/>
      <c r="X200" s="329"/>
    </row>
    <row r="201" spans="2:24">
      <c r="B201" s="63" t="str">
        <f t="shared" si="45"/>
        <v/>
      </c>
      <c r="C201" s="500" t="str">
        <f t="shared" si="44"/>
        <v/>
      </c>
      <c r="D201" s="500" t="str">
        <f t="shared" si="44"/>
        <v/>
      </c>
      <c r="E201" s="63" t="str">
        <f t="shared" si="44"/>
        <v/>
      </c>
      <c r="F201" s="63"/>
      <c r="G201" s="63"/>
      <c r="H201" s="63"/>
      <c r="I201" s="63"/>
      <c r="J201" s="63"/>
      <c r="K201" s="329"/>
      <c r="L201" s="329"/>
      <c r="M201" s="329"/>
      <c r="N201" s="329"/>
      <c r="O201" s="329"/>
      <c r="P201" s="329"/>
      <c r="Q201" s="329"/>
      <c r="R201" s="329"/>
      <c r="S201" s="329"/>
      <c r="T201" s="329"/>
      <c r="U201" s="329"/>
      <c r="V201" s="329"/>
      <c r="W201" s="329"/>
      <c r="X201" s="329"/>
    </row>
    <row r="202" spans="2:24">
      <c r="B202" s="63" t="str">
        <f t="shared" si="45"/>
        <v/>
      </c>
      <c r="C202" s="500" t="str">
        <f t="shared" si="44"/>
        <v/>
      </c>
      <c r="D202" s="500" t="str">
        <f t="shared" si="44"/>
        <v/>
      </c>
      <c r="E202" s="63" t="str">
        <f t="shared" si="44"/>
        <v/>
      </c>
      <c r="F202" s="63"/>
      <c r="G202" s="63"/>
      <c r="H202" s="63"/>
      <c r="I202" s="63"/>
      <c r="J202" s="63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</row>
    <row r="203" spans="2:24">
      <c r="B203" s="63" t="str">
        <f t="shared" si="45"/>
        <v/>
      </c>
      <c r="C203" s="500" t="str">
        <f t="shared" si="44"/>
        <v/>
      </c>
      <c r="D203" s="500" t="str">
        <f t="shared" si="44"/>
        <v/>
      </c>
      <c r="E203" s="63" t="str">
        <f t="shared" si="44"/>
        <v/>
      </c>
      <c r="F203" s="63"/>
      <c r="G203" s="63"/>
      <c r="H203" s="63"/>
      <c r="I203" s="63"/>
      <c r="J203" s="63"/>
      <c r="K203" s="329"/>
      <c r="L203" s="329"/>
      <c r="M203" s="329"/>
      <c r="N203" s="329"/>
      <c r="O203" s="329"/>
      <c r="P203" s="329"/>
      <c r="Q203" s="329"/>
      <c r="R203" s="329"/>
      <c r="S203" s="329"/>
      <c r="T203" s="329"/>
      <c r="U203" s="329"/>
      <c r="V203" s="329"/>
      <c r="W203" s="329"/>
      <c r="X203" s="329"/>
    </row>
    <row r="204" spans="2:24"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2:24"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2:24">
      <c r="B206" s="351" t="s">
        <v>344</v>
      </c>
      <c r="C206" s="350" t="str">
        <f>C$114</f>
        <v>Moduł</v>
      </c>
      <c r="D206" s="350" t="str">
        <f t="shared" ref="D206:X206" si="46">D$114</f>
        <v>Kwalifikowalne</v>
      </c>
      <c r="E206" s="350" t="str">
        <f t="shared" si="46"/>
        <v>Koszty B+R</v>
      </c>
      <c r="F206" s="350"/>
      <c r="G206" s="350">
        <f t="shared" ca="1" si="46"/>
        <v>0</v>
      </c>
      <c r="H206" s="350">
        <f t="shared" ca="1" si="46"/>
        <v>0</v>
      </c>
      <c r="I206" s="350">
        <f t="shared" ca="1" si="46"/>
        <v>0</v>
      </c>
      <c r="J206" s="350" t="str">
        <f t="shared" si="46"/>
        <v/>
      </c>
      <c r="K206" s="350" t="str">
        <f t="shared" si="46"/>
        <v>Uzupełnij dane</v>
      </c>
      <c r="L206" s="350" t="str">
        <f t="shared" si="46"/>
        <v/>
      </c>
      <c r="M206" s="350" t="str">
        <f t="shared" si="46"/>
        <v/>
      </c>
      <c r="N206" s="350" t="str">
        <f t="shared" si="46"/>
        <v/>
      </c>
      <c r="O206" s="350" t="str">
        <f t="shared" si="46"/>
        <v/>
      </c>
      <c r="P206" s="350" t="str">
        <f t="shared" si="46"/>
        <v/>
      </c>
      <c r="Q206" s="350" t="str">
        <f t="shared" si="46"/>
        <v/>
      </c>
      <c r="R206" s="350" t="str">
        <f t="shared" si="46"/>
        <v/>
      </c>
      <c r="S206" s="350" t="str">
        <f t="shared" si="46"/>
        <v/>
      </c>
      <c r="T206" s="350" t="str">
        <f t="shared" si="46"/>
        <v/>
      </c>
      <c r="U206" s="350" t="str">
        <f t="shared" si="46"/>
        <v/>
      </c>
      <c r="V206" s="350" t="str">
        <f t="shared" si="46"/>
        <v/>
      </c>
      <c r="W206" s="350" t="str">
        <f t="shared" si="46"/>
        <v/>
      </c>
      <c r="X206" s="350" t="str">
        <f t="shared" si="46"/>
        <v/>
      </c>
    </row>
    <row r="207" spans="2:24">
      <c r="B207" s="9"/>
      <c r="C207" s="308"/>
      <c r="D207" s="308"/>
      <c r="E207" s="297"/>
      <c r="F207" s="298"/>
      <c r="G207" s="298"/>
      <c r="H207" s="298"/>
      <c r="I207" s="298"/>
      <c r="J207" s="298"/>
      <c r="K207" s="345"/>
      <c r="L207" s="345"/>
      <c r="M207" s="345"/>
      <c r="N207" s="345"/>
      <c r="O207" s="345"/>
      <c r="P207" s="345"/>
      <c r="Q207" s="345"/>
      <c r="R207" s="345"/>
      <c r="S207" s="345"/>
      <c r="T207" s="345"/>
      <c r="U207" s="345"/>
      <c r="V207" s="345"/>
      <c r="W207" s="345"/>
      <c r="X207" s="345"/>
    </row>
    <row r="208" spans="2:24">
      <c r="B208" s="9"/>
      <c r="C208" s="307"/>
      <c r="D208" s="307"/>
      <c r="E208" s="9"/>
      <c r="F208" s="55"/>
      <c r="G208" s="55"/>
      <c r="H208" s="55"/>
      <c r="I208" s="55"/>
      <c r="J208" s="55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</row>
    <row r="209" spans="2:24">
      <c r="B209" s="9"/>
      <c r="C209" s="307"/>
      <c r="D209" s="307"/>
      <c r="E209" s="9"/>
      <c r="F209" s="55"/>
      <c r="G209" s="55"/>
      <c r="H209" s="55"/>
      <c r="I209" s="55"/>
      <c r="J209" s="55"/>
      <c r="K209" s="346"/>
      <c r="L209" s="346"/>
      <c r="M209" s="346"/>
      <c r="N209" s="346"/>
      <c r="O209" s="346"/>
      <c r="P209" s="346"/>
      <c r="Q209" s="346"/>
      <c r="R209" s="346"/>
      <c r="S209" s="346"/>
      <c r="T209" s="346"/>
      <c r="U209" s="346"/>
      <c r="V209" s="346"/>
      <c r="W209" s="346"/>
      <c r="X209" s="346"/>
    </row>
    <row r="210" spans="2:24">
      <c r="B210" s="9"/>
      <c r="C210" s="307"/>
      <c r="D210" s="307"/>
      <c r="E210" s="9"/>
      <c r="F210" s="55"/>
      <c r="G210" s="55"/>
      <c r="H210" s="55"/>
      <c r="I210" s="55"/>
      <c r="J210" s="55"/>
      <c r="K210" s="346"/>
      <c r="L210" s="346"/>
      <c r="M210" s="346"/>
      <c r="N210" s="346"/>
      <c r="O210" s="346"/>
      <c r="P210" s="346"/>
      <c r="Q210" s="346"/>
      <c r="R210" s="346"/>
      <c r="S210" s="346"/>
      <c r="T210" s="346"/>
      <c r="U210" s="346"/>
      <c r="V210" s="346"/>
      <c r="W210" s="346"/>
      <c r="X210" s="346"/>
    </row>
    <row r="211" spans="2:24">
      <c r="B211" s="9"/>
      <c r="C211" s="307"/>
      <c r="D211" s="307"/>
      <c r="E211" s="9"/>
      <c r="F211" s="55"/>
      <c r="G211" s="55"/>
      <c r="H211" s="55"/>
      <c r="I211" s="55"/>
      <c r="J211" s="55"/>
      <c r="K211" s="346"/>
      <c r="L211" s="346"/>
      <c r="M211" s="346"/>
      <c r="N211" s="346"/>
      <c r="O211" s="346"/>
      <c r="P211" s="346"/>
      <c r="Q211" s="346"/>
      <c r="R211" s="346"/>
      <c r="S211" s="346"/>
      <c r="T211" s="346"/>
      <c r="U211" s="346"/>
      <c r="V211" s="346"/>
      <c r="W211" s="346"/>
      <c r="X211" s="346"/>
    </row>
    <row r="212" spans="2:24">
      <c r="B212" s="179" t="s">
        <v>345</v>
      </c>
      <c r="C212" s="179"/>
      <c r="D212" s="180"/>
      <c r="E212" s="180"/>
      <c r="F212" s="180"/>
      <c r="G212" s="180"/>
      <c r="H212" s="180"/>
      <c r="I212" s="180"/>
      <c r="J212" s="180"/>
      <c r="K212" s="181">
        <f t="shared" ref="K212:X212" si="47">IF(LataProjekcji&lt;=Koniec,ROUND(SUM(K207:K211),0),0)</f>
        <v>0</v>
      </c>
      <c r="L212" s="181">
        <f t="shared" si="47"/>
        <v>0</v>
      </c>
      <c r="M212" s="181">
        <f t="shared" si="47"/>
        <v>0</v>
      </c>
      <c r="N212" s="181">
        <f t="shared" si="47"/>
        <v>0</v>
      </c>
      <c r="O212" s="181">
        <f t="shared" si="47"/>
        <v>0</v>
      </c>
      <c r="P212" s="181">
        <f t="shared" si="47"/>
        <v>0</v>
      </c>
      <c r="Q212" s="181">
        <f t="shared" si="47"/>
        <v>0</v>
      </c>
      <c r="R212" s="181">
        <f t="shared" si="47"/>
        <v>0</v>
      </c>
      <c r="S212" s="181">
        <f t="shared" si="47"/>
        <v>0</v>
      </c>
      <c r="T212" s="181">
        <f t="shared" si="47"/>
        <v>0</v>
      </c>
      <c r="U212" s="181">
        <f t="shared" si="47"/>
        <v>0</v>
      </c>
      <c r="V212" s="181">
        <f t="shared" si="47"/>
        <v>0</v>
      </c>
      <c r="W212" s="181">
        <f t="shared" si="47"/>
        <v>0</v>
      </c>
      <c r="X212" s="181">
        <f t="shared" si="47"/>
        <v>0</v>
      </c>
    </row>
    <row r="213" spans="2:24">
      <c r="B213" s="189" t="s">
        <v>340</v>
      </c>
      <c r="C213" s="189"/>
      <c r="D213" s="190"/>
      <c r="E213" s="190"/>
      <c r="F213" s="191"/>
      <c r="G213" s="191"/>
      <c r="H213" s="191"/>
      <c r="I213" s="191"/>
      <c r="J213" s="191"/>
      <c r="K213" s="552" t="s">
        <v>341</v>
      </c>
      <c r="L213" s="553"/>
      <c r="M213" s="553"/>
      <c r="N213" s="553"/>
      <c r="O213" s="553"/>
      <c r="P213" s="553"/>
      <c r="Q213" s="553"/>
      <c r="R213" s="553"/>
      <c r="S213" s="553"/>
      <c r="T213" s="553"/>
      <c r="U213" s="553"/>
      <c r="V213" s="553"/>
      <c r="W213" s="553"/>
      <c r="X213" s="553"/>
    </row>
    <row r="214" spans="2:24">
      <c r="B214" s="188" t="str">
        <f t="shared" ref="B214:E218" si="48">IF(ISBLANK(B207),"",B207)</f>
        <v/>
      </c>
      <c r="C214" s="188" t="str">
        <f t="shared" si="48"/>
        <v/>
      </c>
      <c r="D214" s="188" t="str">
        <f t="shared" si="48"/>
        <v/>
      </c>
      <c r="E214" s="188" t="str">
        <f t="shared" si="48"/>
        <v/>
      </c>
      <c r="F214" s="188"/>
      <c r="G214" s="188"/>
      <c r="H214" s="188"/>
      <c r="I214" s="188"/>
      <c r="J214" s="188"/>
      <c r="K214" s="329"/>
      <c r="L214" s="329"/>
      <c r="M214" s="329"/>
      <c r="N214" s="329"/>
      <c r="O214" s="329"/>
      <c r="P214" s="329"/>
      <c r="Q214" s="329"/>
      <c r="R214" s="329"/>
      <c r="S214" s="329"/>
      <c r="T214" s="329"/>
      <c r="U214" s="329"/>
      <c r="V214" s="329"/>
      <c r="W214" s="329"/>
      <c r="X214" s="329"/>
    </row>
    <row r="215" spans="2:24">
      <c r="B215" s="63" t="str">
        <f t="shared" si="48"/>
        <v/>
      </c>
      <c r="C215" s="63" t="str">
        <f t="shared" si="48"/>
        <v/>
      </c>
      <c r="D215" s="63" t="str">
        <f t="shared" si="48"/>
        <v/>
      </c>
      <c r="E215" s="63" t="str">
        <f t="shared" si="48"/>
        <v/>
      </c>
      <c r="F215" s="63"/>
      <c r="G215" s="63"/>
      <c r="H215" s="63"/>
      <c r="I215" s="63"/>
      <c r="J215" s="63"/>
      <c r="K215" s="329"/>
      <c r="L215" s="329"/>
      <c r="M215" s="329"/>
      <c r="N215" s="329"/>
      <c r="O215" s="329"/>
      <c r="P215" s="329"/>
      <c r="Q215" s="329"/>
      <c r="R215" s="329"/>
      <c r="S215" s="329"/>
      <c r="T215" s="329"/>
      <c r="U215" s="329"/>
      <c r="V215" s="329"/>
      <c r="W215" s="329"/>
      <c r="X215" s="329"/>
    </row>
    <row r="216" spans="2:24">
      <c r="B216" s="63" t="str">
        <f t="shared" si="48"/>
        <v/>
      </c>
      <c r="C216" s="63" t="str">
        <f t="shared" si="48"/>
        <v/>
      </c>
      <c r="D216" s="63" t="str">
        <f t="shared" si="48"/>
        <v/>
      </c>
      <c r="E216" s="63" t="str">
        <f t="shared" si="48"/>
        <v/>
      </c>
      <c r="F216" s="63"/>
      <c r="G216" s="63"/>
      <c r="H216" s="63"/>
      <c r="I216" s="63"/>
      <c r="J216" s="63"/>
      <c r="K216" s="329"/>
      <c r="L216" s="329"/>
      <c r="M216" s="329"/>
      <c r="N216" s="329"/>
      <c r="O216" s="329"/>
      <c r="P216" s="329"/>
      <c r="Q216" s="329"/>
      <c r="R216" s="329"/>
      <c r="S216" s="329"/>
      <c r="T216" s="329"/>
      <c r="U216" s="329"/>
      <c r="V216" s="329"/>
      <c r="W216" s="329"/>
      <c r="X216" s="329"/>
    </row>
    <row r="217" spans="2:24">
      <c r="B217" s="63" t="str">
        <f t="shared" si="48"/>
        <v/>
      </c>
      <c r="C217" s="63" t="str">
        <f t="shared" si="48"/>
        <v/>
      </c>
      <c r="D217" s="63" t="str">
        <f t="shared" si="48"/>
        <v/>
      </c>
      <c r="E217" s="63" t="str">
        <f t="shared" si="48"/>
        <v/>
      </c>
      <c r="F217" s="63"/>
      <c r="G217" s="63"/>
      <c r="H217" s="63"/>
      <c r="I217" s="63"/>
      <c r="J217" s="63"/>
      <c r="K217" s="329"/>
      <c r="L217" s="329"/>
      <c r="M217" s="329"/>
      <c r="N217" s="329"/>
      <c r="O217" s="329"/>
      <c r="P217" s="329"/>
      <c r="Q217" s="329"/>
      <c r="R217" s="329"/>
      <c r="S217" s="329"/>
      <c r="T217" s="329"/>
      <c r="U217" s="329"/>
      <c r="V217" s="329"/>
      <c r="W217" s="329"/>
      <c r="X217" s="329"/>
    </row>
    <row r="218" spans="2:24">
      <c r="B218" s="63" t="str">
        <f t="shared" si="48"/>
        <v/>
      </c>
      <c r="C218" s="63" t="str">
        <f t="shared" si="48"/>
        <v/>
      </c>
      <c r="D218" s="63" t="str">
        <f t="shared" si="48"/>
        <v/>
      </c>
      <c r="E218" s="63" t="str">
        <f t="shared" si="48"/>
        <v/>
      </c>
      <c r="F218" s="63"/>
      <c r="G218" s="63"/>
      <c r="H218" s="63"/>
      <c r="I218" s="63"/>
      <c r="J218" s="63"/>
      <c r="K218" s="329"/>
      <c r="L218" s="329"/>
      <c r="M218" s="329"/>
      <c r="N218" s="329"/>
      <c r="O218" s="329"/>
      <c r="P218" s="329"/>
      <c r="Q218" s="329"/>
      <c r="R218" s="329"/>
      <c r="S218" s="329"/>
      <c r="T218" s="329"/>
      <c r="U218" s="329"/>
      <c r="V218" s="329"/>
      <c r="W218" s="329"/>
      <c r="X218" s="329"/>
    </row>
    <row r="219" spans="2:24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2:24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2:24">
      <c r="B221" s="351" t="s">
        <v>346</v>
      </c>
      <c r="C221" s="350" t="str">
        <f>C$114</f>
        <v>Moduł</v>
      </c>
      <c r="D221" s="350" t="str">
        <f t="shared" ref="D221:X221" si="49">D$114</f>
        <v>Kwalifikowalne</v>
      </c>
      <c r="E221" s="350" t="str">
        <f t="shared" si="49"/>
        <v>Koszty B+R</v>
      </c>
      <c r="F221" s="350"/>
      <c r="G221" s="350">
        <f t="shared" ca="1" si="49"/>
        <v>0</v>
      </c>
      <c r="H221" s="350">
        <f t="shared" ca="1" si="49"/>
        <v>0</v>
      </c>
      <c r="I221" s="350">
        <f t="shared" ca="1" si="49"/>
        <v>0</v>
      </c>
      <c r="J221" s="350" t="str">
        <f t="shared" si="49"/>
        <v/>
      </c>
      <c r="K221" s="350" t="str">
        <f t="shared" si="49"/>
        <v>Uzupełnij dane</v>
      </c>
      <c r="L221" s="350" t="str">
        <f t="shared" si="49"/>
        <v/>
      </c>
      <c r="M221" s="350" t="str">
        <f t="shared" si="49"/>
        <v/>
      </c>
      <c r="N221" s="350" t="str">
        <f t="shared" si="49"/>
        <v/>
      </c>
      <c r="O221" s="350" t="str">
        <f t="shared" si="49"/>
        <v/>
      </c>
      <c r="P221" s="350" t="str">
        <f t="shared" si="49"/>
        <v/>
      </c>
      <c r="Q221" s="350" t="str">
        <f t="shared" si="49"/>
        <v/>
      </c>
      <c r="R221" s="350" t="str">
        <f t="shared" si="49"/>
        <v/>
      </c>
      <c r="S221" s="350" t="str">
        <f t="shared" si="49"/>
        <v/>
      </c>
      <c r="T221" s="350" t="str">
        <f t="shared" si="49"/>
        <v/>
      </c>
      <c r="U221" s="350" t="str">
        <f t="shared" si="49"/>
        <v/>
      </c>
      <c r="V221" s="350" t="str">
        <f t="shared" si="49"/>
        <v/>
      </c>
      <c r="W221" s="350" t="str">
        <f t="shared" si="49"/>
        <v/>
      </c>
      <c r="X221" s="350" t="str">
        <f t="shared" si="49"/>
        <v/>
      </c>
    </row>
    <row r="222" spans="2:24">
      <c r="B222" s="7" t="s">
        <v>347</v>
      </c>
      <c r="C222" s="7"/>
      <c r="D222" s="7"/>
      <c r="E222" s="7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</row>
    <row r="223" spans="2:24">
      <c r="B223" s="9"/>
      <c r="C223" s="307"/>
      <c r="D223" s="307"/>
      <c r="E223" s="9"/>
      <c r="F223" s="55"/>
      <c r="G223" s="55"/>
      <c r="H223" s="55"/>
      <c r="I223" s="55"/>
      <c r="J223" s="55"/>
      <c r="K223" s="346"/>
      <c r="L223" s="346"/>
      <c r="M223" s="346"/>
      <c r="N223" s="346"/>
      <c r="O223" s="346"/>
      <c r="P223" s="346"/>
      <c r="Q223" s="346"/>
      <c r="R223" s="346"/>
      <c r="S223" s="346"/>
      <c r="T223" s="346"/>
      <c r="U223" s="346"/>
      <c r="V223" s="346"/>
      <c r="W223" s="346"/>
      <c r="X223" s="346"/>
    </row>
    <row r="224" spans="2:24">
      <c r="B224" s="9"/>
      <c r="C224" s="307"/>
      <c r="D224" s="307"/>
      <c r="E224" s="9"/>
      <c r="F224" s="55"/>
      <c r="G224" s="55"/>
      <c r="H224" s="55"/>
      <c r="I224" s="55"/>
      <c r="J224" s="55"/>
      <c r="K224" s="346"/>
      <c r="L224" s="346"/>
      <c r="M224" s="346"/>
      <c r="N224" s="346"/>
      <c r="O224" s="346"/>
      <c r="P224" s="346"/>
      <c r="Q224" s="346"/>
      <c r="R224" s="346"/>
      <c r="S224" s="346"/>
      <c r="T224" s="346"/>
      <c r="U224" s="346"/>
      <c r="V224" s="346"/>
      <c r="W224" s="346"/>
      <c r="X224" s="346"/>
    </row>
    <row r="225" spans="2:24">
      <c r="B225" s="9"/>
      <c r="C225" s="307"/>
      <c r="D225" s="307"/>
      <c r="E225" s="9"/>
      <c r="F225" s="55"/>
      <c r="G225" s="55"/>
      <c r="H225" s="55"/>
      <c r="I225" s="55"/>
      <c r="J225" s="55"/>
      <c r="K225" s="346"/>
      <c r="L225" s="346"/>
      <c r="M225" s="346"/>
      <c r="N225" s="346"/>
      <c r="O225" s="346"/>
      <c r="P225" s="346"/>
      <c r="Q225" s="346"/>
      <c r="R225" s="346"/>
      <c r="S225" s="346"/>
      <c r="T225" s="346"/>
      <c r="U225" s="346"/>
      <c r="V225" s="346"/>
      <c r="W225" s="346"/>
      <c r="X225" s="346"/>
    </row>
    <row r="226" spans="2:24">
      <c r="B226" s="9"/>
      <c r="C226" s="307"/>
      <c r="D226" s="307"/>
      <c r="E226" s="9"/>
      <c r="F226" s="55"/>
      <c r="G226" s="55"/>
      <c r="H226" s="55"/>
      <c r="I226" s="55"/>
      <c r="J226" s="55"/>
      <c r="K226" s="346"/>
      <c r="L226" s="346"/>
      <c r="M226" s="346"/>
      <c r="N226" s="346"/>
      <c r="O226" s="346"/>
      <c r="P226" s="346"/>
      <c r="Q226" s="346"/>
      <c r="R226" s="346"/>
      <c r="S226" s="346"/>
      <c r="T226" s="346"/>
      <c r="U226" s="346"/>
      <c r="V226" s="346"/>
      <c r="W226" s="346"/>
      <c r="X226" s="346"/>
    </row>
    <row r="227" spans="2:24">
      <c r="B227" s="9"/>
      <c r="C227" s="307"/>
      <c r="D227" s="307"/>
      <c r="E227" s="9"/>
      <c r="F227" s="55"/>
      <c r="G227" s="55"/>
      <c r="H227" s="55"/>
      <c r="I227" s="55"/>
      <c r="J227" s="55"/>
      <c r="K227" s="346"/>
      <c r="L227" s="346"/>
      <c r="M227" s="346"/>
      <c r="N227" s="346"/>
      <c r="O227" s="346"/>
      <c r="P227" s="346"/>
      <c r="Q227" s="346"/>
      <c r="R227" s="346"/>
      <c r="S227" s="346"/>
      <c r="T227" s="346"/>
      <c r="U227" s="346"/>
      <c r="V227" s="346"/>
      <c r="W227" s="346"/>
      <c r="X227" s="346"/>
    </row>
    <row r="228" spans="2:24">
      <c r="B228" s="9"/>
      <c r="C228" s="307"/>
      <c r="D228" s="307"/>
      <c r="E228" s="9"/>
      <c r="F228" s="55"/>
      <c r="G228" s="55"/>
      <c r="H228" s="55"/>
      <c r="I228" s="55"/>
      <c r="J228" s="55"/>
      <c r="K228" s="346"/>
      <c r="L228" s="346"/>
      <c r="M228" s="346"/>
      <c r="N228" s="346"/>
      <c r="O228" s="346"/>
      <c r="P228" s="346"/>
      <c r="Q228" s="346"/>
      <c r="R228" s="346"/>
      <c r="S228" s="346"/>
      <c r="T228" s="346"/>
      <c r="U228" s="346"/>
      <c r="V228" s="346"/>
      <c r="W228" s="346"/>
      <c r="X228" s="346"/>
    </row>
    <row r="229" spans="2:24">
      <c r="B229" s="9"/>
      <c r="C229" s="307"/>
      <c r="D229" s="307"/>
      <c r="E229" s="9"/>
      <c r="F229" s="55"/>
      <c r="G229" s="55"/>
      <c r="H229" s="55"/>
      <c r="I229" s="55"/>
      <c r="J229" s="55"/>
      <c r="K229" s="346"/>
      <c r="L229" s="346"/>
      <c r="M229" s="346"/>
      <c r="N229" s="346"/>
      <c r="O229" s="346"/>
      <c r="P229" s="346"/>
      <c r="Q229" s="346"/>
      <c r="R229" s="346"/>
      <c r="S229" s="346"/>
      <c r="T229" s="346"/>
      <c r="U229" s="346"/>
      <c r="V229" s="346"/>
      <c r="W229" s="346"/>
      <c r="X229" s="346"/>
    </row>
    <row r="230" spans="2:24">
      <c r="B230" s="9"/>
      <c r="C230" s="307"/>
      <c r="D230" s="307"/>
      <c r="E230" s="9"/>
      <c r="F230" s="55"/>
      <c r="G230" s="55"/>
      <c r="H230" s="55"/>
      <c r="I230" s="55"/>
      <c r="J230" s="55"/>
      <c r="K230" s="346"/>
      <c r="L230" s="346"/>
      <c r="M230" s="346"/>
      <c r="N230" s="346"/>
      <c r="O230" s="346"/>
      <c r="P230" s="346"/>
      <c r="Q230" s="346"/>
      <c r="R230" s="346"/>
      <c r="S230" s="346"/>
      <c r="T230" s="346"/>
      <c r="U230" s="346"/>
      <c r="V230" s="346"/>
      <c r="W230" s="346"/>
      <c r="X230" s="346"/>
    </row>
    <row r="231" spans="2:24">
      <c r="B231" s="9"/>
      <c r="C231" s="307"/>
      <c r="D231" s="307"/>
      <c r="E231" s="9"/>
      <c r="F231" s="55"/>
      <c r="G231" s="55"/>
      <c r="H231" s="55"/>
      <c r="I231" s="55"/>
      <c r="J231" s="55"/>
      <c r="K231" s="346"/>
      <c r="L231" s="346"/>
      <c r="M231" s="346"/>
      <c r="N231" s="346"/>
      <c r="O231" s="346"/>
      <c r="P231" s="346"/>
      <c r="Q231" s="346"/>
      <c r="R231" s="346"/>
      <c r="S231" s="346"/>
      <c r="T231" s="346"/>
      <c r="U231" s="346"/>
      <c r="V231" s="346"/>
      <c r="W231" s="346"/>
      <c r="X231" s="346"/>
    </row>
    <row r="232" spans="2:24">
      <c r="B232" s="9"/>
      <c r="C232" s="307"/>
      <c r="D232" s="307"/>
      <c r="E232" s="9"/>
      <c r="F232" s="55"/>
      <c r="G232" s="55"/>
      <c r="H232" s="55"/>
      <c r="I232" s="55"/>
      <c r="J232" s="55"/>
      <c r="K232" s="346"/>
      <c r="L232" s="346"/>
      <c r="M232" s="346"/>
      <c r="N232" s="346"/>
      <c r="O232" s="346"/>
      <c r="P232" s="346"/>
      <c r="Q232" s="346"/>
      <c r="R232" s="346"/>
      <c r="S232" s="346"/>
      <c r="T232" s="346"/>
      <c r="U232" s="346"/>
      <c r="V232" s="346"/>
      <c r="W232" s="346"/>
      <c r="X232" s="346"/>
    </row>
    <row r="233" spans="2:24">
      <c r="B233" s="9"/>
      <c r="C233" s="307"/>
      <c r="D233" s="307"/>
      <c r="E233" s="9"/>
      <c r="F233" s="55"/>
      <c r="G233" s="55"/>
      <c r="H233" s="55"/>
      <c r="I233" s="55"/>
      <c r="J233" s="55"/>
      <c r="K233" s="346"/>
      <c r="L233" s="346"/>
      <c r="M233" s="346"/>
      <c r="N233" s="346"/>
      <c r="O233" s="346"/>
      <c r="P233" s="346"/>
      <c r="Q233" s="346"/>
      <c r="R233" s="346"/>
      <c r="S233" s="346"/>
      <c r="T233" s="346"/>
      <c r="U233" s="346"/>
      <c r="V233" s="346"/>
      <c r="W233" s="346"/>
      <c r="X233" s="346"/>
    </row>
    <row r="234" spans="2:24">
      <c r="B234" s="9"/>
      <c r="C234" s="307"/>
      <c r="D234" s="307"/>
      <c r="E234" s="9"/>
      <c r="F234" s="55"/>
      <c r="G234" s="55"/>
      <c r="H234" s="55"/>
      <c r="I234" s="55"/>
      <c r="J234" s="55"/>
      <c r="K234" s="346"/>
      <c r="L234" s="346"/>
      <c r="M234" s="346"/>
      <c r="N234" s="346"/>
      <c r="O234" s="346"/>
      <c r="P234" s="346"/>
      <c r="Q234" s="346"/>
      <c r="R234" s="346"/>
      <c r="S234" s="346"/>
      <c r="T234" s="346"/>
      <c r="U234" s="346"/>
      <c r="V234" s="346"/>
      <c r="W234" s="346"/>
      <c r="X234" s="346"/>
    </row>
    <row r="235" spans="2:24">
      <c r="B235" s="9"/>
      <c r="C235" s="307"/>
      <c r="D235" s="307"/>
      <c r="E235" s="9"/>
      <c r="F235" s="55"/>
      <c r="G235" s="55"/>
      <c r="H235" s="55"/>
      <c r="I235" s="55"/>
      <c r="J235" s="55"/>
      <c r="K235" s="346"/>
      <c r="L235" s="346"/>
      <c r="M235" s="346"/>
      <c r="N235" s="346"/>
      <c r="O235" s="346"/>
      <c r="P235" s="346"/>
      <c r="Q235" s="346"/>
      <c r="R235" s="346"/>
      <c r="S235" s="346"/>
      <c r="T235" s="346"/>
      <c r="U235" s="346"/>
      <c r="V235" s="346"/>
      <c r="W235" s="346"/>
      <c r="X235" s="346"/>
    </row>
    <row r="236" spans="2:24">
      <c r="B236" s="9"/>
      <c r="C236" s="307"/>
      <c r="D236" s="307"/>
      <c r="E236" s="9"/>
      <c r="F236" s="55"/>
      <c r="G236" s="55"/>
      <c r="H236" s="55"/>
      <c r="I236" s="55"/>
      <c r="J236" s="55"/>
      <c r="K236" s="346"/>
      <c r="L236" s="346"/>
      <c r="M236" s="346"/>
      <c r="N236" s="346"/>
      <c r="O236" s="346"/>
      <c r="P236" s="346"/>
      <c r="Q236" s="346"/>
      <c r="R236" s="346"/>
      <c r="S236" s="346"/>
      <c r="T236" s="346"/>
      <c r="U236" s="346"/>
      <c r="V236" s="346"/>
      <c r="W236" s="346"/>
      <c r="X236" s="346"/>
    </row>
    <row r="237" spans="2:24">
      <c r="B237" s="9"/>
      <c r="C237" s="307"/>
      <c r="D237" s="307"/>
      <c r="E237" s="9"/>
      <c r="F237" s="55"/>
      <c r="G237" s="55"/>
      <c r="H237" s="55"/>
      <c r="I237" s="55"/>
      <c r="J237" s="55"/>
      <c r="K237" s="346"/>
      <c r="L237" s="346"/>
      <c r="M237" s="346"/>
      <c r="N237" s="346"/>
      <c r="O237" s="346"/>
      <c r="P237" s="346"/>
      <c r="Q237" s="346"/>
      <c r="R237" s="346"/>
      <c r="S237" s="346"/>
      <c r="T237" s="346"/>
      <c r="U237" s="346"/>
      <c r="V237" s="346"/>
      <c r="W237" s="346"/>
      <c r="X237" s="346"/>
    </row>
    <row r="238" spans="2:24">
      <c r="B238" s="9"/>
      <c r="C238" s="307"/>
      <c r="D238" s="307"/>
      <c r="E238" s="9"/>
      <c r="F238" s="55"/>
      <c r="G238" s="55"/>
      <c r="H238" s="55"/>
      <c r="I238" s="55"/>
      <c r="J238" s="55"/>
      <c r="K238" s="346"/>
      <c r="L238" s="346"/>
      <c r="M238" s="346"/>
      <c r="N238" s="346"/>
      <c r="O238" s="346"/>
      <c r="P238" s="346"/>
      <c r="Q238" s="346"/>
      <c r="R238" s="346"/>
      <c r="S238" s="346"/>
      <c r="T238" s="346"/>
      <c r="U238" s="346"/>
      <c r="V238" s="346"/>
      <c r="W238" s="346"/>
      <c r="X238" s="346"/>
    </row>
    <row r="239" spans="2:24">
      <c r="B239" s="9"/>
      <c r="C239" s="307"/>
      <c r="D239" s="307"/>
      <c r="E239" s="9"/>
      <c r="F239" s="55"/>
      <c r="G239" s="55"/>
      <c r="H239" s="55"/>
      <c r="I239" s="55"/>
      <c r="J239" s="55"/>
      <c r="K239" s="346"/>
      <c r="L239" s="346"/>
      <c r="M239" s="346"/>
      <c r="N239" s="346"/>
      <c r="O239" s="346"/>
      <c r="P239" s="346"/>
      <c r="Q239" s="346"/>
      <c r="R239" s="346"/>
      <c r="S239" s="346"/>
      <c r="T239" s="346"/>
      <c r="U239" s="346"/>
      <c r="V239" s="346"/>
      <c r="W239" s="346"/>
      <c r="X239" s="346"/>
    </row>
    <row r="240" spans="2:24">
      <c r="B240" s="9"/>
      <c r="C240" s="307"/>
      <c r="D240" s="307"/>
      <c r="E240" s="9"/>
      <c r="F240" s="55"/>
      <c r="G240" s="55"/>
      <c r="H240" s="55"/>
      <c r="I240" s="55"/>
      <c r="J240" s="55"/>
      <c r="K240" s="346"/>
      <c r="L240" s="346"/>
      <c r="M240" s="346"/>
      <c r="N240" s="346"/>
      <c r="O240" s="346"/>
      <c r="P240" s="346"/>
      <c r="Q240" s="346"/>
      <c r="R240" s="346"/>
      <c r="S240" s="346"/>
      <c r="T240" s="346"/>
      <c r="U240" s="346"/>
      <c r="V240" s="346"/>
      <c r="W240" s="346"/>
      <c r="X240" s="346"/>
    </row>
    <row r="241" spans="2:24">
      <c r="B241" s="9"/>
      <c r="C241" s="307"/>
      <c r="D241" s="307"/>
      <c r="E241" s="9"/>
      <c r="F241" s="55"/>
      <c r="G241" s="55"/>
      <c r="H241" s="55"/>
      <c r="I241" s="55"/>
      <c r="J241" s="55"/>
      <c r="K241" s="346"/>
      <c r="L241" s="346"/>
      <c r="M241" s="346"/>
      <c r="N241" s="346"/>
      <c r="O241" s="346"/>
      <c r="P241" s="346"/>
      <c r="Q241" s="346"/>
      <c r="R241" s="346"/>
      <c r="S241" s="346"/>
      <c r="T241" s="346"/>
      <c r="U241" s="346"/>
      <c r="V241" s="346"/>
      <c r="W241" s="346"/>
      <c r="X241" s="346"/>
    </row>
    <row r="242" spans="2:24">
      <c r="B242" s="9"/>
      <c r="C242" s="307"/>
      <c r="D242" s="307"/>
      <c r="E242" s="9"/>
      <c r="F242" s="55"/>
      <c r="G242" s="55"/>
      <c r="H242" s="55"/>
      <c r="I242" s="55"/>
      <c r="J242" s="55"/>
      <c r="K242" s="346"/>
      <c r="L242" s="346"/>
      <c r="M242" s="346"/>
      <c r="N242" s="346"/>
      <c r="O242" s="346"/>
      <c r="P242" s="346"/>
      <c r="Q242" s="346"/>
      <c r="R242" s="346"/>
      <c r="S242" s="346"/>
      <c r="T242" s="346"/>
      <c r="U242" s="346"/>
      <c r="V242" s="346"/>
      <c r="W242" s="346"/>
      <c r="X242" s="346"/>
    </row>
    <row r="243" spans="2:24">
      <c r="B243" s="9"/>
      <c r="C243" s="307"/>
      <c r="D243" s="307"/>
      <c r="E243" s="9"/>
      <c r="F243" s="55"/>
      <c r="G243" s="55"/>
      <c r="H243" s="55"/>
      <c r="I243" s="55"/>
      <c r="J243" s="55"/>
      <c r="K243" s="346"/>
      <c r="L243" s="346"/>
      <c r="M243" s="346"/>
      <c r="N243" s="346"/>
      <c r="O243" s="346"/>
      <c r="P243" s="346"/>
      <c r="Q243" s="346"/>
      <c r="R243" s="346"/>
      <c r="S243" s="346"/>
      <c r="T243" s="346"/>
      <c r="U243" s="346"/>
      <c r="V243" s="346"/>
      <c r="W243" s="346"/>
      <c r="X243" s="346"/>
    </row>
    <row r="244" spans="2:24">
      <c r="B244" s="9"/>
      <c r="C244" s="307"/>
      <c r="D244" s="307"/>
      <c r="E244" s="9"/>
      <c r="F244" s="55"/>
      <c r="G244" s="55"/>
      <c r="H244" s="55"/>
      <c r="I244" s="55"/>
      <c r="J244" s="55"/>
      <c r="K244" s="346"/>
      <c r="L244" s="346"/>
      <c r="M244" s="346"/>
      <c r="N244" s="346"/>
      <c r="O244" s="346"/>
      <c r="P244" s="346"/>
      <c r="Q244" s="346"/>
      <c r="R244" s="346"/>
      <c r="S244" s="346"/>
      <c r="T244" s="346"/>
      <c r="U244" s="346"/>
      <c r="V244" s="346"/>
      <c r="W244" s="346"/>
      <c r="X244" s="346"/>
    </row>
    <row r="245" spans="2:24">
      <c r="B245" s="9"/>
      <c r="C245" s="307"/>
      <c r="D245" s="307"/>
      <c r="E245" s="9"/>
      <c r="F245" s="55"/>
      <c r="G245" s="55"/>
      <c r="H245" s="55"/>
      <c r="I245" s="55"/>
      <c r="J245" s="55"/>
      <c r="K245" s="346"/>
      <c r="L245" s="346"/>
      <c r="M245" s="346"/>
      <c r="N245" s="346"/>
      <c r="O245" s="346"/>
      <c r="P245" s="346"/>
      <c r="Q245" s="346"/>
      <c r="R245" s="346"/>
      <c r="S245" s="346"/>
      <c r="T245" s="346"/>
      <c r="U245" s="346"/>
      <c r="V245" s="346"/>
      <c r="W245" s="346"/>
      <c r="X245" s="346"/>
    </row>
    <row r="246" spans="2:24">
      <c r="B246" s="9"/>
      <c r="C246" s="307"/>
      <c r="D246" s="307"/>
      <c r="E246" s="9"/>
      <c r="F246" s="55"/>
      <c r="G246" s="55"/>
      <c r="H246" s="55"/>
      <c r="I246" s="55"/>
      <c r="J246" s="55"/>
      <c r="K246" s="346"/>
      <c r="L246" s="346"/>
      <c r="M246" s="346"/>
      <c r="N246" s="346"/>
      <c r="O246" s="346"/>
      <c r="P246" s="346"/>
      <c r="Q246" s="346"/>
      <c r="R246" s="346"/>
      <c r="S246" s="346"/>
      <c r="T246" s="346"/>
      <c r="U246" s="346"/>
      <c r="V246" s="346"/>
      <c r="W246" s="346"/>
      <c r="X246" s="346"/>
    </row>
    <row r="247" spans="2:24">
      <c r="B247" s="9"/>
      <c r="C247" s="307"/>
      <c r="D247" s="307"/>
      <c r="E247" s="9"/>
      <c r="F247" s="55"/>
      <c r="G247" s="55"/>
      <c r="H247" s="55"/>
      <c r="I247" s="55"/>
      <c r="J247" s="55"/>
      <c r="K247" s="346"/>
      <c r="L247" s="346"/>
      <c r="M247" s="346"/>
      <c r="N247" s="346"/>
      <c r="O247" s="346"/>
      <c r="P247" s="346"/>
      <c r="Q247" s="346"/>
      <c r="R247" s="346"/>
      <c r="S247" s="346"/>
      <c r="T247" s="346"/>
      <c r="U247" s="346"/>
      <c r="V247" s="346"/>
      <c r="W247" s="346"/>
      <c r="X247" s="346"/>
    </row>
    <row r="248" spans="2:24">
      <c r="B248" s="9"/>
      <c r="C248" s="307"/>
      <c r="D248" s="307"/>
      <c r="E248" s="9"/>
      <c r="F248" s="55"/>
      <c r="G248" s="55"/>
      <c r="H248" s="55"/>
      <c r="I248" s="55"/>
      <c r="J248" s="55"/>
      <c r="K248" s="346"/>
      <c r="L248" s="346"/>
      <c r="M248" s="346"/>
      <c r="N248" s="346"/>
      <c r="O248" s="346"/>
      <c r="P248" s="346"/>
      <c r="Q248" s="346"/>
      <c r="R248" s="346"/>
      <c r="S248" s="346"/>
      <c r="T248" s="346"/>
      <c r="U248" s="346"/>
      <c r="V248" s="346"/>
      <c r="W248" s="346"/>
      <c r="X248" s="346"/>
    </row>
    <row r="249" spans="2:24">
      <c r="B249" s="9"/>
      <c r="C249" s="307"/>
      <c r="D249" s="307"/>
      <c r="E249" s="9"/>
      <c r="F249" s="55"/>
      <c r="G249" s="55"/>
      <c r="H249" s="55"/>
      <c r="I249" s="55"/>
      <c r="J249" s="55"/>
      <c r="K249" s="346"/>
      <c r="L249" s="346"/>
      <c r="M249" s="346"/>
      <c r="N249" s="346"/>
      <c r="O249" s="346"/>
      <c r="P249" s="346"/>
      <c r="Q249" s="346"/>
      <c r="R249" s="346"/>
      <c r="S249" s="346"/>
      <c r="T249" s="346"/>
      <c r="U249" s="346"/>
      <c r="V249" s="346"/>
      <c r="W249" s="346"/>
      <c r="X249" s="346"/>
    </row>
    <row r="250" spans="2:24">
      <c r="B250" s="9"/>
      <c r="C250" s="307"/>
      <c r="D250" s="307"/>
      <c r="E250" s="9"/>
      <c r="F250" s="55"/>
      <c r="G250" s="55"/>
      <c r="H250" s="55"/>
      <c r="I250" s="55"/>
      <c r="J250" s="55"/>
      <c r="K250" s="346"/>
      <c r="L250" s="346"/>
      <c r="M250" s="346"/>
      <c r="N250" s="346"/>
      <c r="O250" s="346"/>
      <c r="P250" s="346"/>
      <c r="Q250" s="346"/>
      <c r="R250" s="346"/>
      <c r="S250" s="346"/>
      <c r="T250" s="346"/>
      <c r="U250" s="346"/>
      <c r="V250" s="346"/>
      <c r="W250" s="346"/>
      <c r="X250" s="346"/>
    </row>
    <row r="251" spans="2:24">
      <c r="B251" s="9"/>
      <c r="C251" s="307"/>
      <c r="D251" s="307"/>
      <c r="E251" s="9"/>
      <c r="F251" s="55"/>
      <c r="G251" s="55"/>
      <c r="H251" s="55"/>
      <c r="I251" s="55"/>
      <c r="J251" s="55"/>
      <c r="K251" s="346"/>
      <c r="L251" s="346"/>
      <c r="M251" s="346"/>
      <c r="N251" s="346"/>
      <c r="O251" s="346"/>
      <c r="P251" s="346"/>
      <c r="Q251" s="346"/>
      <c r="R251" s="346"/>
      <c r="S251" s="346"/>
      <c r="T251" s="346"/>
      <c r="U251" s="346"/>
      <c r="V251" s="346"/>
      <c r="W251" s="346"/>
      <c r="X251" s="346"/>
    </row>
    <row r="252" spans="2:24">
      <c r="B252" s="9"/>
      <c r="C252" s="307"/>
      <c r="D252" s="307"/>
      <c r="E252" s="9"/>
      <c r="F252" s="55"/>
      <c r="G252" s="55"/>
      <c r="H252" s="55"/>
      <c r="I252" s="55"/>
      <c r="J252" s="55"/>
      <c r="K252" s="346"/>
      <c r="L252" s="346"/>
      <c r="M252" s="346"/>
      <c r="N252" s="346"/>
      <c r="O252" s="346"/>
      <c r="P252" s="346"/>
      <c r="Q252" s="346"/>
      <c r="R252" s="346"/>
      <c r="S252" s="346"/>
      <c r="T252" s="346"/>
      <c r="U252" s="346"/>
      <c r="V252" s="346"/>
      <c r="W252" s="346"/>
      <c r="X252" s="346"/>
    </row>
    <row r="253" spans="2:24">
      <c r="B253" s="9"/>
      <c r="C253" s="307"/>
      <c r="D253" s="307"/>
      <c r="E253" s="9"/>
      <c r="F253" s="55"/>
      <c r="G253" s="55"/>
      <c r="H253" s="55"/>
      <c r="I253" s="55"/>
      <c r="J253" s="55"/>
      <c r="K253" s="346"/>
      <c r="L253" s="346"/>
      <c r="M253" s="346"/>
      <c r="N253" s="346"/>
      <c r="O253" s="346"/>
      <c r="P253" s="346"/>
      <c r="Q253" s="346"/>
      <c r="R253" s="346"/>
      <c r="S253" s="346"/>
      <c r="T253" s="346"/>
      <c r="U253" s="346"/>
      <c r="V253" s="346"/>
      <c r="W253" s="346"/>
      <c r="X253" s="346"/>
    </row>
    <row r="254" spans="2:24">
      <c r="B254" s="9"/>
      <c r="C254" s="307"/>
      <c r="D254" s="307"/>
      <c r="E254" s="9"/>
      <c r="F254" s="55"/>
      <c r="G254" s="55"/>
      <c r="H254" s="55"/>
      <c r="I254" s="55"/>
      <c r="J254" s="55"/>
      <c r="K254" s="346"/>
      <c r="L254" s="346"/>
      <c r="M254" s="346"/>
      <c r="N254" s="346"/>
      <c r="O254" s="346"/>
      <c r="P254" s="346"/>
      <c r="Q254" s="346"/>
      <c r="R254" s="346"/>
      <c r="S254" s="346"/>
      <c r="T254" s="346"/>
      <c r="U254" s="346"/>
      <c r="V254" s="346"/>
      <c r="W254" s="346"/>
      <c r="X254" s="346"/>
    </row>
    <row r="255" spans="2:24">
      <c r="B255" s="9"/>
      <c r="C255" s="307"/>
      <c r="D255" s="307"/>
      <c r="E255" s="9"/>
      <c r="F255" s="55"/>
      <c r="G255" s="55"/>
      <c r="H255" s="55"/>
      <c r="I255" s="55"/>
      <c r="J255" s="55"/>
      <c r="K255" s="346"/>
      <c r="L255" s="346"/>
      <c r="M255" s="346"/>
      <c r="N255" s="346"/>
      <c r="O255" s="346"/>
      <c r="P255" s="346"/>
      <c r="Q255" s="346"/>
      <c r="R255" s="346"/>
      <c r="S255" s="346"/>
      <c r="T255" s="346"/>
      <c r="U255" s="346"/>
      <c r="V255" s="346"/>
      <c r="W255" s="346"/>
      <c r="X255" s="346"/>
    </row>
    <row r="256" spans="2:24">
      <c r="B256" s="9"/>
      <c r="C256" s="307"/>
      <c r="D256" s="307"/>
      <c r="E256" s="9"/>
      <c r="F256" s="55"/>
      <c r="G256" s="55"/>
      <c r="H256" s="55"/>
      <c r="I256" s="55"/>
      <c r="J256" s="55"/>
      <c r="K256" s="346"/>
      <c r="L256" s="346"/>
      <c r="M256" s="346"/>
      <c r="N256" s="346"/>
      <c r="O256" s="346"/>
      <c r="P256" s="346"/>
      <c r="Q256" s="346"/>
      <c r="R256" s="346"/>
      <c r="S256" s="346"/>
      <c r="T256" s="346"/>
      <c r="U256" s="346"/>
      <c r="V256" s="346"/>
      <c r="W256" s="346"/>
      <c r="X256" s="346"/>
    </row>
    <row r="257" spans="2:24">
      <c r="B257" s="9"/>
      <c r="C257" s="307"/>
      <c r="D257" s="307"/>
      <c r="E257" s="9"/>
      <c r="F257" s="55"/>
      <c r="G257" s="55"/>
      <c r="H257" s="55"/>
      <c r="I257" s="55"/>
      <c r="J257" s="55"/>
      <c r="K257" s="346"/>
      <c r="L257" s="346"/>
      <c r="M257" s="346"/>
      <c r="N257" s="346"/>
      <c r="O257" s="346"/>
      <c r="P257" s="346"/>
      <c r="Q257" s="346"/>
      <c r="R257" s="346"/>
      <c r="S257" s="346"/>
      <c r="T257" s="346"/>
      <c r="U257" s="346"/>
      <c r="V257" s="346"/>
      <c r="W257" s="346"/>
      <c r="X257" s="346"/>
    </row>
    <row r="258" spans="2:24">
      <c r="B258" s="9"/>
      <c r="C258" s="307"/>
      <c r="D258" s="307"/>
      <c r="E258" s="9"/>
      <c r="F258" s="55"/>
      <c r="G258" s="55"/>
      <c r="H258" s="55"/>
      <c r="I258" s="55"/>
      <c r="J258" s="55"/>
      <c r="K258" s="346"/>
      <c r="L258" s="346"/>
      <c r="M258" s="346"/>
      <c r="N258" s="346"/>
      <c r="O258" s="346"/>
      <c r="P258" s="346"/>
      <c r="Q258" s="346"/>
      <c r="R258" s="346"/>
      <c r="S258" s="346"/>
      <c r="T258" s="346"/>
      <c r="U258" s="346"/>
      <c r="V258" s="346"/>
      <c r="W258" s="346"/>
      <c r="X258" s="346"/>
    </row>
    <row r="259" spans="2:24">
      <c r="B259" s="9"/>
      <c r="C259" s="307"/>
      <c r="D259" s="307"/>
      <c r="E259" s="9"/>
      <c r="F259" s="55"/>
      <c r="G259" s="55"/>
      <c r="H259" s="55"/>
      <c r="I259" s="55"/>
      <c r="J259" s="55"/>
      <c r="K259" s="346"/>
      <c r="L259" s="346"/>
      <c r="M259" s="346"/>
      <c r="N259" s="346"/>
      <c r="O259" s="346"/>
      <c r="P259" s="346"/>
      <c r="Q259" s="346"/>
      <c r="R259" s="346"/>
      <c r="S259" s="346"/>
      <c r="T259" s="346"/>
      <c r="U259" s="346"/>
      <c r="V259" s="346"/>
      <c r="W259" s="346"/>
      <c r="X259" s="346"/>
    </row>
    <row r="260" spans="2:24">
      <c r="B260" s="9"/>
      <c r="C260" s="307"/>
      <c r="D260" s="307"/>
      <c r="E260" s="9"/>
      <c r="F260" s="55"/>
      <c r="G260" s="55"/>
      <c r="H260" s="55"/>
      <c r="I260" s="55"/>
      <c r="J260" s="55"/>
      <c r="K260" s="346"/>
      <c r="L260" s="346"/>
      <c r="M260" s="346"/>
      <c r="N260" s="346"/>
      <c r="O260" s="346"/>
      <c r="P260" s="346"/>
      <c r="Q260" s="346"/>
      <c r="R260" s="346"/>
      <c r="S260" s="346"/>
      <c r="T260" s="346"/>
      <c r="U260" s="346"/>
      <c r="V260" s="346"/>
      <c r="W260" s="346"/>
      <c r="X260" s="346"/>
    </row>
    <row r="261" spans="2:24">
      <c r="B261" s="9"/>
      <c r="C261" s="307"/>
      <c r="D261" s="307"/>
      <c r="E261" s="9"/>
      <c r="F261" s="55"/>
      <c r="G261" s="55"/>
      <c r="H261" s="55"/>
      <c r="I261" s="55"/>
      <c r="J261" s="55"/>
      <c r="K261" s="346"/>
      <c r="L261" s="346"/>
      <c r="M261" s="346"/>
      <c r="N261" s="346"/>
      <c r="O261" s="346"/>
      <c r="P261" s="346"/>
      <c r="Q261" s="346"/>
      <c r="R261" s="346"/>
      <c r="S261" s="346"/>
      <c r="T261" s="346"/>
      <c r="U261" s="346"/>
      <c r="V261" s="346"/>
      <c r="W261" s="346"/>
      <c r="X261" s="346"/>
    </row>
    <row r="262" spans="2:24">
      <c r="B262" s="9"/>
      <c r="C262" s="307"/>
      <c r="D262" s="307"/>
      <c r="E262" s="9"/>
      <c r="F262" s="55"/>
      <c r="G262" s="55"/>
      <c r="H262" s="55"/>
      <c r="I262" s="55"/>
      <c r="J262" s="55"/>
      <c r="K262" s="346"/>
      <c r="L262" s="346"/>
      <c r="M262" s="346"/>
      <c r="N262" s="346"/>
      <c r="O262" s="346"/>
      <c r="P262" s="346"/>
      <c r="Q262" s="346"/>
      <c r="R262" s="346"/>
      <c r="S262" s="346"/>
      <c r="T262" s="346"/>
      <c r="U262" s="346"/>
      <c r="V262" s="346"/>
      <c r="W262" s="346"/>
      <c r="X262" s="346"/>
    </row>
    <row r="263" spans="2:24" customFormat="1"/>
    <row r="264" spans="2:24">
      <c r="B264" s="351" t="s">
        <v>668</v>
      </c>
      <c r="C264" s="350" t="str">
        <f>C$114</f>
        <v>Moduł</v>
      </c>
      <c r="D264" s="350" t="str">
        <f t="shared" ref="D264:X264" si="50">D$114</f>
        <v>Kwalifikowalne</v>
      </c>
      <c r="E264" s="350" t="str">
        <f t="shared" si="50"/>
        <v>Koszty B+R</v>
      </c>
      <c r="F264" s="350"/>
      <c r="G264" s="350">
        <f t="shared" ca="1" si="50"/>
        <v>0</v>
      </c>
      <c r="H264" s="350">
        <f t="shared" ca="1" si="50"/>
        <v>0</v>
      </c>
      <c r="I264" s="350">
        <f t="shared" ca="1" si="50"/>
        <v>0</v>
      </c>
      <c r="J264" s="350" t="str">
        <f t="shared" si="50"/>
        <v/>
      </c>
      <c r="K264" s="350" t="str">
        <f t="shared" si="50"/>
        <v>Uzupełnij dane</v>
      </c>
      <c r="L264" s="350" t="str">
        <f t="shared" si="50"/>
        <v/>
      </c>
      <c r="M264" s="350" t="str">
        <f t="shared" si="50"/>
        <v/>
      </c>
      <c r="N264" s="350" t="str">
        <f t="shared" si="50"/>
        <v/>
      </c>
      <c r="O264" s="350" t="str">
        <f t="shared" si="50"/>
        <v/>
      </c>
      <c r="P264" s="350" t="str">
        <f t="shared" si="50"/>
        <v/>
      </c>
      <c r="Q264" s="350" t="str">
        <f t="shared" si="50"/>
        <v/>
      </c>
      <c r="R264" s="350" t="str">
        <f t="shared" si="50"/>
        <v/>
      </c>
      <c r="S264" s="350" t="str">
        <f t="shared" si="50"/>
        <v/>
      </c>
      <c r="T264" s="350" t="str">
        <f t="shared" si="50"/>
        <v/>
      </c>
      <c r="U264" s="350" t="str">
        <f t="shared" si="50"/>
        <v/>
      </c>
      <c r="V264" s="350" t="str">
        <f t="shared" si="50"/>
        <v/>
      </c>
      <c r="W264" s="350" t="str">
        <f t="shared" si="50"/>
        <v/>
      </c>
      <c r="X264" s="350" t="str">
        <f t="shared" si="50"/>
        <v/>
      </c>
    </row>
    <row r="265" spans="2:24">
      <c r="B265" s="19" t="str">
        <f t="shared" ref="B265:E284" si="51">IF(ISBLANK(B223),"",B223)</f>
        <v/>
      </c>
      <c r="C265" s="501" t="str">
        <f t="shared" si="51"/>
        <v/>
      </c>
      <c r="D265" s="501" t="str">
        <f t="shared" si="51"/>
        <v/>
      </c>
      <c r="E265" s="19" t="str">
        <f t="shared" si="51"/>
        <v/>
      </c>
      <c r="F265" s="19"/>
      <c r="G265" s="19"/>
      <c r="H265" s="19"/>
      <c r="I265" s="19"/>
      <c r="J265" s="19"/>
      <c r="K265" s="347"/>
      <c r="L265" s="347"/>
      <c r="M265" s="347"/>
      <c r="N265" s="347"/>
      <c r="O265" s="347"/>
      <c r="P265" s="347"/>
      <c r="Q265" s="347"/>
      <c r="R265" s="347"/>
      <c r="S265" s="347"/>
      <c r="T265" s="347"/>
      <c r="U265" s="347"/>
      <c r="V265" s="347"/>
      <c r="W265" s="347"/>
      <c r="X265" s="347"/>
    </row>
    <row r="266" spans="2:24">
      <c r="B266" s="52" t="str">
        <f t="shared" si="51"/>
        <v/>
      </c>
      <c r="C266" s="492" t="str">
        <f t="shared" si="51"/>
        <v/>
      </c>
      <c r="D266" s="492" t="str">
        <f t="shared" si="51"/>
        <v/>
      </c>
      <c r="E266" s="52" t="str">
        <f t="shared" si="51"/>
        <v/>
      </c>
      <c r="F266" s="52"/>
      <c r="G266" s="52"/>
      <c r="H266" s="52"/>
      <c r="I266" s="52"/>
      <c r="J266" s="52"/>
      <c r="K266" s="347"/>
      <c r="L266" s="347"/>
      <c r="M266" s="347"/>
      <c r="N266" s="347"/>
      <c r="O266" s="347"/>
      <c r="P266" s="347"/>
      <c r="Q266" s="347"/>
      <c r="R266" s="347"/>
      <c r="S266" s="347"/>
      <c r="T266" s="347"/>
      <c r="U266" s="347"/>
      <c r="V266" s="347"/>
      <c r="W266" s="347"/>
      <c r="X266" s="347"/>
    </row>
    <row r="267" spans="2:24">
      <c r="B267" s="52" t="str">
        <f t="shared" si="51"/>
        <v/>
      </c>
      <c r="C267" s="492" t="str">
        <f t="shared" si="51"/>
        <v/>
      </c>
      <c r="D267" s="492" t="str">
        <f t="shared" si="51"/>
        <v/>
      </c>
      <c r="E267" s="52" t="str">
        <f t="shared" si="51"/>
        <v/>
      </c>
      <c r="F267" s="52"/>
      <c r="G267" s="52"/>
      <c r="H267" s="52"/>
      <c r="I267" s="52"/>
      <c r="J267" s="52"/>
      <c r="K267" s="347"/>
      <c r="L267" s="347"/>
      <c r="M267" s="347"/>
      <c r="N267" s="347"/>
      <c r="O267" s="347"/>
      <c r="P267" s="347"/>
      <c r="Q267" s="347"/>
      <c r="R267" s="347"/>
      <c r="S267" s="347"/>
      <c r="T267" s="347"/>
      <c r="U267" s="347"/>
      <c r="V267" s="347"/>
      <c r="W267" s="347"/>
      <c r="X267" s="347"/>
    </row>
    <row r="268" spans="2:24">
      <c r="B268" s="52" t="str">
        <f t="shared" si="51"/>
        <v/>
      </c>
      <c r="C268" s="492" t="str">
        <f t="shared" si="51"/>
        <v/>
      </c>
      <c r="D268" s="492" t="str">
        <f t="shared" si="51"/>
        <v/>
      </c>
      <c r="E268" s="52" t="str">
        <f t="shared" si="51"/>
        <v/>
      </c>
      <c r="F268" s="52"/>
      <c r="G268" s="52"/>
      <c r="H268" s="52"/>
      <c r="I268" s="52"/>
      <c r="J268" s="52"/>
      <c r="K268" s="347"/>
      <c r="L268" s="347"/>
      <c r="M268" s="347"/>
      <c r="N268" s="347"/>
      <c r="O268" s="347"/>
      <c r="P268" s="347"/>
      <c r="Q268" s="347"/>
      <c r="R268" s="347"/>
      <c r="S268" s="347"/>
      <c r="T268" s="347"/>
      <c r="U268" s="347"/>
      <c r="V268" s="347"/>
      <c r="W268" s="347"/>
      <c r="X268" s="347"/>
    </row>
    <row r="269" spans="2:24">
      <c r="B269" s="52" t="str">
        <f t="shared" si="51"/>
        <v/>
      </c>
      <c r="C269" s="492" t="str">
        <f t="shared" si="51"/>
        <v/>
      </c>
      <c r="D269" s="492" t="str">
        <f t="shared" si="51"/>
        <v/>
      </c>
      <c r="E269" s="52" t="str">
        <f t="shared" si="51"/>
        <v/>
      </c>
      <c r="F269" s="52"/>
      <c r="G269" s="52"/>
      <c r="H269" s="52"/>
      <c r="I269" s="52"/>
      <c r="J269" s="52"/>
      <c r="K269" s="347"/>
      <c r="L269" s="347"/>
      <c r="M269" s="347"/>
      <c r="N269" s="347"/>
      <c r="O269" s="347"/>
      <c r="P269" s="347"/>
      <c r="Q269" s="347"/>
      <c r="R269" s="347"/>
      <c r="S269" s="347"/>
      <c r="T269" s="347"/>
      <c r="U269" s="347"/>
      <c r="V269" s="347"/>
      <c r="W269" s="347"/>
      <c r="X269" s="347"/>
    </row>
    <row r="270" spans="2:24">
      <c r="B270" s="52" t="str">
        <f t="shared" si="51"/>
        <v/>
      </c>
      <c r="C270" s="492" t="str">
        <f t="shared" si="51"/>
        <v/>
      </c>
      <c r="D270" s="492" t="str">
        <f t="shared" si="51"/>
        <v/>
      </c>
      <c r="E270" s="52" t="str">
        <f t="shared" si="51"/>
        <v/>
      </c>
      <c r="F270" s="52"/>
      <c r="G270" s="52"/>
      <c r="H270" s="52"/>
      <c r="I270" s="52"/>
      <c r="J270" s="52"/>
      <c r="K270" s="347"/>
      <c r="L270" s="347"/>
      <c r="M270" s="347"/>
      <c r="N270" s="347"/>
      <c r="O270" s="347"/>
      <c r="P270" s="347"/>
      <c r="Q270" s="347"/>
      <c r="R270" s="347"/>
      <c r="S270" s="347"/>
      <c r="T270" s="347"/>
      <c r="U270" s="347"/>
      <c r="V270" s="347"/>
      <c r="W270" s="347"/>
      <c r="X270" s="347"/>
    </row>
    <row r="271" spans="2:24">
      <c r="B271" s="52" t="str">
        <f t="shared" si="51"/>
        <v/>
      </c>
      <c r="C271" s="492" t="str">
        <f t="shared" si="51"/>
        <v/>
      </c>
      <c r="D271" s="492" t="str">
        <f t="shared" si="51"/>
        <v/>
      </c>
      <c r="E271" s="52" t="str">
        <f t="shared" si="51"/>
        <v/>
      </c>
      <c r="F271" s="52"/>
      <c r="G271" s="52"/>
      <c r="H271" s="52"/>
      <c r="I271" s="52"/>
      <c r="J271" s="52"/>
      <c r="K271" s="347"/>
      <c r="L271" s="347"/>
      <c r="M271" s="347"/>
      <c r="N271" s="347"/>
      <c r="O271" s="347"/>
      <c r="P271" s="347"/>
      <c r="Q271" s="347"/>
      <c r="R271" s="347"/>
      <c r="S271" s="347"/>
      <c r="T271" s="347"/>
      <c r="U271" s="347"/>
      <c r="V271" s="347"/>
      <c r="W271" s="347"/>
      <c r="X271" s="347"/>
    </row>
    <row r="272" spans="2:24">
      <c r="B272" s="52" t="str">
        <f t="shared" si="51"/>
        <v/>
      </c>
      <c r="C272" s="492" t="str">
        <f t="shared" si="51"/>
        <v/>
      </c>
      <c r="D272" s="492" t="str">
        <f t="shared" si="51"/>
        <v/>
      </c>
      <c r="E272" s="52" t="str">
        <f t="shared" si="51"/>
        <v/>
      </c>
      <c r="F272" s="52"/>
      <c r="G272" s="52"/>
      <c r="H272" s="52"/>
      <c r="I272" s="52"/>
      <c r="J272" s="52"/>
      <c r="K272" s="347"/>
      <c r="L272" s="347"/>
      <c r="M272" s="347"/>
      <c r="N272" s="347"/>
      <c r="O272" s="347"/>
      <c r="P272" s="347"/>
      <c r="Q272" s="347"/>
      <c r="R272" s="347"/>
      <c r="S272" s="347"/>
      <c r="T272" s="347"/>
      <c r="U272" s="347"/>
      <c r="V272" s="347"/>
      <c r="W272" s="347"/>
      <c r="X272" s="347"/>
    </row>
    <row r="273" spans="2:24">
      <c r="B273" s="52" t="str">
        <f t="shared" si="51"/>
        <v/>
      </c>
      <c r="C273" s="492" t="str">
        <f t="shared" si="51"/>
        <v/>
      </c>
      <c r="D273" s="492" t="str">
        <f t="shared" si="51"/>
        <v/>
      </c>
      <c r="E273" s="52" t="str">
        <f t="shared" si="51"/>
        <v/>
      </c>
      <c r="F273" s="52"/>
      <c r="G273" s="52"/>
      <c r="H273" s="52"/>
      <c r="I273" s="52"/>
      <c r="J273" s="52"/>
      <c r="K273" s="347"/>
      <c r="L273" s="347"/>
      <c r="M273" s="347"/>
      <c r="N273" s="347"/>
      <c r="O273" s="347"/>
      <c r="P273" s="347"/>
      <c r="Q273" s="347"/>
      <c r="R273" s="347"/>
      <c r="S273" s="347"/>
      <c r="T273" s="347"/>
      <c r="U273" s="347"/>
      <c r="V273" s="347"/>
      <c r="W273" s="347"/>
      <c r="X273" s="347"/>
    </row>
    <row r="274" spans="2:24">
      <c r="B274" s="52" t="str">
        <f t="shared" si="51"/>
        <v/>
      </c>
      <c r="C274" s="492" t="str">
        <f t="shared" si="51"/>
        <v/>
      </c>
      <c r="D274" s="492" t="str">
        <f t="shared" si="51"/>
        <v/>
      </c>
      <c r="E274" s="52" t="str">
        <f t="shared" si="51"/>
        <v/>
      </c>
      <c r="F274" s="52"/>
      <c r="G274" s="52"/>
      <c r="H274" s="52"/>
      <c r="I274" s="52"/>
      <c r="J274" s="52"/>
      <c r="K274" s="347"/>
      <c r="L274" s="347"/>
      <c r="M274" s="347"/>
      <c r="N274" s="347"/>
      <c r="O274" s="347"/>
      <c r="P274" s="347"/>
      <c r="Q274" s="347"/>
      <c r="R274" s="347"/>
      <c r="S274" s="347"/>
      <c r="T274" s="347"/>
      <c r="U274" s="347"/>
      <c r="V274" s="347"/>
      <c r="W274" s="347"/>
      <c r="X274" s="347"/>
    </row>
    <row r="275" spans="2:24">
      <c r="B275" s="52" t="str">
        <f t="shared" si="51"/>
        <v/>
      </c>
      <c r="C275" s="492" t="str">
        <f t="shared" si="51"/>
        <v/>
      </c>
      <c r="D275" s="492" t="str">
        <f t="shared" si="51"/>
        <v/>
      </c>
      <c r="E275" s="52" t="str">
        <f t="shared" si="51"/>
        <v/>
      </c>
      <c r="F275" s="52"/>
      <c r="G275" s="52"/>
      <c r="H275" s="52"/>
      <c r="I275" s="52"/>
      <c r="J275" s="52"/>
      <c r="K275" s="347"/>
      <c r="L275" s="347"/>
      <c r="M275" s="347"/>
      <c r="N275" s="347"/>
      <c r="O275" s="347"/>
      <c r="P275" s="347"/>
      <c r="Q275" s="347"/>
      <c r="R275" s="347"/>
      <c r="S275" s="347"/>
      <c r="T275" s="347"/>
      <c r="U275" s="347"/>
      <c r="V275" s="347"/>
      <c r="W275" s="347"/>
      <c r="X275" s="347"/>
    </row>
    <row r="276" spans="2:24">
      <c r="B276" s="52" t="str">
        <f t="shared" si="51"/>
        <v/>
      </c>
      <c r="C276" s="492" t="str">
        <f t="shared" si="51"/>
        <v/>
      </c>
      <c r="D276" s="492" t="str">
        <f t="shared" si="51"/>
        <v/>
      </c>
      <c r="E276" s="52" t="str">
        <f t="shared" si="51"/>
        <v/>
      </c>
      <c r="F276" s="52"/>
      <c r="G276" s="52"/>
      <c r="H276" s="52"/>
      <c r="I276" s="52"/>
      <c r="J276" s="52"/>
      <c r="K276" s="347"/>
      <c r="L276" s="347"/>
      <c r="M276" s="347"/>
      <c r="N276" s="347"/>
      <c r="O276" s="347"/>
      <c r="P276" s="347"/>
      <c r="Q276" s="347"/>
      <c r="R276" s="347"/>
      <c r="S276" s="347"/>
      <c r="T276" s="347"/>
      <c r="U276" s="347"/>
      <c r="V276" s="347"/>
      <c r="W276" s="347"/>
      <c r="X276" s="347"/>
    </row>
    <row r="277" spans="2:24">
      <c r="B277" s="52" t="str">
        <f t="shared" si="51"/>
        <v/>
      </c>
      <c r="C277" s="492" t="str">
        <f t="shared" si="51"/>
        <v/>
      </c>
      <c r="D277" s="492" t="str">
        <f t="shared" si="51"/>
        <v/>
      </c>
      <c r="E277" s="52" t="str">
        <f t="shared" si="51"/>
        <v/>
      </c>
      <c r="F277" s="52"/>
      <c r="G277" s="52"/>
      <c r="H277" s="52"/>
      <c r="I277" s="52"/>
      <c r="J277" s="52"/>
      <c r="K277" s="347"/>
      <c r="L277" s="347"/>
      <c r="M277" s="347"/>
      <c r="N277" s="347"/>
      <c r="O277" s="347"/>
      <c r="P277" s="347"/>
      <c r="Q277" s="347"/>
      <c r="R277" s="347"/>
      <c r="S277" s="347"/>
      <c r="T277" s="347"/>
      <c r="U277" s="347"/>
      <c r="V277" s="347"/>
      <c r="W277" s="347"/>
      <c r="X277" s="347"/>
    </row>
    <row r="278" spans="2:24">
      <c r="B278" s="52" t="str">
        <f t="shared" si="51"/>
        <v/>
      </c>
      <c r="C278" s="492" t="str">
        <f t="shared" si="51"/>
        <v/>
      </c>
      <c r="D278" s="492" t="str">
        <f t="shared" si="51"/>
        <v/>
      </c>
      <c r="E278" s="52" t="str">
        <f t="shared" si="51"/>
        <v/>
      </c>
      <c r="F278" s="52"/>
      <c r="G278" s="52"/>
      <c r="H278" s="52"/>
      <c r="I278" s="52"/>
      <c r="J278" s="52"/>
      <c r="K278" s="347"/>
      <c r="L278" s="347"/>
      <c r="M278" s="347"/>
      <c r="N278" s="347"/>
      <c r="O278" s="347"/>
      <c r="P278" s="347"/>
      <c r="Q278" s="347"/>
      <c r="R278" s="347"/>
      <c r="S278" s="347"/>
      <c r="T278" s="347"/>
      <c r="U278" s="347"/>
      <c r="V278" s="347"/>
      <c r="W278" s="347"/>
      <c r="X278" s="347"/>
    </row>
    <row r="279" spans="2:24">
      <c r="B279" s="52" t="str">
        <f t="shared" si="51"/>
        <v/>
      </c>
      <c r="C279" s="492" t="str">
        <f t="shared" si="51"/>
        <v/>
      </c>
      <c r="D279" s="492" t="str">
        <f t="shared" si="51"/>
        <v/>
      </c>
      <c r="E279" s="52" t="str">
        <f t="shared" si="51"/>
        <v/>
      </c>
      <c r="F279" s="52"/>
      <c r="G279" s="52"/>
      <c r="H279" s="52"/>
      <c r="I279" s="52"/>
      <c r="J279" s="52"/>
      <c r="K279" s="347"/>
      <c r="L279" s="347"/>
      <c r="M279" s="347"/>
      <c r="N279" s="347"/>
      <c r="O279" s="347"/>
      <c r="P279" s="347"/>
      <c r="Q279" s="347"/>
      <c r="R279" s="347"/>
      <c r="S279" s="347"/>
      <c r="T279" s="347"/>
      <c r="U279" s="347"/>
      <c r="V279" s="347"/>
      <c r="W279" s="347"/>
      <c r="X279" s="347"/>
    </row>
    <row r="280" spans="2:24">
      <c r="B280" s="52" t="str">
        <f t="shared" si="51"/>
        <v/>
      </c>
      <c r="C280" s="492" t="str">
        <f t="shared" si="51"/>
        <v/>
      </c>
      <c r="D280" s="492" t="str">
        <f t="shared" si="51"/>
        <v/>
      </c>
      <c r="E280" s="52" t="str">
        <f t="shared" si="51"/>
        <v/>
      </c>
      <c r="F280" s="52"/>
      <c r="G280" s="52"/>
      <c r="H280" s="52"/>
      <c r="I280" s="52"/>
      <c r="J280" s="52"/>
      <c r="K280" s="347"/>
      <c r="L280" s="347"/>
      <c r="M280" s="347"/>
      <c r="N280" s="347"/>
      <c r="O280" s="347"/>
      <c r="P280" s="347"/>
      <c r="Q280" s="347"/>
      <c r="R280" s="347"/>
      <c r="S280" s="347"/>
      <c r="T280" s="347"/>
      <c r="U280" s="347"/>
      <c r="V280" s="347"/>
      <c r="W280" s="347"/>
      <c r="X280" s="347"/>
    </row>
    <row r="281" spans="2:24">
      <c r="B281" s="52" t="str">
        <f t="shared" si="51"/>
        <v/>
      </c>
      <c r="C281" s="492" t="str">
        <f t="shared" si="51"/>
        <v/>
      </c>
      <c r="D281" s="492" t="str">
        <f t="shared" si="51"/>
        <v/>
      </c>
      <c r="E281" s="52" t="str">
        <f t="shared" si="51"/>
        <v/>
      </c>
      <c r="F281" s="52"/>
      <c r="G281" s="52"/>
      <c r="H281" s="52"/>
      <c r="I281" s="52"/>
      <c r="J281" s="52"/>
      <c r="K281" s="347"/>
      <c r="L281" s="347"/>
      <c r="M281" s="347"/>
      <c r="N281" s="347"/>
      <c r="O281" s="347"/>
      <c r="P281" s="347"/>
      <c r="Q281" s="347"/>
      <c r="R281" s="347"/>
      <c r="S281" s="347"/>
      <c r="T281" s="347"/>
      <c r="U281" s="347"/>
      <c r="V281" s="347"/>
      <c r="W281" s="347"/>
      <c r="X281" s="347"/>
    </row>
    <row r="282" spans="2:24">
      <c r="B282" s="52" t="str">
        <f t="shared" si="51"/>
        <v/>
      </c>
      <c r="C282" s="492" t="str">
        <f t="shared" si="51"/>
        <v/>
      </c>
      <c r="D282" s="492" t="str">
        <f t="shared" si="51"/>
        <v/>
      </c>
      <c r="E282" s="52" t="str">
        <f t="shared" si="51"/>
        <v/>
      </c>
      <c r="F282" s="52"/>
      <c r="G282" s="52"/>
      <c r="H282" s="52"/>
      <c r="I282" s="52"/>
      <c r="J282" s="52"/>
      <c r="K282" s="347"/>
      <c r="L282" s="347"/>
      <c r="M282" s="347"/>
      <c r="N282" s="347"/>
      <c r="O282" s="347"/>
      <c r="P282" s="347"/>
      <c r="Q282" s="347"/>
      <c r="R282" s="347"/>
      <c r="S282" s="347"/>
      <c r="T282" s="347"/>
      <c r="U282" s="347"/>
      <c r="V282" s="347"/>
      <c r="W282" s="347"/>
      <c r="X282" s="347"/>
    </row>
    <row r="283" spans="2:24">
      <c r="B283" s="52" t="str">
        <f t="shared" si="51"/>
        <v/>
      </c>
      <c r="C283" s="492" t="str">
        <f t="shared" si="51"/>
        <v/>
      </c>
      <c r="D283" s="492" t="str">
        <f t="shared" si="51"/>
        <v/>
      </c>
      <c r="E283" s="52" t="str">
        <f t="shared" si="51"/>
        <v/>
      </c>
      <c r="F283" s="52"/>
      <c r="G283" s="52"/>
      <c r="H283" s="52"/>
      <c r="I283" s="52"/>
      <c r="J283" s="52"/>
      <c r="K283" s="347"/>
      <c r="L283" s="347"/>
      <c r="M283" s="347"/>
      <c r="N283" s="347"/>
      <c r="O283" s="347"/>
      <c r="P283" s="347"/>
      <c r="Q283" s="347"/>
      <c r="R283" s="347"/>
      <c r="S283" s="347"/>
      <c r="T283" s="347"/>
      <c r="U283" s="347"/>
      <c r="V283" s="347"/>
      <c r="W283" s="347"/>
      <c r="X283" s="347"/>
    </row>
    <row r="284" spans="2:24">
      <c r="B284" s="52" t="str">
        <f t="shared" si="51"/>
        <v/>
      </c>
      <c r="C284" s="492" t="str">
        <f t="shared" si="51"/>
        <v/>
      </c>
      <c r="D284" s="492" t="str">
        <f t="shared" si="51"/>
        <v/>
      </c>
      <c r="E284" s="52" t="str">
        <f t="shared" si="51"/>
        <v/>
      </c>
      <c r="F284" s="52"/>
      <c r="G284" s="52"/>
      <c r="H284" s="52"/>
      <c r="I284" s="52"/>
      <c r="J284" s="52"/>
      <c r="K284" s="347"/>
      <c r="L284" s="347"/>
      <c r="M284" s="347"/>
      <c r="N284" s="347"/>
      <c r="O284" s="347"/>
      <c r="P284" s="347"/>
      <c r="Q284" s="347"/>
      <c r="R284" s="347"/>
      <c r="S284" s="347"/>
      <c r="T284" s="347"/>
      <c r="U284" s="347"/>
      <c r="V284" s="347"/>
      <c r="W284" s="347"/>
      <c r="X284" s="347"/>
    </row>
    <row r="285" spans="2:24">
      <c r="B285" s="52" t="str">
        <f t="shared" ref="B285:E304" si="52">IF(ISBLANK(B243),"",B243)</f>
        <v/>
      </c>
      <c r="C285" s="492" t="str">
        <f t="shared" si="52"/>
        <v/>
      </c>
      <c r="D285" s="492" t="str">
        <f t="shared" si="52"/>
        <v/>
      </c>
      <c r="E285" s="52" t="str">
        <f t="shared" si="52"/>
        <v/>
      </c>
      <c r="F285" s="52"/>
      <c r="G285" s="52"/>
      <c r="H285" s="52"/>
      <c r="I285" s="52"/>
      <c r="J285" s="52"/>
      <c r="K285" s="347"/>
      <c r="L285" s="347"/>
      <c r="M285" s="347"/>
      <c r="N285" s="347"/>
      <c r="O285" s="347"/>
      <c r="P285" s="347"/>
      <c r="Q285" s="347"/>
      <c r="R285" s="347"/>
      <c r="S285" s="347"/>
      <c r="T285" s="347"/>
      <c r="U285" s="347"/>
      <c r="V285" s="347"/>
      <c r="W285" s="347"/>
      <c r="X285" s="347"/>
    </row>
    <row r="286" spans="2:24">
      <c r="B286" s="52" t="str">
        <f t="shared" si="52"/>
        <v/>
      </c>
      <c r="C286" s="492" t="str">
        <f t="shared" si="52"/>
        <v/>
      </c>
      <c r="D286" s="492" t="str">
        <f t="shared" si="52"/>
        <v/>
      </c>
      <c r="E286" s="52" t="str">
        <f t="shared" si="52"/>
        <v/>
      </c>
      <c r="F286" s="52"/>
      <c r="G286" s="52"/>
      <c r="H286" s="52"/>
      <c r="I286" s="52"/>
      <c r="J286" s="52"/>
      <c r="K286" s="347"/>
      <c r="L286" s="347"/>
      <c r="M286" s="347"/>
      <c r="N286" s="347"/>
      <c r="O286" s="347"/>
      <c r="P286" s="347"/>
      <c r="Q286" s="347"/>
      <c r="R286" s="347"/>
      <c r="S286" s="347"/>
      <c r="T286" s="347"/>
      <c r="U286" s="347"/>
      <c r="V286" s="347"/>
      <c r="W286" s="347"/>
      <c r="X286" s="347"/>
    </row>
    <row r="287" spans="2:24">
      <c r="B287" s="52" t="str">
        <f t="shared" si="52"/>
        <v/>
      </c>
      <c r="C287" s="492" t="str">
        <f t="shared" si="52"/>
        <v/>
      </c>
      <c r="D287" s="492" t="str">
        <f t="shared" si="52"/>
        <v/>
      </c>
      <c r="E287" s="52" t="str">
        <f t="shared" si="52"/>
        <v/>
      </c>
      <c r="F287" s="52"/>
      <c r="G287" s="52"/>
      <c r="H287" s="52"/>
      <c r="I287" s="52"/>
      <c r="J287" s="52"/>
      <c r="K287" s="347"/>
      <c r="L287" s="347"/>
      <c r="M287" s="347"/>
      <c r="N287" s="347"/>
      <c r="O287" s="347"/>
      <c r="P287" s="347"/>
      <c r="Q287" s="347"/>
      <c r="R287" s="347"/>
      <c r="S287" s="347"/>
      <c r="T287" s="347"/>
      <c r="U287" s="347"/>
      <c r="V287" s="347"/>
      <c r="W287" s="347"/>
      <c r="X287" s="347"/>
    </row>
    <row r="288" spans="2:24">
      <c r="B288" s="52" t="str">
        <f t="shared" si="52"/>
        <v/>
      </c>
      <c r="C288" s="492" t="str">
        <f t="shared" si="52"/>
        <v/>
      </c>
      <c r="D288" s="492" t="str">
        <f t="shared" si="52"/>
        <v/>
      </c>
      <c r="E288" s="52" t="str">
        <f t="shared" si="52"/>
        <v/>
      </c>
      <c r="F288" s="52"/>
      <c r="G288" s="52"/>
      <c r="H288" s="52"/>
      <c r="I288" s="52"/>
      <c r="J288" s="52"/>
      <c r="K288" s="347"/>
      <c r="L288" s="347"/>
      <c r="M288" s="347"/>
      <c r="N288" s="347"/>
      <c r="O288" s="347"/>
      <c r="P288" s="347"/>
      <c r="Q288" s="347"/>
      <c r="R288" s="347"/>
      <c r="S288" s="347"/>
      <c r="T288" s="347"/>
      <c r="U288" s="347"/>
      <c r="V288" s="347"/>
      <c r="W288" s="347"/>
      <c r="X288" s="347"/>
    </row>
    <row r="289" spans="2:24">
      <c r="B289" s="52" t="str">
        <f t="shared" si="52"/>
        <v/>
      </c>
      <c r="C289" s="492" t="str">
        <f t="shared" si="52"/>
        <v/>
      </c>
      <c r="D289" s="492" t="str">
        <f t="shared" si="52"/>
        <v/>
      </c>
      <c r="E289" s="52" t="str">
        <f t="shared" si="52"/>
        <v/>
      </c>
      <c r="F289" s="52"/>
      <c r="G289" s="52"/>
      <c r="H289" s="52"/>
      <c r="I289" s="52"/>
      <c r="J289" s="52"/>
      <c r="K289" s="347"/>
      <c r="L289" s="347"/>
      <c r="M289" s="347"/>
      <c r="N289" s="347"/>
      <c r="O289" s="347"/>
      <c r="P289" s="347"/>
      <c r="Q289" s="347"/>
      <c r="R289" s="347"/>
      <c r="S289" s="347"/>
      <c r="T289" s="347"/>
      <c r="U289" s="347"/>
      <c r="V289" s="347"/>
      <c r="W289" s="347"/>
      <c r="X289" s="347"/>
    </row>
    <row r="290" spans="2:24">
      <c r="B290" s="52" t="str">
        <f t="shared" si="52"/>
        <v/>
      </c>
      <c r="C290" s="492" t="str">
        <f t="shared" si="52"/>
        <v/>
      </c>
      <c r="D290" s="492" t="str">
        <f t="shared" si="52"/>
        <v/>
      </c>
      <c r="E290" s="52" t="str">
        <f t="shared" si="52"/>
        <v/>
      </c>
      <c r="F290" s="52"/>
      <c r="G290" s="52"/>
      <c r="H290" s="52"/>
      <c r="I290" s="52"/>
      <c r="J290" s="52"/>
      <c r="K290" s="347"/>
      <c r="L290" s="347"/>
      <c r="M290" s="347"/>
      <c r="N290" s="347"/>
      <c r="O290" s="347"/>
      <c r="P290" s="347"/>
      <c r="Q290" s="347"/>
      <c r="R290" s="347"/>
      <c r="S290" s="347"/>
      <c r="T290" s="347"/>
      <c r="U290" s="347"/>
      <c r="V290" s="347"/>
      <c r="W290" s="347"/>
      <c r="X290" s="347"/>
    </row>
    <row r="291" spans="2:24">
      <c r="B291" s="52" t="str">
        <f t="shared" si="52"/>
        <v/>
      </c>
      <c r="C291" s="492" t="str">
        <f t="shared" si="52"/>
        <v/>
      </c>
      <c r="D291" s="492" t="str">
        <f t="shared" si="52"/>
        <v/>
      </c>
      <c r="E291" s="52" t="str">
        <f t="shared" si="52"/>
        <v/>
      </c>
      <c r="F291" s="52"/>
      <c r="G291" s="52"/>
      <c r="H291" s="52"/>
      <c r="I291" s="52"/>
      <c r="J291" s="52"/>
      <c r="K291" s="347"/>
      <c r="L291" s="347"/>
      <c r="M291" s="347"/>
      <c r="N291" s="347"/>
      <c r="O291" s="347"/>
      <c r="P291" s="347"/>
      <c r="Q291" s="347"/>
      <c r="R291" s="347"/>
      <c r="S291" s="347"/>
      <c r="T291" s="347"/>
      <c r="U291" s="347"/>
      <c r="V291" s="347"/>
      <c r="W291" s="347"/>
      <c r="X291" s="347"/>
    </row>
    <row r="292" spans="2:24">
      <c r="B292" s="52" t="str">
        <f t="shared" si="52"/>
        <v/>
      </c>
      <c r="C292" s="492" t="str">
        <f t="shared" si="52"/>
        <v/>
      </c>
      <c r="D292" s="492" t="str">
        <f t="shared" si="52"/>
        <v/>
      </c>
      <c r="E292" s="52" t="str">
        <f t="shared" si="52"/>
        <v/>
      </c>
      <c r="F292" s="52"/>
      <c r="G292" s="52"/>
      <c r="H292" s="52"/>
      <c r="I292" s="52"/>
      <c r="J292" s="52"/>
      <c r="K292" s="347"/>
      <c r="L292" s="347"/>
      <c r="M292" s="347"/>
      <c r="N292" s="347"/>
      <c r="O292" s="347"/>
      <c r="P292" s="347"/>
      <c r="Q292" s="347"/>
      <c r="R292" s="347"/>
      <c r="S292" s="347"/>
      <c r="T292" s="347"/>
      <c r="U292" s="347"/>
      <c r="V292" s="347"/>
      <c r="W292" s="347"/>
      <c r="X292" s="347"/>
    </row>
    <row r="293" spans="2:24">
      <c r="B293" s="52" t="str">
        <f t="shared" si="52"/>
        <v/>
      </c>
      <c r="C293" s="492" t="str">
        <f t="shared" si="52"/>
        <v/>
      </c>
      <c r="D293" s="492" t="str">
        <f t="shared" si="52"/>
        <v/>
      </c>
      <c r="E293" s="52" t="str">
        <f t="shared" si="52"/>
        <v/>
      </c>
      <c r="F293" s="52"/>
      <c r="G293" s="52"/>
      <c r="H293" s="52"/>
      <c r="I293" s="52"/>
      <c r="J293" s="52"/>
      <c r="K293" s="347"/>
      <c r="L293" s="347"/>
      <c r="M293" s="347"/>
      <c r="N293" s="347"/>
      <c r="O293" s="347"/>
      <c r="P293" s="347"/>
      <c r="Q293" s="347"/>
      <c r="R293" s="347"/>
      <c r="S293" s="347"/>
      <c r="T293" s="347"/>
      <c r="U293" s="347"/>
      <c r="V293" s="347"/>
      <c r="W293" s="347"/>
      <c r="X293" s="347"/>
    </row>
    <row r="294" spans="2:24">
      <c r="B294" s="52" t="str">
        <f t="shared" si="52"/>
        <v/>
      </c>
      <c r="C294" s="492" t="str">
        <f t="shared" si="52"/>
        <v/>
      </c>
      <c r="D294" s="492" t="str">
        <f t="shared" si="52"/>
        <v/>
      </c>
      <c r="E294" s="52" t="str">
        <f t="shared" si="52"/>
        <v/>
      </c>
      <c r="F294" s="52"/>
      <c r="G294" s="52"/>
      <c r="H294" s="52"/>
      <c r="I294" s="52"/>
      <c r="J294" s="52"/>
      <c r="K294" s="347"/>
      <c r="L294" s="347"/>
      <c r="M294" s="347"/>
      <c r="N294" s="347"/>
      <c r="O294" s="347"/>
      <c r="P294" s="347"/>
      <c r="Q294" s="347"/>
      <c r="R294" s="347"/>
      <c r="S294" s="347"/>
      <c r="T294" s="347"/>
      <c r="U294" s="347"/>
      <c r="V294" s="347"/>
      <c r="W294" s="347"/>
      <c r="X294" s="347"/>
    </row>
    <row r="295" spans="2:24">
      <c r="B295" s="52" t="str">
        <f t="shared" si="52"/>
        <v/>
      </c>
      <c r="C295" s="492" t="str">
        <f t="shared" si="52"/>
        <v/>
      </c>
      <c r="D295" s="492" t="str">
        <f t="shared" si="52"/>
        <v/>
      </c>
      <c r="E295" s="52" t="str">
        <f t="shared" si="52"/>
        <v/>
      </c>
      <c r="F295" s="52"/>
      <c r="G295" s="52"/>
      <c r="H295" s="52"/>
      <c r="I295" s="52"/>
      <c r="J295" s="52"/>
      <c r="K295" s="347"/>
      <c r="L295" s="347"/>
      <c r="M295" s="347"/>
      <c r="N295" s="347"/>
      <c r="O295" s="347"/>
      <c r="P295" s="347"/>
      <c r="Q295" s="347"/>
      <c r="R295" s="347"/>
      <c r="S295" s="347"/>
      <c r="T295" s="347"/>
      <c r="U295" s="347"/>
      <c r="V295" s="347"/>
      <c r="W295" s="347"/>
      <c r="X295" s="347"/>
    </row>
    <row r="296" spans="2:24">
      <c r="B296" s="52" t="str">
        <f t="shared" si="52"/>
        <v/>
      </c>
      <c r="C296" s="492" t="str">
        <f t="shared" si="52"/>
        <v/>
      </c>
      <c r="D296" s="492" t="str">
        <f t="shared" si="52"/>
        <v/>
      </c>
      <c r="E296" s="52" t="str">
        <f t="shared" si="52"/>
        <v/>
      </c>
      <c r="F296" s="52"/>
      <c r="G296" s="52"/>
      <c r="H296" s="52"/>
      <c r="I296" s="52"/>
      <c r="J296" s="52"/>
      <c r="K296" s="347"/>
      <c r="L296" s="347"/>
      <c r="M296" s="347"/>
      <c r="N296" s="347"/>
      <c r="O296" s="347"/>
      <c r="P296" s="347"/>
      <c r="Q296" s="347"/>
      <c r="R296" s="347"/>
      <c r="S296" s="347"/>
      <c r="T296" s="347"/>
      <c r="U296" s="347"/>
      <c r="V296" s="347"/>
      <c r="W296" s="347"/>
      <c r="X296" s="347"/>
    </row>
    <row r="297" spans="2:24">
      <c r="B297" s="52" t="str">
        <f t="shared" si="52"/>
        <v/>
      </c>
      <c r="C297" s="492" t="str">
        <f t="shared" si="52"/>
        <v/>
      </c>
      <c r="D297" s="492" t="str">
        <f t="shared" si="52"/>
        <v/>
      </c>
      <c r="E297" s="52" t="str">
        <f t="shared" si="52"/>
        <v/>
      </c>
      <c r="F297" s="52"/>
      <c r="G297" s="52"/>
      <c r="H297" s="52"/>
      <c r="I297" s="52"/>
      <c r="J297" s="52"/>
      <c r="K297" s="347"/>
      <c r="L297" s="347"/>
      <c r="M297" s="347"/>
      <c r="N297" s="347"/>
      <c r="O297" s="347"/>
      <c r="P297" s="347"/>
      <c r="Q297" s="347"/>
      <c r="R297" s="347"/>
      <c r="S297" s="347"/>
      <c r="T297" s="347"/>
      <c r="U297" s="347"/>
      <c r="V297" s="347"/>
      <c r="W297" s="347"/>
      <c r="X297" s="347"/>
    </row>
    <row r="298" spans="2:24">
      <c r="B298" s="52" t="str">
        <f t="shared" si="52"/>
        <v/>
      </c>
      <c r="C298" s="492" t="str">
        <f t="shared" si="52"/>
        <v/>
      </c>
      <c r="D298" s="492" t="str">
        <f t="shared" si="52"/>
        <v/>
      </c>
      <c r="E298" s="52" t="str">
        <f t="shared" si="52"/>
        <v/>
      </c>
      <c r="F298" s="52"/>
      <c r="G298" s="52"/>
      <c r="H298" s="52"/>
      <c r="I298" s="52"/>
      <c r="J298" s="52"/>
      <c r="K298" s="347"/>
      <c r="L298" s="347"/>
      <c r="M298" s="347"/>
      <c r="N298" s="347"/>
      <c r="O298" s="347"/>
      <c r="P298" s="347"/>
      <c r="Q298" s="347"/>
      <c r="R298" s="347"/>
      <c r="S298" s="347"/>
      <c r="T298" s="347"/>
      <c r="U298" s="347"/>
      <c r="V298" s="347"/>
      <c r="W298" s="347"/>
      <c r="X298" s="347"/>
    </row>
    <row r="299" spans="2:24">
      <c r="B299" s="52" t="str">
        <f t="shared" si="52"/>
        <v/>
      </c>
      <c r="C299" s="492" t="str">
        <f t="shared" si="52"/>
        <v/>
      </c>
      <c r="D299" s="492" t="str">
        <f t="shared" si="52"/>
        <v/>
      </c>
      <c r="E299" s="52" t="str">
        <f t="shared" si="52"/>
        <v/>
      </c>
      <c r="F299" s="52"/>
      <c r="G299" s="52"/>
      <c r="H299" s="52"/>
      <c r="I299" s="52"/>
      <c r="J299" s="52"/>
      <c r="K299" s="347"/>
      <c r="L299" s="347"/>
      <c r="M299" s="347"/>
      <c r="N299" s="347"/>
      <c r="O299" s="347"/>
      <c r="P299" s="347"/>
      <c r="Q299" s="347"/>
      <c r="R299" s="347"/>
      <c r="S299" s="347"/>
      <c r="T299" s="347"/>
      <c r="U299" s="347"/>
      <c r="V299" s="347"/>
      <c r="W299" s="347"/>
      <c r="X299" s="347"/>
    </row>
    <row r="300" spans="2:24">
      <c r="B300" s="52" t="str">
        <f t="shared" si="52"/>
        <v/>
      </c>
      <c r="C300" s="492" t="str">
        <f t="shared" si="52"/>
        <v/>
      </c>
      <c r="D300" s="492" t="str">
        <f t="shared" si="52"/>
        <v/>
      </c>
      <c r="E300" s="52" t="str">
        <f t="shared" si="52"/>
        <v/>
      </c>
      <c r="F300" s="52"/>
      <c r="G300" s="52"/>
      <c r="H300" s="52"/>
      <c r="I300" s="52"/>
      <c r="J300" s="52"/>
      <c r="K300" s="347"/>
      <c r="L300" s="347"/>
      <c r="M300" s="347"/>
      <c r="N300" s="347"/>
      <c r="O300" s="347"/>
      <c r="P300" s="347"/>
      <c r="Q300" s="347"/>
      <c r="R300" s="347"/>
      <c r="S300" s="347"/>
      <c r="T300" s="347"/>
      <c r="U300" s="347"/>
      <c r="V300" s="347"/>
      <c r="W300" s="347"/>
      <c r="X300" s="347"/>
    </row>
    <row r="301" spans="2:24">
      <c r="B301" s="52" t="str">
        <f t="shared" si="52"/>
        <v/>
      </c>
      <c r="C301" s="492" t="str">
        <f t="shared" si="52"/>
        <v/>
      </c>
      <c r="D301" s="492" t="str">
        <f t="shared" si="52"/>
        <v/>
      </c>
      <c r="E301" s="52" t="str">
        <f t="shared" si="52"/>
        <v/>
      </c>
      <c r="F301" s="52"/>
      <c r="G301" s="52"/>
      <c r="H301" s="52"/>
      <c r="I301" s="52"/>
      <c r="J301" s="52"/>
      <c r="K301" s="347"/>
      <c r="L301" s="347"/>
      <c r="M301" s="347"/>
      <c r="N301" s="347"/>
      <c r="O301" s="347"/>
      <c r="P301" s="347"/>
      <c r="Q301" s="347"/>
      <c r="R301" s="347"/>
      <c r="S301" s="347"/>
      <c r="T301" s="347"/>
      <c r="U301" s="347"/>
      <c r="V301" s="347"/>
      <c r="W301" s="347"/>
      <c r="X301" s="347"/>
    </row>
    <row r="302" spans="2:24">
      <c r="B302" s="52" t="str">
        <f t="shared" si="52"/>
        <v/>
      </c>
      <c r="C302" s="492" t="str">
        <f t="shared" si="52"/>
        <v/>
      </c>
      <c r="D302" s="492" t="str">
        <f t="shared" si="52"/>
        <v/>
      </c>
      <c r="E302" s="52" t="str">
        <f t="shared" si="52"/>
        <v/>
      </c>
      <c r="F302" s="52"/>
      <c r="G302" s="52"/>
      <c r="H302" s="52"/>
      <c r="I302" s="52"/>
      <c r="J302" s="52"/>
      <c r="K302" s="347"/>
      <c r="L302" s="347"/>
      <c r="M302" s="347"/>
      <c r="N302" s="347"/>
      <c r="O302" s="347"/>
      <c r="P302" s="347"/>
      <c r="Q302" s="347"/>
      <c r="R302" s="347"/>
      <c r="S302" s="347"/>
      <c r="T302" s="347"/>
      <c r="U302" s="347"/>
      <c r="V302" s="347"/>
      <c r="W302" s="347"/>
      <c r="X302" s="347"/>
    </row>
    <row r="303" spans="2:24">
      <c r="B303" s="52" t="str">
        <f t="shared" si="52"/>
        <v/>
      </c>
      <c r="C303" s="492" t="str">
        <f t="shared" si="52"/>
        <v/>
      </c>
      <c r="D303" s="492" t="str">
        <f t="shared" si="52"/>
        <v/>
      </c>
      <c r="E303" s="52" t="str">
        <f t="shared" si="52"/>
        <v/>
      </c>
      <c r="F303" s="52"/>
      <c r="G303" s="52"/>
      <c r="H303" s="52"/>
      <c r="I303" s="52"/>
      <c r="J303" s="52"/>
      <c r="K303" s="347"/>
      <c r="L303" s="347"/>
      <c r="M303" s="347"/>
      <c r="N303" s="347"/>
      <c r="O303" s="347"/>
      <c r="P303" s="347"/>
      <c r="Q303" s="347"/>
      <c r="R303" s="347"/>
      <c r="S303" s="347"/>
      <c r="T303" s="347"/>
      <c r="U303" s="347"/>
      <c r="V303" s="347"/>
      <c r="W303" s="347"/>
      <c r="X303" s="347"/>
    </row>
    <row r="304" spans="2:24">
      <c r="B304" s="52" t="str">
        <f t="shared" si="52"/>
        <v/>
      </c>
      <c r="C304" s="492" t="str">
        <f t="shared" si="52"/>
        <v/>
      </c>
      <c r="D304" s="492" t="str">
        <f t="shared" si="52"/>
        <v/>
      </c>
      <c r="E304" s="52" t="str">
        <f t="shared" si="52"/>
        <v/>
      </c>
      <c r="F304" s="52"/>
      <c r="G304" s="52"/>
      <c r="H304" s="52"/>
      <c r="I304" s="52"/>
      <c r="J304" s="52"/>
      <c r="K304" s="347"/>
      <c r="L304" s="347"/>
      <c r="M304" s="347"/>
      <c r="N304" s="347"/>
      <c r="O304" s="347"/>
      <c r="P304" s="347"/>
      <c r="Q304" s="347"/>
      <c r="R304" s="347"/>
      <c r="S304" s="347"/>
      <c r="T304" s="347"/>
      <c r="U304" s="347"/>
      <c r="V304" s="347"/>
      <c r="W304" s="347"/>
      <c r="X304" s="347"/>
    </row>
    <row r="305" spans="2:24" customFormat="1"/>
    <row r="306" spans="2:24">
      <c r="B306" s="351" t="s">
        <v>348</v>
      </c>
      <c r="C306" s="350" t="str">
        <f>C$114</f>
        <v>Moduł</v>
      </c>
      <c r="D306" s="350" t="str">
        <f t="shared" ref="D306:X306" si="53">D$114</f>
        <v>Kwalifikowalne</v>
      </c>
      <c r="E306" s="350" t="str">
        <f t="shared" si="53"/>
        <v>Koszty B+R</v>
      </c>
      <c r="F306" s="350"/>
      <c r="G306" s="350">
        <f t="shared" ca="1" si="53"/>
        <v>0</v>
      </c>
      <c r="H306" s="350">
        <f t="shared" ca="1" si="53"/>
        <v>0</v>
      </c>
      <c r="I306" s="350">
        <f t="shared" ca="1" si="53"/>
        <v>0</v>
      </c>
      <c r="J306" s="350" t="str">
        <f t="shared" si="53"/>
        <v/>
      </c>
      <c r="K306" s="350" t="str">
        <f t="shared" si="53"/>
        <v>Uzupełnij dane</v>
      </c>
      <c r="L306" s="350" t="str">
        <f t="shared" si="53"/>
        <v/>
      </c>
      <c r="M306" s="350" t="str">
        <f t="shared" si="53"/>
        <v/>
      </c>
      <c r="N306" s="350" t="str">
        <f t="shared" si="53"/>
        <v/>
      </c>
      <c r="O306" s="350" t="str">
        <f t="shared" si="53"/>
        <v/>
      </c>
      <c r="P306" s="350" t="str">
        <f t="shared" si="53"/>
        <v/>
      </c>
      <c r="Q306" s="350" t="str">
        <f t="shared" si="53"/>
        <v/>
      </c>
      <c r="R306" s="350" t="str">
        <f t="shared" si="53"/>
        <v/>
      </c>
      <c r="S306" s="350" t="str">
        <f t="shared" si="53"/>
        <v/>
      </c>
      <c r="T306" s="350" t="str">
        <f t="shared" si="53"/>
        <v/>
      </c>
      <c r="U306" s="350" t="str">
        <f t="shared" si="53"/>
        <v/>
      </c>
      <c r="V306" s="350" t="str">
        <f t="shared" si="53"/>
        <v/>
      </c>
      <c r="W306" s="350" t="str">
        <f t="shared" si="53"/>
        <v/>
      </c>
      <c r="X306" s="350" t="str">
        <f t="shared" si="53"/>
        <v/>
      </c>
    </row>
    <row r="307" spans="2:24">
      <c r="B307" s="52" t="str">
        <f t="shared" ref="B307:E326" si="54">IF(ISBLANK(B265),"",B265)</f>
        <v/>
      </c>
      <c r="C307" s="492" t="str">
        <f t="shared" si="54"/>
        <v/>
      </c>
      <c r="D307" s="492" t="str">
        <f t="shared" si="54"/>
        <v/>
      </c>
      <c r="E307" s="52" t="str">
        <f t="shared" si="54"/>
        <v/>
      </c>
      <c r="F307" s="52"/>
      <c r="G307" s="52"/>
      <c r="H307" s="52"/>
      <c r="I307" s="52"/>
      <c r="J307" s="52"/>
      <c r="K307" s="347"/>
      <c r="L307" s="347"/>
      <c r="M307" s="347"/>
      <c r="N307" s="347"/>
      <c r="O307" s="347"/>
      <c r="P307" s="347"/>
      <c r="Q307" s="347"/>
      <c r="R307" s="347"/>
      <c r="S307" s="347"/>
      <c r="T307" s="347"/>
      <c r="U307" s="347"/>
      <c r="V307" s="347"/>
      <c r="W307" s="347"/>
      <c r="X307" s="347"/>
    </row>
    <row r="308" spans="2:24">
      <c r="B308" s="52" t="str">
        <f t="shared" si="54"/>
        <v/>
      </c>
      <c r="C308" s="492" t="str">
        <f t="shared" si="54"/>
        <v/>
      </c>
      <c r="D308" s="492" t="str">
        <f t="shared" si="54"/>
        <v/>
      </c>
      <c r="E308" s="52" t="str">
        <f t="shared" si="54"/>
        <v/>
      </c>
      <c r="F308" s="52"/>
      <c r="G308" s="52"/>
      <c r="H308" s="52"/>
      <c r="I308" s="52"/>
      <c r="J308" s="52"/>
      <c r="K308" s="347"/>
      <c r="L308" s="347"/>
      <c r="M308" s="347"/>
      <c r="N308" s="347"/>
      <c r="O308" s="347"/>
      <c r="P308" s="347"/>
      <c r="Q308" s="347"/>
      <c r="R308" s="347"/>
      <c r="S308" s="347"/>
      <c r="T308" s="347"/>
      <c r="U308" s="347"/>
      <c r="V308" s="347"/>
      <c r="W308" s="347"/>
      <c r="X308" s="347"/>
    </row>
    <row r="309" spans="2:24">
      <c r="B309" s="52" t="str">
        <f t="shared" si="54"/>
        <v/>
      </c>
      <c r="C309" s="492" t="str">
        <f t="shared" si="54"/>
        <v/>
      </c>
      <c r="D309" s="492" t="str">
        <f t="shared" si="54"/>
        <v/>
      </c>
      <c r="E309" s="52" t="str">
        <f t="shared" si="54"/>
        <v/>
      </c>
      <c r="F309" s="52"/>
      <c r="G309" s="52"/>
      <c r="H309" s="52"/>
      <c r="I309" s="52"/>
      <c r="J309" s="52"/>
      <c r="K309" s="347"/>
      <c r="L309" s="347"/>
      <c r="M309" s="347"/>
      <c r="N309" s="347"/>
      <c r="O309" s="347"/>
      <c r="P309" s="347"/>
      <c r="Q309" s="347"/>
      <c r="R309" s="347"/>
      <c r="S309" s="347"/>
      <c r="T309" s="347"/>
      <c r="U309" s="347"/>
      <c r="V309" s="347"/>
      <c r="W309" s="347"/>
      <c r="X309" s="347"/>
    </row>
    <row r="310" spans="2:24">
      <c r="B310" s="52" t="str">
        <f t="shared" si="54"/>
        <v/>
      </c>
      <c r="C310" s="492" t="str">
        <f t="shared" si="54"/>
        <v/>
      </c>
      <c r="D310" s="492" t="str">
        <f t="shared" si="54"/>
        <v/>
      </c>
      <c r="E310" s="52" t="str">
        <f t="shared" si="54"/>
        <v/>
      </c>
      <c r="F310" s="52"/>
      <c r="G310" s="52"/>
      <c r="H310" s="52"/>
      <c r="I310" s="52"/>
      <c r="J310" s="52"/>
      <c r="K310" s="347"/>
      <c r="L310" s="347"/>
      <c r="M310" s="347"/>
      <c r="N310" s="347"/>
      <c r="O310" s="347"/>
      <c r="P310" s="347"/>
      <c r="Q310" s="347"/>
      <c r="R310" s="347"/>
      <c r="S310" s="347"/>
      <c r="T310" s="347"/>
      <c r="U310" s="347"/>
      <c r="V310" s="347"/>
      <c r="W310" s="347"/>
      <c r="X310" s="347"/>
    </row>
    <row r="311" spans="2:24">
      <c r="B311" s="52" t="str">
        <f t="shared" si="54"/>
        <v/>
      </c>
      <c r="C311" s="492" t="str">
        <f t="shared" si="54"/>
        <v/>
      </c>
      <c r="D311" s="492" t="str">
        <f t="shared" si="54"/>
        <v/>
      </c>
      <c r="E311" s="52" t="str">
        <f t="shared" si="54"/>
        <v/>
      </c>
      <c r="F311" s="52"/>
      <c r="G311" s="52"/>
      <c r="H311" s="52"/>
      <c r="I311" s="52"/>
      <c r="J311" s="52"/>
      <c r="K311" s="347"/>
      <c r="L311" s="347"/>
      <c r="M311" s="347"/>
      <c r="N311" s="347"/>
      <c r="O311" s="347"/>
      <c r="P311" s="347"/>
      <c r="Q311" s="347"/>
      <c r="R311" s="347"/>
      <c r="S311" s="347"/>
      <c r="T311" s="347"/>
      <c r="U311" s="347"/>
      <c r="V311" s="347"/>
      <c r="W311" s="347"/>
      <c r="X311" s="347"/>
    </row>
    <row r="312" spans="2:24">
      <c r="B312" s="52" t="str">
        <f t="shared" si="54"/>
        <v/>
      </c>
      <c r="C312" s="492" t="str">
        <f t="shared" si="54"/>
        <v/>
      </c>
      <c r="D312" s="492" t="str">
        <f t="shared" si="54"/>
        <v/>
      </c>
      <c r="E312" s="52" t="str">
        <f t="shared" si="54"/>
        <v/>
      </c>
      <c r="F312" s="52"/>
      <c r="G312" s="52"/>
      <c r="H312" s="52"/>
      <c r="I312" s="52"/>
      <c r="J312" s="52"/>
      <c r="K312" s="347"/>
      <c r="L312" s="347"/>
      <c r="M312" s="347"/>
      <c r="N312" s="347"/>
      <c r="O312" s="347"/>
      <c r="P312" s="347"/>
      <c r="Q312" s="347"/>
      <c r="R312" s="347"/>
      <c r="S312" s="347"/>
      <c r="T312" s="347"/>
      <c r="U312" s="347"/>
      <c r="V312" s="347"/>
      <c r="W312" s="347"/>
      <c r="X312" s="347"/>
    </row>
    <row r="313" spans="2:24">
      <c r="B313" s="52" t="str">
        <f t="shared" si="54"/>
        <v/>
      </c>
      <c r="C313" s="492" t="str">
        <f t="shared" si="54"/>
        <v/>
      </c>
      <c r="D313" s="492" t="str">
        <f t="shared" si="54"/>
        <v/>
      </c>
      <c r="E313" s="52" t="str">
        <f t="shared" si="54"/>
        <v/>
      </c>
      <c r="F313" s="52"/>
      <c r="G313" s="52"/>
      <c r="H313" s="52"/>
      <c r="I313" s="52"/>
      <c r="J313" s="52"/>
      <c r="K313" s="347"/>
      <c r="L313" s="347"/>
      <c r="M313" s="347"/>
      <c r="N313" s="347"/>
      <c r="O313" s="347"/>
      <c r="P313" s="347"/>
      <c r="Q313" s="347"/>
      <c r="R313" s="347"/>
      <c r="S313" s="347"/>
      <c r="T313" s="347"/>
      <c r="U313" s="347"/>
      <c r="V313" s="347"/>
      <c r="W313" s="347"/>
      <c r="X313" s="347"/>
    </row>
    <row r="314" spans="2:24">
      <c r="B314" s="52" t="str">
        <f t="shared" si="54"/>
        <v/>
      </c>
      <c r="C314" s="492" t="str">
        <f t="shared" si="54"/>
        <v/>
      </c>
      <c r="D314" s="492" t="str">
        <f t="shared" si="54"/>
        <v/>
      </c>
      <c r="E314" s="52" t="str">
        <f t="shared" si="54"/>
        <v/>
      </c>
      <c r="F314" s="52"/>
      <c r="G314" s="52"/>
      <c r="H314" s="52"/>
      <c r="I314" s="52"/>
      <c r="J314" s="52"/>
      <c r="K314" s="347"/>
      <c r="L314" s="347"/>
      <c r="M314" s="347"/>
      <c r="N314" s="347"/>
      <c r="O314" s="347"/>
      <c r="P314" s="347"/>
      <c r="Q314" s="347"/>
      <c r="R314" s="347"/>
      <c r="S314" s="347"/>
      <c r="T314" s="347"/>
      <c r="U314" s="347"/>
      <c r="V314" s="347"/>
      <c r="W314" s="347"/>
      <c r="X314" s="347"/>
    </row>
    <row r="315" spans="2:24">
      <c r="B315" s="52" t="str">
        <f t="shared" si="54"/>
        <v/>
      </c>
      <c r="C315" s="492" t="str">
        <f t="shared" si="54"/>
        <v/>
      </c>
      <c r="D315" s="492" t="str">
        <f t="shared" si="54"/>
        <v/>
      </c>
      <c r="E315" s="52" t="str">
        <f t="shared" si="54"/>
        <v/>
      </c>
      <c r="F315" s="52"/>
      <c r="G315" s="52"/>
      <c r="H315" s="52"/>
      <c r="I315" s="52"/>
      <c r="J315" s="52"/>
      <c r="K315" s="347"/>
      <c r="L315" s="347"/>
      <c r="M315" s="347"/>
      <c r="N315" s="347"/>
      <c r="O315" s="347"/>
      <c r="P315" s="347"/>
      <c r="Q315" s="347"/>
      <c r="R315" s="347"/>
      <c r="S315" s="347"/>
      <c r="T315" s="347"/>
      <c r="U315" s="347"/>
      <c r="V315" s="347"/>
      <c r="W315" s="347"/>
      <c r="X315" s="347"/>
    </row>
    <row r="316" spans="2:24">
      <c r="B316" s="52" t="str">
        <f t="shared" si="54"/>
        <v/>
      </c>
      <c r="C316" s="492" t="str">
        <f t="shared" si="54"/>
        <v/>
      </c>
      <c r="D316" s="492" t="str">
        <f t="shared" si="54"/>
        <v/>
      </c>
      <c r="E316" s="52" t="str">
        <f t="shared" si="54"/>
        <v/>
      </c>
      <c r="F316" s="52"/>
      <c r="G316" s="52"/>
      <c r="H316" s="52"/>
      <c r="I316" s="52"/>
      <c r="J316" s="52"/>
      <c r="K316" s="347"/>
      <c r="L316" s="347"/>
      <c r="M316" s="347"/>
      <c r="N316" s="347"/>
      <c r="O316" s="347"/>
      <c r="P316" s="347"/>
      <c r="Q316" s="347"/>
      <c r="R316" s="347"/>
      <c r="S316" s="347"/>
      <c r="T316" s="347"/>
      <c r="U316" s="347"/>
      <c r="V316" s="347"/>
      <c r="W316" s="347"/>
      <c r="X316" s="347"/>
    </row>
    <row r="317" spans="2:24">
      <c r="B317" s="52" t="str">
        <f t="shared" si="54"/>
        <v/>
      </c>
      <c r="C317" s="492" t="str">
        <f t="shared" si="54"/>
        <v/>
      </c>
      <c r="D317" s="492" t="str">
        <f t="shared" si="54"/>
        <v/>
      </c>
      <c r="E317" s="52" t="str">
        <f t="shared" si="54"/>
        <v/>
      </c>
      <c r="F317" s="52"/>
      <c r="G317" s="52"/>
      <c r="H317" s="52"/>
      <c r="I317" s="52"/>
      <c r="J317" s="52"/>
      <c r="K317" s="347"/>
      <c r="L317" s="347"/>
      <c r="M317" s="347"/>
      <c r="N317" s="347"/>
      <c r="O317" s="347"/>
      <c r="P317" s="347"/>
      <c r="Q317" s="347"/>
      <c r="R317" s="347"/>
      <c r="S317" s="347"/>
      <c r="T317" s="347"/>
      <c r="U317" s="347"/>
      <c r="V317" s="347"/>
      <c r="W317" s="347"/>
      <c r="X317" s="347"/>
    </row>
    <row r="318" spans="2:24">
      <c r="B318" s="52" t="str">
        <f t="shared" si="54"/>
        <v/>
      </c>
      <c r="C318" s="492" t="str">
        <f t="shared" si="54"/>
        <v/>
      </c>
      <c r="D318" s="492" t="str">
        <f t="shared" si="54"/>
        <v/>
      </c>
      <c r="E318" s="52" t="str">
        <f t="shared" si="54"/>
        <v/>
      </c>
      <c r="F318" s="52"/>
      <c r="G318" s="52"/>
      <c r="H318" s="52"/>
      <c r="I318" s="52"/>
      <c r="J318" s="52"/>
      <c r="K318" s="347"/>
      <c r="L318" s="347"/>
      <c r="M318" s="347"/>
      <c r="N318" s="347"/>
      <c r="O318" s="347"/>
      <c r="P318" s="347"/>
      <c r="Q318" s="347"/>
      <c r="R318" s="347"/>
      <c r="S318" s="347"/>
      <c r="T318" s="347"/>
      <c r="U318" s="347"/>
      <c r="V318" s="347"/>
      <c r="W318" s="347"/>
      <c r="X318" s="347"/>
    </row>
    <row r="319" spans="2:24">
      <c r="B319" s="52" t="str">
        <f t="shared" si="54"/>
        <v/>
      </c>
      <c r="C319" s="492" t="str">
        <f t="shared" si="54"/>
        <v/>
      </c>
      <c r="D319" s="492" t="str">
        <f t="shared" si="54"/>
        <v/>
      </c>
      <c r="E319" s="52" t="str">
        <f t="shared" si="54"/>
        <v/>
      </c>
      <c r="F319" s="52"/>
      <c r="G319" s="52"/>
      <c r="H319" s="52"/>
      <c r="I319" s="52"/>
      <c r="J319" s="52"/>
      <c r="K319" s="347"/>
      <c r="L319" s="347"/>
      <c r="M319" s="347"/>
      <c r="N319" s="347"/>
      <c r="O319" s="347"/>
      <c r="P319" s="347"/>
      <c r="Q319" s="347"/>
      <c r="R319" s="347"/>
      <c r="S319" s="347"/>
      <c r="T319" s="347"/>
      <c r="U319" s="347"/>
      <c r="V319" s="347"/>
      <c r="W319" s="347"/>
      <c r="X319" s="347"/>
    </row>
    <row r="320" spans="2:24">
      <c r="B320" s="52" t="str">
        <f t="shared" si="54"/>
        <v/>
      </c>
      <c r="C320" s="492" t="str">
        <f t="shared" si="54"/>
        <v/>
      </c>
      <c r="D320" s="492" t="str">
        <f t="shared" si="54"/>
        <v/>
      </c>
      <c r="E320" s="52" t="str">
        <f t="shared" si="54"/>
        <v/>
      </c>
      <c r="F320" s="52"/>
      <c r="G320" s="52"/>
      <c r="H320" s="52"/>
      <c r="I320" s="52"/>
      <c r="J320" s="52"/>
      <c r="K320" s="347"/>
      <c r="L320" s="347"/>
      <c r="M320" s="347"/>
      <c r="N320" s="347"/>
      <c r="O320" s="347"/>
      <c r="P320" s="347"/>
      <c r="Q320" s="347"/>
      <c r="R320" s="347"/>
      <c r="S320" s="347"/>
      <c r="T320" s="347"/>
      <c r="U320" s="347"/>
      <c r="V320" s="347"/>
      <c r="W320" s="347"/>
      <c r="X320" s="347"/>
    </row>
    <row r="321" spans="2:24">
      <c r="B321" s="52" t="str">
        <f t="shared" si="54"/>
        <v/>
      </c>
      <c r="C321" s="492" t="str">
        <f t="shared" si="54"/>
        <v/>
      </c>
      <c r="D321" s="492" t="str">
        <f t="shared" si="54"/>
        <v/>
      </c>
      <c r="E321" s="52" t="str">
        <f t="shared" si="54"/>
        <v/>
      </c>
      <c r="F321" s="52"/>
      <c r="G321" s="52"/>
      <c r="H321" s="52"/>
      <c r="I321" s="52"/>
      <c r="J321" s="52"/>
      <c r="K321" s="347"/>
      <c r="L321" s="347"/>
      <c r="M321" s="347"/>
      <c r="N321" s="347"/>
      <c r="O321" s="347"/>
      <c r="P321" s="347"/>
      <c r="Q321" s="347"/>
      <c r="R321" s="347"/>
      <c r="S321" s="347"/>
      <c r="T321" s="347"/>
      <c r="U321" s="347"/>
      <c r="V321" s="347"/>
      <c r="W321" s="347"/>
      <c r="X321" s="347"/>
    </row>
    <row r="322" spans="2:24">
      <c r="B322" s="52" t="str">
        <f t="shared" si="54"/>
        <v/>
      </c>
      <c r="C322" s="492" t="str">
        <f t="shared" si="54"/>
        <v/>
      </c>
      <c r="D322" s="492" t="str">
        <f t="shared" si="54"/>
        <v/>
      </c>
      <c r="E322" s="52" t="str">
        <f t="shared" si="54"/>
        <v/>
      </c>
      <c r="F322" s="52"/>
      <c r="G322" s="52"/>
      <c r="H322" s="52"/>
      <c r="I322" s="52"/>
      <c r="J322" s="52"/>
      <c r="K322" s="347"/>
      <c r="L322" s="347"/>
      <c r="M322" s="347"/>
      <c r="N322" s="347"/>
      <c r="O322" s="347"/>
      <c r="P322" s="347"/>
      <c r="Q322" s="347"/>
      <c r="R322" s="347"/>
      <c r="S322" s="347"/>
      <c r="T322" s="347"/>
      <c r="U322" s="347"/>
      <c r="V322" s="347"/>
      <c r="W322" s="347"/>
      <c r="X322" s="347"/>
    </row>
    <row r="323" spans="2:24">
      <c r="B323" s="52" t="str">
        <f t="shared" si="54"/>
        <v/>
      </c>
      <c r="C323" s="492" t="str">
        <f t="shared" si="54"/>
        <v/>
      </c>
      <c r="D323" s="492" t="str">
        <f t="shared" si="54"/>
        <v/>
      </c>
      <c r="E323" s="52" t="str">
        <f t="shared" si="54"/>
        <v/>
      </c>
      <c r="F323" s="52"/>
      <c r="G323" s="52"/>
      <c r="H323" s="52"/>
      <c r="I323" s="52"/>
      <c r="J323" s="52"/>
      <c r="K323" s="347"/>
      <c r="L323" s="347"/>
      <c r="M323" s="347"/>
      <c r="N323" s="347"/>
      <c r="O323" s="347"/>
      <c r="P323" s="347"/>
      <c r="Q323" s="347"/>
      <c r="R323" s="347"/>
      <c r="S323" s="347"/>
      <c r="T323" s="347"/>
      <c r="U323" s="347"/>
      <c r="V323" s="347"/>
      <c r="W323" s="347"/>
      <c r="X323" s="347"/>
    </row>
    <row r="324" spans="2:24">
      <c r="B324" s="52" t="str">
        <f t="shared" si="54"/>
        <v/>
      </c>
      <c r="C324" s="492" t="str">
        <f t="shared" si="54"/>
        <v/>
      </c>
      <c r="D324" s="492" t="str">
        <f t="shared" si="54"/>
        <v/>
      </c>
      <c r="E324" s="52" t="str">
        <f t="shared" si="54"/>
        <v/>
      </c>
      <c r="F324" s="52"/>
      <c r="G324" s="52"/>
      <c r="H324" s="52"/>
      <c r="I324" s="52"/>
      <c r="J324" s="52"/>
      <c r="K324" s="347"/>
      <c r="L324" s="347"/>
      <c r="M324" s="347"/>
      <c r="N324" s="347"/>
      <c r="O324" s="347"/>
      <c r="P324" s="347"/>
      <c r="Q324" s="347"/>
      <c r="R324" s="347"/>
      <c r="S324" s="347"/>
      <c r="T324" s="347"/>
      <c r="U324" s="347"/>
      <c r="V324" s="347"/>
      <c r="W324" s="347"/>
      <c r="X324" s="347"/>
    </row>
    <row r="325" spans="2:24">
      <c r="B325" s="52" t="str">
        <f t="shared" si="54"/>
        <v/>
      </c>
      <c r="C325" s="492" t="str">
        <f t="shared" si="54"/>
        <v/>
      </c>
      <c r="D325" s="492" t="str">
        <f t="shared" si="54"/>
        <v/>
      </c>
      <c r="E325" s="52" t="str">
        <f t="shared" si="54"/>
        <v/>
      </c>
      <c r="F325" s="52"/>
      <c r="G325" s="52"/>
      <c r="H325" s="52"/>
      <c r="I325" s="52"/>
      <c r="J325" s="52"/>
      <c r="K325" s="347"/>
      <c r="L325" s="347"/>
      <c r="M325" s="347"/>
      <c r="N325" s="347"/>
      <c r="O325" s="347"/>
      <c r="P325" s="347"/>
      <c r="Q325" s="347"/>
      <c r="R325" s="347"/>
      <c r="S325" s="347"/>
      <c r="T325" s="347"/>
      <c r="U325" s="347"/>
      <c r="V325" s="347"/>
      <c r="W325" s="347"/>
      <c r="X325" s="347"/>
    </row>
    <row r="326" spans="2:24">
      <c r="B326" s="52" t="str">
        <f t="shared" si="54"/>
        <v/>
      </c>
      <c r="C326" s="492" t="str">
        <f t="shared" si="54"/>
        <v/>
      </c>
      <c r="D326" s="492" t="str">
        <f t="shared" si="54"/>
        <v/>
      </c>
      <c r="E326" s="52" t="str">
        <f t="shared" si="54"/>
        <v/>
      </c>
      <c r="F326" s="52"/>
      <c r="G326" s="52"/>
      <c r="H326" s="52"/>
      <c r="I326" s="52"/>
      <c r="J326" s="52"/>
      <c r="K326" s="347"/>
      <c r="L326" s="347"/>
      <c r="M326" s="347"/>
      <c r="N326" s="347"/>
      <c r="O326" s="347"/>
      <c r="P326" s="347"/>
      <c r="Q326" s="347"/>
      <c r="R326" s="347"/>
      <c r="S326" s="347"/>
      <c r="T326" s="347"/>
      <c r="U326" s="347"/>
      <c r="V326" s="347"/>
      <c r="W326" s="347"/>
      <c r="X326" s="347"/>
    </row>
    <row r="327" spans="2:24">
      <c r="B327" s="52" t="str">
        <f t="shared" ref="B327:E346" si="55">IF(ISBLANK(B285),"",B285)</f>
        <v/>
      </c>
      <c r="C327" s="492" t="str">
        <f t="shared" si="55"/>
        <v/>
      </c>
      <c r="D327" s="492" t="str">
        <f t="shared" si="55"/>
        <v/>
      </c>
      <c r="E327" s="52" t="str">
        <f t="shared" si="55"/>
        <v/>
      </c>
      <c r="F327" s="52"/>
      <c r="G327" s="52"/>
      <c r="H327" s="52"/>
      <c r="I327" s="52"/>
      <c r="J327" s="52"/>
      <c r="K327" s="347"/>
      <c r="L327" s="347"/>
      <c r="M327" s="347"/>
      <c r="N327" s="347"/>
      <c r="O327" s="347"/>
      <c r="P327" s="347"/>
      <c r="Q327" s="347"/>
      <c r="R327" s="347"/>
      <c r="S327" s="347"/>
      <c r="T327" s="347"/>
      <c r="U327" s="347"/>
      <c r="V327" s="347"/>
      <c r="W327" s="347"/>
      <c r="X327" s="347"/>
    </row>
    <row r="328" spans="2:24">
      <c r="B328" s="52" t="str">
        <f t="shared" si="55"/>
        <v/>
      </c>
      <c r="C328" s="492" t="str">
        <f t="shared" si="55"/>
        <v/>
      </c>
      <c r="D328" s="492" t="str">
        <f t="shared" si="55"/>
        <v/>
      </c>
      <c r="E328" s="52" t="str">
        <f t="shared" si="55"/>
        <v/>
      </c>
      <c r="F328" s="52"/>
      <c r="G328" s="52"/>
      <c r="H328" s="52"/>
      <c r="I328" s="52"/>
      <c r="J328" s="52"/>
      <c r="K328" s="347"/>
      <c r="L328" s="347"/>
      <c r="M328" s="347"/>
      <c r="N328" s="347"/>
      <c r="O328" s="347"/>
      <c r="P328" s="347"/>
      <c r="Q328" s="347"/>
      <c r="R328" s="347"/>
      <c r="S328" s="347"/>
      <c r="T328" s="347"/>
      <c r="U328" s="347"/>
      <c r="V328" s="347"/>
      <c r="W328" s="347"/>
      <c r="X328" s="347"/>
    </row>
    <row r="329" spans="2:24">
      <c r="B329" s="52" t="str">
        <f t="shared" si="55"/>
        <v/>
      </c>
      <c r="C329" s="492" t="str">
        <f t="shared" si="55"/>
        <v/>
      </c>
      <c r="D329" s="492" t="str">
        <f t="shared" si="55"/>
        <v/>
      </c>
      <c r="E329" s="52" t="str">
        <f t="shared" si="55"/>
        <v/>
      </c>
      <c r="F329" s="52"/>
      <c r="G329" s="52"/>
      <c r="H329" s="52"/>
      <c r="I329" s="52"/>
      <c r="J329" s="52"/>
      <c r="K329" s="347"/>
      <c r="L329" s="347"/>
      <c r="M329" s="347"/>
      <c r="N329" s="347"/>
      <c r="O329" s="347"/>
      <c r="P329" s="347"/>
      <c r="Q329" s="347"/>
      <c r="R329" s="347"/>
      <c r="S329" s="347"/>
      <c r="T329" s="347"/>
      <c r="U329" s="347"/>
      <c r="V329" s="347"/>
      <c r="W329" s="347"/>
      <c r="X329" s="347"/>
    </row>
    <row r="330" spans="2:24">
      <c r="B330" s="52" t="str">
        <f t="shared" si="55"/>
        <v/>
      </c>
      <c r="C330" s="492" t="str">
        <f t="shared" si="55"/>
        <v/>
      </c>
      <c r="D330" s="492" t="str">
        <f t="shared" si="55"/>
        <v/>
      </c>
      <c r="E330" s="52" t="str">
        <f t="shared" si="55"/>
        <v/>
      </c>
      <c r="F330" s="52"/>
      <c r="G330" s="52"/>
      <c r="H330" s="52"/>
      <c r="I330" s="52"/>
      <c r="J330" s="52"/>
      <c r="K330" s="347"/>
      <c r="L330" s="347"/>
      <c r="M330" s="347"/>
      <c r="N330" s="347"/>
      <c r="O330" s="347"/>
      <c r="P330" s="347"/>
      <c r="Q330" s="347"/>
      <c r="R330" s="347"/>
      <c r="S330" s="347"/>
      <c r="T330" s="347"/>
      <c r="U330" s="347"/>
      <c r="V330" s="347"/>
      <c r="W330" s="347"/>
      <c r="X330" s="347"/>
    </row>
    <row r="331" spans="2:24">
      <c r="B331" s="52" t="str">
        <f t="shared" si="55"/>
        <v/>
      </c>
      <c r="C331" s="492" t="str">
        <f t="shared" si="55"/>
        <v/>
      </c>
      <c r="D331" s="492" t="str">
        <f t="shared" si="55"/>
        <v/>
      </c>
      <c r="E331" s="52" t="str">
        <f t="shared" si="55"/>
        <v/>
      </c>
      <c r="F331" s="52"/>
      <c r="G331" s="52"/>
      <c r="H331" s="52"/>
      <c r="I331" s="52"/>
      <c r="J331" s="52"/>
      <c r="K331" s="347"/>
      <c r="L331" s="347"/>
      <c r="M331" s="347"/>
      <c r="N331" s="347"/>
      <c r="O331" s="347"/>
      <c r="P331" s="347"/>
      <c r="Q331" s="347"/>
      <c r="R331" s="347"/>
      <c r="S331" s="347"/>
      <c r="T331" s="347"/>
      <c r="U331" s="347"/>
      <c r="V331" s="347"/>
      <c r="W331" s="347"/>
      <c r="X331" s="347"/>
    </row>
    <row r="332" spans="2:24">
      <c r="B332" s="52" t="str">
        <f t="shared" si="55"/>
        <v/>
      </c>
      <c r="C332" s="492" t="str">
        <f t="shared" si="55"/>
        <v/>
      </c>
      <c r="D332" s="492" t="str">
        <f t="shared" si="55"/>
        <v/>
      </c>
      <c r="E332" s="52" t="str">
        <f t="shared" si="55"/>
        <v/>
      </c>
      <c r="F332" s="52"/>
      <c r="G332" s="52"/>
      <c r="H332" s="52"/>
      <c r="I332" s="52"/>
      <c r="J332" s="52"/>
      <c r="K332" s="347"/>
      <c r="L332" s="347"/>
      <c r="M332" s="347"/>
      <c r="N332" s="347"/>
      <c r="O332" s="347"/>
      <c r="P332" s="347"/>
      <c r="Q332" s="347"/>
      <c r="R332" s="347"/>
      <c r="S332" s="347"/>
      <c r="T332" s="347"/>
      <c r="U332" s="347"/>
      <c r="V332" s="347"/>
      <c r="W332" s="347"/>
      <c r="X332" s="347"/>
    </row>
    <row r="333" spans="2:24">
      <c r="B333" s="52" t="str">
        <f t="shared" si="55"/>
        <v/>
      </c>
      <c r="C333" s="492" t="str">
        <f t="shared" si="55"/>
        <v/>
      </c>
      <c r="D333" s="492" t="str">
        <f t="shared" si="55"/>
        <v/>
      </c>
      <c r="E333" s="52" t="str">
        <f t="shared" si="55"/>
        <v/>
      </c>
      <c r="F333" s="52"/>
      <c r="G333" s="52"/>
      <c r="H333" s="52"/>
      <c r="I333" s="52"/>
      <c r="J333" s="52"/>
      <c r="K333" s="347"/>
      <c r="L333" s="347"/>
      <c r="M333" s="347"/>
      <c r="N333" s="347"/>
      <c r="O333" s="347"/>
      <c r="P333" s="347"/>
      <c r="Q333" s="347"/>
      <c r="R333" s="347"/>
      <c r="S333" s="347"/>
      <c r="T333" s="347"/>
      <c r="U333" s="347"/>
      <c r="V333" s="347"/>
      <c r="W333" s="347"/>
      <c r="X333" s="347"/>
    </row>
    <row r="334" spans="2:24">
      <c r="B334" s="52" t="str">
        <f t="shared" si="55"/>
        <v/>
      </c>
      <c r="C334" s="492" t="str">
        <f t="shared" si="55"/>
        <v/>
      </c>
      <c r="D334" s="492" t="str">
        <f t="shared" si="55"/>
        <v/>
      </c>
      <c r="E334" s="52" t="str">
        <f t="shared" si="55"/>
        <v/>
      </c>
      <c r="F334" s="52"/>
      <c r="G334" s="52"/>
      <c r="H334" s="52"/>
      <c r="I334" s="52"/>
      <c r="J334" s="52"/>
      <c r="K334" s="347"/>
      <c r="L334" s="347"/>
      <c r="M334" s="347"/>
      <c r="N334" s="347"/>
      <c r="O334" s="347"/>
      <c r="P334" s="347"/>
      <c r="Q334" s="347"/>
      <c r="R334" s="347"/>
      <c r="S334" s="347"/>
      <c r="T334" s="347"/>
      <c r="U334" s="347"/>
      <c r="V334" s="347"/>
      <c r="W334" s="347"/>
      <c r="X334" s="347"/>
    </row>
    <row r="335" spans="2:24">
      <c r="B335" s="52" t="str">
        <f t="shared" si="55"/>
        <v/>
      </c>
      <c r="C335" s="492" t="str">
        <f t="shared" si="55"/>
        <v/>
      </c>
      <c r="D335" s="492" t="str">
        <f t="shared" si="55"/>
        <v/>
      </c>
      <c r="E335" s="52" t="str">
        <f t="shared" si="55"/>
        <v/>
      </c>
      <c r="F335" s="52"/>
      <c r="G335" s="52"/>
      <c r="H335" s="52"/>
      <c r="I335" s="52"/>
      <c r="J335" s="52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</row>
    <row r="336" spans="2:24">
      <c r="B336" s="52" t="str">
        <f t="shared" si="55"/>
        <v/>
      </c>
      <c r="C336" s="492" t="str">
        <f t="shared" si="55"/>
        <v/>
      </c>
      <c r="D336" s="492" t="str">
        <f t="shared" si="55"/>
        <v/>
      </c>
      <c r="E336" s="52" t="str">
        <f t="shared" si="55"/>
        <v/>
      </c>
      <c r="F336" s="52"/>
      <c r="G336" s="52"/>
      <c r="H336" s="52"/>
      <c r="I336" s="52"/>
      <c r="J336" s="52"/>
      <c r="K336" s="347"/>
      <c r="L336" s="347"/>
      <c r="M336" s="347"/>
      <c r="N336" s="347"/>
      <c r="O336" s="347"/>
      <c r="P336" s="347"/>
      <c r="Q336" s="347"/>
      <c r="R336" s="347"/>
      <c r="S336" s="347"/>
      <c r="T336" s="347"/>
      <c r="U336" s="347"/>
      <c r="V336" s="347"/>
      <c r="W336" s="347"/>
      <c r="X336" s="347"/>
    </row>
    <row r="337" spans="1:24">
      <c r="B337" s="52" t="str">
        <f t="shared" si="55"/>
        <v/>
      </c>
      <c r="C337" s="492" t="str">
        <f t="shared" si="55"/>
        <v/>
      </c>
      <c r="D337" s="492" t="str">
        <f t="shared" si="55"/>
        <v/>
      </c>
      <c r="E337" s="52" t="str">
        <f t="shared" si="55"/>
        <v/>
      </c>
      <c r="F337" s="52"/>
      <c r="G337" s="52"/>
      <c r="H337" s="52"/>
      <c r="I337" s="52"/>
      <c r="J337" s="52"/>
      <c r="K337" s="347"/>
      <c r="L337" s="347"/>
      <c r="M337" s="347"/>
      <c r="N337" s="347"/>
      <c r="O337" s="347"/>
      <c r="P337" s="347"/>
      <c r="Q337" s="347"/>
      <c r="R337" s="347"/>
      <c r="S337" s="347"/>
      <c r="T337" s="347"/>
      <c r="U337" s="347"/>
      <c r="V337" s="347"/>
      <c r="W337" s="347"/>
      <c r="X337" s="347"/>
    </row>
    <row r="338" spans="1:24">
      <c r="B338" s="52" t="str">
        <f t="shared" si="55"/>
        <v/>
      </c>
      <c r="C338" s="492" t="str">
        <f t="shared" si="55"/>
        <v/>
      </c>
      <c r="D338" s="492" t="str">
        <f t="shared" si="55"/>
        <v/>
      </c>
      <c r="E338" s="52" t="str">
        <f t="shared" si="55"/>
        <v/>
      </c>
      <c r="F338" s="52"/>
      <c r="G338" s="52"/>
      <c r="H338" s="52"/>
      <c r="I338" s="52"/>
      <c r="J338" s="52"/>
      <c r="K338" s="347"/>
      <c r="L338" s="347"/>
      <c r="M338" s="347"/>
      <c r="N338" s="347"/>
      <c r="O338" s="347"/>
      <c r="P338" s="347"/>
      <c r="Q338" s="347"/>
      <c r="R338" s="347"/>
      <c r="S338" s="347"/>
      <c r="T338" s="347"/>
      <c r="U338" s="347"/>
      <c r="V338" s="347"/>
      <c r="W338" s="347"/>
      <c r="X338" s="347"/>
    </row>
    <row r="339" spans="1:24">
      <c r="B339" s="52" t="str">
        <f t="shared" si="55"/>
        <v/>
      </c>
      <c r="C339" s="492" t="str">
        <f t="shared" si="55"/>
        <v/>
      </c>
      <c r="D339" s="492" t="str">
        <f t="shared" si="55"/>
        <v/>
      </c>
      <c r="E339" s="52" t="str">
        <f t="shared" si="55"/>
        <v/>
      </c>
      <c r="F339" s="52"/>
      <c r="G339" s="52"/>
      <c r="H339" s="52"/>
      <c r="I339" s="52"/>
      <c r="J339" s="52"/>
      <c r="K339" s="347"/>
      <c r="L339" s="347"/>
      <c r="M339" s="347"/>
      <c r="N339" s="347"/>
      <c r="O339" s="347"/>
      <c r="P339" s="347"/>
      <c r="Q339" s="347"/>
      <c r="R339" s="347"/>
      <c r="S339" s="347"/>
      <c r="T339" s="347"/>
      <c r="U339" s="347"/>
      <c r="V339" s="347"/>
      <c r="W339" s="347"/>
      <c r="X339" s="347"/>
    </row>
    <row r="340" spans="1:24">
      <c r="B340" s="52" t="str">
        <f t="shared" si="55"/>
        <v/>
      </c>
      <c r="C340" s="492" t="str">
        <f t="shared" si="55"/>
        <v/>
      </c>
      <c r="D340" s="492" t="str">
        <f t="shared" si="55"/>
        <v/>
      </c>
      <c r="E340" s="52" t="str">
        <f t="shared" si="55"/>
        <v/>
      </c>
      <c r="F340" s="52"/>
      <c r="G340" s="52"/>
      <c r="H340" s="52"/>
      <c r="I340" s="52"/>
      <c r="J340" s="52"/>
      <c r="K340" s="347"/>
      <c r="L340" s="347"/>
      <c r="M340" s="347"/>
      <c r="N340" s="347"/>
      <c r="O340" s="347"/>
      <c r="P340" s="347"/>
      <c r="Q340" s="347"/>
      <c r="R340" s="347"/>
      <c r="S340" s="347"/>
      <c r="T340" s="347"/>
      <c r="U340" s="347"/>
      <c r="V340" s="347"/>
      <c r="W340" s="347"/>
      <c r="X340" s="347"/>
    </row>
    <row r="341" spans="1:24">
      <c r="B341" s="52" t="str">
        <f t="shared" si="55"/>
        <v/>
      </c>
      <c r="C341" s="492" t="str">
        <f t="shared" si="55"/>
        <v/>
      </c>
      <c r="D341" s="492" t="str">
        <f t="shared" si="55"/>
        <v/>
      </c>
      <c r="E341" s="52" t="str">
        <f t="shared" si="55"/>
        <v/>
      </c>
      <c r="F341" s="52"/>
      <c r="G341" s="52"/>
      <c r="H341" s="52"/>
      <c r="I341" s="52"/>
      <c r="J341" s="52"/>
      <c r="K341" s="347"/>
      <c r="L341" s="347"/>
      <c r="M341" s="347"/>
      <c r="N341" s="347"/>
      <c r="O341" s="347"/>
      <c r="P341" s="347"/>
      <c r="Q341" s="347"/>
      <c r="R341" s="347"/>
      <c r="S341" s="347"/>
      <c r="T341" s="347"/>
      <c r="U341" s="347"/>
      <c r="V341" s="347"/>
      <c r="W341" s="347"/>
      <c r="X341" s="347"/>
    </row>
    <row r="342" spans="1:24">
      <c r="B342" s="52" t="str">
        <f t="shared" si="55"/>
        <v/>
      </c>
      <c r="C342" s="492" t="str">
        <f t="shared" si="55"/>
        <v/>
      </c>
      <c r="D342" s="492" t="str">
        <f t="shared" si="55"/>
        <v/>
      </c>
      <c r="E342" s="52" t="str">
        <f t="shared" si="55"/>
        <v/>
      </c>
      <c r="F342" s="52"/>
      <c r="G342" s="52"/>
      <c r="H342" s="52"/>
      <c r="I342" s="52"/>
      <c r="J342" s="52"/>
      <c r="K342" s="347"/>
      <c r="L342" s="347"/>
      <c r="M342" s="347"/>
      <c r="N342" s="347"/>
      <c r="O342" s="347"/>
      <c r="P342" s="347"/>
      <c r="Q342" s="347"/>
      <c r="R342" s="347"/>
      <c r="S342" s="347"/>
      <c r="T342" s="347"/>
      <c r="U342" s="347"/>
      <c r="V342" s="347"/>
      <c r="W342" s="347"/>
      <c r="X342" s="347"/>
    </row>
    <row r="343" spans="1:24">
      <c r="B343" s="52" t="str">
        <f t="shared" si="55"/>
        <v/>
      </c>
      <c r="C343" s="492" t="str">
        <f t="shared" si="55"/>
        <v/>
      </c>
      <c r="D343" s="492" t="str">
        <f t="shared" si="55"/>
        <v/>
      </c>
      <c r="E343" s="52" t="str">
        <f t="shared" si="55"/>
        <v/>
      </c>
      <c r="F343" s="52"/>
      <c r="G343" s="52"/>
      <c r="H343" s="52"/>
      <c r="I343" s="52"/>
      <c r="J343" s="52"/>
      <c r="K343" s="347"/>
      <c r="L343" s="347"/>
      <c r="M343" s="347"/>
      <c r="N343" s="347"/>
      <c r="O343" s="347"/>
      <c r="P343" s="347"/>
      <c r="Q343" s="347"/>
      <c r="R343" s="347"/>
      <c r="S343" s="347"/>
      <c r="T343" s="347"/>
      <c r="U343" s="347"/>
      <c r="V343" s="347"/>
      <c r="W343" s="347"/>
      <c r="X343" s="347"/>
    </row>
    <row r="344" spans="1:24">
      <c r="B344" s="52" t="str">
        <f t="shared" si="55"/>
        <v/>
      </c>
      <c r="C344" s="492" t="str">
        <f t="shared" si="55"/>
        <v/>
      </c>
      <c r="D344" s="492" t="str">
        <f t="shared" si="55"/>
        <v/>
      </c>
      <c r="E344" s="52" t="str">
        <f t="shared" si="55"/>
        <v/>
      </c>
      <c r="F344" s="52"/>
      <c r="G344" s="52"/>
      <c r="H344" s="52"/>
      <c r="I344" s="52"/>
      <c r="J344" s="52"/>
      <c r="K344" s="347"/>
      <c r="L344" s="347"/>
      <c r="M344" s="347"/>
      <c r="N344" s="347"/>
      <c r="O344" s="347"/>
      <c r="P344" s="347"/>
      <c r="Q344" s="347"/>
      <c r="R344" s="347"/>
      <c r="S344" s="347"/>
      <c r="T344" s="347"/>
      <c r="U344" s="347"/>
      <c r="V344" s="347"/>
      <c r="W344" s="347"/>
      <c r="X344" s="347"/>
    </row>
    <row r="345" spans="1:24">
      <c r="B345" s="52" t="str">
        <f t="shared" si="55"/>
        <v/>
      </c>
      <c r="C345" s="492" t="str">
        <f t="shared" si="55"/>
        <v/>
      </c>
      <c r="D345" s="492" t="str">
        <f t="shared" si="55"/>
        <v/>
      </c>
      <c r="E345" s="52" t="str">
        <f t="shared" si="55"/>
        <v/>
      </c>
      <c r="F345" s="52"/>
      <c r="G345" s="52"/>
      <c r="H345" s="52"/>
      <c r="I345" s="52"/>
      <c r="J345" s="52"/>
      <c r="K345" s="347"/>
      <c r="L345" s="347"/>
      <c r="M345" s="347"/>
      <c r="N345" s="347"/>
      <c r="O345" s="347"/>
      <c r="P345" s="347"/>
      <c r="Q345" s="347"/>
      <c r="R345" s="347"/>
      <c r="S345" s="347"/>
      <c r="T345" s="347"/>
      <c r="U345" s="347"/>
      <c r="V345" s="347"/>
      <c r="W345" s="347"/>
      <c r="X345" s="347"/>
    </row>
    <row r="346" spans="1:24">
      <c r="B346" s="52" t="str">
        <f t="shared" si="55"/>
        <v/>
      </c>
      <c r="C346" s="492" t="str">
        <f t="shared" si="55"/>
        <v/>
      </c>
      <c r="D346" s="492" t="str">
        <f t="shared" si="55"/>
        <v/>
      </c>
      <c r="E346" s="52" t="str">
        <f t="shared" si="55"/>
        <v/>
      </c>
      <c r="F346" s="52"/>
      <c r="G346" s="52"/>
      <c r="H346" s="52"/>
      <c r="I346" s="52"/>
      <c r="J346" s="52"/>
      <c r="K346" s="347"/>
      <c r="L346" s="347"/>
      <c r="M346" s="347"/>
      <c r="N346" s="347"/>
      <c r="O346" s="347"/>
      <c r="P346" s="347"/>
      <c r="Q346" s="347"/>
      <c r="R346" s="347"/>
      <c r="S346" s="347"/>
      <c r="T346" s="347"/>
      <c r="U346" s="347"/>
      <c r="V346" s="347"/>
      <c r="W346" s="347"/>
      <c r="X346" s="347"/>
    </row>
    <row r="347" spans="1:24" customFormat="1">
      <c r="A347" s="1"/>
    </row>
    <row r="348" spans="1:24" ht="25.95" customHeight="1">
      <c r="B348" s="187" t="s">
        <v>321</v>
      </c>
      <c r="C348" s="187"/>
      <c r="D348" s="29"/>
      <c r="E348" s="29"/>
      <c r="F348" s="30"/>
      <c r="G348" s="30"/>
      <c r="H348" s="30"/>
      <c r="I348" s="30"/>
      <c r="J348" s="30"/>
      <c r="K348" s="554" t="s">
        <v>349</v>
      </c>
      <c r="L348" s="554"/>
      <c r="M348" s="554"/>
      <c r="N348" s="554"/>
      <c r="O348" s="554"/>
      <c r="P348" s="554"/>
      <c r="Q348" s="554"/>
      <c r="R348" s="554"/>
      <c r="S348" s="554"/>
      <c r="T348" s="554"/>
      <c r="U348" s="554"/>
      <c r="V348" s="554"/>
      <c r="W348" s="554"/>
      <c r="X348" s="554"/>
    </row>
    <row r="349" spans="1:24">
      <c r="B349" s="52" t="str">
        <f t="shared" ref="B349:E368" si="56">IF(ISBLANK(B307),"",B307)</f>
        <v/>
      </c>
      <c r="C349" s="492" t="str">
        <f t="shared" si="56"/>
        <v/>
      </c>
      <c r="D349" s="492" t="str">
        <f t="shared" si="56"/>
        <v/>
      </c>
      <c r="E349" s="52" t="str">
        <f t="shared" si="56"/>
        <v/>
      </c>
      <c r="F349" s="19"/>
      <c r="G349" s="19"/>
      <c r="H349" s="19"/>
      <c r="I349" s="19"/>
      <c r="J349" s="19"/>
      <c r="K349" s="329"/>
      <c r="L349" s="329"/>
      <c r="M349" s="329"/>
      <c r="N349" s="329"/>
      <c r="O349" s="329"/>
      <c r="P349" s="329"/>
      <c r="Q349" s="329"/>
      <c r="R349" s="329"/>
      <c r="S349" s="329"/>
      <c r="T349" s="329"/>
      <c r="U349" s="329"/>
      <c r="V349" s="329"/>
      <c r="W349" s="329"/>
      <c r="X349" s="329"/>
    </row>
    <row r="350" spans="1:24">
      <c r="B350" s="52" t="str">
        <f t="shared" si="56"/>
        <v/>
      </c>
      <c r="C350" s="492" t="str">
        <f t="shared" si="56"/>
        <v/>
      </c>
      <c r="D350" s="492" t="str">
        <f t="shared" si="56"/>
        <v/>
      </c>
      <c r="E350" s="52" t="str">
        <f t="shared" si="56"/>
        <v/>
      </c>
      <c r="F350" s="52"/>
      <c r="G350" s="52"/>
      <c r="H350" s="52"/>
      <c r="I350" s="52"/>
      <c r="J350" s="52"/>
      <c r="K350" s="329"/>
      <c r="L350" s="329"/>
      <c r="M350" s="329"/>
      <c r="N350" s="329"/>
      <c r="O350" s="329"/>
      <c r="P350" s="329"/>
      <c r="Q350" s="329"/>
      <c r="R350" s="329"/>
      <c r="S350" s="329"/>
      <c r="T350" s="329"/>
      <c r="U350" s="329"/>
      <c r="V350" s="329"/>
      <c r="W350" s="329"/>
      <c r="X350" s="329"/>
    </row>
    <row r="351" spans="1:24">
      <c r="B351" s="52" t="str">
        <f t="shared" si="56"/>
        <v/>
      </c>
      <c r="C351" s="492" t="str">
        <f t="shared" si="56"/>
        <v/>
      </c>
      <c r="D351" s="492" t="str">
        <f t="shared" si="56"/>
        <v/>
      </c>
      <c r="E351" s="52" t="str">
        <f t="shared" si="56"/>
        <v/>
      </c>
      <c r="F351" s="52"/>
      <c r="G351" s="52"/>
      <c r="H351" s="52"/>
      <c r="I351" s="52"/>
      <c r="J351" s="52"/>
      <c r="K351" s="329"/>
      <c r="L351" s="329"/>
      <c r="M351" s="329"/>
      <c r="N351" s="329"/>
      <c r="O351" s="329"/>
      <c r="P351" s="329"/>
      <c r="Q351" s="329"/>
      <c r="R351" s="329"/>
      <c r="S351" s="329"/>
      <c r="T351" s="329"/>
      <c r="U351" s="329"/>
      <c r="V351" s="329"/>
      <c r="W351" s="329"/>
      <c r="X351" s="329"/>
    </row>
    <row r="352" spans="1:24">
      <c r="B352" s="52" t="str">
        <f t="shared" si="56"/>
        <v/>
      </c>
      <c r="C352" s="492" t="str">
        <f t="shared" si="56"/>
        <v/>
      </c>
      <c r="D352" s="492" t="str">
        <f t="shared" si="56"/>
        <v/>
      </c>
      <c r="E352" s="52" t="str">
        <f t="shared" si="56"/>
        <v/>
      </c>
      <c r="F352" s="52"/>
      <c r="G352" s="52"/>
      <c r="H352" s="52"/>
      <c r="I352" s="52"/>
      <c r="J352" s="52"/>
      <c r="K352" s="329"/>
      <c r="L352" s="329"/>
      <c r="M352" s="329"/>
      <c r="N352" s="329"/>
      <c r="O352" s="329"/>
      <c r="P352" s="329"/>
      <c r="Q352" s="329"/>
      <c r="R352" s="329"/>
      <c r="S352" s="329"/>
      <c r="T352" s="329"/>
      <c r="U352" s="329"/>
      <c r="V352" s="329"/>
      <c r="W352" s="329"/>
      <c r="X352" s="329"/>
    </row>
    <row r="353" spans="2:24">
      <c r="B353" s="52" t="str">
        <f t="shared" si="56"/>
        <v/>
      </c>
      <c r="C353" s="492" t="str">
        <f t="shared" si="56"/>
        <v/>
      </c>
      <c r="D353" s="492" t="str">
        <f t="shared" si="56"/>
        <v/>
      </c>
      <c r="E353" s="52" t="str">
        <f t="shared" si="56"/>
        <v/>
      </c>
      <c r="F353" s="52"/>
      <c r="G353" s="52"/>
      <c r="H353" s="52"/>
      <c r="I353" s="52"/>
      <c r="J353" s="52"/>
      <c r="K353" s="329"/>
      <c r="L353" s="329"/>
      <c r="M353" s="329"/>
      <c r="N353" s="329"/>
      <c r="O353" s="329"/>
      <c r="P353" s="329"/>
      <c r="Q353" s="329"/>
      <c r="R353" s="329"/>
      <c r="S353" s="329"/>
      <c r="T353" s="329"/>
      <c r="U353" s="329"/>
      <c r="V353" s="329"/>
      <c r="W353" s="329"/>
      <c r="X353" s="329"/>
    </row>
    <row r="354" spans="2:24">
      <c r="B354" s="52" t="str">
        <f t="shared" si="56"/>
        <v/>
      </c>
      <c r="C354" s="492" t="str">
        <f t="shared" si="56"/>
        <v/>
      </c>
      <c r="D354" s="492" t="str">
        <f t="shared" si="56"/>
        <v/>
      </c>
      <c r="E354" s="52" t="str">
        <f t="shared" si="56"/>
        <v/>
      </c>
      <c r="F354" s="52"/>
      <c r="G354" s="52"/>
      <c r="H354" s="52"/>
      <c r="I354" s="52"/>
      <c r="J354" s="52"/>
      <c r="K354" s="329"/>
      <c r="L354" s="329"/>
      <c r="M354" s="329"/>
      <c r="N354" s="329"/>
      <c r="O354" s="329"/>
      <c r="P354" s="329"/>
      <c r="Q354" s="329"/>
      <c r="R354" s="329"/>
      <c r="S354" s="329"/>
      <c r="T354" s="329"/>
      <c r="U354" s="329"/>
      <c r="V354" s="329"/>
      <c r="W354" s="329"/>
      <c r="X354" s="329"/>
    </row>
    <row r="355" spans="2:24">
      <c r="B355" s="52" t="str">
        <f t="shared" si="56"/>
        <v/>
      </c>
      <c r="C355" s="492" t="str">
        <f t="shared" si="56"/>
        <v/>
      </c>
      <c r="D355" s="492" t="str">
        <f t="shared" si="56"/>
        <v/>
      </c>
      <c r="E355" s="52" t="str">
        <f t="shared" si="56"/>
        <v/>
      </c>
      <c r="F355" s="52"/>
      <c r="G355" s="52"/>
      <c r="H355" s="52"/>
      <c r="I355" s="52"/>
      <c r="J355" s="52"/>
      <c r="K355" s="329"/>
      <c r="L355" s="329"/>
      <c r="M355" s="329"/>
      <c r="N355" s="329"/>
      <c r="O355" s="329"/>
      <c r="P355" s="329"/>
      <c r="Q355" s="329"/>
      <c r="R355" s="329"/>
      <c r="S355" s="329"/>
      <c r="T355" s="329"/>
      <c r="U355" s="329"/>
      <c r="V355" s="329"/>
      <c r="W355" s="329"/>
      <c r="X355" s="329"/>
    </row>
    <row r="356" spans="2:24">
      <c r="B356" s="52" t="str">
        <f t="shared" si="56"/>
        <v/>
      </c>
      <c r="C356" s="492" t="str">
        <f t="shared" si="56"/>
        <v/>
      </c>
      <c r="D356" s="492" t="str">
        <f t="shared" si="56"/>
        <v/>
      </c>
      <c r="E356" s="52" t="str">
        <f t="shared" si="56"/>
        <v/>
      </c>
      <c r="F356" s="52"/>
      <c r="G356" s="52"/>
      <c r="H356" s="52"/>
      <c r="I356" s="52"/>
      <c r="J356" s="52"/>
      <c r="K356" s="329"/>
      <c r="L356" s="329"/>
      <c r="M356" s="329"/>
      <c r="N356" s="329"/>
      <c r="O356" s="329"/>
      <c r="P356" s="329"/>
      <c r="Q356" s="329"/>
      <c r="R356" s="329"/>
      <c r="S356" s="329"/>
      <c r="T356" s="329"/>
      <c r="U356" s="329"/>
      <c r="V356" s="329"/>
      <c r="W356" s="329"/>
      <c r="X356" s="329"/>
    </row>
    <row r="357" spans="2:24">
      <c r="B357" s="52" t="str">
        <f t="shared" si="56"/>
        <v/>
      </c>
      <c r="C357" s="492" t="str">
        <f t="shared" si="56"/>
        <v/>
      </c>
      <c r="D357" s="492" t="str">
        <f t="shared" si="56"/>
        <v/>
      </c>
      <c r="E357" s="52" t="str">
        <f t="shared" si="56"/>
        <v/>
      </c>
      <c r="F357" s="52"/>
      <c r="G357" s="52"/>
      <c r="H357" s="52"/>
      <c r="I357" s="52"/>
      <c r="J357" s="52"/>
      <c r="K357" s="329"/>
      <c r="L357" s="329"/>
      <c r="M357" s="329"/>
      <c r="N357" s="329"/>
      <c r="O357" s="329"/>
      <c r="P357" s="329"/>
      <c r="Q357" s="329"/>
      <c r="R357" s="329"/>
      <c r="S357" s="329"/>
      <c r="T357" s="329"/>
      <c r="U357" s="329"/>
      <c r="V357" s="329"/>
      <c r="W357" s="329"/>
      <c r="X357" s="329"/>
    </row>
    <row r="358" spans="2:24">
      <c r="B358" s="52" t="str">
        <f t="shared" si="56"/>
        <v/>
      </c>
      <c r="C358" s="492" t="str">
        <f t="shared" si="56"/>
        <v/>
      </c>
      <c r="D358" s="492" t="str">
        <f t="shared" si="56"/>
        <v/>
      </c>
      <c r="E358" s="52" t="str">
        <f t="shared" si="56"/>
        <v/>
      </c>
      <c r="F358" s="52"/>
      <c r="G358" s="52"/>
      <c r="H358" s="52"/>
      <c r="I358" s="52"/>
      <c r="J358" s="52"/>
      <c r="K358" s="329"/>
      <c r="L358" s="329"/>
      <c r="M358" s="329"/>
      <c r="N358" s="329"/>
      <c r="O358" s="329"/>
      <c r="P358" s="329"/>
      <c r="Q358" s="329"/>
      <c r="R358" s="329"/>
      <c r="S358" s="329"/>
      <c r="T358" s="329"/>
      <c r="U358" s="329"/>
      <c r="V358" s="329"/>
      <c r="W358" s="329"/>
      <c r="X358" s="329"/>
    </row>
    <row r="359" spans="2:24">
      <c r="B359" s="52" t="str">
        <f t="shared" si="56"/>
        <v/>
      </c>
      <c r="C359" s="492" t="str">
        <f t="shared" si="56"/>
        <v/>
      </c>
      <c r="D359" s="492" t="str">
        <f t="shared" si="56"/>
        <v/>
      </c>
      <c r="E359" s="52" t="str">
        <f t="shared" si="56"/>
        <v/>
      </c>
      <c r="F359" s="52"/>
      <c r="G359" s="52"/>
      <c r="H359" s="52"/>
      <c r="I359" s="52"/>
      <c r="J359" s="52"/>
      <c r="K359" s="329"/>
      <c r="L359" s="329"/>
      <c r="M359" s="329"/>
      <c r="N359" s="329"/>
      <c r="O359" s="329"/>
      <c r="P359" s="329"/>
      <c r="Q359" s="329"/>
      <c r="R359" s="329"/>
      <c r="S359" s="329"/>
      <c r="T359" s="329"/>
      <c r="U359" s="329"/>
      <c r="V359" s="329"/>
      <c r="W359" s="329"/>
      <c r="X359" s="329"/>
    </row>
    <row r="360" spans="2:24">
      <c r="B360" s="52" t="str">
        <f t="shared" si="56"/>
        <v/>
      </c>
      <c r="C360" s="492" t="str">
        <f t="shared" si="56"/>
        <v/>
      </c>
      <c r="D360" s="492" t="str">
        <f t="shared" si="56"/>
        <v/>
      </c>
      <c r="E360" s="52" t="str">
        <f t="shared" si="56"/>
        <v/>
      </c>
      <c r="F360" s="52"/>
      <c r="G360" s="52"/>
      <c r="H360" s="52"/>
      <c r="I360" s="52"/>
      <c r="J360" s="52"/>
      <c r="K360" s="329"/>
      <c r="L360" s="329"/>
      <c r="M360" s="329"/>
      <c r="N360" s="329"/>
      <c r="O360" s="329"/>
      <c r="P360" s="329"/>
      <c r="Q360" s="329"/>
      <c r="R360" s="329"/>
      <c r="S360" s="329"/>
      <c r="T360" s="329"/>
      <c r="U360" s="329"/>
      <c r="V360" s="329"/>
      <c r="W360" s="329"/>
      <c r="X360" s="329"/>
    </row>
    <row r="361" spans="2:24">
      <c r="B361" s="52" t="str">
        <f t="shared" si="56"/>
        <v/>
      </c>
      <c r="C361" s="492" t="str">
        <f t="shared" si="56"/>
        <v/>
      </c>
      <c r="D361" s="492" t="str">
        <f t="shared" si="56"/>
        <v/>
      </c>
      <c r="E361" s="52" t="str">
        <f t="shared" si="56"/>
        <v/>
      </c>
      <c r="F361" s="52"/>
      <c r="G361" s="52"/>
      <c r="H361" s="52"/>
      <c r="I361" s="52"/>
      <c r="J361" s="52"/>
      <c r="K361" s="329"/>
      <c r="L361" s="329"/>
      <c r="M361" s="329"/>
      <c r="N361" s="329"/>
      <c r="O361" s="329"/>
      <c r="P361" s="329"/>
      <c r="Q361" s="329"/>
      <c r="R361" s="329"/>
      <c r="S361" s="329"/>
      <c r="T361" s="329"/>
      <c r="U361" s="329"/>
      <c r="V361" s="329"/>
      <c r="W361" s="329"/>
      <c r="X361" s="329"/>
    </row>
    <row r="362" spans="2:24">
      <c r="B362" s="52" t="str">
        <f t="shared" si="56"/>
        <v/>
      </c>
      <c r="C362" s="492" t="str">
        <f t="shared" si="56"/>
        <v/>
      </c>
      <c r="D362" s="492" t="str">
        <f t="shared" si="56"/>
        <v/>
      </c>
      <c r="E362" s="52" t="str">
        <f t="shared" si="56"/>
        <v/>
      </c>
      <c r="F362" s="52"/>
      <c r="G362" s="52"/>
      <c r="H362" s="52"/>
      <c r="I362" s="52"/>
      <c r="J362" s="52"/>
      <c r="K362" s="329"/>
      <c r="L362" s="329"/>
      <c r="M362" s="329"/>
      <c r="N362" s="329"/>
      <c r="O362" s="329"/>
      <c r="P362" s="329"/>
      <c r="Q362" s="329"/>
      <c r="R362" s="329"/>
      <c r="S362" s="329"/>
      <c r="T362" s="329"/>
      <c r="U362" s="329"/>
      <c r="V362" s="329"/>
      <c r="W362" s="329"/>
      <c r="X362" s="329"/>
    </row>
    <row r="363" spans="2:24">
      <c r="B363" s="52" t="str">
        <f t="shared" si="56"/>
        <v/>
      </c>
      <c r="C363" s="492" t="str">
        <f t="shared" si="56"/>
        <v/>
      </c>
      <c r="D363" s="492" t="str">
        <f t="shared" si="56"/>
        <v/>
      </c>
      <c r="E363" s="52" t="str">
        <f t="shared" si="56"/>
        <v/>
      </c>
      <c r="F363" s="52"/>
      <c r="G363" s="52"/>
      <c r="H363" s="52"/>
      <c r="I363" s="52"/>
      <c r="J363" s="52"/>
      <c r="K363" s="329"/>
      <c r="L363" s="329"/>
      <c r="M363" s="329"/>
      <c r="N363" s="329"/>
      <c r="O363" s="329"/>
      <c r="P363" s="329"/>
      <c r="Q363" s="329"/>
      <c r="R363" s="329"/>
      <c r="S363" s="329"/>
      <c r="T363" s="329"/>
      <c r="U363" s="329"/>
      <c r="V363" s="329"/>
      <c r="W363" s="329"/>
      <c r="X363" s="329"/>
    </row>
    <row r="364" spans="2:24">
      <c r="B364" s="52" t="str">
        <f t="shared" si="56"/>
        <v/>
      </c>
      <c r="C364" s="492" t="str">
        <f t="shared" si="56"/>
        <v/>
      </c>
      <c r="D364" s="492" t="str">
        <f t="shared" si="56"/>
        <v/>
      </c>
      <c r="E364" s="52" t="str">
        <f t="shared" si="56"/>
        <v/>
      </c>
      <c r="F364" s="52"/>
      <c r="G364" s="52"/>
      <c r="H364" s="52"/>
      <c r="I364" s="52"/>
      <c r="J364" s="52"/>
      <c r="K364" s="329"/>
      <c r="L364" s="329"/>
      <c r="M364" s="329"/>
      <c r="N364" s="329"/>
      <c r="O364" s="329"/>
      <c r="P364" s="329"/>
      <c r="Q364" s="329"/>
      <c r="R364" s="329"/>
      <c r="S364" s="329"/>
      <c r="T364" s="329"/>
      <c r="U364" s="329"/>
      <c r="V364" s="329"/>
      <c r="W364" s="329"/>
      <c r="X364" s="329"/>
    </row>
    <row r="365" spans="2:24">
      <c r="B365" s="52" t="str">
        <f t="shared" si="56"/>
        <v/>
      </c>
      <c r="C365" s="492" t="str">
        <f t="shared" si="56"/>
        <v/>
      </c>
      <c r="D365" s="492" t="str">
        <f t="shared" si="56"/>
        <v/>
      </c>
      <c r="E365" s="52" t="str">
        <f t="shared" si="56"/>
        <v/>
      </c>
      <c r="F365" s="52"/>
      <c r="G365" s="52"/>
      <c r="H365" s="52"/>
      <c r="I365" s="52"/>
      <c r="J365" s="52"/>
      <c r="K365" s="329"/>
      <c r="L365" s="329"/>
      <c r="M365" s="329"/>
      <c r="N365" s="329"/>
      <c r="O365" s="329"/>
      <c r="P365" s="329"/>
      <c r="Q365" s="329"/>
      <c r="R365" s="329"/>
      <c r="S365" s="329"/>
      <c r="T365" s="329"/>
      <c r="U365" s="329"/>
      <c r="V365" s="329"/>
      <c r="W365" s="329"/>
      <c r="X365" s="329"/>
    </row>
    <row r="366" spans="2:24">
      <c r="B366" s="52" t="str">
        <f t="shared" si="56"/>
        <v/>
      </c>
      <c r="C366" s="492" t="str">
        <f t="shared" si="56"/>
        <v/>
      </c>
      <c r="D366" s="492" t="str">
        <f t="shared" si="56"/>
        <v/>
      </c>
      <c r="E366" s="52" t="str">
        <f t="shared" si="56"/>
        <v/>
      </c>
      <c r="F366" s="52"/>
      <c r="G366" s="52"/>
      <c r="H366" s="52"/>
      <c r="I366" s="52"/>
      <c r="J366" s="52"/>
      <c r="K366" s="329"/>
      <c r="L366" s="329"/>
      <c r="M366" s="329"/>
      <c r="N366" s="329"/>
      <c r="O366" s="329"/>
      <c r="P366" s="329"/>
      <c r="Q366" s="329"/>
      <c r="R366" s="329"/>
      <c r="S366" s="329"/>
      <c r="T366" s="329"/>
      <c r="U366" s="329"/>
      <c r="V366" s="329"/>
      <c r="W366" s="329"/>
      <c r="X366" s="329"/>
    </row>
    <row r="367" spans="2:24">
      <c r="B367" s="52" t="str">
        <f t="shared" si="56"/>
        <v/>
      </c>
      <c r="C367" s="492" t="str">
        <f t="shared" si="56"/>
        <v/>
      </c>
      <c r="D367" s="492" t="str">
        <f t="shared" si="56"/>
        <v/>
      </c>
      <c r="E367" s="52" t="str">
        <f t="shared" si="56"/>
        <v/>
      </c>
      <c r="F367" s="52"/>
      <c r="G367" s="52"/>
      <c r="H367" s="52"/>
      <c r="I367" s="52"/>
      <c r="J367" s="52"/>
      <c r="K367" s="329"/>
      <c r="L367" s="329"/>
      <c r="M367" s="329"/>
      <c r="N367" s="329"/>
      <c r="O367" s="329"/>
      <c r="P367" s="329"/>
      <c r="Q367" s="329"/>
      <c r="R367" s="329"/>
      <c r="S367" s="329"/>
      <c r="T367" s="329"/>
      <c r="U367" s="329"/>
      <c r="V367" s="329"/>
      <c r="W367" s="329"/>
      <c r="X367" s="329"/>
    </row>
    <row r="368" spans="2:24">
      <c r="B368" s="52" t="str">
        <f t="shared" si="56"/>
        <v/>
      </c>
      <c r="C368" s="492" t="str">
        <f t="shared" si="56"/>
        <v/>
      </c>
      <c r="D368" s="492" t="str">
        <f t="shared" si="56"/>
        <v/>
      </c>
      <c r="E368" s="52" t="str">
        <f t="shared" si="56"/>
        <v/>
      </c>
      <c r="F368" s="52"/>
      <c r="G368" s="52"/>
      <c r="H368" s="52"/>
      <c r="I368" s="52"/>
      <c r="J368" s="52"/>
      <c r="K368" s="329"/>
      <c r="L368" s="329"/>
      <c r="M368" s="329"/>
      <c r="N368" s="329"/>
      <c r="O368" s="329"/>
      <c r="P368" s="329"/>
      <c r="Q368" s="329"/>
      <c r="R368" s="329"/>
      <c r="S368" s="329"/>
      <c r="T368" s="329"/>
      <c r="U368" s="329"/>
      <c r="V368" s="329"/>
      <c r="W368" s="329"/>
      <c r="X368" s="329"/>
    </row>
    <row r="369" spans="2:24">
      <c r="B369" s="52" t="str">
        <f t="shared" ref="B369:E388" si="57">IF(ISBLANK(B327),"",B327)</f>
        <v/>
      </c>
      <c r="C369" s="492" t="str">
        <f t="shared" si="57"/>
        <v/>
      </c>
      <c r="D369" s="492" t="str">
        <f t="shared" si="57"/>
        <v/>
      </c>
      <c r="E369" s="52" t="str">
        <f t="shared" si="57"/>
        <v/>
      </c>
      <c r="F369" s="52"/>
      <c r="G369" s="52"/>
      <c r="H369" s="52"/>
      <c r="I369" s="52"/>
      <c r="J369" s="52"/>
      <c r="K369" s="329"/>
      <c r="L369" s="329"/>
      <c r="M369" s="329"/>
      <c r="N369" s="329"/>
      <c r="O369" s="329"/>
      <c r="P369" s="329"/>
      <c r="Q369" s="329"/>
      <c r="R369" s="329"/>
      <c r="S369" s="329"/>
      <c r="T369" s="329"/>
      <c r="U369" s="329"/>
      <c r="V369" s="329"/>
      <c r="W369" s="329"/>
      <c r="X369" s="329"/>
    </row>
    <row r="370" spans="2:24">
      <c r="B370" s="52" t="str">
        <f t="shared" si="57"/>
        <v/>
      </c>
      <c r="C370" s="492" t="str">
        <f t="shared" si="57"/>
        <v/>
      </c>
      <c r="D370" s="492" t="str">
        <f t="shared" si="57"/>
        <v/>
      </c>
      <c r="E370" s="52" t="str">
        <f t="shared" si="57"/>
        <v/>
      </c>
      <c r="F370" s="52"/>
      <c r="G370" s="52"/>
      <c r="H370" s="52"/>
      <c r="I370" s="52"/>
      <c r="J370" s="52"/>
      <c r="K370" s="329"/>
      <c r="L370" s="329"/>
      <c r="M370" s="329"/>
      <c r="N370" s="329"/>
      <c r="O370" s="329"/>
      <c r="P370" s="329"/>
      <c r="Q370" s="329"/>
      <c r="R370" s="329"/>
      <c r="S370" s="329"/>
      <c r="T370" s="329"/>
      <c r="U370" s="329"/>
      <c r="V370" s="329"/>
      <c r="W370" s="329"/>
      <c r="X370" s="329"/>
    </row>
    <row r="371" spans="2:24">
      <c r="B371" s="52" t="str">
        <f t="shared" si="57"/>
        <v/>
      </c>
      <c r="C371" s="492" t="str">
        <f t="shared" si="57"/>
        <v/>
      </c>
      <c r="D371" s="492" t="str">
        <f t="shared" si="57"/>
        <v/>
      </c>
      <c r="E371" s="52" t="str">
        <f t="shared" si="57"/>
        <v/>
      </c>
      <c r="F371" s="52"/>
      <c r="G371" s="52"/>
      <c r="H371" s="52"/>
      <c r="I371" s="52"/>
      <c r="J371" s="52"/>
      <c r="K371" s="329"/>
      <c r="L371" s="329"/>
      <c r="M371" s="329"/>
      <c r="N371" s="329"/>
      <c r="O371" s="329"/>
      <c r="P371" s="329"/>
      <c r="Q371" s="329"/>
      <c r="R371" s="329"/>
      <c r="S371" s="329"/>
      <c r="T371" s="329"/>
      <c r="U371" s="329"/>
      <c r="V371" s="329"/>
      <c r="W371" s="329"/>
      <c r="X371" s="329"/>
    </row>
    <row r="372" spans="2:24">
      <c r="B372" s="52" t="str">
        <f t="shared" si="57"/>
        <v/>
      </c>
      <c r="C372" s="492" t="str">
        <f t="shared" si="57"/>
        <v/>
      </c>
      <c r="D372" s="492" t="str">
        <f t="shared" si="57"/>
        <v/>
      </c>
      <c r="E372" s="52" t="str">
        <f t="shared" si="57"/>
        <v/>
      </c>
      <c r="F372" s="52"/>
      <c r="G372" s="52"/>
      <c r="H372" s="52"/>
      <c r="I372" s="52"/>
      <c r="J372" s="52"/>
      <c r="K372" s="329"/>
      <c r="L372" s="329"/>
      <c r="M372" s="329"/>
      <c r="N372" s="329"/>
      <c r="O372" s="329"/>
      <c r="P372" s="329"/>
      <c r="Q372" s="329"/>
      <c r="R372" s="329"/>
      <c r="S372" s="329"/>
      <c r="T372" s="329"/>
      <c r="U372" s="329"/>
      <c r="V372" s="329"/>
      <c r="W372" s="329"/>
      <c r="X372" s="329"/>
    </row>
    <row r="373" spans="2:24">
      <c r="B373" s="52" t="str">
        <f t="shared" si="57"/>
        <v/>
      </c>
      <c r="C373" s="492" t="str">
        <f t="shared" si="57"/>
        <v/>
      </c>
      <c r="D373" s="492" t="str">
        <f t="shared" si="57"/>
        <v/>
      </c>
      <c r="E373" s="52" t="str">
        <f t="shared" si="57"/>
        <v/>
      </c>
      <c r="F373" s="52"/>
      <c r="G373" s="52"/>
      <c r="H373" s="52"/>
      <c r="I373" s="52"/>
      <c r="J373" s="52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</row>
    <row r="374" spans="2:24">
      <c r="B374" s="52" t="str">
        <f t="shared" si="57"/>
        <v/>
      </c>
      <c r="C374" s="492" t="str">
        <f t="shared" si="57"/>
        <v/>
      </c>
      <c r="D374" s="492" t="str">
        <f t="shared" si="57"/>
        <v/>
      </c>
      <c r="E374" s="52" t="str">
        <f t="shared" si="57"/>
        <v/>
      </c>
      <c r="F374" s="52"/>
      <c r="G374" s="52"/>
      <c r="H374" s="52"/>
      <c r="I374" s="52"/>
      <c r="J374" s="52"/>
      <c r="K374" s="329"/>
      <c r="L374" s="329"/>
      <c r="M374" s="329"/>
      <c r="N374" s="329"/>
      <c r="O374" s="329"/>
      <c r="P374" s="329"/>
      <c r="Q374" s="329"/>
      <c r="R374" s="329"/>
      <c r="S374" s="329"/>
      <c r="T374" s="329"/>
      <c r="U374" s="329"/>
      <c r="V374" s="329"/>
      <c r="W374" s="329"/>
      <c r="X374" s="329"/>
    </row>
    <row r="375" spans="2:24">
      <c r="B375" s="52" t="str">
        <f t="shared" si="57"/>
        <v/>
      </c>
      <c r="C375" s="492" t="str">
        <f t="shared" si="57"/>
        <v/>
      </c>
      <c r="D375" s="492" t="str">
        <f t="shared" si="57"/>
        <v/>
      </c>
      <c r="E375" s="52" t="str">
        <f t="shared" si="57"/>
        <v/>
      </c>
      <c r="F375" s="52"/>
      <c r="G375" s="52"/>
      <c r="H375" s="52"/>
      <c r="I375" s="52"/>
      <c r="J375" s="52"/>
      <c r="K375" s="329"/>
      <c r="L375" s="329"/>
      <c r="M375" s="329"/>
      <c r="N375" s="329"/>
      <c r="O375" s="329"/>
      <c r="P375" s="329"/>
      <c r="Q375" s="329"/>
      <c r="R375" s="329"/>
      <c r="S375" s="329"/>
      <c r="T375" s="329"/>
      <c r="U375" s="329"/>
      <c r="V375" s="329"/>
      <c r="W375" s="329"/>
      <c r="X375" s="329"/>
    </row>
    <row r="376" spans="2:24">
      <c r="B376" s="52" t="str">
        <f t="shared" si="57"/>
        <v/>
      </c>
      <c r="C376" s="492" t="str">
        <f t="shared" si="57"/>
        <v/>
      </c>
      <c r="D376" s="492" t="str">
        <f t="shared" si="57"/>
        <v/>
      </c>
      <c r="E376" s="52" t="str">
        <f t="shared" si="57"/>
        <v/>
      </c>
      <c r="F376" s="52"/>
      <c r="G376" s="52"/>
      <c r="H376" s="52"/>
      <c r="I376" s="52"/>
      <c r="J376" s="52"/>
      <c r="K376" s="329"/>
      <c r="L376" s="329"/>
      <c r="M376" s="329"/>
      <c r="N376" s="329"/>
      <c r="O376" s="329"/>
      <c r="P376" s="329"/>
      <c r="Q376" s="329"/>
      <c r="R376" s="329"/>
      <c r="S376" s="329"/>
      <c r="T376" s="329"/>
      <c r="U376" s="329"/>
      <c r="V376" s="329"/>
      <c r="W376" s="329"/>
      <c r="X376" s="329"/>
    </row>
    <row r="377" spans="2:24">
      <c r="B377" s="52" t="str">
        <f t="shared" si="57"/>
        <v/>
      </c>
      <c r="C377" s="492" t="str">
        <f t="shared" si="57"/>
        <v/>
      </c>
      <c r="D377" s="492" t="str">
        <f t="shared" si="57"/>
        <v/>
      </c>
      <c r="E377" s="52" t="str">
        <f t="shared" si="57"/>
        <v/>
      </c>
      <c r="F377" s="52"/>
      <c r="G377" s="52"/>
      <c r="H377" s="52"/>
      <c r="I377" s="52"/>
      <c r="J377" s="52"/>
      <c r="K377" s="329"/>
      <c r="L377" s="329"/>
      <c r="M377" s="329"/>
      <c r="N377" s="329"/>
      <c r="O377" s="329"/>
      <c r="P377" s="329"/>
      <c r="Q377" s="329"/>
      <c r="R377" s="329"/>
      <c r="S377" s="329"/>
      <c r="T377" s="329"/>
      <c r="U377" s="329"/>
      <c r="V377" s="329"/>
      <c r="W377" s="329"/>
      <c r="X377" s="329"/>
    </row>
    <row r="378" spans="2:24">
      <c r="B378" s="52" t="str">
        <f t="shared" si="57"/>
        <v/>
      </c>
      <c r="C378" s="492" t="str">
        <f t="shared" si="57"/>
        <v/>
      </c>
      <c r="D378" s="492" t="str">
        <f t="shared" si="57"/>
        <v/>
      </c>
      <c r="E378" s="52" t="str">
        <f t="shared" si="57"/>
        <v/>
      </c>
      <c r="F378" s="52"/>
      <c r="G378" s="52"/>
      <c r="H378" s="52"/>
      <c r="I378" s="52"/>
      <c r="J378" s="52"/>
      <c r="K378" s="329"/>
      <c r="L378" s="329"/>
      <c r="M378" s="329"/>
      <c r="N378" s="329"/>
      <c r="O378" s="329"/>
      <c r="P378" s="329"/>
      <c r="Q378" s="329"/>
      <c r="R378" s="329"/>
      <c r="S378" s="329"/>
      <c r="T378" s="329"/>
      <c r="U378" s="329"/>
      <c r="V378" s="329"/>
      <c r="W378" s="329"/>
      <c r="X378" s="329"/>
    </row>
    <row r="379" spans="2:24">
      <c r="B379" s="52" t="str">
        <f t="shared" si="57"/>
        <v/>
      </c>
      <c r="C379" s="492" t="str">
        <f t="shared" si="57"/>
        <v/>
      </c>
      <c r="D379" s="492" t="str">
        <f t="shared" si="57"/>
        <v/>
      </c>
      <c r="E379" s="52" t="str">
        <f t="shared" si="57"/>
        <v/>
      </c>
      <c r="F379" s="52"/>
      <c r="G379" s="52"/>
      <c r="H379" s="52"/>
      <c r="I379" s="52"/>
      <c r="J379" s="52"/>
      <c r="K379" s="329"/>
      <c r="L379" s="329"/>
      <c r="M379" s="329"/>
      <c r="N379" s="329"/>
      <c r="O379" s="329"/>
      <c r="P379" s="329"/>
      <c r="Q379" s="329"/>
      <c r="R379" s="329"/>
      <c r="S379" s="329"/>
      <c r="T379" s="329"/>
      <c r="U379" s="329"/>
      <c r="V379" s="329"/>
      <c r="W379" s="329"/>
      <c r="X379" s="329"/>
    </row>
    <row r="380" spans="2:24">
      <c r="B380" s="52" t="str">
        <f t="shared" si="57"/>
        <v/>
      </c>
      <c r="C380" s="492" t="str">
        <f t="shared" si="57"/>
        <v/>
      </c>
      <c r="D380" s="492" t="str">
        <f t="shared" si="57"/>
        <v/>
      </c>
      <c r="E380" s="52" t="str">
        <f t="shared" si="57"/>
        <v/>
      </c>
      <c r="F380" s="52"/>
      <c r="G380" s="52"/>
      <c r="H380" s="52"/>
      <c r="I380" s="52"/>
      <c r="J380" s="52"/>
      <c r="K380" s="329"/>
      <c r="L380" s="329"/>
      <c r="M380" s="329"/>
      <c r="N380" s="329"/>
      <c r="O380" s="329"/>
      <c r="P380" s="329"/>
      <c r="Q380" s="329"/>
      <c r="R380" s="329"/>
      <c r="S380" s="329"/>
      <c r="T380" s="329"/>
      <c r="U380" s="329"/>
      <c r="V380" s="329"/>
      <c r="W380" s="329"/>
      <c r="X380" s="329"/>
    </row>
    <row r="381" spans="2:24">
      <c r="B381" s="52" t="str">
        <f t="shared" si="57"/>
        <v/>
      </c>
      <c r="C381" s="492" t="str">
        <f t="shared" si="57"/>
        <v/>
      </c>
      <c r="D381" s="492" t="str">
        <f t="shared" si="57"/>
        <v/>
      </c>
      <c r="E381" s="52" t="str">
        <f t="shared" si="57"/>
        <v/>
      </c>
      <c r="F381" s="52"/>
      <c r="G381" s="52"/>
      <c r="H381" s="52"/>
      <c r="I381" s="52"/>
      <c r="J381" s="52"/>
      <c r="K381" s="329"/>
      <c r="L381" s="329"/>
      <c r="M381" s="329"/>
      <c r="N381" s="329"/>
      <c r="O381" s="329"/>
      <c r="P381" s="329"/>
      <c r="Q381" s="329"/>
      <c r="R381" s="329"/>
      <c r="S381" s="329"/>
      <c r="T381" s="329"/>
      <c r="U381" s="329"/>
      <c r="V381" s="329"/>
      <c r="W381" s="329"/>
      <c r="X381" s="329"/>
    </row>
    <row r="382" spans="2:24">
      <c r="B382" s="52" t="str">
        <f t="shared" si="57"/>
        <v/>
      </c>
      <c r="C382" s="492" t="str">
        <f t="shared" si="57"/>
        <v/>
      </c>
      <c r="D382" s="492" t="str">
        <f t="shared" si="57"/>
        <v/>
      </c>
      <c r="E382" s="52" t="str">
        <f t="shared" si="57"/>
        <v/>
      </c>
      <c r="F382" s="52"/>
      <c r="G382" s="52"/>
      <c r="H382" s="52"/>
      <c r="I382" s="52"/>
      <c r="J382" s="52"/>
      <c r="K382" s="329"/>
      <c r="L382" s="329"/>
      <c r="M382" s="329"/>
      <c r="N382" s="329"/>
      <c r="O382" s="329"/>
      <c r="P382" s="329"/>
      <c r="Q382" s="329"/>
      <c r="R382" s="329"/>
      <c r="S382" s="329"/>
      <c r="T382" s="329"/>
      <c r="U382" s="329"/>
      <c r="V382" s="329"/>
      <c r="W382" s="329"/>
      <c r="X382" s="329"/>
    </row>
    <row r="383" spans="2:24">
      <c r="B383" s="52" t="str">
        <f t="shared" si="57"/>
        <v/>
      </c>
      <c r="C383" s="492" t="str">
        <f t="shared" si="57"/>
        <v/>
      </c>
      <c r="D383" s="492" t="str">
        <f t="shared" si="57"/>
        <v/>
      </c>
      <c r="E383" s="52" t="str">
        <f t="shared" si="57"/>
        <v/>
      </c>
      <c r="F383" s="52"/>
      <c r="G383" s="52"/>
      <c r="H383" s="52"/>
      <c r="I383" s="52"/>
      <c r="J383" s="52"/>
      <c r="K383" s="329"/>
      <c r="L383" s="329"/>
      <c r="M383" s="329"/>
      <c r="N383" s="329"/>
      <c r="O383" s="329"/>
      <c r="P383" s="329"/>
      <c r="Q383" s="329"/>
      <c r="R383" s="329"/>
      <c r="S383" s="329"/>
      <c r="T383" s="329"/>
      <c r="U383" s="329"/>
      <c r="V383" s="329"/>
      <c r="W383" s="329"/>
      <c r="X383" s="329"/>
    </row>
    <row r="384" spans="2:24">
      <c r="B384" s="52" t="str">
        <f t="shared" si="57"/>
        <v/>
      </c>
      <c r="C384" s="492" t="str">
        <f t="shared" si="57"/>
        <v/>
      </c>
      <c r="D384" s="492" t="str">
        <f t="shared" si="57"/>
        <v/>
      </c>
      <c r="E384" s="52" t="str">
        <f t="shared" si="57"/>
        <v/>
      </c>
      <c r="F384" s="52"/>
      <c r="G384" s="52"/>
      <c r="H384" s="52"/>
      <c r="I384" s="52"/>
      <c r="J384" s="52"/>
      <c r="K384" s="329"/>
      <c r="L384" s="329"/>
      <c r="M384" s="329"/>
      <c r="N384" s="329"/>
      <c r="O384" s="329"/>
      <c r="P384" s="329"/>
      <c r="Q384" s="329"/>
      <c r="R384" s="329"/>
      <c r="S384" s="329"/>
      <c r="T384" s="329"/>
      <c r="U384" s="329"/>
      <c r="V384" s="329"/>
      <c r="W384" s="329"/>
      <c r="X384" s="329"/>
    </row>
    <row r="385" spans="1:24">
      <c r="B385" s="52" t="str">
        <f t="shared" si="57"/>
        <v/>
      </c>
      <c r="C385" s="492" t="str">
        <f t="shared" si="57"/>
        <v/>
      </c>
      <c r="D385" s="492" t="str">
        <f t="shared" si="57"/>
        <v/>
      </c>
      <c r="E385" s="52" t="str">
        <f t="shared" si="57"/>
        <v/>
      </c>
      <c r="F385" s="52"/>
      <c r="G385" s="52"/>
      <c r="H385" s="52"/>
      <c r="I385" s="52"/>
      <c r="J385" s="52"/>
      <c r="K385" s="329"/>
      <c r="L385" s="329"/>
      <c r="M385" s="329"/>
      <c r="N385" s="329"/>
      <c r="O385" s="329"/>
      <c r="P385" s="329"/>
      <c r="Q385" s="329"/>
      <c r="R385" s="329"/>
      <c r="S385" s="329"/>
      <c r="T385" s="329"/>
      <c r="U385" s="329"/>
      <c r="V385" s="329"/>
      <c r="W385" s="329"/>
      <c r="X385" s="329"/>
    </row>
    <row r="386" spans="1:24">
      <c r="B386" s="52" t="str">
        <f t="shared" si="57"/>
        <v/>
      </c>
      <c r="C386" s="492" t="str">
        <f t="shared" si="57"/>
        <v/>
      </c>
      <c r="D386" s="492" t="str">
        <f t="shared" si="57"/>
        <v/>
      </c>
      <c r="E386" s="52" t="str">
        <f t="shared" si="57"/>
        <v/>
      </c>
      <c r="F386" s="52"/>
      <c r="G386" s="52"/>
      <c r="H386" s="52"/>
      <c r="I386" s="52"/>
      <c r="J386" s="52"/>
      <c r="K386" s="329"/>
      <c r="L386" s="329"/>
      <c r="M386" s="329"/>
      <c r="N386" s="329"/>
      <c r="O386" s="329"/>
      <c r="P386" s="329"/>
      <c r="Q386" s="329"/>
      <c r="R386" s="329"/>
      <c r="S386" s="329"/>
      <c r="T386" s="329"/>
      <c r="U386" s="329"/>
      <c r="V386" s="329"/>
      <c r="W386" s="329"/>
      <c r="X386" s="329"/>
    </row>
    <row r="387" spans="1:24">
      <c r="B387" s="52" t="str">
        <f t="shared" si="57"/>
        <v/>
      </c>
      <c r="C387" s="492" t="str">
        <f t="shared" si="57"/>
        <v/>
      </c>
      <c r="D387" s="492" t="str">
        <f t="shared" si="57"/>
        <v/>
      </c>
      <c r="E387" s="52" t="str">
        <f t="shared" si="57"/>
        <v/>
      </c>
      <c r="F387" s="52"/>
      <c r="G387" s="52"/>
      <c r="H387" s="52"/>
      <c r="I387" s="52"/>
      <c r="J387" s="52"/>
      <c r="K387" s="329"/>
      <c r="L387" s="329"/>
      <c r="M387" s="329"/>
      <c r="N387" s="329"/>
      <c r="O387" s="329"/>
      <c r="P387" s="329"/>
      <c r="Q387" s="329"/>
      <c r="R387" s="329"/>
      <c r="S387" s="329"/>
      <c r="T387" s="329"/>
      <c r="U387" s="329"/>
      <c r="V387" s="329"/>
      <c r="W387" s="329"/>
      <c r="X387" s="329"/>
    </row>
    <row r="388" spans="1:24">
      <c r="B388" s="52" t="str">
        <f t="shared" si="57"/>
        <v/>
      </c>
      <c r="C388" s="492" t="str">
        <f t="shared" si="57"/>
        <v/>
      </c>
      <c r="D388" s="492" t="str">
        <f t="shared" si="57"/>
        <v/>
      </c>
      <c r="E388" s="52" t="str">
        <f t="shared" si="57"/>
        <v/>
      </c>
      <c r="F388" s="52"/>
      <c r="G388" s="52"/>
      <c r="H388" s="52"/>
      <c r="I388" s="52"/>
      <c r="J388" s="52"/>
      <c r="K388" s="329"/>
      <c r="L388" s="329"/>
      <c r="M388" s="329"/>
      <c r="N388" s="329"/>
      <c r="O388" s="329"/>
      <c r="P388" s="329"/>
      <c r="Q388" s="329"/>
      <c r="R388" s="329"/>
      <c r="S388" s="329"/>
      <c r="T388" s="329"/>
      <c r="U388" s="329"/>
      <c r="V388" s="329"/>
      <c r="W388" s="329"/>
      <c r="X388" s="329"/>
    </row>
    <row r="389" spans="1:24" customFormat="1">
      <c r="A389" s="1"/>
      <c r="B389" s="335"/>
      <c r="C389" s="335"/>
      <c r="D389" s="335"/>
      <c r="E389" s="335"/>
      <c r="F389" s="335"/>
      <c r="G389" s="335"/>
      <c r="H389" s="335"/>
      <c r="I389" s="335"/>
      <c r="J389" s="335"/>
      <c r="K389" s="335"/>
      <c r="L389" s="335"/>
      <c r="M389" s="335"/>
      <c r="N389" s="335"/>
      <c r="O389" s="335"/>
      <c r="P389" s="335"/>
      <c r="Q389" s="335"/>
      <c r="R389" s="335"/>
      <c r="S389" s="335"/>
      <c r="T389" s="335"/>
      <c r="U389" s="335"/>
      <c r="V389" s="335"/>
      <c r="W389" s="335"/>
      <c r="X389" s="335"/>
    </row>
    <row r="390" spans="1:24">
      <c r="B390" s="29" t="s">
        <v>321</v>
      </c>
      <c r="C390" s="29"/>
      <c r="D390" s="29"/>
      <c r="E390" s="29"/>
      <c r="F390" s="30"/>
      <c r="G390" s="30"/>
      <c r="H390" s="30"/>
      <c r="I390" s="30"/>
      <c r="J390" s="30"/>
      <c r="K390" s="31" t="s">
        <v>318</v>
      </c>
      <c r="L390" s="334"/>
      <c r="M390" s="334"/>
      <c r="N390" s="334"/>
      <c r="O390" s="334"/>
      <c r="P390" s="334"/>
      <c r="Q390" s="334"/>
      <c r="R390" s="334"/>
      <c r="S390" s="334"/>
      <c r="T390" s="334"/>
      <c r="U390" s="334"/>
      <c r="V390" s="334"/>
      <c r="W390" s="334"/>
      <c r="X390" s="334"/>
    </row>
    <row r="391" spans="1:24">
      <c r="B391" s="19" t="str">
        <f t="shared" ref="B391:E410" si="58">IF(ISBLANK(B265),"",B265)</f>
        <v/>
      </c>
      <c r="C391" s="501" t="str">
        <f t="shared" si="58"/>
        <v/>
      </c>
      <c r="D391" s="501" t="str">
        <f t="shared" si="58"/>
        <v/>
      </c>
      <c r="E391" s="19" t="str">
        <f t="shared" si="58"/>
        <v/>
      </c>
      <c r="F391" s="19"/>
      <c r="G391" s="19"/>
      <c r="H391" s="19"/>
      <c r="I391" s="19"/>
      <c r="J391" s="19"/>
      <c r="K391" s="95">
        <f t="shared" ref="K391:X391" si="59">ROUND(K265*K223*K307,0)</f>
        <v>0</v>
      </c>
      <c r="L391" s="95">
        <f t="shared" si="59"/>
        <v>0</v>
      </c>
      <c r="M391" s="95">
        <f t="shared" si="59"/>
        <v>0</v>
      </c>
      <c r="N391" s="95">
        <f t="shared" si="59"/>
        <v>0</v>
      </c>
      <c r="O391" s="95">
        <f t="shared" si="59"/>
        <v>0</v>
      </c>
      <c r="P391" s="95">
        <f t="shared" si="59"/>
        <v>0</v>
      </c>
      <c r="Q391" s="95">
        <f t="shared" si="59"/>
        <v>0</v>
      </c>
      <c r="R391" s="95">
        <f t="shared" si="59"/>
        <v>0</v>
      </c>
      <c r="S391" s="95">
        <f t="shared" si="59"/>
        <v>0</v>
      </c>
      <c r="T391" s="95">
        <f t="shared" si="59"/>
        <v>0</v>
      </c>
      <c r="U391" s="95">
        <f t="shared" si="59"/>
        <v>0</v>
      </c>
      <c r="V391" s="95">
        <f t="shared" si="59"/>
        <v>0</v>
      </c>
      <c r="W391" s="95">
        <f t="shared" si="59"/>
        <v>0</v>
      </c>
      <c r="X391" s="95">
        <f t="shared" si="59"/>
        <v>0</v>
      </c>
    </row>
    <row r="392" spans="1:24">
      <c r="B392" s="52" t="str">
        <f t="shared" si="58"/>
        <v/>
      </c>
      <c r="C392" s="492" t="str">
        <f t="shared" si="58"/>
        <v/>
      </c>
      <c r="D392" s="492" t="str">
        <f t="shared" si="58"/>
        <v/>
      </c>
      <c r="E392" s="52" t="str">
        <f t="shared" si="58"/>
        <v/>
      </c>
      <c r="F392" s="52"/>
      <c r="G392" s="52"/>
      <c r="H392" s="52"/>
      <c r="I392" s="52"/>
      <c r="J392" s="52"/>
      <c r="K392" s="33">
        <f t="shared" ref="K392:X392" si="60">ROUND(K266*K224*K308,0)</f>
        <v>0</v>
      </c>
      <c r="L392" s="33">
        <f t="shared" si="60"/>
        <v>0</v>
      </c>
      <c r="M392" s="33">
        <f t="shared" si="60"/>
        <v>0</v>
      </c>
      <c r="N392" s="33">
        <f t="shared" si="60"/>
        <v>0</v>
      </c>
      <c r="O392" s="33">
        <f t="shared" si="60"/>
        <v>0</v>
      </c>
      <c r="P392" s="33">
        <f t="shared" si="60"/>
        <v>0</v>
      </c>
      <c r="Q392" s="33">
        <f t="shared" si="60"/>
        <v>0</v>
      </c>
      <c r="R392" s="33">
        <f t="shared" si="60"/>
        <v>0</v>
      </c>
      <c r="S392" s="33">
        <f t="shared" si="60"/>
        <v>0</v>
      </c>
      <c r="T392" s="33">
        <f t="shared" si="60"/>
        <v>0</v>
      </c>
      <c r="U392" s="33">
        <f t="shared" si="60"/>
        <v>0</v>
      </c>
      <c r="V392" s="33">
        <f t="shared" si="60"/>
        <v>0</v>
      </c>
      <c r="W392" s="33">
        <f t="shared" si="60"/>
        <v>0</v>
      </c>
      <c r="X392" s="33">
        <f t="shared" si="60"/>
        <v>0</v>
      </c>
    </row>
    <row r="393" spans="1:24">
      <c r="B393" s="52" t="str">
        <f t="shared" si="58"/>
        <v/>
      </c>
      <c r="C393" s="492" t="str">
        <f t="shared" si="58"/>
        <v/>
      </c>
      <c r="D393" s="492" t="str">
        <f t="shared" si="58"/>
        <v/>
      </c>
      <c r="E393" s="52" t="str">
        <f t="shared" si="58"/>
        <v/>
      </c>
      <c r="F393" s="52"/>
      <c r="G393" s="52"/>
      <c r="H393" s="52"/>
      <c r="I393" s="52"/>
      <c r="J393" s="52"/>
      <c r="K393" s="33">
        <f t="shared" ref="K393:X393" si="61">ROUND(K267*K225*K309,0)</f>
        <v>0</v>
      </c>
      <c r="L393" s="33">
        <f t="shared" si="61"/>
        <v>0</v>
      </c>
      <c r="M393" s="33">
        <f t="shared" si="61"/>
        <v>0</v>
      </c>
      <c r="N393" s="33">
        <f t="shared" si="61"/>
        <v>0</v>
      </c>
      <c r="O393" s="33">
        <f t="shared" si="61"/>
        <v>0</v>
      </c>
      <c r="P393" s="33">
        <f t="shared" si="61"/>
        <v>0</v>
      </c>
      <c r="Q393" s="33">
        <f t="shared" si="61"/>
        <v>0</v>
      </c>
      <c r="R393" s="33">
        <f t="shared" si="61"/>
        <v>0</v>
      </c>
      <c r="S393" s="33">
        <f t="shared" si="61"/>
        <v>0</v>
      </c>
      <c r="T393" s="33">
        <f t="shared" si="61"/>
        <v>0</v>
      </c>
      <c r="U393" s="33">
        <f t="shared" si="61"/>
        <v>0</v>
      </c>
      <c r="V393" s="33">
        <f t="shared" si="61"/>
        <v>0</v>
      </c>
      <c r="W393" s="33">
        <f t="shared" si="61"/>
        <v>0</v>
      </c>
      <c r="X393" s="33">
        <f t="shared" si="61"/>
        <v>0</v>
      </c>
    </row>
    <row r="394" spans="1:24">
      <c r="B394" s="52" t="str">
        <f t="shared" si="58"/>
        <v/>
      </c>
      <c r="C394" s="492" t="str">
        <f t="shared" si="58"/>
        <v/>
      </c>
      <c r="D394" s="492" t="str">
        <f t="shared" si="58"/>
        <v/>
      </c>
      <c r="E394" s="52" t="str">
        <f t="shared" si="58"/>
        <v/>
      </c>
      <c r="F394" s="52"/>
      <c r="G394" s="52"/>
      <c r="H394" s="52"/>
      <c r="I394" s="52"/>
      <c r="J394" s="52"/>
      <c r="K394" s="33">
        <f t="shared" ref="K394:X394" si="62">ROUND(K268*K226*K310,0)</f>
        <v>0</v>
      </c>
      <c r="L394" s="33">
        <f t="shared" si="62"/>
        <v>0</v>
      </c>
      <c r="M394" s="33">
        <f t="shared" si="62"/>
        <v>0</v>
      </c>
      <c r="N394" s="33">
        <f t="shared" si="62"/>
        <v>0</v>
      </c>
      <c r="O394" s="33">
        <f t="shared" si="62"/>
        <v>0</v>
      </c>
      <c r="P394" s="33">
        <f t="shared" si="62"/>
        <v>0</v>
      </c>
      <c r="Q394" s="33">
        <f t="shared" si="62"/>
        <v>0</v>
      </c>
      <c r="R394" s="33">
        <f t="shared" si="62"/>
        <v>0</v>
      </c>
      <c r="S394" s="33">
        <f t="shared" si="62"/>
        <v>0</v>
      </c>
      <c r="T394" s="33">
        <f t="shared" si="62"/>
        <v>0</v>
      </c>
      <c r="U394" s="33">
        <f t="shared" si="62"/>
        <v>0</v>
      </c>
      <c r="V394" s="33">
        <f t="shared" si="62"/>
        <v>0</v>
      </c>
      <c r="W394" s="33">
        <f t="shared" si="62"/>
        <v>0</v>
      </c>
      <c r="X394" s="33">
        <f t="shared" si="62"/>
        <v>0</v>
      </c>
    </row>
    <row r="395" spans="1:24">
      <c r="B395" s="52" t="str">
        <f t="shared" si="58"/>
        <v/>
      </c>
      <c r="C395" s="492" t="str">
        <f t="shared" si="58"/>
        <v/>
      </c>
      <c r="D395" s="492" t="str">
        <f t="shared" si="58"/>
        <v/>
      </c>
      <c r="E395" s="52" t="str">
        <f t="shared" si="58"/>
        <v/>
      </c>
      <c r="F395" s="52"/>
      <c r="G395" s="52"/>
      <c r="H395" s="52"/>
      <c r="I395" s="52"/>
      <c r="J395" s="52"/>
      <c r="K395" s="33">
        <f t="shared" ref="K395:X395" si="63">ROUND(K269*K227*K311,0)</f>
        <v>0</v>
      </c>
      <c r="L395" s="33">
        <f t="shared" si="63"/>
        <v>0</v>
      </c>
      <c r="M395" s="33">
        <f t="shared" si="63"/>
        <v>0</v>
      </c>
      <c r="N395" s="33">
        <f t="shared" si="63"/>
        <v>0</v>
      </c>
      <c r="O395" s="33">
        <f t="shared" si="63"/>
        <v>0</v>
      </c>
      <c r="P395" s="33">
        <f t="shared" si="63"/>
        <v>0</v>
      </c>
      <c r="Q395" s="33">
        <f t="shared" si="63"/>
        <v>0</v>
      </c>
      <c r="R395" s="33">
        <f t="shared" si="63"/>
        <v>0</v>
      </c>
      <c r="S395" s="33">
        <f t="shared" si="63"/>
        <v>0</v>
      </c>
      <c r="T395" s="33">
        <f t="shared" si="63"/>
        <v>0</v>
      </c>
      <c r="U395" s="33">
        <f t="shared" si="63"/>
        <v>0</v>
      </c>
      <c r="V395" s="33">
        <f t="shared" si="63"/>
        <v>0</v>
      </c>
      <c r="W395" s="33">
        <f t="shared" si="63"/>
        <v>0</v>
      </c>
      <c r="X395" s="33">
        <f t="shared" si="63"/>
        <v>0</v>
      </c>
    </row>
    <row r="396" spans="1:24">
      <c r="B396" s="52" t="str">
        <f t="shared" si="58"/>
        <v/>
      </c>
      <c r="C396" s="492" t="str">
        <f t="shared" si="58"/>
        <v/>
      </c>
      <c r="D396" s="492" t="str">
        <f t="shared" si="58"/>
        <v/>
      </c>
      <c r="E396" s="52" t="str">
        <f t="shared" si="58"/>
        <v/>
      </c>
      <c r="F396" s="52"/>
      <c r="G396" s="52"/>
      <c r="H396" s="52"/>
      <c r="I396" s="52"/>
      <c r="J396" s="52"/>
      <c r="K396" s="33">
        <f t="shared" ref="K396:X396" si="64">ROUND(K270*K228*K312,0)</f>
        <v>0</v>
      </c>
      <c r="L396" s="33">
        <f t="shared" si="64"/>
        <v>0</v>
      </c>
      <c r="M396" s="33">
        <f t="shared" si="64"/>
        <v>0</v>
      </c>
      <c r="N396" s="33">
        <f t="shared" si="64"/>
        <v>0</v>
      </c>
      <c r="O396" s="33">
        <f t="shared" si="64"/>
        <v>0</v>
      </c>
      <c r="P396" s="33">
        <f t="shared" si="64"/>
        <v>0</v>
      </c>
      <c r="Q396" s="33">
        <f t="shared" si="64"/>
        <v>0</v>
      </c>
      <c r="R396" s="33">
        <f t="shared" si="64"/>
        <v>0</v>
      </c>
      <c r="S396" s="33">
        <f t="shared" si="64"/>
        <v>0</v>
      </c>
      <c r="T396" s="33">
        <f t="shared" si="64"/>
        <v>0</v>
      </c>
      <c r="U396" s="33">
        <f t="shared" si="64"/>
        <v>0</v>
      </c>
      <c r="V396" s="33">
        <f t="shared" si="64"/>
        <v>0</v>
      </c>
      <c r="W396" s="33">
        <f t="shared" si="64"/>
        <v>0</v>
      </c>
      <c r="X396" s="33">
        <f t="shared" si="64"/>
        <v>0</v>
      </c>
    </row>
    <row r="397" spans="1:24">
      <c r="B397" s="52" t="str">
        <f t="shared" si="58"/>
        <v/>
      </c>
      <c r="C397" s="492" t="str">
        <f t="shared" si="58"/>
        <v/>
      </c>
      <c r="D397" s="492" t="str">
        <f t="shared" si="58"/>
        <v/>
      </c>
      <c r="E397" s="52" t="str">
        <f t="shared" si="58"/>
        <v/>
      </c>
      <c r="F397" s="52"/>
      <c r="G397" s="52"/>
      <c r="H397" s="52"/>
      <c r="I397" s="52"/>
      <c r="J397" s="52"/>
      <c r="K397" s="33">
        <f t="shared" ref="K397:X397" si="65">ROUND(K271*K229*K313,0)</f>
        <v>0</v>
      </c>
      <c r="L397" s="33">
        <f t="shared" si="65"/>
        <v>0</v>
      </c>
      <c r="M397" s="33">
        <f t="shared" si="65"/>
        <v>0</v>
      </c>
      <c r="N397" s="33">
        <f t="shared" si="65"/>
        <v>0</v>
      </c>
      <c r="O397" s="33">
        <f t="shared" si="65"/>
        <v>0</v>
      </c>
      <c r="P397" s="33">
        <f t="shared" si="65"/>
        <v>0</v>
      </c>
      <c r="Q397" s="33">
        <f t="shared" si="65"/>
        <v>0</v>
      </c>
      <c r="R397" s="33">
        <f t="shared" si="65"/>
        <v>0</v>
      </c>
      <c r="S397" s="33">
        <f t="shared" si="65"/>
        <v>0</v>
      </c>
      <c r="T397" s="33">
        <f t="shared" si="65"/>
        <v>0</v>
      </c>
      <c r="U397" s="33">
        <f t="shared" si="65"/>
        <v>0</v>
      </c>
      <c r="V397" s="33">
        <f t="shared" si="65"/>
        <v>0</v>
      </c>
      <c r="W397" s="33">
        <f t="shared" si="65"/>
        <v>0</v>
      </c>
      <c r="X397" s="33">
        <f t="shared" si="65"/>
        <v>0</v>
      </c>
    </row>
    <row r="398" spans="1:24">
      <c r="B398" s="52" t="str">
        <f t="shared" si="58"/>
        <v/>
      </c>
      <c r="C398" s="492" t="str">
        <f t="shared" si="58"/>
        <v/>
      </c>
      <c r="D398" s="492" t="str">
        <f t="shared" si="58"/>
        <v/>
      </c>
      <c r="E398" s="52" t="str">
        <f t="shared" si="58"/>
        <v/>
      </c>
      <c r="F398" s="52"/>
      <c r="G398" s="52"/>
      <c r="H398" s="52"/>
      <c r="I398" s="52"/>
      <c r="J398" s="52"/>
      <c r="K398" s="33">
        <f t="shared" ref="K398:X398" si="66">ROUND(K272*K230*K314,0)</f>
        <v>0</v>
      </c>
      <c r="L398" s="33">
        <f t="shared" si="66"/>
        <v>0</v>
      </c>
      <c r="M398" s="33">
        <f t="shared" si="66"/>
        <v>0</v>
      </c>
      <c r="N398" s="33">
        <f t="shared" si="66"/>
        <v>0</v>
      </c>
      <c r="O398" s="33">
        <f t="shared" si="66"/>
        <v>0</v>
      </c>
      <c r="P398" s="33">
        <f t="shared" si="66"/>
        <v>0</v>
      </c>
      <c r="Q398" s="33">
        <f t="shared" si="66"/>
        <v>0</v>
      </c>
      <c r="R398" s="33">
        <f t="shared" si="66"/>
        <v>0</v>
      </c>
      <c r="S398" s="33">
        <f t="shared" si="66"/>
        <v>0</v>
      </c>
      <c r="T398" s="33">
        <f t="shared" si="66"/>
        <v>0</v>
      </c>
      <c r="U398" s="33">
        <f t="shared" si="66"/>
        <v>0</v>
      </c>
      <c r="V398" s="33">
        <f t="shared" si="66"/>
        <v>0</v>
      </c>
      <c r="W398" s="33">
        <f t="shared" si="66"/>
        <v>0</v>
      </c>
      <c r="X398" s="33">
        <f t="shared" si="66"/>
        <v>0</v>
      </c>
    </row>
    <row r="399" spans="1:24">
      <c r="B399" s="52" t="str">
        <f t="shared" si="58"/>
        <v/>
      </c>
      <c r="C399" s="492" t="str">
        <f t="shared" si="58"/>
        <v/>
      </c>
      <c r="D399" s="492" t="str">
        <f t="shared" si="58"/>
        <v/>
      </c>
      <c r="E399" s="52" t="str">
        <f t="shared" si="58"/>
        <v/>
      </c>
      <c r="F399" s="52"/>
      <c r="G399" s="52"/>
      <c r="H399" s="52"/>
      <c r="I399" s="52"/>
      <c r="J399" s="52"/>
      <c r="K399" s="33">
        <f t="shared" ref="K399:X399" si="67">ROUND(K273*K231*K315,0)</f>
        <v>0</v>
      </c>
      <c r="L399" s="33">
        <f t="shared" si="67"/>
        <v>0</v>
      </c>
      <c r="M399" s="33">
        <f t="shared" si="67"/>
        <v>0</v>
      </c>
      <c r="N399" s="33">
        <f t="shared" si="67"/>
        <v>0</v>
      </c>
      <c r="O399" s="33">
        <f t="shared" si="67"/>
        <v>0</v>
      </c>
      <c r="P399" s="33">
        <f t="shared" si="67"/>
        <v>0</v>
      </c>
      <c r="Q399" s="33">
        <f t="shared" si="67"/>
        <v>0</v>
      </c>
      <c r="R399" s="33">
        <f t="shared" si="67"/>
        <v>0</v>
      </c>
      <c r="S399" s="33">
        <f t="shared" si="67"/>
        <v>0</v>
      </c>
      <c r="T399" s="33">
        <f t="shared" si="67"/>
        <v>0</v>
      </c>
      <c r="U399" s="33">
        <f t="shared" si="67"/>
        <v>0</v>
      </c>
      <c r="V399" s="33">
        <f t="shared" si="67"/>
        <v>0</v>
      </c>
      <c r="W399" s="33">
        <f t="shared" si="67"/>
        <v>0</v>
      </c>
      <c r="X399" s="33">
        <f t="shared" si="67"/>
        <v>0</v>
      </c>
    </row>
    <row r="400" spans="1:24">
      <c r="B400" s="52" t="str">
        <f t="shared" si="58"/>
        <v/>
      </c>
      <c r="C400" s="492" t="str">
        <f t="shared" si="58"/>
        <v/>
      </c>
      <c r="D400" s="492" t="str">
        <f t="shared" si="58"/>
        <v/>
      </c>
      <c r="E400" s="52" t="str">
        <f t="shared" si="58"/>
        <v/>
      </c>
      <c r="F400" s="52"/>
      <c r="G400" s="52"/>
      <c r="H400" s="52"/>
      <c r="I400" s="52"/>
      <c r="J400" s="52"/>
      <c r="K400" s="33">
        <f t="shared" ref="K400:X400" si="68">ROUND(K274*K232*K316,0)</f>
        <v>0</v>
      </c>
      <c r="L400" s="33">
        <f t="shared" si="68"/>
        <v>0</v>
      </c>
      <c r="M400" s="33">
        <f t="shared" si="68"/>
        <v>0</v>
      </c>
      <c r="N400" s="33">
        <f t="shared" si="68"/>
        <v>0</v>
      </c>
      <c r="O400" s="33">
        <f t="shared" si="68"/>
        <v>0</v>
      </c>
      <c r="P400" s="33">
        <f t="shared" si="68"/>
        <v>0</v>
      </c>
      <c r="Q400" s="33">
        <f t="shared" si="68"/>
        <v>0</v>
      </c>
      <c r="R400" s="33">
        <f t="shared" si="68"/>
        <v>0</v>
      </c>
      <c r="S400" s="33">
        <f t="shared" si="68"/>
        <v>0</v>
      </c>
      <c r="T400" s="33">
        <f t="shared" si="68"/>
        <v>0</v>
      </c>
      <c r="U400" s="33">
        <f t="shared" si="68"/>
        <v>0</v>
      </c>
      <c r="V400" s="33">
        <f t="shared" si="68"/>
        <v>0</v>
      </c>
      <c r="W400" s="33">
        <f t="shared" si="68"/>
        <v>0</v>
      </c>
      <c r="X400" s="33">
        <f t="shared" si="68"/>
        <v>0</v>
      </c>
    </row>
    <row r="401" spans="2:24">
      <c r="B401" s="52" t="str">
        <f t="shared" si="58"/>
        <v/>
      </c>
      <c r="C401" s="492" t="str">
        <f t="shared" si="58"/>
        <v/>
      </c>
      <c r="D401" s="492" t="str">
        <f t="shared" si="58"/>
        <v/>
      </c>
      <c r="E401" s="52" t="str">
        <f t="shared" si="58"/>
        <v/>
      </c>
      <c r="F401" s="52"/>
      <c r="G401" s="52"/>
      <c r="H401" s="52"/>
      <c r="I401" s="52"/>
      <c r="J401" s="52"/>
      <c r="K401" s="33">
        <f t="shared" ref="K401:X401" si="69">ROUND(K275*K233*K317,0)</f>
        <v>0</v>
      </c>
      <c r="L401" s="33">
        <f t="shared" si="69"/>
        <v>0</v>
      </c>
      <c r="M401" s="33">
        <f t="shared" si="69"/>
        <v>0</v>
      </c>
      <c r="N401" s="33">
        <f t="shared" si="69"/>
        <v>0</v>
      </c>
      <c r="O401" s="33">
        <f t="shared" si="69"/>
        <v>0</v>
      </c>
      <c r="P401" s="33">
        <f t="shared" si="69"/>
        <v>0</v>
      </c>
      <c r="Q401" s="33">
        <f t="shared" si="69"/>
        <v>0</v>
      </c>
      <c r="R401" s="33">
        <f t="shared" si="69"/>
        <v>0</v>
      </c>
      <c r="S401" s="33">
        <f t="shared" si="69"/>
        <v>0</v>
      </c>
      <c r="T401" s="33">
        <f t="shared" si="69"/>
        <v>0</v>
      </c>
      <c r="U401" s="33">
        <f t="shared" si="69"/>
        <v>0</v>
      </c>
      <c r="V401" s="33">
        <f t="shared" si="69"/>
        <v>0</v>
      </c>
      <c r="W401" s="33">
        <f t="shared" si="69"/>
        <v>0</v>
      </c>
      <c r="X401" s="33">
        <f t="shared" si="69"/>
        <v>0</v>
      </c>
    </row>
    <row r="402" spans="2:24">
      <c r="B402" s="52" t="str">
        <f t="shared" si="58"/>
        <v/>
      </c>
      <c r="C402" s="492" t="str">
        <f t="shared" si="58"/>
        <v/>
      </c>
      <c r="D402" s="492" t="str">
        <f t="shared" si="58"/>
        <v/>
      </c>
      <c r="E402" s="52" t="str">
        <f t="shared" si="58"/>
        <v/>
      </c>
      <c r="F402" s="52"/>
      <c r="G402" s="52"/>
      <c r="H402" s="52"/>
      <c r="I402" s="52"/>
      <c r="J402" s="52"/>
      <c r="K402" s="33">
        <f t="shared" ref="K402:X402" si="70">ROUND(K276*K234*K318,0)</f>
        <v>0</v>
      </c>
      <c r="L402" s="33">
        <f t="shared" si="70"/>
        <v>0</v>
      </c>
      <c r="M402" s="33">
        <f t="shared" si="70"/>
        <v>0</v>
      </c>
      <c r="N402" s="33">
        <f t="shared" si="70"/>
        <v>0</v>
      </c>
      <c r="O402" s="33">
        <f t="shared" si="70"/>
        <v>0</v>
      </c>
      <c r="P402" s="33">
        <f t="shared" si="70"/>
        <v>0</v>
      </c>
      <c r="Q402" s="33">
        <f t="shared" si="70"/>
        <v>0</v>
      </c>
      <c r="R402" s="33">
        <f t="shared" si="70"/>
        <v>0</v>
      </c>
      <c r="S402" s="33">
        <f t="shared" si="70"/>
        <v>0</v>
      </c>
      <c r="T402" s="33">
        <f t="shared" si="70"/>
        <v>0</v>
      </c>
      <c r="U402" s="33">
        <f t="shared" si="70"/>
        <v>0</v>
      </c>
      <c r="V402" s="33">
        <f t="shared" si="70"/>
        <v>0</v>
      </c>
      <c r="W402" s="33">
        <f t="shared" si="70"/>
        <v>0</v>
      </c>
      <c r="X402" s="33">
        <f t="shared" si="70"/>
        <v>0</v>
      </c>
    </row>
    <row r="403" spans="2:24">
      <c r="B403" s="52" t="str">
        <f t="shared" si="58"/>
        <v/>
      </c>
      <c r="C403" s="492" t="str">
        <f t="shared" si="58"/>
        <v/>
      </c>
      <c r="D403" s="492" t="str">
        <f t="shared" si="58"/>
        <v/>
      </c>
      <c r="E403" s="52" t="str">
        <f t="shared" si="58"/>
        <v/>
      </c>
      <c r="F403" s="52"/>
      <c r="G403" s="52"/>
      <c r="H403" s="52"/>
      <c r="I403" s="52"/>
      <c r="J403" s="52"/>
      <c r="K403" s="33">
        <f t="shared" ref="K403:X403" si="71">ROUND(K277*K235*K319,0)</f>
        <v>0</v>
      </c>
      <c r="L403" s="33">
        <f t="shared" si="71"/>
        <v>0</v>
      </c>
      <c r="M403" s="33">
        <f t="shared" si="71"/>
        <v>0</v>
      </c>
      <c r="N403" s="33">
        <f t="shared" si="71"/>
        <v>0</v>
      </c>
      <c r="O403" s="33">
        <f t="shared" si="71"/>
        <v>0</v>
      </c>
      <c r="P403" s="33">
        <f t="shared" si="71"/>
        <v>0</v>
      </c>
      <c r="Q403" s="33">
        <f t="shared" si="71"/>
        <v>0</v>
      </c>
      <c r="R403" s="33">
        <f t="shared" si="71"/>
        <v>0</v>
      </c>
      <c r="S403" s="33">
        <f t="shared" si="71"/>
        <v>0</v>
      </c>
      <c r="T403" s="33">
        <f t="shared" si="71"/>
        <v>0</v>
      </c>
      <c r="U403" s="33">
        <f t="shared" si="71"/>
        <v>0</v>
      </c>
      <c r="V403" s="33">
        <f t="shared" si="71"/>
        <v>0</v>
      </c>
      <c r="W403" s="33">
        <f t="shared" si="71"/>
        <v>0</v>
      </c>
      <c r="X403" s="33">
        <f t="shared" si="71"/>
        <v>0</v>
      </c>
    </row>
    <row r="404" spans="2:24">
      <c r="B404" s="52" t="str">
        <f t="shared" si="58"/>
        <v/>
      </c>
      <c r="C404" s="492" t="str">
        <f t="shared" si="58"/>
        <v/>
      </c>
      <c r="D404" s="492" t="str">
        <f t="shared" si="58"/>
        <v/>
      </c>
      <c r="E404" s="52" t="str">
        <f t="shared" si="58"/>
        <v/>
      </c>
      <c r="F404" s="52"/>
      <c r="G404" s="52"/>
      <c r="H404" s="52"/>
      <c r="I404" s="52"/>
      <c r="J404" s="52"/>
      <c r="K404" s="33">
        <f t="shared" ref="K404:X404" si="72">ROUND(K278*K236*K320,0)</f>
        <v>0</v>
      </c>
      <c r="L404" s="33">
        <f t="shared" si="72"/>
        <v>0</v>
      </c>
      <c r="M404" s="33">
        <f t="shared" si="72"/>
        <v>0</v>
      </c>
      <c r="N404" s="33">
        <f t="shared" si="72"/>
        <v>0</v>
      </c>
      <c r="O404" s="33">
        <f t="shared" si="72"/>
        <v>0</v>
      </c>
      <c r="P404" s="33">
        <f t="shared" si="72"/>
        <v>0</v>
      </c>
      <c r="Q404" s="33">
        <f t="shared" si="72"/>
        <v>0</v>
      </c>
      <c r="R404" s="33">
        <f t="shared" si="72"/>
        <v>0</v>
      </c>
      <c r="S404" s="33">
        <f t="shared" si="72"/>
        <v>0</v>
      </c>
      <c r="T404" s="33">
        <f t="shared" si="72"/>
        <v>0</v>
      </c>
      <c r="U404" s="33">
        <f t="shared" si="72"/>
        <v>0</v>
      </c>
      <c r="V404" s="33">
        <f t="shared" si="72"/>
        <v>0</v>
      </c>
      <c r="W404" s="33">
        <f t="shared" si="72"/>
        <v>0</v>
      </c>
      <c r="X404" s="33">
        <f t="shared" si="72"/>
        <v>0</v>
      </c>
    </row>
    <row r="405" spans="2:24">
      <c r="B405" s="52" t="str">
        <f t="shared" si="58"/>
        <v/>
      </c>
      <c r="C405" s="492" t="str">
        <f t="shared" si="58"/>
        <v/>
      </c>
      <c r="D405" s="492" t="str">
        <f t="shared" si="58"/>
        <v/>
      </c>
      <c r="E405" s="52" t="str">
        <f t="shared" si="58"/>
        <v/>
      </c>
      <c r="F405" s="52"/>
      <c r="G405" s="52"/>
      <c r="H405" s="52"/>
      <c r="I405" s="52"/>
      <c r="J405" s="52"/>
      <c r="K405" s="33">
        <f t="shared" ref="K405:X405" si="73">ROUND(K279*K237*K321,0)</f>
        <v>0</v>
      </c>
      <c r="L405" s="33">
        <f t="shared" si="73"/>
        <v>0</v>
      </c>
      <c r="M405" s="33">
        <f t="shared" si="73"/>
        <v>0</v>
      </c>
      <c r="N405" s="33">
        <f t="shared" si="73"/>
        <v>0</v>
      </c>
      <c r="O405" s="33">
        <f t="shared" si="73"/>
        <v>0</v>
      </c>
      <c r="P405" s="33">
        <f t="shared" si="73"/>
        <v>0</v>
      </c>
      <c r="Q405" s="33">
        <f t="shared" si="73"/>
        <v>0</v>
      </c>
      <c r="R405" s="33">
        <f t="shared" si="73"/>
        <v>0</v>
      </c>
      <c r="S405" s="33">
        <f t="shared" si="73"/>
        <v>0</v>
      </c>
      <c r="T405" s="33">
        <f t="shared" si="73"/>
        <v>0</v>
      </c>
      <c r="U405" s="33">
        <f t="shared" si="73"/>
        <v>0</v>
      </c>
      <c r="V405" s="33">
        <f t="shared" si="73"/>
        <v>0</v>
      </c>
      <c r="W405" s="33">
        <f t="shared" si="73"/>
        <v>0</v>
      </c>
      <c r="X405" s="33">
        <f t="shared" si="73"/>
        <v>0</v>
      </c>
    </row>
    <row r="406" spans="2:24">
      <c r="B406" s="52" t="str">
        <f t="shared" si="58"/>
        <v/>
      </c>
      <c r="C406" s="492" t="str">
        <f t="shared" si="58"/>
        <v/>
      </c>
      <c r="D406" s="492" t="str">
        <f t="shared" si="58"/>
        <v/>
      </c>
      <c r="E406" s="52" t="str">
        <f t="shared" si="58"/>
        <v/>
      </c>
      <c r="F406" s="52"/>
      <c r="G406" s="52"/>
      <c r="H406" s="52"/>
      <c r="I406" s="52"/>
      <c r="J406" s="52"/>
      <c r="K406" s="33">
        <f t="shared" ref="K406:X406" si="74">ROUND(K280*K238*K322,0)</f>
        <v>0</v>
      </c>
      <c r="L406" s="33">
        <f t="shared" si="74"/>
        <v>0</v>
      </c>
      <c r="M406" s="33">
        <f t="shared" si="74"/>
        <v>0</v>
      </c>
      <c r="N406" s="33">
        <f t="shared" si="74"/>
        <v>0</v>
      </c>
      <c r="O406" s="33">
        <f t="shared" si="74"/>
        <v>0</v>
      </c>
      <c r="P406" s="33">
        <f t="shared" si="74"/>
        <v>0</v>
      </c>
      <c r="Q406" s="33">
        <f t="shared" si="74"/>
        <v>0</v>
      </c>
      <c r="R406" s="33">
        <f t="shared" si="74"/>
        <v>0</v>
      </c>
      <c r="S406" s="33">
        <f t="shared" si="74"/>
        <v>0</v>
      </c>
      <c r="T406" s="33">
        <f t="shared" si="74"/>
        <v>0</v>
      </c>
      <c r="U406" s="33">
        <f t="shared" si="74"/>
        <v>0</v>
      </c>
      <c r="V406" s="33">
        <f t="shared" si="74"/>
        <v>0</v>
      </c>
      <c r="W406" s="33">
        <f t="shared" si="74"/>
        <v>0</v>
      </c>
      <c r="X406" s="33">
        <f t="shared" si="74"/>
        <v>0</v>
      </c>
    </row>
    <row r="407" spans="2:24">
      <c r="B407" s="52" t="str">
        <f t="shared" si="58"/>
        <v/>
      </c>
      <c r="C407" s="492" t="str">
        <f t="shared" si="58"/>
        <v/>
      </c>
      <c r="D407" s="492" t="str">
        <f t="shared" si="58"/>
        <v/>
      </c>
      <c r="E407" s="52" t="str">
        <f t="shared" si="58"/>
        <v/>
      </c>
      <c r="F407" s="52"/>
      <c r="G407" s="52"/>
      <c r="H407" s="52"/>
      <c r="I407" s="52"/>
      <c r="J407" s="52"/>
      <c r="K407" s="33">
        <f t="shared" ref="K407:X407" si="75">ROUND(K281*K239*K323,0)</f>
        <v>0</v>
      </c>
      <c r="L407" s="33">
        <f t="shared" si="75"/>
        <v>0</v>
      </c>
      <c r="M407" s="33">
        <f t="shared" si="75"/>
        <v>0</v>
      </c>
      <c r="N407" s="33">
        <f t="shared" si="75"/>
        <v>0</v>
      </c>
      <c r="O407" s="33">
        <f t="shared" si="75"/>
        <v>0</v>
      </c>
      <c r="P407" s="33">
        <f t="shared" si="75"/>
        <v>0</v>
      </c>
      <c r="Q407" s="33">
        <f t="shared" si="75"/>
        <v>0</v>
      </c>
      <c r="R407" s="33">
        <f t="shared" si="75"/>
        <v>0</v>
      </c>
      <c r="S407" s="33">
        <f t="shared" si="75"/>
        <v>0</v>
      </c>
      <c r="T407" s="33">
        <f t="shared" si="75"/>
        <v>0</v>
      </c>
      <c r="U407" s="33">
        <f t="shared" si="75"/>
        <v>0</v>
      </c>
      <c r="V407" s="33">
        <f t="shared" si="75"/>
        <v>0</v>
      </c>
      <c r="W407" s="33">
        <f t="shared" si="75"/>
        <v>0</v>
      </c>
      <c r="X407" s="33">
        <f t="shared" si="75"/>
        <v>0</v>
      </c>
    </row>
    <row r="408" spans="2:24">
      <c r="B408" s="52" t="str">
        <f t="shared" si="58"/>
        <v/>
      </c>
      <c r="C408" s="492" t="str">
        <f t="shared" si="58"/>
        <v/>
      </c>
      <c r="D408" s="492" t="str">
        <f t="shared" si="58"/>
        <v/>
      </c>
      <c r="E408" s="52" t="str">
        <f t="shared" si="58"/>
        <v/>
      </c>
      <c r="F408" s="52"/>
      <c r="G408" s="52"/>
      <c r="H408" s="52"/>
      <c r="I408" s="52"/>
      <c r="J408" s="52"/>
      <c r="K408" s="33">
        <f t="shared" ref="K408:X408" si="76">ROUND(K282*K240*K324,0)</f>
        <v>0</v>
      </c>
      <c r="L408" s="33">
        <f t="shared" si="76"/>
        <v>0</v>
      </c>
      <c r="M408" s="33">
        <f t="shared" si="76"/>
        <v>0</v>
      </c>
      <c r="N408" s="33">
        <f t="shared" si="76"/>
        <v>0</v>
      </c>
      <c r="O408" s="33">
        <f t="shared" si="76"/>
        <v>0</v>
      </c>
      <c r="P408" s="33">
        <f t="shared" si="76"/>
        <v>0</v>
      </c>
      <c r="Q408" s="33">
        <f t="shared" si="76"/>
        <v>0</v>
      </c>
      <c r="R408" s="33">
        <f t="shared" si="76"/>
        <v>0</v>
      </c>
      <c r="S408" s="33">
        <f t="shared" si="76"/>
        <v>0</v>
      </c>
      <c r="T408" s="33">
        <f t="shared" si="76"/>
        <v>0</v>
      </c>
      <c r="U408" s="33">
        <f t="shared" si="76"/>
        <v>0</v>
      </c>
      <c r="V408" s="33">
        <f t="shared" si="76"/>
        <v>0</v>
      </c>
      <c r="W408" s="33">
        <f t="shared" si="76"/>
        <v>0</v>
      </c>
      <c r="X408" s="33">
        <f t="shared" si="76"/>
        <v>0</v>
      </c>
    </row>
    <row r="409" spans="2:24">
      <c r="B409" s="52" t="str">
        <f t="shared" si="58"/>
        <v/>
      </c>
      <c r="C409" s="492" t="str">
        <f t="shared" si="58"/>
        <v/>
      </c>
      <c r="D409" s="492" t="str">
        <f t="shared" si="58"/>
        <v/>
      </c>
      <c r="E409" s="52" t="str">
        <f t="shared" si="58"/>
        <v/>
      </c>
      <c r="F409" s="52"/>
      <c r="G409" s="52"/>
      <c r="H409" s="52"/>
      <c r="I409" s="52"/>
      <c r="J409" s="52"/>
      <c r="K409" s="33">
        <f t="shared" ref="K409:X409" si="77">ROUND(K283*K241*K325,0)</f>
        <v>0</v>
      </c>
      <c r="L409" s="33">
        <f t="shared" si="77"/>
        <v>0</v>
      </c>
      <c r="M409" s="33">
        <f t="shared" si="77"/>
        <v>0</v>
      </c>
      <c r="N409" s="33">
        <f t="shared" si="77"/>
        <v>0</v>
      </c>
      <c r="O409" s="33">
        <f t="shared" si="77"/>
        <v>0</v>
      </c>
      <c r="P409" s="33">
        <f t="shared" si="77"/>
        <v>0</v>
      </c>
      <c r="Q409" s="33">
        <f t="shared" si="77"/>
        <v>0</v>
      </c>
      <c r="R409" s="33">
        <f t="shared" si="77"/>
        <v>0</v>
      </c>
      <c r="S409" s="33">
        <f t="shared" si="77"/>
        <v>0</v>
      </c>
      <c r="T409" s="33">
        <f t="shared" si="77"/>
        <v>0</v>
      </c>
      <c r="U409" s="33">
        <f t="shared" si="77"/>
        <v>0</v>
      </c>
      <c r="V409" s="33">
        <f t="shared" si="77"/>
        <v>0</v>
      </c>
      <c r="W409" s="33">
        <f t="shared" si="77"/>
        <v>0</v>
      </c>
      <c r="X409" s="33">
        <f t="shared" si="77"/>
        <v>0</v>
      </c>
    </row>
    <row r="410" spans="2:24">
      <c r="B410" s="52" t="str">
        <f t="shared" si="58"/>
        <v/>
      </c>
      <c r="C410" s="492" t="str">
        <f t="shared" si="58"/>
        <v/>
      </c>
      <c r="D410" s="492" t="str">
        <f t="shared" si="58"/>
        <v/>
      </c>
      <c r="E410" s="52" t="str">
        <f t="shared" si="58"/>
        <v/>
      </c>
      <c r="F410" s="52"/>
      <c r="G410" s="52"/>
      <c r="H410" s="52"/>
      <c r="I410" s="52"/>
      <c r="J410" s="52"/>
      <c r="K410" s="33">
        <f t="shared" ref="K410:X410" si="78">ROUND(K284*K242*K326,0)</f>
        <v>0</v>
      </c>
      <c r="L410" s="33">
        <f t="shared" si="78"/>
        <v>0</v>
      </c>
      <c r="M410" s="33">
        <f t="shared" si="78"/>
        <v>0</v>
      </c>
      <c r="N410" s="33">
        <f t="shared" si="78"/>
        <v>0</v>
      </c>
      <c r="O410" s="33">
        <f t="shared" si="78"/>
        <v>0</v>
      </c>
      <c r="P410" s="33">
        <f t="shared" si="78"/>
        <v>0</v>
      </c>
      <c r="Q410" s="33">
        <f t="shared" si="78"/>
        <v>0</v>
      </c>
      <c r="R410" s="33">
        <f t="shared" si="78"/>
        <v>0</v>
      </c>
      <c r="S410" s="33">
        <f t="shared" si="78"/>
        <v>0</v>
      </c>
      <c r="T410" s="33">
        <f t="shared" si="78"/>
        <v>0</v>
      </c>
      <c r="U410" s="33">
        <f t="shared" si="78"/>
        <v>0</v>
      </c>
      <c r="V410" s="33">
        <f t="shared" si="78"/>
        <v>0</v>
      </c>
      <c r="W410" s="33">
        <f t="shared" si="78"/>
        <v>0</v>
      </c>
      <c r="X410" s="33">
        <f t="shared" si="78"/>
        <v>0</v>
      </c>
    </row>
    <row r="411" spans="2:24">
      <c r="B411" s="52" t="str">
        <f t="shared" ref="B411:E430" si="79">IF(ISBLANK(B285),"",B285)</f>
        <v/>
      </c>
      <c r="C411" s="492" t="str">
        <f t="shared" si="79"/>
        <v/>
      </c>
      <c r="D411" s="492" t="str">
        <f t="shared" si="79"/>
        <v/>
      </c>
      <c r="E411" s="52" t="str">
        <f t="shared" si="79"/>
        <v/>
      </c>
      <c r="F411" s="52"/>
      <c r="G411" s="52"/>
      <c r="H411" s="52"/>
      <c r="I411" s="52"/>
      <c r="J411" s="52"/>
      <c r="K411" s="33">
        <f t="shared" ref="K411:X411" si="80">ROUND(K285*K243*K327,0)</f>
        <v>0</v>
      </c>
      <c r="L411" s="33">
        <f t="shared" si="80"/>
        <v>0</v>
      </c>
      <c r="M411" s="33">
        <f t="shared" si="80"/>
        <v>0</v>
      </c>
      <c r="N411" s="33">
        <f t="shared" si="80"/>
        <v>0</v>
      </c>
      <c r="O411" s="33">
        <f t="shared" si="80"/>
        <v>0</v>
      </c>
      <c r="P411" s="33">
        <f t="shared" si="80"/>
        <v>0</v>
      </c>
      <c r="Q411" s="33">
        <f t="shared" si="80"/>
        <v>0</v>
      </c>
      <c r="R411" s="33">
        <f t="shared" si="80"/>
        <v>0</v>
      </c>
      <c r="S411" s="33">
        <f t="shared" si="80"/>
        <v>0</v>
      </c>
      <c r="T411" s="33">
        <f t="shared" si="80"/>
        <v>0</v>
      </c>
      <c r="U411" s="33">
        <f t="shared" si="80"/>
        <v>0</v>
      </c>
      <c r="V411" s="33">
        <f t="shared" si="80"/>
        <v>0</v>
      </c>
      <c r="W411" s="33">
        <f t="shared" si="80"/>
        <v>0</v>
      </c>
      <c r="X411" s="33">
        <f t="shared" si="80"/>
        <v>0</v>
      </c>
    </row>
    <row r="412" spans="2:24">
      <c r="B412" s="52" t="str">
        <f t="shared" si="79"/>
        <v/>
      </c>
      <c r="C412" s="492" t="str">
        <f t="shared" si="79"/>
        <v/>
      </c>
      <c r="D412" s="492" t="str">
        <f t="shared" si="79"/>
        <v/>
      </c>
      <c r="E412" s="52" t="str">
        <f t="shared" si="79"/>
        <v/>
      </c>
      <c r="F412" s="52"/>
      <c r="G412" s="52"/>
      <c r="H412" s="52"/>
      <c r="I412" s="52"/>
      <c r="J412" s="52"/>
      <c r="K412" s="33">
        <f t="shared" ref="K412:X412" si="81">ROUND(K286*K244*K328,0)</f>
        <v>0</v>
      </c>
      <c r="L412" s="33">
        <f t="shared" si="81"/>
        <v>0</v>
      </c>
      <c r="M412" s="33">
        <f t="shared" si="81"/>
        <v>0</v>
      </c>
      <c r="N412" s="33">
        <f t="shared" si="81"/>
        <v>0</v>
      </c>
      <c r="O412" s="33">
        <f t="shared" si="81"/>
        <v>0</v>
      </c>
      <c r="P412" s="33">
        <f t="shared" si="81"/>
        <v>0</v>
      </c>
      <c r="Q412" s="33">
        <f t="shared" si="81"/>
        <v>0</v>
      </c>
      <c r="R412" s="33">
        <f t="shared" si="81"/>
        <v>0</v>
      </c>
      <c r="S412" s="33">
        <f t="shared" si="81"/>
        <v>0</v>
      </c>
      <c r="T412" s="33">
        <f t="shared" si="81"/>
        <v>0</v>
      </c>
      <c r="U412" s="33">
        <f t="shared" si="81"/>
        <v>0</v>
      </c>
      <c r="V412" s="33">
        <f t="shared" si="81"/>
        <v>0</v>
      </c>
      <c r="W412" s="33">
        <f t="shared" si="81"/>
        <v>0</v>
      </c>
      <c r="X412" s="33">
        <f t="shared" si="81"/>
        <v>0</v>
      </c>
    </row>
    <row r="413" spans="2:24">
      <c r="B413" s="52" t="str">
        <f t="shared" si="79"/>
        <v/>
      </c>
      <c r="C413" s="492" t="str">
        <f t="shared" si="79"/>
        <v/>
      </c>
      <c r="D413" s="492" t="str">
        <f t="shared" si="79"/>
        <v/>
      </c>
      <c r="E413" s="52" t="str">
        <f t="shared" si="79"/>
        <v/>
      </c>
      <c r="F413" s="52"/>
      <c r="G413" s="52"/>
      <c r="H413" s="52"/>
      <c r="I413" s="52"/>
      <c r="J413" s="52"/>
      <c r="K413" s="33">
        <f t="shared" ref="K413:X413" si="82">ROUND(K287*K245*K329,0)</f>
        <v>0</v>
      </c>
      <c r="L413" s="33">
        <f t="shared" si="82"/>
        <v>0</v>
      </c>
      <c r="M413" s="33">
        <f t="shared" si="82"/>
        <v>0</v>
      </c>
      <c r="N413" s="33">
        <f t="shared" si="82"/>
        <v>0</v>
      </c>
      <c r="O413" s="33">
        <f t="shared" si="82"/>
        <v>0</v>
      </c>
      <c r="P413" s="33">
        <f t="shared" si="82"/>
        <v>0</v>
      </c>
      <c r="Q413" s="33">
        <f t="shared" si="82"/>
        <v>0</v>
      </c>
      <c r="R413" s="33">
        <f t="shared" si="82"/>
        <v>0</v>
      </c>
      <c r="S413" s="33">
        <f t="shared" si="82"/>
        <v>0</v>
      </c>
      <c r="T413" s="33">
        <f t="shared" si="82"/>
        <v>0</v>
      </c>
      <c r="U413" s="33">
        <f t="shared" si="82"/>
        <v>0</v>
      </c>
      <c r="V413" s="33">
        <f t="shared" si="82"/>
        <v>0</v>
      </c>
      <c r="W413" s="33">
        <f t="shared" si="82"/>
        <v>0</v>
      </c>
      <c r="X413" s="33">
        <f t="shared" si="82"/>
        <v>0</v>
      </c>
    </row>
    <row r="414" spans="2:24">
      <c r="B414" s="52" t="str">
        <f t="shared" si="79"/>
        <v/>
      </c>
      <c r="C414" s="492" t="str">
        <f t="shared" si="79"/>
        <v/>
      </c>
      <c r="D414" s="492" t="str">
        <f t="shared" si="79"/>
        <v/>
      </c>
      <c r="E414" s="52" t="str">
        <f t="shared" si="79"/>
        <v/>
      </c>
      <c r="F414" s="52"/>
      <c r="G414" s="52"/>
      <c r="H414" s="52"/>
      <c r="I414" s="52"/>
      <c r="J414" s="52"/>
      <c r="K414" s="33">
        <f t="shared" ref="K414:X414" si="83">ROUND(K288*K246*K330,0)</f>
        <v>0</v>
      </c>
      <c r="L414" s="33">
        <f t="shared" si="83"/>
        <v>0</v>
      </c>
      <c r="M414" s="33">
        <f t="shared" si="83"/>
        <v>0</v>
      </c>
      <c r="N414" s="33">
        <f t="shared" si="83"/>
        <v>0</v>
      </c>
      <c r="O414" s="33">
        <f t="shared" si="83"/>
        <v>0</v>
      </c>
      <c r="P414" s="33">
        <f t="shared" si="83"/>
        <v>0</v>
      </c>
      <c r="Q414" s="33">
        <f t="shared" si="83"/>
        <v>0</v>
      </c>
      <c r="R414" s="33">
        <f t="shared" si="83"/>
        <v>0</v>
      </c>
      <c r="S414" s="33">
        <f t="shared" si="83"/>
        <v>0</v>
      </c>
      <c r="T414" s="33">
        <f t="shared" si="83"/>
        <v>0</v>
      </c>
      <c r="U414" s="33">
        <f t="shared" si="83"/>
        <v>0</v>
      </c>
      <c r="V414" s="33">
        <f t="shared" si="83"/>
        <v>0</v>
      </c>
      <c r="W414" s="33">
        <f t="shared" si="83"/>
        <v>0</v>
      </c>
      <c r="X414" s="33">
        <f t="shared" si="83"/>
        <v>0</v>
      </c>
    </row>
    <row r="415" spans="2:24">
      <c r="B415" s="52" t="str">
        <f t="shared" si="79"/>
        <v/>
      </c>
      <c r="C415" s="492" t="str">
        <f t="shared" si="79"/>
        <v/>
      </c>
      <c r="D415" s="492" t="str">
        <f t="shared" si="79"/>
        <v/>
      </c>
      <c r="E415" s="52" t="str">
        <f t="shared" si="79"/>
        <v/>
      </c>
      <c r="F415" s="52"/>
      <c r="G415" s="52"/>
      <c r="H415" s="52"/>
      <c r="I415" s="52"/>
      <c r="J415" s="52"/>
      <c r="K415" s="33">
        <f t="shared" ref="K415:X415" si="84">ROUND(K289*K247*K331,0)</f>
        <v>0</v>
      </c>
      <c r="L415" s="33">
        <f t="shared" si="84"/>
        <v>0</v>
      </c>
      <c r="M415" s="33">
        <f t="shared" si="84"/>
        <v>0</v>
      </c>
      <c r="N415" s="33">
        <f t="shared" si="84"/>
        <v>0</v>
      </c>
      <c r="O415" s="33">
        <f t="shared" si="84"/>
        <v>0</v>
      </c>
      <c r="P415" s="33">
        <f t="shared" si="84"/>
        <v>0</v>
      </c>
      <c r="Q415" s="33">
        <f t="shared" si="84"/>
        <v>0</v>
      </c>
      <c r="R415" s="33">
        <f t="shared" si="84"/>
        <v>0</v>
      </c>
      <c r="S415" s="33">
        <f t="shared" si="84"/>
        <v>0</v>
      </c>
      <c r="T415" s="33">
        <f t="shared" si="84"/>
        <v>0</v>
      </c>
      <c r="U415" s="33">
        <f t="shared" si="84"/>
        <v>0</v>
      </c>
      <c r="V415" s="33">
        <f t="shared" si="84"/>
        <v>0</v>
      </c>
      <c r="W415" s="33">
        <f t="shared" si="84"/>
        <v>0</v>
      </c>
      <c r="X415" s="33">
        <f t="shared" si="84"/>
        <v>0</v>
      </c>
    </row>
    <row r="416" spans="2:24">
      <c r="B416" s="52" t="str">
        <f t="shared" si="79"/>
        <v/>
      </c>
      <c r="C416" s="492" t="str">
        <f t="shared" si="79"/>
        <v/>
      </c>
      <c r="D416" s="492" t="str">
        <f t="shared" si="79"/>
        <v/>
      </c>
      <c r="E416" s="52" t="str">
        <f t="shared" si="79"/>
        <v/>
      </c>
      <c r="F416" s="52"/>
      <c r="G416" s="52"/>
      <c r="H416" s="52"/>
      <c r="I416" s="52"/>
      <c r="J416" s="52"/>
      <c r="K416" s="33">
        <f t="shared" ref="K416:X416" si="85">ROUND(K290*K248*K332,0)</f>
        <v>0</v>
      </c>
      <c r="L416" s="33">
        <f t="shared" si="85"/>
        <v>0</v>
      </c>
      <c r="M416" s="33">
        <f t="shared" si="85"/>
        <v>0</v>
      </c>
      <c r="N416" s="33">
        <f t="shared" si="85"/>
        <v>0</v>
      </c>
      <c r="O416" s="33">
        <f t="shared" si="85"/>
        <v>0</v>
      </c>
      <c r="P416" s="33">
        <f t="shared" si="85"/>
        <v>0</v>
      </c>
      <c r="Q416" s="33">
        <f t="shared" si="85"/>
        <v>0</v>
      </c>
      <c r="R416" s="33">
        <f t="shared" si="85"/>
        <v>0</v>
      </c>
      <c r="S416" s="33">
        <f t="shared" si="85"/>
        <v>0</v>
      </c>
      <c r="T416" s="33">
        <f t="shared" si="85"/>
        <v>0</v>
      </c>
      <c r="U416" s="33">
        <f t="shared" si="85"/>
        <v>0</v>
      </c>
      <c r="V416" s="33">
        <f t="shared" si="85"/>
        <v>0</v>
      </c>
      <c r="W416" s="33">
        <f t="shared" si="85"/>
        <v>0</v>
      </c>
      <c r="X416" s="33">
        <f t="shared" si="85"/>
        <v>0</v>
      </c>
    </row>
    <row r="417" spans="2:24">
      <c r="B417" s="52" t="str">
        <f t="shared" si="79"/>
        <v/>
      </c>
      <c r="C417" s="492" t="str">
        <f t="shared" si="79"/>
        <v/>
      </c>
      <c r="D417" s="492" t="str">
        <f t="shared" si="79"/>
        <v/>
      </c>
      <c r="E417" s="52" t="str">
        <f t="shared" si="79"/>
        <v/>
      </c>
      <c r="F417" s="52"/>
      <c r="G417" s="52"/>
      <c r="H417" s="52"/>
      <c r="I417" s="52"/>
      <c r="J417" s="52"/>
      <c r="K417" s="33">
        <f t="shared" ref="K417:X417" si="86">ROUND(K291*K249*K333,0)</f>
        <v>0</v>
      </c>
      <c r="L417" s="33">
        <f t="shared" si="86"/>
        <v>0</v>
      </c>
      <c r="M417" s="33">
        <f t="shared" si="86"/>
        <v>0</v>
      </c>
      <c r="N417" s="33">
        <f t="shared" si="86"/>
        <v>0</v>
      </c>
      <c r="O417" s="33">
        <f t="shared" si="86"/>
        <v>0</v>
      </c>
      <c r="P417" s="33">
        <f t="shared" si="86"/>
        <v>0</v>
      </c>
      <c r="Q417" s="33">
        <f t="shared" si="86"/>
        <v>0</v>
      </c>
      <c r="R417" s="33">
        <f t="shared" si="86"/>
        <v>0</v>
      </c>
      <c r="S417" s="33">
        <f t="shared" si="86"/>
        <v>0</v>
      </c>
      <c r="T417" s="33">
        <f t="shared" si="86"/>
        <v>0</v>
      </c>
      <c r="U417" s="33">
        <f t="shared" si="86"/>
        <v>0</v>
      </c>
      <c r="V417" s="33">
        <f t="shared" si="86"/>
        <v>0</v>
      </c>
      <c r="W417" s="33">
        <f t="shared" si="86"/>
        <v>0</v>
      </c>
      <c r="X417" s="33">
        <f t="shared" si="86"/>
        <v>0</v>
      </c>
    </row>
    <row r="418" spans="2:24">
      <c r="B418" s="52" t="str">
        <f t="shared" si="79"/>
        <v/>
      </c>
      <c r="C418" s="492" t="str">
        <f t="shared" si="79"/>
        <v/>
      </c>
      <c r="D418" s="492" t="str">
        <f t="shared" si="79"/>
        <v/>
      </c>
      <c r="E418" s="52" t="str">
        <f t="shared" si="79"/>
        <v/>
      </c>
      <c r="F418" s="52"/>
      <c r="G418" s="52"/>
      <c r="H418" s="52"/>
      <c r="I418" s="52"/>
      <c r="J418" s="52"/>
      <c r="K418" s="33">
        <f t="shared" ref="K418:X418" si="87">ROUND(K292*K250*K334,0)</f>
        <v>0</v>
      </c>
      <c r="L418" s="33">
        <f t="shared" si="87"/>
        <v>0</v>
      </c>
      <c r="M418" s="33">
        <f t="shared" si="87"/>
        <v>0</v>
      </c>
      <c r="N418" s="33">
        <f t="shared" si="87"/>
        <v>0</v>
      </c>
      <c r="O418" s="33">
        <f t="shared" si="87"/>
        <v>0</v>
      </c>
      <c r="P418" s="33">
        <f t="shared" si="87"/>
        <v>0</v>
      </c>
      <c r="Q418" s="33">
        <f t="shared" si="87"/>
        <v>0</v>
      </c>
      <c r="R418" s="33">
        <f t="shared" si="87"/>
        <v>0</v>
      </c>
      <c r="S418" s="33">
        <f t="shared" si="87"/>
        <v>0</v>
      </c>
      <c r="T418" s="33">
        <f t="shared" si="87"/>
        <v>0</v>
      </c>
      <c r="U418" s="33">
        <f t="shared" si="87"/>
        <v>0</v>
      </c>
      <c r="V418" s="33">
        <f t="shared" si="87"/>
        <v>0</v>
      </c>
      <c r="W418" s="33">
        <f t="shared" si="87"/>
        <v>0</v>
      </c>
      <c r="X418" s="33">
        <f t="shared" si="87"/>
        <v>0</v>
      </c>
    </row>
    <row r="419" spans="2:24">
      <c r="B419" s="52" t="str">
        <f t="shared" si="79"/>
        <v/>
      </c>
      <c r="C419" s="492" t="str">
        <f t="shared" si="79"/>
        <v/>
      </c>
      <c r="D419" s="492" t="str">
        <f t="shared" si="79"/>
        <v/>
      </c>
      <c r="E419" s="52" t="str">
        <f t="shared" si="79"/>
        <v/>
      </c>
      <c r="F419" s="52"/>
      <c r="G419" s="52"/>
      <c r="H419" s="52"/>
      <c r="I419" s="52"/>
      <c r="J419" s="52"/>
      <c r="K419" s="33">
        <f t="shared" ref="K419:X419" si="88">ROUND(K293*K251*K335,0)</f>
        <v>0</v>
      </c>
      <c r="L419" s="33">
        <f t="shared" si="88"/>
        <v>0</v>
      </c>
      <c r="M419" s="33">
        <f t="shared" si="88"/>
        <v>0</v>
      </c>
      <c r="N419" s="33">
        <f t="shared" si="88"/>
        <v>0</v>
      </c>
      <c r="O419" s="33">
        <f t="shared" si="88"/>
        <v>0</v>
      </c>
      <c r="P419" s="33">
        <f t="shared" si="88"/>
        <v>0</v>
      </c>
      <c r="Q419" s="33">
        <f t="shared" si="88"/>
        <v>0</v>
      </c>
      <c r="R419" s="33">
        <f t="shared" si="88"/>
        <v>0</v>
      </c>
      <c r="S419" s="33">
        <f t="shared" si="88"/>
        <v>0</v>
      </c>
      <c r="T419" s="33">
        <f t="shared" si="88"/>
        <v>0</v>
      </c>
      <c r="U419" s="33">
        <f t="shared" si="88"/>
        <v>0</v>
      </c>
      <c r="V419" s="33">
        <f t="shared" si="88"/>
        <v>0</v>
      </c>
      <c r="W419" s="33">
        <f t="shared" si="88"/>
        <v>0</v>
      </c>
      <c r="X419" s="33">
        <f t="shared" si="88"/>
        <v>0</v>
      </c>
    </row>
    <row r="420" spans="2:24">
      <c r="B420" s="52" t="str">
        <f t="shared" si="79"/>
        <v/>
      </c>
      <c r="C420" s="492" t="str">
        <f t="shared" si="79"/>
        <v/>
      </c>
      <c r="D420" s="492" t="str">
        <f t="shared" si="79"/>
        <v/>
      </c>
      <c r="E420" s="52" t="str">
        <f t="shared" si="79"/>
        <v/>
      </c>
      <c r="F420" s="52"/>
      <c r="G420" s="52"/>
      <c r="H420" s="52"/>
      <c r="I420" s="52"/>
      <c r="J420" s="52"/>
      <c r="K420" s="33">
        <f t="shared" ref="K420:X420" si="89">ROUND(K294*K252*K336,0)</f>
        <v>0</v>
      </c>
      <c r="L420" s="33">
        <f t="shared" si="89"/>
        <v>0</v>
      </c>
      <c r="M420" s="33">
        <f t="shared" si="89"/>
        <v>0</v>
      </c>
      <c r="N420" s="33">
        <f t="shared" si="89"/>
        <v>0</v>
      </c>
      <c r="O420" s="33">
        <f t="shared" si="89"/>
        <v>0</v>
      </c>
      <c r="P420" s="33">
        <f t="shared" si="89"/>
        <v>0</v>
      </c>
      <c r="Q420" s="33">
        <f t="shared" si="89"/>
        <v>0</v>
      </c>
      <c r="R420" s="33">
        <f t="shared" si="89"/>
        <v>0</v>
      </c>
      <c r="S420" s="33">
        <f t="shared" si="89"/>
        <v>0</v>
      </c>
      <c r="T420" s="33">
        <f t="shared" si="89"/>
        <v>0</v>
      </c>
      <c r="U420" s="33">
        <f t="shared" si="89"/>
        <v>0</v>
      </c>
      <c r="V420" s="33">
        <f t="shared" si="89"/>
        <v>0</v>
      </c>
      <c r="W420" s="33">
        <f t="shared" si="89"/>
        <v>0</v>
      </c>
      <c r="X420" s="33">
        <f t="shared" si="89"/>
        <v>0</v>
      </c>
    </row>
    <row r="421" spans="2:24">
      <c r="B421" s="52" t="str">
        <f t="shared" si="79"/>
        <v/>
      </c>
      <c r="C421" s="492" t="str">
        <f t="shared" si="79"/>
        <v/>
      </c>
      <c r="D421" s="492" t="str">
        <f t="shared" si="79"/>
        <v/>
      </c>
      <c r="E421" s="52" t="str">
        <f t="shared" si="79"/>
        <v/>
      </c>
      <c r="F421" s="52"/>
      <c r="G421" s="52"/>
      <c r="H421" s="52"/>
      <c r="I421" s="52"/>
      <c r="J421" s="52"/>
      <c r="K421" s="33">
        <f t="shared" ref="K421:X421" si="90">ROUND(K295*K253*K337,0)</f>
        <v>0</v>
      </c>
      <c r="L421" s="33">
        <f t="shared" si="90"/>
        <v>0</v>
      </c>
      <c r="M421" s="33">
        <f t="shared" si="90"/>
        <v>0</v>
      </c>
      <c r="N421" s="33">
        <f t="shared" si="90"/>
        <v>0</v>
      </c>
      <c r="O421" s="33">
        <f t="shared" si="90"/>
        <v>0</v>
      </c>
      <c r="P421" s="33">
        <f t="shared" si="90"/>
        <v>0</v>
      </c>
      <c r="Q421" s="33">
        <f t="shared" si="90"/>
        <v>0</v>
      </c>
      <c r="R421" s="33">
        <f t="shared" si="90"/>
        <v>0</v>
      </c>
      <c r="S421" s="33">
        <f t="shared" si="90"/>
        <v>0</v>
      </c>
      <c r="T421" s="33">
        <f t="shared" si="90"/>
        <v>0</v>
      </c>
      <c r="U421" s="33">
        <f t="shared" si="90"/>
        <v>0</v>
      </c>
      <c r="V421" s="33">
        <f t="shared" si="90"/>
        <v>0</v>
      </c>
      <c r="W421" s="33">
        <f t="shared" si="90"/>
        <v>0</v>
      </c>
      <c r="X421" s="33">
        <f t="shared" si="90"/>
        <v>0</v>
      </c>
    </row>
    <row r="422" spans="2:24">
      <c r="B422" s="52" t="str">
        <f t="shared" si="79"/>
        <v/>
      </c>
      <c r="C422" s="492" t="str">
        <f t="shared" si="79"/>
        <v/>
      </c>
      <c r="D422" s="492" t="str">
        <f t="shared" si="79"/>
        <v/>
      </c>
      <c r="E422" s="52" t="str">
        <f t="shared" si="79"/>
        <v/>
      </c>
      <c r="F422" s="52"/>
      <c r="G422" s="52"/>
      <c r="H422" s="52"/>
      <c r="I422" s="52"/>
      <c r="J422" s="52"/>
      <c r="K422" s="33">
        <f t="shared" ref="K422:X422" si="91">ROUND(K296*K254*K338,0)</f>
        <v>0</v>
      </c>
      <c r="L422" s="33">
        <f t="shared" si="91"/>
        <v>0</v>
      </c>
      <c r="M422" s="33">
        <f t="shared" si="91"/>
        <v>0</v>
      </c>
      <c r="N422" s="33">
        <f t="shared" si="91"/>
        <v>0</v>
      </c>
      <c r="O422" s="33">
        <f t="shared" si="91"/>
        <v>0</v>
      </c>
      <c r="P422" s="33">
        <f t="shared" si="91"/>
        <v>0</v>
      </c>
      <c r="Q422" s="33">
        <f t="shared" si="91"/>
        <v>0</v>
      </c>
      <c r="R422" s="33">
        <f t="shared" si="91"/>
        <v>0</v>
      </c>
      <c r="S422" s="33">
        <f t="shared" si="91"/>
        <v>0</v>
      </c>
      <c r="T422" s="33">
        <f t="shared" si="91"/>
        <v>0</v>
      </c>
      <c r="U422" s="33">
        <f t="shared" si="91"/>
        <v>0</v>
      </c>
      <c r="V422" s="33">
        <f t="shared" si="91"/>
        <v>0</v>
      </c>
      <c r="W422" s="33">
        <f t="shared" si="91"/>
        <v>0</v>
      </c>
      <c r="X422" s="33">
        <f t="shared" si="91"/>
        <v>0</v>
      </c>
    </row>
    <row r="423" spans="2:24">
      <c r="B423" s="52" t="str">
        <f t="shared" si="79"/>
        <v/>
      </c>
      <c r="C423" s="492" t="str">
        <f t="shared" si="79"/>
        <v/>
      </c>
      <c r="D423" s="492" t="str">
        <f t="shared" si="79"/>
        <v/>
      </c>
      <c r="E423" s="52" t="str">
        <f t="shared" si="79"/>
        <v/>
      </c>
      <c r="F423" s="52"/>
      <c r="G423" s="52"/>
      <c r="H423" s="52"/>
      <c r="I423" s="52"/>
      <c r="J423" s="52"/>
      <c r="K423" s="33">
        <f t="shared" ref="K423:X423" si="92">ROUND(K297*K255*K339,0)</f>
        <v>0</v>
      </c>
      <c r="L423" s="33">
        <f t="shared" si="92"/>
        <v>0</v>
      </c>
      <c r="M423" s="33">
        <f t="shared" si="92"/>
        <v>0</v>
      </c>
      <c r="N423" s="33">
        <f t="shared" si="92"/>
        <v>0</v>
      </c>
      <c r="O423" s="33">
        <f t="shared" si="92"/>
        <v>0</v>
      </c>
      <c r="P423" s="33">
        <f t="shared" si="92"/>
        <v>0</v>
      </c>
      <c r="Q423" s="33">
        <f t="shared" si="92"/>
        <v>0</v>
      </c>
      <c r="R423" s="33">
        <f t="shared" si="92"/>
        <v>0</v>
      </c>
      <c r="S423" s="33">
        <f t="shared" si="92"/>
        <v>0</v>
      </c>
      <c r="T423" s="33">
        <f t="shared" si="92"/>
        <v>0</v>
      </c>
      <c r="U423" s="33">
        <f t="shared" si="92"/>
        <v>0</v>
      </c>
      <c r="V423" s="33">
        <f t="shared" si="92"/>
        <v>0</v>
      </c>
      <c r="W423" s="33">
        <f t="shared" si="92"/>
        <v>0</v>
      </c>
      <c r="X423" s="33">
        <f t="shared" si="92"/>
        <v>0</v>
      </c>
    </row>
    <row r="424" spans="2:24">
      <c r="B424" s="52" t="str">
        <f t="shared" si="79"/>
        <v/>
      </c>
      <c r="C424" s="492" t="str">
        <f t="shared" si="79"/>
        <v/>
      </c>
      <c r="D424" s="492" t="str">
        <f t="shared" si="79"/>
        <v/>
      </c>
      <c r="E424" s="52" t="str">
        <f t="shared" si="79"/>
        <v/>
      </c>
      <c r="F424" s="52"/>
      <c r="G424" s="52"/>
      <c r="H424" s="52"/>
      <c r="I424" s="52"/>
      <c r="J424" s="52"/>
      <c r="K424" s="33">
        <f t="shared" ref="K424:X424" si="93">ROUND(K298*K256*K340,0)</f>
        <v>0</v>
      </c>
      <c r="L424" s="33">
        <f t="shared" si="93"/>
        <v>0</v>
      </c>
      <c r="M424" s="33">
        <f t="shared" si="93"/>
        <v>0</v>
      </c>
      <c r="N424" s="33">
        <f t="shared" si="93"/>
        <v>0</v>
      </c>
      <c r="O424" s="33">
        <f t="shared" si="93"/>
        <v>0</v>
      </c>
      <c r="P424" s="33">
        <f t="shared" si="93"/>
        <v>0</v>
      </c>
      <c r="Q424" s="33">
        <f t="shared" si="93"/>
        <v>0</v>
      </c>
      <c r="R424" s="33">
        <f t="shared" si="93"/>
        <v>0</v>
      </c>
      <c r="S424" s="33">
        <f t="shared" si="93"/>
        <v>0</v>
      </c>
      <c r="T424" s="33">
        <f t="shared" si="93"/>
        <v>0</v>
      </c>
      <c r="U424" s="33">
        <f t="shared" si="93"/>
        <v>0</v>
      </c>
      <c r="V424" s="33">
        <f t="shared" si="93"/>
        <v>0</v>
      </c>
      <c r="W424" s="33">
        <f t="shared" si="93"/>
        <v>0</v>
      </c>
      <c r="X424" s="33">
        <f t="shared" si="93"/>
        <v>0</v>
      </c>
    </row>
    <row r="425" spans="2:24">
      <c r="B425" s="52" t="str">
        <f t="shared" si="79"/>
        <v/>
      </c>
      <c r="C425" s="492" t="str">
        <f t="shared" si="79"/>
        <v/>
      </c>
      <c r="D425" s="492" t="str">
        <f t="shared" si="79"/>
        <v/>
      </c>
      <c r="E425" s="52" t="str">
        <f t="shared" si="79"/>
        <v/>
      </c>
      <c r="F425" s="52"/>
      <c r="G425" s="52"/>
      <c r="H425" s="52"/>
      <c r="I425" s="52"/>
      <c r="J425" s="52"/>
      <c r="K425" s="33">
        <f t="shared" ref="K425:X425" si="94">ROUND(K299*K257*K341,0)</f>
        <v>0</v>
      </c>
      <c r="L425" s="33">
        <f t="shared" si="94"/>
        <v>0</v>
      </c>
      <c r="M425" s="33">
        <f t="shared" si="94"/>
        <v>0</v>
      </c>
      <c r="N425" s="33">
        <f t="shared" si="94"/>
        <v>0</v>
      </c>
      <c r="O425" s="33">
        <f t="shared" si="94"/>
        <v>0</v>
      </c>
      <c r="P425" s="33">
        <f t="shared" si="94"/>
        <v>0</v>
      </c>
      <c r="Q425" s="33">
        <f t="shared" si="94"/>
        <v>0</v>
      </c>
      <c r="R425" s="33">
        <f t="shared" si="94"/>
        <v>0</v>
      </c>
      <c r="S425" s="33">
        <f t="shared" si="94"/>
        <v>0</v>
      </c>
      <c r="T425" s="33">
        <f t="shared" si="94"/>
        <v>0</v>
      </c>
      <c r="U425" s="33">
        <f t="shared" si="94"/>
        <v>0</v>
      </c>
      <c r="V425" s="33">
        <f t="shared" si="94"/>
        <v>0</v>
      </c>
      <c r="W425" s="33">
        <f t="shared" si="94"/>
        <v>0</v>
      </c>
      <c r="X425" s="33">
        <f t="shared" si="94"/>
        <v>0</v>
      </c>
    </row>
    <row r="426" spans="2:24">
      <c r="B426" s="52" t="str">
        <f t="shared" si="79"/>
        <v/>
      </c>
      <c r="C426" s="492" t="str">
        <f t="shared" si="79"/>
        <v/>
      </c>
      <c r="D426" s="492" t="str">
        <f t="shared" si="79"/>
        <v/>
      </c>
      <c r="E426" s="52" t="str">
        <f t="shared" si="79"/>
        <v/>
      </c>
      <c r="F426" s="52"/>
      <c r="G426" s="52"/>
      <c r="H426" s="52"/>
      <c r="I426" s="52"/>
      <c r="J426" s="52"/>
      <c r="K426" s="33">
        <f t="shared" ref="K426:X426" si="95">ROUND(K300*K258*K342,0)</f>
        <v>0</v>
      </c>
      <c r="L426" s="33">
        <f t="shared" si="95"/>
        <v>0</v>
      </c>
      <c r="M426" s="33">
        <f t="shared" si="95"/>
        <v>0</v>
      </c>
      <c r="N426" s="33">
        <f t="shared" si="95"/>
        <v>0</v>
      </c>
      <c r="O426" s="33">
        <f t="shared" si="95"/>
        <v>0</v>
      </c>
      <c r="P426" s="33">
        <f t="shared" si="95"/>
        <v>0</v>
      </c>
      <c r="Q426" s="33">
        <f t="shared" si="95"/>
        <v>0</v>
      </c>
      <c r="R426" s="33">
        <f t="shared" si="95"/>
        <v>0</v>
      </c>
      <c r="S426" s="33">
        <f t="shared" si="95"/>
        <v>0</v>
      </c>
      <c r="T426" s="33">
        <f t="shared" si="95"/>
        <v>0</v>
      </c>
      <c r="U426" s="33">
        <f t="shared" si="95"/>
        <v>0</v>
      </c>
      <c r="V426" s="33">
        <f t="shared" si="95"/>
        <v>0</v>
      </c>
      <c r="W426" s="33">
        <f t="shared" si="95"/>
        <v>0</v>
      </c>
      <c r="X426" s="33">
        <f t="shared" si="95"/>
        <v>0</v>
      </c>
    </row>
    <row r="427" spans="2:24">
      <c r="B427" s="52" t="str">
        <f t="shared" si="79"/>
        <v/>
      </c>
      <c r="C427" s="492" t="str">
        <f t="shared" si="79"/>
        <v/>
      </c>
      <c r="D427" s="492" t="str">
        <f t="shared" si="79"/>
        <v/>
      </c>
      <c r="E427" s="52" t="str">
        <f t="shared" si="79"/>
        <v/>
      </c>
      <c r="F427" s="52"/>
      <c r="G427" s="52"/>
      <c r="H427" s="52"/>
      <c r="I427" s="52"/>
      <c r="J427" s="52"/>
      <c r="K427" s="33">
        <f t="shared" ref="K427:X427" si="96">ROUND(K301*K259*K343,0)</f>
        <v>0</v>
      </c>
      <c r="L427" s="33">
        <f t="shared" si="96"/>
        <v>0</v>
      </c>
      <c r="M427" s="33">
        <f t="shared" si="96"/>
        <v>0</v>
      </c>
      <c r="N427" s="33">
        <f t="shared" si="96"/>
        <v>0</v>
      </c>
      <c r="O427" s="33">
        <f t="shared" si="96"/>
        <v>0</v>
      </c>
      <c r="P427" s="33">
        <f t="shared" si="96"/>
        <v>0</v>
      </c>
      <c r="Q427" s="33">
        <f t="shared" si="96"/>
        <v>0</v>
      </c>
      <c r="R427" s="33">
        <f t="shared" si="96"/>
        <v>0</v>
      </c>
      <c r="S427" s="33">
        <f t="shared" si="96"/>
        <v>0</v>
      </c>
      <c r="T427" s="33">
        <f t="shared" si="96"/>
        <v>0</v>
      </c>
      <c r="U427" s="33">
        <f t="shared" si="96"/>
        <v>0</v>
      </c>
      <c r="V427" s="33">
        <f t="shared" si="96"/>
        <v>0</v>
      </c>
      <c r="W427" s="33">
        <f t="shared" si="96"/>
        <v>0</v>
      </c>
      <c r="X427" s="33">
        <f t="shared" si="96"/>
        <v>0</v>
      </c>
    </row>
    <row r="428" spans="2:24">
      <c r="B428" s="52" t="str">
        <f t="shared" si="79"/>
        <v/>
      </c>
      <c r="C428" s="492" t="str">
        <f t="shared" si="79"/>
        <v/>
      </c>
      <c r="D428" s="492" t="str">
        <f t="shared" si="79"/>
        <v/>
      </c>
      <c r="E428" s="52" t="str">
        <f t="shared" si="79"/>
        <v/>
      </c>
      <c r="F428" s="52"/>
      <c r="G428" s="52"/>
      <c r="H428" s="52"/>
      <c r="I428" s="52"/>
      <c r="J428" s="52"/>
      <c r="K428" s="33">
        <f t="shared" ref="K428:X428" si="97">ROUND(K302*K260*K344,0)</f>
        <v>0</v>
      </c>
      <c r="L428" s="33">
        <f t="shared" si="97"/>
        <v>0</v>
      </c>
      <c r="M428" s="33">
        <f t="shared" si="97"/>
        <v>0</v>
      </c>
      <c r="N428" s="33">
        <f t="shared" si="97"/>
        <v>0</v>
      </c>
      <c r="O428" s="33">
        <f t="shared" si="97"/>
        <v>0</v>
      </c>
      <c r="P428" s="33">
        <f t="shared" si="97"/>
        <v>0</v>
      </c>
      <c r="Q428" s="33">
        <f t="shared" si="97"/>
        <v>0</v>
      </c>
      <c r="R428" s="33">
        <f t="shared" si="97"/>
        <v>0</v>
      </c>
      <c r="S428" s="33">
        <f t="shared" si="97"/>
        <v>0</v>
      </c>
      <c r="T428" s="33">
        <f t="shared" si="97"/>
        <v>0</v>
      </c>
      <c r="U428" s="33">
        <f t="shared" si="97"/>
        <v>0</v>
      </c>
      <c r="V428" s="33">
        <f t="shared" si="97"/>
        <v>0</v>
      </c>
      <c r="W428" s="33">
        <f t="shared" si="97"/>
        <v>0</v>
      </c>
      <c r="X428" s="33">
        <f t="shared" si="97"/>
        <v>0</v>
      </c>
    </row>
    <row r="429" spans="2:24">
      <c r="B429" s="52" t="str">
        <f t="shared" si="79"/>
        <v/>
      </c>
      <c r="C429" s="492" t="str">
        <f t="shared" si="79"/>
        <v/>
      </c>
      <c r="D429" s="492" t="str">
        <f t="shared" si="79"/>
        <v/>
      </c>
      <c r="E429" s="52" t="str">
        <f t="shared" si="79"/>
        <v/>
      </c>
      <c r="F429" s="52"/>
      <c r="G429" s="52"/>
      <c r="H429" s="52"/>
      <c r="I429" s="52"/>
      <c r="J429" s="52"/>
      <c r="K429" s="33">
        <f t="shared" ref="K429:X429" si="98">ROUND(K303*K261*K345,0)</f>
        <v>0</v>
      </c>
      <c r="L429" s="33">
        <f t="shared" si="98"/>
        <v>0</v>
      </c>
      <c r="M429" s="33">
        <f t="shared" si="98"/>
        <v>0</v>
      </c>
      <c r="N429" s="33">
        <f t="shared" si="98"/>
        <v>0</v>
      </c>
      <c r="O429" s="33">
        <f t="shared" si="98"/>
        <v>0</v>
      </c>
      <c r="P429" s="33">
        <f t="shared" si="98"/>
        <v>0</v>
      </c>
      <c r="Q429" s="33">
        <f t="shared" si="98"/>
        <v>0</v>
      </c>
      <c r="R429" s="33">
        <f t="shared" si="98"/>
        <v>0</v>
      </c>
      <c r="S429" s="33">
        <f t="shared" si="98"/>
        <v>0</v>
      </c>
      <c r="T429" s="33">
        <f t="shared" si="98"/>
        <v>0</v>
      </c>
      <c r="U429" s="33">
        <f t="shared" si="98"/>
        <v>0</v>
      </c>
      <c r="V429" s="33">
        <f t="shared" si="98"/>
        <v>0</v>
      </c>
      <c r="W429" s="33">
        <f t="shared" si="98"/>
        <v>0</v>
      </c>
      <c r="X429" s="33">
        <f t="shared" si="98"/>
        <v>0</v>
      </c>
    </row>
    <row r="430" spans="2:24">
      <c r="B430" s="52" t="str">
        <f t="shared" si="79"/>
        <v/>
      </c>
      <c r="C430" s="492" t="str">
        <f t="shared" si="79"/>
        <v/>
      </c>
      <c r="D430" s="492" t="str">
        <f t="shared" si="79"/>
        <v/>
      </c>
      <c r="E430" s="52" t="str">
        <f t="shared" si="79"/>
        <v/>
      </c>
      <c r="F430" s="52"/>
      <c r="G430" s="52"/>
      <c r="H430" s="52"/>
      <c r="I430" s="52"/>
      <c r="J430" s="52"/>
      <c r="K430" s="33">
        <f t="shared" ref="K430:X430" si="99">ROUND(K304*K262*K346,0)</f>
        <v>0</v>
      </c>
      <c r="L430" s="33">
        <f t="shared" si="99"/>
        <v>0</v>
      </c>
      <c r="M430" s="33">
        <f t="shared" si="99"/>
        <v>0</v>
      </c>
      <c r="N430" s="33">
        <f t="shared" si="99"/>
        <v>0</v>
      </c>
      <c r="O430" s="33">
        <f t="shared" si="99"/>
        <v>0</v>
      </c>
      <c r="P430" s="33">
        <f t="shared" si="99"/>
        <v>0</v>
      </c>
      <c r="Q430" s="33">
        <f t="shared" si="99"/>
        <v>0</v>
      </c>
      <c r="R430" s="33">
        <f t="shared" si="99"/>
        <v>0</v>
      </c>
      <c r="S430" s="33">
        <f t="shared" si="99"/>
        <v>0</v>
      </c>
      <c r="T430" s="33">
        <f t="shared" si="99"/>
        <v>0</v>
      </c>
      <c r="U430" s="33">
        <f t="shared" si="99"/>
        <v>0</v>
      </c>
      <c r="V430" s="33">
        <f t="shared" si="99"/>
        <v>0</v>
      </c>
      <c r="W430" s="33">
        <f t="shared" si="99"/>
        <v>0</v>
      </c>
      <c r="X430" s="33">
        <f t="shared" si="99"/>
        <v>0</v>
      </c>
    </row>
    <row r="431" spans="2:24">
      <c r="B431" s="179" t="s">
        <v>319</v>
      </c>
      <c r="C431" s="179"/>
      <c r="D431" s="180"/>
      <c r="E431" s="180"/>
      <c r="F431" s="180"/>
      <c r="G431" s="180"/>
      <c r="H431" s="180"/>
      <c r="I431" s="180"/>
      <c r="J431" s="180"/>
      <c r="K431" s="181">
        <f t="shared" ref="K431:X431" si="100">IF(LataProjekcji&lt;=Koniec,ROUND(SUM(K391:K430),0),0)</f>
        <v>0</v>
      </c>
      <c r="L431" s="181">
        <f t="shared" si="100"/>
        <v>0</v>
      </c>
      <c r="M431" s="181">
        <f t="shared" si="100"/>
        <v>0</v>
      </c>
      <c r="N431" s="181">
        <f t="shared" si="100"/>
        <v>0</v>
      </c>
      <c r="O431" s="181">
        <f t="shared" si="100"/>
        <v>0</v>
      </c>
      <c r="P431" s="181">
        <f t="shared" si="100"/>
        <v>0</v>
      </c>
      <c r="Q431" s="181">
        <f t="shared" si="100"/>
        <v>0</v>
      </c>
      <c r="R431" s="181">
        <f t="shared" si="100"/>
        <v>0</v>
      </c>
      <c r="S431" s="181">
        <f t="shared" si="100"/>
        <v>0</v>
      </c>
      <c r="T431" s="181">
        <f t="shared" si="100"/>
        <v>0</v>
      </c>
      <c r="U431" s="181">
        <f t="shared" si="100"/>
        <v>0</v>
      </c>
      <c r="V431" s="181">
        <f t="shared" si="100"/>
        <v>0</v>
      </c>
      <c r="W431" s="181">
        <f t="shared" si="100"/>
        <v>0</v>
      </c>
      <c r="X431" s="181">
        <f t="shared" si="100"/>
        <v>0</v>
      </c>
    </row>
    <row r="432" spans="2:24"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2:24"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2:24">
      <c r="B434" s="351" t="s">
        <v>320</v>
      </c>
      <c r="C434" s="350" t="str">
        <f>C$114</f>
        <v>Moduł</v>
      </c>
      <c r="D434" s="350" t="str">
        <f t="shared" ref="D434:X434" si="101">D$114</f>
        <v>Kwalifikowalne</v>
      </c>
      <c r="E434" s="350" t="str">
        <f t="shared" si="101"/>
        <v>Koszty B+R</v>
      </c>
      <c r="F434" s="350"/>
      <c r="G434" s="350">
        <f t="shared" ca="1" si="101"/>
        <v>0</v>
      </c>
      <c r="H434" s="350">
        <f t="shared" ca="1" si="101"/>
        <v>0</v>
      </c>
      <c r="I434" s="350">
        <f t="shared" ca="1" si="101"/>
        <v>0</v>
      </c>
      <c r="J434" s="350" t="str">
        <f t="shared" si="101"/>
        <v/>
      </c>
      <c r="K434" s="350" t="str">
        <f t="shared" si="101"/>
        <v>Uzupełnij dane</v>
      </c>
      <c r="L434" s="350" t="str">
        <f t="shared" si="101"/>
        <v/>
      </c>
      <c r="M434" s="350" t="str">
        <f t="shared" si="101"/>
        <v/>
      </c>
      <c r="N434" s="350" t="str">
        <f t="shared" si="101"/>
        <v/>
      </c>
      <c r="O434" s="350" t="str">
        <f t="shared" si="101"/>
        <v/>
      </c>
      <c r="P434" s="350" t="str">
        <f t="shared" si="101"/>
        <v/>
      </c>
      <c r="Q434" s="350" t="str">
        <f t="shared" si="101"/>
        <v/>
      </c>
      <c r="R434" s="350" t="str">
        <f t="shared" si="101"/>
        <v/>
      </c>
      <c r="S434" s="350" t="str">
        <f t="shared" si="101"/>
        <v/>
      </c>
      <c r="T434" s="350" t="str">
        <f t="shared" si="101"/>
        <v/>
      </c>
      <c r="U434" s="350" t="str">
        <f t="shared" si="101"/>
        <v/>
      </c>
      <c r="V434" s="350" t="str">
        <f t="shared" si="101"/>
        <v/>
      </c>
      <c r="W434" s="350" t="str">
        <f t="shared" si="101"/>
        <v/>
      </c>
      <c r="X434" s="350" t="str">
        <f t="shared" si="101"/>
        <v/>
      </c>
    </row>
    <row r="435" spans="2:24">
      <c r="B435" s="7" t="s">
        <v>321</v>
      </c>
      <c r="C435" s="7"/>
      <c r="D435" s="7"/>
      <c r="E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2:24">
      <c r="B436" s="52" t="str">
        <f t="shared" ref="B436:E455" si="102">IF(ISBLANK(B223),"",B223)</f>
        <v/>
      </c>
      <c r="C436" s="492" t="str">
        <f t="shared" si="102"/>
        <v/>
      </c>
      <c r="D436" s="492" t="str">
        <f t="shared" si="102"/>
        <v/>
      </c>
      <c r="E436" s="52" t="str">
        <f t="shared" si="102"/>
        <v/>
      </c>
      <c r="F436" s="52"/>
      <c r="G436" s="52"/>
      <c r="H436" s="52"/>
      <c r="I436" s="52"/>
      <c r="J436" s="52"/>
      <c r="K436" s="33">
        <f t="shared" ref="K436:X436" si="103">ROUND(K391*ZUS,0)</f>
        <v>0</v>
      </c>
      <c r="L436" s="33">
        <f t="shared" si="103"/>
        <v>0</v>
      </c>
      <c r="M436" s="33">
        <f t="shared" si="103"/>
        <v>0</v>
      </c>
      <c r="N436" s="33">
        <f t="shared" si="103"/>
        <v>0</v>
      </c>
      <c r="O436" s="33">
        <f t="shared" si="103"/>
        <v>0</v>
      </c>
      <c r="P436" s="33">
        <f t="shared" si="103"/>
        <v>0</v>
      </c>
      <c r="Q436" s="33">
        <f t="shared" si="103"/>
        <v>0</v>
      </c>
      <c r="R436" s="33">
        <f t="shared" si="103"/>
        <v>0</v>
      </c>
      <c r="S436" s="33">
        <f t="shared" si="103"/>
        <v>0</v>
      </c>
      <c r="T436" s="33">
        <f t="shared" si="103"/>
        <v>0</v>
      </c>
      <c r="U436" s="33">
        <f t="shared" si="103"/>
        <v>0</v>
      </c>
      <c r="V436" s="33">
        <f t="shared" si="103"/>
        <v>0</v>
      </c>
      <c r="W436" s="33">
        <f t="shared" si="103"/>
        <v>0</v>
      </c>
      <c r="X436" s="33">
        <f t="shared" si="103"/>
        <v>0</v>
      </c>
    </row>
    <row r="437" spans="2:24">
      <c r="B437" s="52" t="str">
        <f t="shared" si="102"/>
        <v/>
      </c>
      <c r="C437" s="492" t="str">
        <f t="shared" si="102"/>
        <v/>
      </c>
      <c r="D437" s="492" t="str">
        <f t="shared" si="102"/>
        <v/>
      </c>
      <c r="E437" s="52" t="str">
        <f t="shared" si="102"/>
        <v/>
      </c>
      <c r="F437" s="52"/>
      <c r="G437" s="52"/>
      <c r="H437" s="52"/>
      <c r="I437" s="52"/>
      <c r="J437" s="52"/>
      <c r="K437" s="33">
        <f t="shared" ref="K437:X437" si="104">ROUND(K392*ZUS,0)</f>
        <v>0</v>
      </c>
      <c r="L437" s="33">
        <f t="shared" si="104"/>
        <v>0</v>
      </c>
      <c r="M437" s="33">
        <f t="shared" si="104"/>
        <v>0</v>
      </c>
      <c r="N437" s="33">
        <f t="shared" si="104"/>
        <v>0</v>
      </c>
      <c r="O437" s="33">
        <f t="shared" si="104"/>
        <v>0</v>
      </c>
      <c r="P437" s="33">
        <f t="shared" si="104"/>
        <v>0</v>
      </c>
      <c r="Q437" s="33">
        <f t="shared" si="104"/>
        <v>0</v>
      </c>
      <c r="R437" s="33">
        <f t="shared" si="104"/>
        <v>0</v>
      </c>
      <c r="S437" s="33">
        <f t="shared" si="104"/>
        <v>0</v>
      </c>
      <c r="T437" s="33">
        <f t="shared" si="104"/>
        <v>0</v>
      </c>
      <c r="U437" s="33">
        <f t="shared" si="104"/>
        <v>0</v>
      </c>
      <c r="V437" s="33">
        <f t="shared" si="104"/>
        <v>0</v>
      </c>
      <c r="W437" s="33">
        <f t="shared" si="104"/>
        <v>0</v>
      </c>
      <c r="X437" s="33">
        <f t="shared" si="104"/>
        <v>0</v>
      </c>
    </row>
    <row r="438" spans="2:24">
      <c r="B438" s="52" t="str">
        <f t="shared" si="102"/>
        <v/>
      </c>
      <c r="C438" s="492" t="str">
        <f t="shared" si="102"/>
        <v/>
      </c>
      <c r="D438" s="492" t="str">
        <f t="shared" si="102"/>
        <v/>
      </c>
      <c r="E438" s="52" t="str">
        <f t="shared" si="102"/>
        <v/>
      </c>
      <c r="F438" s="52"/>
      <c r="G438" s="52"/>
      <c r="H438" s="52"/>
      <c r="I438" s="52"/>
      <c r="J438" s="52"/>
      <c r="K438" s="33">
        <f t="shared" ref="K438:X438" si="105">ROUND(K393*ZUS,0)</f>
        <v>0</v>
      </c>
      <c r="L438" s="33">
        <f t="shared" si="105"/>
        <v>0</v>
      </c>
      <c r="M438" s="33">
        <f t="shared" si="105"/>
        <v>0</v>
      </c>
      <c r="N438" s="33">
        <f t="shared" si="105"/>
        <v>0</v>
      </c>
      <c r="O438" s="33">
        <f t="shared" si="105"/>
        <v>0</v>
      </c>
      <c r="P438" s="33">
        <f t="shared" si="105"/>
        <v>0</v>
      </c>
      <c r="Q438" s="33">
        <f t="shared" si="105"/>
        <v>0</v>
      </c>
      <c r="R438" s="33">
        <f t="shared" si="105"/>
        <v>0</v>
      </c>
      <c r="S438" s="33">
        <f t="shared" si="105"/>
        <v>0</v>
      </c>
      <c r="T438" s="33">
        <f t="shared" si="105"/>
        <v>0</v>
      </c>
      <c r="U438" s="33">
        <f t="shared" si="105"/>
        <v>0</v>
      </c>
      <c r="V438" s="33">
        <f t="shared" si="105"/>
        <v>0</v>
      </c>
      <c r="W438" s="33">
        <f t="shared" si="105"/>
        <v>0</v>
      </c>
      <c r="X438" s="33">
        <f t="shared" si="105"/>
        <v>0</v>
      </c>
    </row>
    <row r="439" spans="2:24">
      <c r="B439" s="52" t="str">
        <f t="shared" si="102"/>
        <v/>
      </c>
      <c r="C439" s="492" t="str">
        <f t="shared" si="102"/>
        <v/>
      </c>
      <c r="D439" s="492" t="str">
        <f t="shared" si="102"/>
        <v/>
      </c>
      <c r="E439" s="52" t="str">
        <f t="shared" si="102"/>
        <v/>
      </c>
      <c r="F439" s="52"/>
      <c r="G439" s="52"/>
      <c r="H439" s="52"/>
      <c r="I439" s="52"/>
      <c r="J439" s="52"/>
      <c r="K439" s="33">
        <f t="shared" ref="K439:X439" si="106">ROUND(K394*ZUS,0)</f>
        <v>0</v>
      </c>
      <c r="L439" s="33">
        <f t="shared" si="106"/>
        <v>0</v>
      </c>
      <c r="M439" s="33">
        <f t="shared" si="106"/>
        <v>0</v>
      </c>
      <c r="N439" s="33">
        <f t="shared" si="106"/>
        <v>0</v>
      </c>
      <c r="O439" s="33">
        <f t="shared" si="106"/>
        <v>0</v>
      </c>
      <c r="P439" s="33">
        <f t="shared" si="106"/>
        <v>0</v>
      </c>
      <c r="Q439" s="33">
        <f t="shared" si="106"/>
        <v>0</v>
      </c>
      <c r="R439" s="33">
        <f t="shared" si="106"/>
        <v>0</v>
      </c>
      <c r="S439" s="33">
        <f t="shared" si="106"/>
        <v>0</v>
      </c>
      <c r="T439" s="33">
        <f t="shared" si="106"/>
        <v>0</v>
      </c>
      <c r="U439" s="33">
        <f t="shared" si="106"/>
        <v>0</v>
      </c>
      <c r="V439" s="33">
        <f t="shared" si="106"/>
        <v>0</v>
      </c>
      <c r="W439" s="33">
        <f t="shared" si="106"/>
        <v>0</v>
      </c>
      <c r="X439" s="33">
        <f t="shared" si="106"/>
        <v>0</v>
      </c>
    </row>
    <row r="440" spans="2:24">
      <c r="B440" s="52" t="str">
        <f t="shared" si="102"/>
        <v/>
      </c>
      <c r="C440" s="492" t="str">
        <f t="shared" si="102"/>
        <v/>
      </c>
      <c r="D440" s="492" t="str">
        <f t="shared" si="102"/>
        <v/>
      </c>
      <c r="E440" s="52" t="str">
        <f t="shared" si="102"/>
        <v/>
      </c>
      <c r="F440" s="52"/>
      <c r="G440" s="52"/>
      <c r="H440" s="52"/>
      <c r="I440" s="52"/>
      <c r="J440" s="52"/>
      <c r="K440" s="33">
        <f t="shared" ref="K440:X440" si="107">ROUND(K395*ZUS,0)</f>
        <v>0</v>
      </c>
      <c r="L440" s="33">
        <f t="shared" si="107"/>
        <v>0</v>
      </c>
      <c r="M440" s="33">
        <f t="shared" si="107"/>
        <v>0</v>
      </c>
      <c r="N440" s="33">
        <f t="shared" si="107"/>
        <v>0</v>
      </c>
      <c r="O440" s="33">
        <f t="shared" si="107"/>
        <v>0</v>
      </c>
      <c r="P440" s="33">
        <f t="shared" si="107"/>
        <v>0</v>
      </c>
      <c r="Q440" s="33">
        <f t="shared" si="107"/>
        <v>0</v>
      </c>
      <c r="R440" s="33">
        <f t="shared" si="107"/>
        <v>0</v>
      </c>
      <c r="S440" s="33">
        <f t="shared" si="107"/>
        <v>0</v>
      </c>
      <c r="T440" s="33">
        <f t="shared" si="107"/>
        <v>0</v>
      </c>
      <c r="U440" s="33">
        <f t="shared" si="107"/>
        <v>0</v>
      </c>
      <c r="V440" s="33">
        <f t="shared" si="107"/>
        <v>0</v>
      </c>
      <c r="W440" s="33">
        <f t="shared" si="107"/>
        <v>0</v>
      </c>
      <c r="X440" s="33">
        <f t="shared" si="107"/>
        <v>0</v>
      </c>
    </row>
    <row r="441" spans="2:24">
      <c r="B441" s="52" t="str">
        <f t="shared" si="102"/>
        <v/>
      </c>
      <c r="C441" s="492" t="str">
        <f t="shared" si="102"/>
        <v/>
      </c>
      <c r="D441" s="492" t="str">
        <f t="shared" si="102"/>
        <v/>
      </c>
      <c r="E441" s="52" t="str">
        <f t="shared" si="102"/>
        <v/>
      </c>
      <c r="F441" s="52"/>
      <c r="G441" s="52"/>
      <c r="H441" s="52"/>
      <c r="I441" s="52"/>
      <c r="J441" s="52"/>
      <c r="K441" s="33">
        <f t="shared" ref="K441:X441" si="108">ROUND(K396*ZUS,0)</f>
        <v>0</v>
      </c>
      <c r="L441" s="33">
        <f t="shared" si="108"/>
        <v>0</v>
      </c>
      <c r="M441" s="33">
        <f t="shared" si="108"/>
        <v>0</v>
      </c>
      <c r="N441" s="33">
        <f t="shared" si="108"/>
        <v>0</v>
      </c>
      <c r="O441" s="33">
        <f t="shared" si="108"/>
        <v>0</v>
      </c>
      <c r="P441" s="33">
        <f t="shared" si="108"/>
        <v>0</v>
      </c>
      <c r="Q441" s="33">
        <f t="shared" si="108"/>
        <v>0</v>
      </c>
      <c r="R441" s="33">
        <f t="shared" si="108"/>
        <v>0</v>
      </c>
      <c r="S441" s="33">
        <f t="shared" si="108"/>
        <v>0</v>
      </c>
      <c r="T441" s="33">
        <f t="shared" si="108"/>
        <v>0</v>
      </c>
      <c r="U441" s="33">
        <f t="shared" si="108"/>
        <v>0</v>
      </c>
      <c r="V441" s="33">
        <f t="shared" si="108"/>
        <v>0</v>
      </c>
      <c r="W441" s="33">
        <f t="shared" si="108"/>
        <v>0</v>
      </c>
      <c r="X441" s="33">
        <f t="shared" si="108"/>
        <v>0</v>
      </c>
    </row>
    <row r="442" spans="2:24">
      <c r="B442" s="52" t="str">
        <f t="shared" si="102"/>
        <v/>
      </c>
      <c r="C442" s="492" t="str">
        <f t="shared" si="102"/>
        <v/>
      </c>
      <c r="D442" s="492" t="str">
        <f t="shared" si="102"/>
        <v/>
      </c>
      <c r="E442" s="52" t="str">
        <f t="shared" si="102"/>
        <v/>
      </c>
      <c r="F442" s="52"/>
      <c r="G442" s="52"/>
      <c r="H442" s="52"/>
      <c r="I442" s="52"/>
      <c r="J442" s="52"/>
      <c r="K442" s="33">
        <f t="shared" ref="K442:X442" si="109">ROUND(K397*ZUS,0)</f>
        <v>0</v>
      </c>
      <c r="L442" s="33">
        <f t="shared" si="109"/>
        <v>0</v>
      </c>
      <c r="M442" s="33">
        <f t="shared" si="109"/>
        <v>0</v>
      </c>
      <c r="N442" s="33">
        <f t="shared" si="109"/>
        <v>0</v>
      </c>
      <c r="O442" s="33">
        <f t="shared" si="109"/>
        <v>0</v>
      </c>
      <c r="P442" s="33">
        <f t="shared" si="109"/>
        <v>0</v>
      </c>
      <c r="Q442" s="33">
        <f t="shared" si="109"/>
        <v>0</v>
      </c>
      <c r="R442" s="33">
        <f t="shared" si="109"/>
        <v>0</v>
      </c>
      <c r="S442" s="33">
        <f t="shared" si="109"/>
        <v>0</v>
      </c>
      <c r="T442" s="33">
        <f t="shared" si="109"/>
        <v>0</v>
      </c>
      <c r="U442" s="33">
        <f t="shared" si="109"/>
        <v>0</v>
      </c>
      <c r="V442" s="33">
        <f t="shared" si="109"/>
        <v>0</v>
      </c>
      <c r="W442" s="33">
        <f t="shared" si="109"/>
        <v>0</v>
      </c>
      <c r="X442" s="33">
        <f t="shared" si="109"/>
        <v>0</v>
      </c>
    </row>
    <row r="443" spans="2:24">
      <c r="B443" s="52" t="str">
        <f t="shared" si="102"/>
        <v/>
      </c>
      <c r="C443" s="492" t="str">
        <f t="shared" si="102"/>
        <v/>
      </c>
      <c r="D443" s="492" t="str">
        <f t="shared" si="102"/>
        <v/>
      </c>
      <c r="E443" s="52" t="str">
        <f t="shared" si="102"/>
        <v/>
      </c>
      <c r="F443" s="52"/>
      <c r="G443" s="52"/>
      <c r="H443" s="52"/>
      <c r="I443" s="52"/>
      <c r="J443" s="52"/>
      <c r="K443" s="33">
        <f t="shared" ref="K443:X443" si="110">ROUND(K398*ZUS,0)</f>
        <v>0</v>
      </c>
      <c r="L443" s="33">
        <f t="shared" si="110"/>
        <v>0</v>
      </c>
      <c r="M443" s="33">
        <f t="shared" si="110"/>
        <v>0</v>
      </c>
      <c r="N443" s="33">
        <f t="shared" si="110"/>
        <v>0</v>
      </c>
      <c r="O443" s="33">
        <f t="shared" si="110"/>
        <v>0</v>
      </c>
      <c r="P443" s="33">
        <f t="shared" si="110"/>
        <v>0</v>
      </c>
      <c r="Q443" s="33">
        <f t="shared" si="110"/>
        <v>0</v>
      </c>
      <c r="R443" s="33">
        <f t="shared" si="110"/>
        <v>0</v>
      </c>
      <c r="S443" s="33">
        <f t="shared" si="110"/>
        <v>0</v>
      </c>
      <c r="T443" s="33">
        <f t="shared" si="110"/>
        <v>0</v>
      </c>
      <c r="U443" s="33">
        <f t="shared" si="110"/>
        <v>0</v>
      </c>
      <c r="V443" s="33">
        <f t="shared" si="110"/>
        <v>0</v>
      </c>
      <c r="W443" s="33">
        <f t="shared" si="110"/>
        <v>0</v>
      </c>
      <c r="X443" s="33">
        <f t="shared" si="110"/>
        <v>0</v>
      </c>
    </row>
    <row r="444" spans="2:24">
      <c r="B444" s="52" t="str">
        <f t="shared" si="102"/>
        <v/>
      </c>
      <c r="C444" s="492" t="str">
        <f t="shared" si="102"/>
        <v/>
      </c>
      <c r="D444" s="492" t="str">
        <f t="shared" si="102"/>
        <v/>
      </c>
      <c r="E444" s="52" t="str">
        <f t="shared" si="102"/>
        <v/>
      </c>
      <c r="F444" s="52"/>
      <c r="G444" s="52"/>
      <c r="H444" s="52"/>
      <c r="I444" s="52"/>
      <c r="J444" s="52"/>
      <c r="K444" s="33">
        <f t="shared" ref="K444:X444" si="111">ROUND(K399*ZUS,0)</f>
        <v>0</v>
      </c>
      <c r="L444" s="33">
        <f t="shared" si="111"/>
        <v>0</v>
      </c>
      <c r="M444" s="33">
        <f t="shared" si="111"/>
        <v>0</v>
      </c>
      <c r="N444" s="33">
        <f t="shared" si="111"/>
        <v>0</v>
      </c>
      <c r="O444" s="33">
        <f t="shared" si="111"/>
        <v>0</v>
      </c>
      <c r="P444" s="33">
        <f t="shared" si="111"/>
        <v>0</v>
      </c>
      <c r="Q444" s="33">
        <f t="shared" si="111"/>
        <v>0</v>
      </c>
      <c r="R444" s="33">
        <f t="shared" si="111"/>
        <v>0</v>
      </c>
      <c r="S444" s="33">
        <f t="shared" si="111"/>
        <v>0</v>
      </c>
      <c r="T444" s="33">
        <f t="shared" si="111"/>
        <v>0</v>
      </c>
      <c r="U444" s="33">
        <f t="shared" si="111"/>
        <v>0</v>
      </c>
      <c r="V444" s="33">
        <f t="shared" si="111"/>
        <v>0</v>
      </c>
      <c r="W444" s="33">
        <f t="shared" si="111"/>
        <v>0</v>
      </c>
      <c r="X444" s="33">
        <f t="shared" si="111"/>
        <v>0</v>
      </c>
    </row>
    <row r="445" spans="2:24">
      <c r="B445" s="52" t="str">
        <f t="shared" si="102"/>
        <v/>
      </c>
      <c r="C445" s="492" t="str">
        <f t="shared" si="102"/>
        <v/>
      </c>
      <c r="D445" s="492" t="str">
        <f t="shared" si="102"/>
        <v/>
      </c>
      <c r="E445" s="52" t="str">
        <f t="shared" si="102"/>
        <v/>
      </c>
      <c r="F445" s="52"/>
      <c r="G445" s="52"/>
      <c r="H445" s="52"/>
      <c r="I445" s="52"/>
      <c r="J445" s="52"/>
      <c r="K445" s="33">
        <f t="shared" ref="K445:X445" si="112">ROUND(K400*ZUS,0)</f>
        <v>0</v>
      </c>
      <c r="L445" s="33">
        <f t="shared" si="112"/>
        <v>0</v>
      </c>
      <c r="M445" s="33">
        <f t="shared" si="112"/>
        <v>0</v>
      </c>
      <c r="N445" s="33">
        <f t="shared" si="112"/>
        <v>0</v>
      </c>
      <c r="O445" s="33">
        <f t="shared" si="112"/>
        <v>0</v>
      </c>
      <c r="P445" s="33">
        <f t="shared" si="112"/>
        <v>0</v>
      </c>
      <c r="Q445" s="33">
        <f t="shared" si="112"/>
        <v>0</v>
      </c>
      <c r="R445" s="33">
        <f t="shared" si="112"/>
        <v>0</v>
      </c>
      <c r="S445" s="33">
        <f t="shared" si="112"/>
        <v>0</v>
      </c>
      <c r="T445" s="33">
        <f t="shared" si="112"/>
        <v>0</v>
      </c>
      <c r="U445" s="33">
        <f t="shared" si="112"/>
        <v>0</v>
      </c>
      <c r="V445" s="33">
        <f t="shared" si="112"/>
        <v>0</v>
      </c>
      <c r="W445" s="33">
        <f t="shared" si="112"/>
        <v>0</v>
      </c>
      <c r="X445" s="33">
        <f t="shared" si="112"/>
        <v>0</v>
      </c>
    </row>
    <row r="446" spans="2:24">
      <c r="B446" s="52" t="str">
        <f t="shared" si="102"/>
        <v/>
      </c>
      <c r="C446" s="492" t="str">
        <f t="shared" si="102"/>
        <v/>
      </c>
      <c r="D446" s="492" t="str">
        <f t="shared" si="102"/>
        <v/>
      </c>
      <c r="E446" s="52" t="str">
        <f t="shared" si="102"/>
        <v/>
      </c>
      <c r="F446" s="52"/>
      <c r="G446" s="52"/>
      <c r="H446" s="52"/>
      <c r="I446" s="52"/>
      <c r="J446" s="52"/>
      <c r="K446" s="33">
        <f t="shared" ref="K446:X446" si="113">ROUND(K401*ZUS,0)</f>
        <v>0</v>
      </c>
      <c r="L446" s="33">
        <f t="shared" si="113"/>
        <v>0</v>
      </c>
      <c r="M446" s="33">
        <f t="shared" si="113"/>
        <v>0</v>
      </c>
      <c r="N446" s="33">
        <f t="shared" si="113"/>
        <v>0</v>
      </c>
      <c r="O446" s="33">
        <f t="shared" si="113"/>
        <v>0</v>
      </c>
      <c r="P446" s="33">
        <f t="shared" si="113"/>
        <v>0</v>
      </c>
      <c r="Q446" s="33">
        <f t="shared" si="113"/>
        <v>0</v>
      </c>
      <c r="R446" s="33">
        <f t="shared" si="113"/>
        <v>0</v>
      </c>
      <c r="S446" s="33">
        <f t="shared" si="113"/>
        <v>0</v>
      </c>
      <c r="T446" s="33">
        <f t="shared" si="113"/>
        <v>0</v>
      </c>
      <c r="U446" s="33">
        <f t="shared" si="113"/>
        <v>0</v>
      </c>
      <c r="V446" s="33">
        <f t="shared" si="113"/>
        <v>0</v>
      </c>
      <c r="W446" s="33">
        <f t="shared" si="113"/>
        <v>0</v>
      </c>
      <c r="X446" s="33">
        <f t="shared" si="113"/>
        <v>0</v>
      </c>
    </row>
    <row r="447" spans="2:24">
      <c r="B447" s="52" t="str">
        <f t="shared" si="102"/>
        <v/>
      </c>
      <c r="C447" s="492" t="str">
        <f t="shared" si="102"/>
        <v/>
      </c>
      <c r="D447" s="492" t="str">
        <f t="shared" si="102"/>
        <v/>
      </c>
      <c r="E447" s="52" t="str">
        <f t="shared" si="102"/>
        <v/>
      </c>
      <c r="F447" s="52"/>
      <c r="G447" s="52"/>
      <c r="H447" s="52"/>
      <c r="I447" s="52"/>
      <c r="J447" s="52"/>
      <c r="K447" s="33">
        <f t="shared" ref="K447:X447" si="114">ROUND(K402*ZUS,0)</f>
        <v>0</v>
      </c>
      <c r="L447" s="33">
        <f t="shared" si="114"/>
        <v>0</v>
      </c>
      <c r="M447" s="33">
        <f t="shared" si="114"/>
        <v>0</v>
      </c>
      <c r="N447" s="33">
        <f t="shared" si="114"/>
        <v>0</v>
      </c>
      <c r="O447" s="33">
        <f t="shared" si="114"/>
        <v>0</v>
      </c>
      <c r="P447" s="33">
        <f t="shared" si="114"/>
        <v>0</v>
      </c>
      <c r="Q447" s="33">
        <f t="shared" si="114"/>
        <v>0</v>
      </c>
      <c r="R447" s="33">
        <f t="shared" si="114"/>
        <v>0</v>
      </c>
      <c r="S447" s="33">
        <f t="shared" si="114"/>
        <v>0</v>
      </c>
      <c r="T447" s="33">
        <f t="shared" si="114"/>
        <v>0</v>
      </c>
      <c r="U447" s="33">
        <f t="shared" si="114"/>
        <v>0</v>
      </c>
      <c r="V447" s="33">
        <f t="shared" si="114"/>
        <v>0</v>
      </c>
      <c r="W447" s="33">
        <f t="shared" si="114"/>
        <v>0</v>
      </c>
      <c r="X447" s="33">
        <f t="shared" si="114"/>
        <v>0</v>
      </c>
    </row>
    <row r="448" spans="2:24">
      <c r="B448" s="52" t="str">
        <f t="shared" si="102"/>
        <v/>
      </c>
      <c r="C448" s="492" t="str">
        <f t="shared" si="102"/>
        <v/>
      </c>
      <c r="D448" s="492" t="str">
        <f t="shared" si="102"/>
        <v/>
      </c>
      <c r="E448" s="52" t="str">
        <f t="shared" si="102"/>
        <v/>
      </c>
      <c r="F448" s="52"/>
      <c r="G448" s="52"/>
      <c r="H448" s="52"/>
      <c r="I448" s="52"/>
      <c r="J448" s="52"/>
      <c r="K448" s="33">
        <f t="shared" ref="K448:X448" si="115">ROUND(K403*ZUS,0)</f>
        <v>0</v>
      </c>
      <c r="L448" s="33">
        <f t="shared" si="115"/>
        <v>0</v>
      </c>
      <c r="M448" s="33">
        <f t="shared" si="115"/>
        <v>0</v>
      </c>
      <c r="N448" s="33">
        <f t="shared" si="115"/>
        <v>0</v>
      </c>
      <c r="O448" s="33">
        <f t="shared" si="115"/>
        <v>0</v>
      </c>
      <c r="P448" s="33">
        <f t="shared" si="115"/>
        <v>0</v>
      </c>
      <c r="Q448" s="33">
        <f t="shared" si="115"/>
        <v>0</v>
      </c>
      <c r="R448" s="33">
        <f t="shared" si="115"/>
        <v>0</v>
      </c>
      <c r="S448" s="33">
        <f t="shared" si="115"/>
        <v>0</v>
      </c>
      <c r="T448" s="33">
        <f t="shared" si="115"/>
        <v>0</v>
      </c>
      <c r="U448" s="33">
        <f t="shared" si="115"/>
        <v>0</v>
      </c>
      <c r="V448" s="33">
        <f t="shared" si="115"/>
        <v>0</v>
      </c>
      <c r="W448" s="33">
        <f t="shared" si="115"/>
        <v>0</v>
      </c>
      <c r="X448" s="33">
        <f t="shared" si="115"/>
        <v>0</v>
      </c>
    </row>
    <row r="449" spans="2:24">
      <c r="B449" s="52" t="str">
        <f t="shared" si="102"/>
        <v/>
      </c>
      <c r="C449" s="492" t="str">
        <f t="shared" si="102"/>
        <v/>
      </c>
      <c r="D449" s="492" t="str">
        <f t="shared" si="102"/>
        <v/>
      </c>
      <c r="E449" s="52" t="str">
        <f t="shared" si="102"/>
        <v/>
      </c>
      <c r="F449" s="52"/>
      <c r="G449" s="52"/>
      <c r="H449" s="52"/>
      <c r="I449" s="52"/>
      <c r="J449" s="52"/>
      <c r="K449" s="33">
        <f t="shared" ref="K449:X449" si="116">ROUND(K404*ZUS,0)</f>
        <v>0</v>
      </c>
      <c r="L449" s="33">
        <f t="shared" si="116"/>
        <v>0</v>
      </c>
      <c r="M449" s="33">
        <f t="shared" si="116"/>
        <v>0</v>
      </c>
      <c r="N449" s="33">
        <f t="shared" si="116"/>
        <v>0</v>
      </c>
      <c r="O449" s="33">
        <f t="shared" si="116"/>
        <v>0</v>
      </c>
      <c r="P449" s="33">
        <f t="shared" si="116"/>
        <v>0</v>
      </c>
      <c r="Q449" s="33">
        <f t="shared" si="116"/>
        <v>0</v>
      </c>
      <c r="R449" s="33">
        <f t="shared" si="116"/>
        <v>0</v>
      </c>
      <c r="S449" s="33">
        <f t="shared" si="116"/>
        <v>0</v>
      </c>
      <c r="T449" s="33">
        <f t="shared" si="116"/>
        <v>0</v>
      </c>
      <c r="U449" s="33">
        <f t="shared" si="116"/>
        <v>0</v>
      </c>
      <c r="V449" s="33">
        <f t="shared" si="116"/>
        <v>0</v>
      </c>
      <c r="W449" s="33">
        <f t="shared" si="116"/>
        <v>0</v>
      </c>
      <c r="X449" s="33">
        <f t="shared" si="116"/>
        <v>0</v>
      </c>
    </row>
    <row r="450" spans="2:24">
      <c r="B450" s="52" t="str">
        <f t="shared" si="102"/>
        <v/>
      </c>
      <c r="C450" s="492" t="str">
        <f t="shared" si="102"/>
        <v/>
      </c>
      <c r="D450" s="492" t="str">
        <f t="shared" si="102"/>
        <v/>
      </c>
      <c r="E450" s="52" t="str">
        <f t="shared" si="102"/>
        <v/>
      </c>
      <c r="F450" s="52"/>
      <c r="G450" s="52"/>
      <c r="H450" s="52"/>
      <c r="I450" s="52"/>
      <c r="J450" s="52"/>
      <c r="K450" s="33">
        <f t="shared" ref="K450:X450" si="117">ROUND(K405*ZUS,0)</f>
        <v>0</v>
      </c>
      <c r="L450" s="33">
        <f t="shared" si="117"/>
        <v>0</v>
      </c>
      <c r="M450" s="33">
        <f t="shared" si="117"/>
        <v>0</v>
      </c>
      <c r="N450" s="33">
        <f t="shared" si="117"/>
        <v>0</v>
      </c>
      <c r="O450" s="33">
        <f t="shared" si="117"/>
        <v>0</v>
      </c>
      <c r="P450" s="33">
        <f t="shared" si="117"/>
        <v>0</v>
      </c>
      <c r="Q450" s="33">
        <f t="shared" si="117"/>
        <v>0</v>
      </c>
      <c r="R450" s="33">
        <f t="shared" si="117"/>
        <v>0</v>
      </c>
      <c r="S450" s="33">
        <f t="shared" si="117"/>
        <v>0</v>
      </c>
      <c r="T450" s="33">
        <f t="shared" si="117"/>
        <v>0</v>
      </c>
      <c r="U450" s="33">
        <f t="shared" si="117"/>
        <v>0</v>
      </c>
      <c r="V450" s="33">
        <f t="shared" si="117"/>
        <v>0</v>
      </c>
      <c r="W450" s="33">
        <f t="shared" si="117"/>
        <v>0</v>
      </c>
      <c r="X450" s="33">
        <f t="shared" si="117"/>
        <v>0</v>
      </c>
    </row>
    <row r="451" spans="2:24">
      <c r="B451" s="52" t="str">
        <f t="shared" si="102"/>
        <v/>
      </c>
      <c r="C451" s="492" t="str">
        <f t="shared" si="102"/>
        <v/>
      </c>
      <c r="D451" s="492" t="str">
        <f t="shared" si="102"/>
        <v/>
      </c>
      <c r="E451" s="52" t="str">
        <f t="shared" si="102"/>
        <v/>
      </c>
      <c r="F451" s="52"/>
      <c r="G451" s="52"/>
      <c r="H451" s="52"/>
      <c r="I451" s="52"/>
      <c r="J451" s="52"/>
      <c r="K451" s="33">
        <f t="shared" ref="K451:X451" si="118">ROUND(K406*ZUS,0)</f>
        <v>0</v>
      </c>
      <c r="L451" s="33">
        <f t="shared" si="118"/>
        <v>0</v>
      </c>
      <c r="M451" s="33">
        <f t="shared" si="118"/>
        <v>0</v>
      </c>
      <c r="N451" s="33">
        <f t="shared" si="118"/>
        <v>0</v>
      </c>
      <c r="O451" s="33">
        <f t="shared" si="118"/>
        <v>0</v>
      </c>
      <c r="P451" s="33">
        <f t="shared" si="118"/>
        <v>0</v>
      </c>
      <c r="Q451" s="33">
        <f t="shared" si="118"/>
        <v>0</v>
      </c>
      <c r="R451" s="33">
        <f t="shared" si="118"/>
        <v>0</v>
      </c>
      <c r="S451" s="33">
        <f t="shared" si="118"/>
        <v>0</v>
      </c>
      <c r="T451" s="33">
        <f t="shared" si="118"/>
        <v>0</v>
      </c>
      <c r="U451" s="33">
        <f t="shared" si="118"/>
        <v>0</v>
      </c>
      <c r="V451" s="33">
        <f t="shared" si="118"/>
        <v>0</v>
      </c>
      <c r="W451" s="33">
        <f t="shared" si="118"/>
        <v>0</v>
      </c>
      <c r="X451" s="33">
        <f t="shared" si="118"/>
        <v>0</v>
      </c>
    </row>
    <row r="452" spans="2:24">
      <c r="B452" s="52" t="str">
        <f t="shared" si="102"/>
        <v/>
      </c>
      <c r="C452" s="492" t="str">
        <f t="shared" si="102"/>
        <v/>
      </c>
      <c r="D452" s="492" t="str">
        <f t="shared" si="102"/>
        <v/>
      </c>
      <c r="E452" s="52" t="str">
        <f t="shared" si="102"/>
        <v/>
      </c>
      <c r="F452" s="52"/>
      <c r="G452" s="52"/>
      <c r="H452" s="52"/>
      <c r="I452" s="52"/>
      <c r="J452" s="52"/>
      <c r="K452" s="33">
        <f t="shared" ref="K452:X452" si="119">ROUND(K407*ZUS,0)</f>
        <v>0</v>
      </c>
      <c r="L452" s="33">
        <f t="shared" si="119"/>
        <v>0</v>
      </c>
      <c r="M452" s="33">
        <f t="shared" si="119"/>
        <v>0</v>
      </c>
      <c r="N452" s="33">
        <f t="shared" si="119"/>
        <v>0</v>
      </c>
      <c r="O452" s="33">
        <f t="shared" si="119"/>
        <v>0</v>
      </c>
      <c r="P452" s="33">
        <f t="shared" si="119"/>
        <v>0</v>
      </c>
      <c r="Q452" s="33">
        <f t="shared" si="119"/>
        <v>0</v>
      </c>
      <c r="R452" s="33">
        <f t="shared" si="119"/>
        <v>0</v>
      </c>
      <c r="S452" s="33">
        <f t="shared" si="119"/>
        <v>0</v>
      </c>
      <c r="T452" s="33">
        <f t="shared" si="119"/>
        <v>0</v>
      </c>
      <c r="U452" s="33">
        <f t="shared" si="119"/>
        <v>0</v>
      </c>
      <c r="V452" s="33">
        <f t="shared" si="119"/>
        <v>0</v>
      </c>
      <c r="W452" s="33">
        <f t="shared" si="119"/>
        <v>0</v>
      </c>
      <c r="X452" s="33">
        <f t="shared" si="119"/>
        <v>0</v>
      </c>
    </row>
    <row r="453" spans="2:24">
      <c r="B453" s="52" t="str">
        <f t="shared" si="102"/>
        <v/>
      </c>
      <c r="C453" s="492" t="str">
        <f t="shared" si="102"/>
        <v/>
      </c>
      <c r="D453" s="492" t="str">
        <f t="shared" si="102"/>
        <v/>
      </c>
      <c r="E453" s="52" t="str">
        <f t="shared" si="102"/>
        <v/>
      </c>
      <c r="F453" s="52"/>
      <c r="G453" s="52"/>
      <c r="H453" s="52"/>
      <c r="I453" s="52"/>
      <c r="J453" s="52"/>
      <c r="K453" s="33">
        <f t="shared" ref="K453:X453" si="120">ROUND(K408*ZUS,0)</f>
        <v>0</v>
      </c>
      <c r="L453" s="33">
        <f t="shared" si="120"/>
        <v>0</v>
      </c>
      <c r="M453" s="33">
        <f t="shared" si="120"/>
        <v>0</v>
      </c>
      <c r="N453" s="33">
        <f t="shared" si="120"/>
        <v>0</v>
      </c>
      <c r="O453" s="33">
        <f t="shared" si="120"/>
        <v>0</v>
      </c>
      <c r="P453" s="33">
        <f t="shared" si="120"/>
        <v>0</v>
      </c>
      <c r="Q453" s="33">
        <f t="shared" si="120"/>
        <v>0</v>
      </c>
      <c r="R453" s="33">
        <f t="shared" si="120"/>
        <v>0</v>
      </c>
      <c r="S453" s="33">
        <f t="shared" si="120"/>
        <v>0</v>
      </c>
      <c r="T453" s="33">
        <f t="shared" si="120"/>
        <v>0</v>
      </c>
      <c r="U453" s="33">
        <f t="shared" si="120"/>
        <v>0</v>
      </c>
      <c r="V453" s="33">
        <f t="shared" si="120"/>
        <v>0</v>
      </c>
      <c r="W453" s="33">
        <f t="shared" si="120"/>
        <v>0</v>
      </c>
      <c r="X453" s="33">
        <f t="shared" si="120"/>
        <v>0</v>
      </c>
    </row>
    <row r="454" spans="2:24">
      <c r="B454" s="52" t="str">
        <f t="shared" si="102"/>
        <v/>
      </c>
      <c r="C454" s="492" t="str">
        <f t="shared" si="102"/>
        <v/>
      </c>
      <c r="D454" s="492" t="str">
        <f t="shared" si="102"/>
        <v/>
      </c>
      <c r="E454" s="52" t="str">
        <f t="shared" si="102"/>
        <v/>
      </c>
      <c r="F454" s="52"/>
      <c r="G454" s="52"/>
      <c r="H454" s="52"/>
      <c r="I454" s="52"/>
      <c r="J454" s="52"/>
      <c r="K454" s="33">
        <f t="shared" ref="K454:X454" si="121">ROUND(K409*ZUS,0)</f>
        <v>0</v>
      </c>
      <c r="L454" s="33">
        <f t="shared" si="121"/>
        <v>0</v>
      </c>
      <c r="M454" s="33">
        <f t="shared" si="121"/>
        <v>0</v>
      </c>
      <c r="N454" s="33">
        <f t="shared" si="121"/>
        <v>0</v>
      </c>
      <c r="O454" s="33">
        <f t="shared" si="121"/>
        <v>0</v>
      </c>
      <c r="P454" s="33">
        <f t="shared" si="121"/>
        <v>0</v>
      </c>
      <c r="Q454" s="33">
        <f t="shared" si="121"/>
        <v>0</v>
      </c>
      <c r="R454" s="33">
        <f t="shared" si="121"/>
        <v>0</v>
      </c>
      <c r="S454" s="33">
        <f t="shared" si="121"/>
        <v>0</v>
      </c>
      <c r="T454" s="33">
        <f t="shared" si="121"/>
        <v>0</v>
      </c>
      <c r="U454" s="33">
        <f t="shared" si="121"/>
        <v>0</v>
      </c>
      <c r="V454" s="33">
        <f t="shared" si="121"/>
        <v>0</v>
      </c>
      <c r="W454" s="33">
        <f t="shared" si="121"/>
        <v>0</v>
      </c>
      <c r="X454" s="33">
        <f t="shared" si="121"/>
        <v>0</v>
      </c>
    </row>
    <row r="455" spans="2:24">
      <c r="B455" s="52" t="str">
        <f t="shared" si="102"/>
        <v/>
      </c>
      <c r="C455" s="492" t="str">
        <f t="shared" si="102"/>
        <v/>
      </c>
      <c r="D455" s="492" t="str">
        <f t="shared" si="102"/>
        <v/>
      </c>
      <c r="E455" s="52" t="str">
        <f t="shared" si="102"/>
        <v/>
      </c>
      <c r="F455" s="52"/>
      <c r="G455" s="52"/>
      <c r="H455" s="52"/>
      <c r="I455" s="52"/>
      <c r="J455" s="52"/>
      <c r="K455" s="33">
        <f t="shared" ref="K455:X455" si="122">ROUND(K410*ZUS,0)</f>
        <v>0</v>
      </c>
      <c r="L455" s="33">
        <f t="shared" si="122"/>
        <v>0</v>
      </c>
      <c r="M455" s="33">
        <f t="shared" si="122"/>
        <v>0</v>
      </c>
      <c r="N455" s="33">
        <f t="shared" si="122"/>
        <v>0</v>
      </c>
      <c r="O455" s="33">
        <f t="shared" si="122"/>
        <v>0</v>
      </c>
      <c r="P455" s="33">
        <f t="shared" si="122"/>
        <v>0</v>
      </c>
      <c r="Q455" s="33">
        <f t="shared" si="122"/>
        <v>0</v>
      </c>
      <c r="R455" s="33">
        <f t="shared" si="122"/>
        <v>0</v>
      </c>
      <c r="S455" s="33">
        <f t="shared" si="122"/>
        <v>0</v>
      </c>
      <c r="T455" s="33">
        <f t="shared" si="122"/>
        <v>0</v>
      </c>
      <c r="U455" s="33">
        <f t="shared" si="122"/>
        <v>0</v>
      </c>
      <c r="V455" s="33">
        <f t="shared" si="122"/>
        <v>0</v>
      </c>
      <c r="W455" s="33">
        <f t="shared" si="122"/>
        <v>0</v>
      </c>
      <c r="X455" s="33">
        <f t="shared" si="122"/>
        <v>0</v>
      </c>
    </row>
    <row r="456" spans="2:24">
      <c r="B456" s="52" t="str">
        <f t="shared" ref="B456:E475" si="123">IF(ISBLANK(B243),"",B243)</f>
        <v/>
      </c>
      <c r="C456" s="492" t="str">
        <f t="shared" si="123"/>
        <v/>
      </c>
      <c r="D456" s="492" t="str">
        <f t="shared" si="123"/>
        <v/>
      </c>
      <c r="E456" s="52" t="str">
        <f t="shared" si="123"/>
        <v/>
      </c>
      <c r="F456" s="52"/>
      <c r="G456" s="52"/>
      <c r="H456" s="52"/>
      <c r="I456" s="52"/>
      <c r="J456" s="52"/>
      <c r="K456" s="33">
        <f t="shared" ref="K456:X456" si="124">ROUND(K411*ZUS,0)</f>
        <v>0</v>
      </c>
      <c r="L456" s="33">
        <f t="shared" si="124"/>
        <v>0</v>
      </c>
      <c r="M456" s="33">
        <f t="shared" si="124"/>
        <v>0</v>
      </c>
      <c r="N456" s="33">
        <f t="shared" si="124"/>
        <v>0</v>
      </c>
      <c r="O456" s="33">
        <f t="shared" si="124"/>
        <v>0</v>
      </c>
      <c r="P456" s="33">
        <f t="shared" si="124"/>
        <v>0</v>
      </c>
      <c r="Q456" s="33">
        <f t="shared" si="124"/>
        <v>0</v>
      </c>
      <c r="R456" s="33">
        <f t="shared" si="124"/>
        <v>0</v>
      </c>
      <c r="S456" s="33">
        <f t="shared" si="124"/>
        <v>0</v>
      </c>
      <c r="T456" s="33">
        <f t="shared" si="124"/>
        <v>0</v>
      </c>
      <c r="U456" s="33">
        <f t="shared" si="124"/>
        <v>0</v>
      </c>
      <c r="V456" s="33">
        <f t="shared" si="124"/>
        <v>0</v>
      </c>
      <c r="W456" s="33">
        <f t="shared" si="124"/>
        <v>0</v>
      </c>
      <c r="X456" s="33">
        <f t="shared" si="124"/>
        <v>0</v>
      </c>
    </row>
    <row r="457" spans="2:24">
      <c r="B457" s="52" t="str">
        <f t="shared" si="123"/>
        <v/>
      </c>
      <c r="C457" s="492" t="str">
        <f t="shared" si="123"/>
        <v/>
      </c>
      <c r="D457" s="492" t="str">
        <f t="shared" si="123"/>
        <v/>
      </c>
      <c r="E457" s="52" t="str">
        <f t="shared" si="123"/>
        <v/>
      </c>
      <c r="F457" s="52"/>
      <c r="G457" s="52"/>
      <c r="H457" s="52"/>
      <c r="I457" s="52"/>
      <c r="J457" s="52"/>
      <c r="K457" s="33">
        <f t="shared" ref="K457:X457" si="125">ROUND(K412*ZUS,0)</f>
        <v>0</v>
      </c>
      <c r="L457" s="33">
        <f t="shared" si="125"/>
        <v>0</v>
      </c>
      <c r="M457" s="33">
        <f t="shared" si="125"/>
        <v>0</v>
      </c>
      <c r="N457" s="33">
        <f t="shared" si="125"/>
        <v>0</v>
      </c>
      <c r="O457" s="33">
        <f t="shared" si="125"/>
        <v>0</v>
      </c>
      <c r="P457" s="33">
        <f t="shared" si="125"/>
        <v>0</v>
      </c>
      <c r="Q457" s="33">
        <f t="shared" si="125"/>
        <v>0</v>
      </c>
      <c r="R457" s="33">
        <f t="shared" si="125"/>
        <v>0</v>
      </c>
      <c r="S457" s="33">
        <f t="shared" si="125"/>
        <v>0</v>
      </c>
      <c r="T457" s="33">
        <f t="shared" si="125"/>
        <v>0</v>
      </c>
      <c r="U457" s="33">
        <f t="shared" si="125"/>
        <v>0</v>
      </c>
      <c r="V457" s="33">
        <f t="shared" si="125"/>
        <v>0</v>
      </c>
      <c r="W457" s="33">
        <f t="shared" si="125"/>
        <v>0</v>
      </c>
      <c r="X457" s="33">
        <f t="shared" si="125"/>
        <v>0</v>
      </c>
    </row>
    <row r="458" spans="2:24">
      <c r="B458" s="52" t="str">
        <f t="shared" si="123"/>
        <v/>
      </c>
      <c r="C458" s="492" t="str">
        <f t="shared" si="123"/>
        <v/>
      </c>
      <c r="D458" s="492" t="str">
        <f t="shared" si="123"/>
        <v/>
      </c>
      <c r="E458" s="52" t="str">
        <f t="shared" si="123"/>
        <v/>
      </c>
      <c r="F458" s="52"/>
      <c r="G458" s="52"/>
      <c r="H458" s="52"/>
      <c r="I458" s="52"/>
      <c r="J458" s="52"/>
      <c r="K458" s="33">
        <f t="shared" ref="K458:X458" si="126">ROUND(K413*ZUS,0)</f>
        <v>0</v>
      </c>
      <c r="L458" s="33">
        <f t="shared" si="126"/>
        <v>0</v>
      </c>
      <c r="M458" s="33">
        <f t="shared" si="126"/>
        <v>0</v>
      </c>
      <c r="N458" s="33">
        <f t="shared" si="126"/>
        <v>0</v>
      </c>
      <c r="O458" s="33">
        <f t="shared" si="126"/>
        <v>0</v>
      </c>
      <c r="P458" s="33">
        <f t="shared" si="126"/>
        <v>0</v>
      </c>
      <c r="Q458" s="33">
        <f t="shared" si="126"/>
        <v>0</v>
      </c>
      <c r="R458" s="33">
        <f t="shared" si="126"/>
        <v>0</v>
      </c>
      <c r="S458" s="33">
        <f t="shared" si="126"/>
        <v>0</v>
      </c>
      <c r="T458" s="33">
        <f t="shared" si="126"/>
        <v>0</v>
      </c>
      <c r="U458" s="33">
        <f t="shared" si="126"/>
        <v>0</v>
      </c>
      <c r="V458" s="33">
        <f t="shared" si="126"/>
        <v>0</v>
      </c>
      <c r="W458" s="33">
        <f t="shared" si="126"/>
        <v>0</v>
      </c>
      <c r="X458" s="33">
        <f t="shared" si="126"/>
        <v>0</v>
      </c>
    </row>
    <row r="459" spans="2:24">
      <c r="B459" s="52" t="str">
        <f t="shared" si="123"/>
        <v/>
      </c>
      <c r="C459" s="492" t="str">
        <f t="shared" si="123"/>
        <v/>
      </c>
      <c r="D459" s="492" t="str">
        <f t="shared" si="123"/>
        <v/>
      </c>
      <c r="E459" s="52" t="str">
        <f t="shared" si="123"/>
        <v/>
      </c>
      <c r="F459" s="52"/>
      <c r="G459" s="52"/>
      <c r="H459" s="52"/>
      <c r="I459" s="52"/>
      <c r="J459" s="52"/>
      <c r="K459" s="33">
        <f t="shared" ref="K459:X459" si="127">ROUND(K414*ZUS,0)</f>
        <v>0</v>
      </c>
      <c r="L459" s="33">
        <f t="shared" si="127"/>
        <v>0</v>
      </c>
      <c r="M459" s="33">
        <f t="shared" si="127"/>
        <v>0</v>
      </c>
      <c r="N459" s="33">
        <f t="shared" si="127"/>
        <v>0</v>
      </c>
      <c r="O459" s="33">
        <f t="shared" si="127"/>
        <v>0</v>
      </c>
      <c r="P459" s="33">
        <f t="shared" si="127"/>
        <v>0</v>
      </c>
      <c r="Q459" s="33">
        <f t="shared" si="127"/>
        <v>0</v>
      </c>
      <c r="R459" s="33">
        <f t="shared" si="127"/>
        <v>0</v>
      </c>
      <c r="S459" s="33">
        <f t="shared" si="127"/>
        <v>0</v>
      </c>
      <c r="T459" s="33">
        <f t="shared" si="127"/>
        <v>0</v>
      </c>
      <c r="U459" s="33">
        <f t="shared" si="127"/>
        <v>0</v>
      </c>
      <c r="V459" s="33">
        <f t="shared" si="127"/>
        <v>0</v>
      </c>
      <c r="W459" s="33">
        <f t="shared" si="127"/>
        <v>0</v>
      </c>
      <c r="X459" s="33">
        <f t="shared" si="127"/>
        <v>0</v>
      </c>
    </row>
    <row r="460" spans="2:24">
      <c r="B460" s="52" t="str">
        <f t="shared" si="123"/>
        <v/>
      </c>
      <c r="C460" s="492" t="str">
        <f t="shared" si="123"/>
        <v/>
      </c>
      <c r="D460" s="492" t="str">
        <f t="shared" si="123"/>
        <v/>
      </c>
      <c r="E460" s="52" t="str">
        <f t="shared" si="123"/>
        <v/>
      </c>
      <c r="F460" s="52"/>
      <c r="G460" s="52"/>
      <c r="H460" s="52"/>
      <c r="I460" s="52"/>
      <c r="J460" s="52"/>
      <c r="K460" s="33">
        <f t="shared" ref="K460:X460" si="128">ROUND(K415*ZUS,0)</f>
        <v>0</v>
      </c>
      <c r="L460" s="33">
        <f t="shared" si="128"/>
        <v>0</v>
      </c>
      <c r="M460" s="33">
        <f t="shared" si="128"/>
        <v>0</v>
      </c>
      <c r="N460" s="33">
        <f t="shared" si="128"/>
        <v>0</v>
      </c>
      <c r="O460" s="33">
        <f t="shared" si="128"/>
        <v>0</v>
      </c>
      <c r="P460" s="33">
        <f t="shared" si="128"/>
        <v>0</v>
      </c>
      <c r="Q460" s="33">
        <f t="shared" si="128"/>
        <v>0</v>
      </c>
      <c r="R460" s="33">
        <f t="shared" si="128"/>
        <v>0</v>
      </c>
      <c r="S460" s="33">
        <f t="shared" si="128"/>
        <v>0</v>
      </c>
      <c r="T460" s="33">
        <f t="shared" si="128"/>
        <v>0</v>
      </c>
      <c r="U460" s="33">
        <f t="shared" si="128"/>
        <v>0</v>
      </c>
      <c r="V460" s="33">
        <f t="shared" si="128"/>
        <v>0</v>
      </c>
      <c r="W460" s="33">
        <f t="shared" si="128"/>
        <v>0</v>
      </c>
      <c r="X460" s="33">
        <f t="shared" si="128"/>
        <v>0</v>
      </c>
    </row>
    <row r="461" spans="2:24">
      <c r="B461" s="52" t="str">
        <f t="shared" si="123"/>
        <v/>
      </c>
      <c r="C461" s="492" t="str">
        <f t="shared" si="123"/>
        <v/>
      </c>
      <c r="D461" s="492" t="str">
        <f t="shared" si="123"/>
        <v/>
      </c>
      <c r="E461" s="52" t="str">
        <f t="shared" si="123"/>
        <v/>
      </c>
      <c r="F461" s="52"/>
      <c r="G461" s="52"/>
      <c r="H461" s="52"/>
      <c r="I461" s="52"/>
      <c r="J461" s="52"/>
      <c r="K461" s="33">
        <f t="shared" ref="K461:X461" si="129">ROUND(K416*ZUS,0)</f>
        <v>0</v>
      </c>
      <c r="L461" s="33">
        <f t="shared" si="129"/>
        <v>0</v>
      </c>
      <c r="M461" s="33">
        <f t="shared" si="129"/>
        <v>0</v>
      </c>
      <c r="N461" s="33">
        <f t="shared" si="129"/>
        <v>0</v>
      </c>
      <c r="O461" s="33">
        <f t="shared" si="129"/>
        <v>0</v>
      </c>
      <c r="P461" s="33">
        <f t="shared" si="129"/>
        <v>0</v>
      </c>
      <c r="Q461" s="33">
        <f t="shared" si="129"/>
        <v>0</v>
      </c>
      <c r="R461" s="33">
        <f t="shared" si="129"/>
        <v>0</v>
      </c>
      <c r="S461" s="33">
        <f t="shared" si="129"/>
        <v>0</v>
      </c>
      <c r="T461" s="33">
        <f t="shared" si="129"/>
        <v>0</v>
      </c>
      <c r="U461" s="33">
        <f t="shared" si="129"/>
        <v>0</v>
      </c>
      <c r="V461" s="33">
        <f t="shared" si="129"/>
        <v>0</v>
      </c>
      <c r="W461" s="33">
        <f t="shared" si="129"/>
        <v>0</v>
      </c>
      <c r="X461" s="33">
        <f t="shared" si="129"/>
        <v>0</v>
      </c>
    </row>
    <row r="462" spans="2:24">
      <c r="B462" s="52" t="str">
        <f t="shared" si="123"/>
        <v/>
      </c>
      <c r="C462" s="492" t="str">
        <f t="shared" si="123"/>
        <v/>
      </c>
      <c r="D462" s="492" t="str">
        <f t="shared" si="123"/>
        <v/>
      </c>
      <c r="E462" s="52" t="str">
        <f t="shared" si="123"/>
        <v/>
      </c>
      <c r="F462" s="52"/>
      <c r="G462" s="52"/>
      <c r="H462" s="52"/>
      <c r="I462" s="52"/>
      <c r="J462" s="52"/>
      <c r="K462" s="33">
        <f t="shared" ref="K462:X462" si="130">ROUND(K417*ZUS,0)</f>
        <v>0</v>
      </c>
      <c r="L462" s="33">
        <f t="shared" si="130"/>
        <v>0</v>
      </c>
      <c r="M462" s="33">
        <f t="shared" si="130"/>
        <v>0</v>
      </c>
      <c r="N462" s="33">
        <f t="shared" si="130"/>
        <v>0</v>
      </c>
      <c r="O462" s="33">
        <f t="shared" si="130"/>
        <v>0</v>
      </c>
      <c r="P462" s="33">
        <f t="shared" si="130"/>
        <v>0</v>
      </c>
      <c r="Q462" s="33">
        <f t="shared" si="130"/>
        <v>0</v>
      </c>
      <c r="R462" s="33">
        <f t="shared" si="130"/>
        <v>0</v>
      </c>
      <c r="S462" s="33">
        <f t="shared" si="130"/>
        <v>0</v>
      </c>
      <c r="T462" s="33">
        <f t="shared" si="130"/>
        <v>0</v>
      </c>
      <c r="U462" s="33">
        <f t="shared" si="130"/>
        <v>0</v>
      </c>
      <c r="V462" s="33">
        <f t="shared" si="130"/>
        <v>0</v>
      </c>
      <c r="W462" s="33">
        <f t="shared" si="130"/>
        <v>0</v>
      </c>
      <c r="X462" s="33">
        <f t="shared" si="130"/>
        <v>0</v>
      </c>
    </row>
    <row r="463" spans="2:24">
      <c r="B463" s="52" t="str">
        <f t="shared" si="123"/>
        <v/>
      </c>
      <c r="C463" s="492" t="str">
        <f t="shared" si="123"/>
        <v/>
      </c>
      <c r="D463" s="492" t="str">
        <f t="shared" si="123"/>
        <v/>
      </c>
      <c r="E463" s="52" t="str">
        <f t="shared" si="123"/>
        <v/>
      </c>
      <c r="F463" s="52"/>
      <c r="G463" s="52"/>
      <c r="H463" s="52"/>
      <c r="I463" s="52"/>
      <c r="J463" s="52"/>
      <c r="K463" s="33">
        <f t="shared" ref="K463:X463" si="131">ROUND(K418*ZUS,0)</f>
        <v>0</v>
      </c>
      <c r="L463" s="33">
        <f t="shared" si="131"/>
        <v>0</v>
      </c>
      <c r="M463" s="33">
        <f t="shared" si="131"/>
        <v>0</v>
      </c>
      <c r="N463" s="33">
        <f t="shared" si="131"/>
        <v>0</v>
      </c>
      <c r="O463" s="33">
        <f t="shared" si="131"/>
        <v>0</v>
      </c>
      <c r="P463" s="33">
        <f t="shared" si="131"/>
        <v>0</v>
      </c>
      <c r="Q463" s="33">
        <f t="shared" si="131"/>
        <v>0</v>
      </c>
      <c r="R463" s="33">
        <f t="shared" si="131"/>
        <v>0</v>
      </c>
      <c r="S463" s="33">
        <f t="shared" si="131"/>
        <v>0</v>
      </c>
      <c r="T463" s="33">
        <f t="shared" si="131"/>
        <v>0</v>
      </c>
      <c r="U463" s="33">
        <f t="shared" si="131"/>
        <v>0</v>
      </c>
      <c r="V463" s="33">
        <f t="shared" si="131"/>
        <v>0</v>
      </c>
      <c r="W463" s="33">
        <f t="shared" si="131"/>
        <v>0</v>
      </c>
      <c r="X463" s="33">
        <f t="shared" si="131"/>
        <v>0</v>
      </c>
    </row>
    <row r="464" spans="2:24">
      <c r="B464" s="52" t="str">
        <f t="shared" si="123"/>
        <v/>
      </c>
      <c r="C464" s="492" t="str">
        <f t="shared" si="123"/>
        <v/>
      </c>
      <c r="D464" s="492" t="str">
        <f t="shared" si="123"/>
        <v/>
      </c>
      <c r="E464" s="52" t="str">
        <f t="shared" si="123"/>
        <v/>
      </c>
      <c r="F464" s="52"/>
      <c r="G464" s="52"/>
      <c r="H464" s="52"/>
      <c r="I464" s="52"/>
      <c r="J464" s="52"/>
      <c r="K464" s="33">
        <f t="shared" ref="K464:X464" si="132">ROUND(K419*ZUS,0)</f>
        <v>0</v>
      </c>
      <c r="L464" s="33">
        <f t="shared" si="132"/>
        <v>0</v>
      </c>
      <c r="M464" s="33">
        <f t="shared" si="132"/>
        <v>0</v>
      </c>
      <c r="N464" s="33">
        <f t="shared" si="132"/>
        <v>0</v>
      </c>
      <c r="O464" s="33">
        <f t="shared" si="132"/>
        <v>0</v>
      </c>
      <c r="P464" s="33">
        <f t="shared" si="132"/>
        <v>0</v>
      </c>
      <c r="Q464" s="33">
        <f t="shared" si="132"/>
        <v>0</v>
      </c>
      <c r="R464" s="33">
        <f t="shared" si="132"/>
        <v>0</v>
      </c>
      <c r="S464" s="33">
        <f t="shared" si="132"/>
        <v>0</v>
      </c>
      <c r="T464" s="33">
        <f t="shared" si="132"/>
        <v>0</v>
      </c>
      <c r="U464" s="33">
        <f t="shared" si="132"/>
        <v>0</v>
      </c>
      <c r="V464" s="33">
        <f t="shared" si="132"/>
        <v>0</v>
      </c>
      <c r="W464" s="33">
        <f t="shared" si="132"/>
        <v>0</v>
      </c>
      <c r="X464" s="33">
        <f t="shared" si="132"/>
        <v>0</v>
      </c>
    </row>
    <row r="465" spans="2:24">
      <c r="B465" s="52" t="str">
        <f t="shared" si="123"/>
        <v/>
      </c>
      <c r="C465" s="492" t="str">
        <f t="shared" si="123"/>
        <v/>
      </c>
      <c r="D465" s="492" t="str">
        <f t="shared" si="123"/>
        <v/>
      </c>
      <c r="E465" s="52" t="str">
        <f t="shared" si="123"/>
        <v/>
      </c>
      <c r="F465" s="52"/>
      <c r="G465" s="52"/>
      <c r="H465" s="52"/>
      <c r="I465" s="52"/>
      <c r="J465" s="52"/>
      <c r="K465" s="33">
        <f t="shared" ref="K465:X465" si="133">ROUND(K420*ZUS,0)</f>
        <v>0</v>
      </c>
      <c r="L465" s="33">
        <f t="shared" si="133"/>
        <v>0</v>
      </c>
      <c r="M465" s="33">
        <f t="shared" si="133"/>
        <v>0</v>
      </c>
      <c r="N465" s="33">
        <f t="shared" si="133"/>
        <v>0</v>
      </c>
      <c r="O465" s="33">
        <f t="shared" si="133"/>
        <v>0</v>
      </c>
      <c r="P465" s="33">
        <f t="shared" si="133"/>
        <v>0</v>
      </c>
      <c r="Q465" s="33">
        <f t="shared" si="133"/>
        <v>0</v>
      </c>
      <c r="R465" s="33">
        <f t="shared" si="133"/>
        <v>0</v>
      </c>
      <c r="S465" s="33">
        <f t="shared" si="133"/>
        <v>0</v>
      </c>
      <c r="T465" s="33">
        <f t="shared" si="133"/>
        <v>0</v>
      </c>
      <c r="U465" s="33">
        <f t="shared" si="133"/>
        <v>0</v>
      </c>
      <c r="V465" s="33">
        <f t="shared" si="133"/>
        <v>0</v>
      </c>
      <c r="W465" s="33">
        <f t="shared" si="133"/>
        <v>0</v>
      </c>
      <c r="X465" s="33">
        <f t="shared" si="133"/>
        <v>0</v>
      </c>
    </row>
    <row r="466" spans="2:24">
      <c r="B466" s="52" t="str">
        <f t="shared" si="123"/>
        <v/>
      </c>
      <c r="C466" s="492" t="str">
        <f t="shared" si="123"/>
        <v/>
      </c>
      <c r="D466" s="492" t="str">
        <f t="shared" si="123"/>
        <v/>
      </c>
      <c r="E466" s="52" t="str">
        <f t="shared" si="123"/>
        <v/>
      </c>
      <c r="F466" s="52"/>
      <c r="G466" s="52"/>
      <c r="H466" s="52"/>
      <c r="I466" s="52"/>
      <c r="J466" s="52"/>
      <c r="K466" s="33">
        <f t="shared" ref="K466:X466" si="134">ROUND(K421*ZUS,0)</f>
        <v>0</v>
      </c>
      <c r="L466" s="33">
        <f t="shared" si="134"/>
        <v>0</v>
      </c>
      <c r="M466" s="33">
        <f t="shared" si="134"/>
        <v>0</v>
      </c>
      <c r="N466" s="33">
        <f t="shared" si="134"/>
        <v>0</v>
      </c>
      <c r="O466" s="33">
        <f t="shared" si="134"/>
        <v>0</v>
      </c>
      <c r="P466" s="33">
        <f t="shared" si="134"/>
        <v>0</v>
      </c>
      <c r="Q466" s="33">
        <f t="shared" si="134"/>
        <v>0</v>
      </c>
      <c r="R466" s="33">
        <f t="shared" si="134"/>
        <v>0</v>
      </c>
      <c r="S466" s="33">
        <f t="shared" si="134"/>
        <v>0</v>
      </c>
      <c r="T466" s="33">
        <f t="shared" si="134"/>
        <v>0</v>
      </c>
      <c r="U466" s="33">
        <f t="shared" si="134"/>
        <v>0</v>
      </c>
      <c r="V466" s="33">
        <f t="shared" si="134"/>
        <v>0</v>
      </c>
      <c r="W466" s="33">
        <f t="shared" si="134"/>
        <v>0</v>
      </c>
      <c r="X466" s="33">
        <f t="shared" si="134"/>
        <v>0</v>
      </c>
    </row>
    <row r="467" spans="2:24">
      <c r="B467" s="52" t="str">
        <f t="shared" si="123"/>
        <v/>
      </c>
      <c r="C467" s="492" t="str">
        <f t="shared" si="123"/>
        <v/>
      </c>
      <c r="D467" s="492" t="str">
        <f t="shared" si="123"/>
        <v/>
      </c>
      <c r="E467" s="52" t="str">
        <f t="shared" si="123"/>
        <v/>
      </c>
      <c r="F467" s="52"/>
      <c r="G467" s="52"/>
      <c r="H467" s="52"/>
      <c r="I467" s="52"/>
      <c r="J467" s="52"/>
      <c r="K467" s="33">
        <f t="shared" ref="K467:X467" si="135">ROUND(K422*ZUS,0)</f>
        <v>0</v>
      </c>
      <c r="L467" s="33">
        <f t="shared" si="135"/>
        <v>0</v>
      </c>
      <c r="M467" s="33">
        <f t="shared" si="135"/>
        <v>0</v>
      </c>
      <c r="N467" s="33">
        <f t="shared" si="135"/>
        <v>0</v>
      </c>
      <c r="O467" s="33">
        <f t="shared" si="135"/>
        <v>0</v>
      </c>
      <c r="P467" s="33">
        <f t="shared" si="135"/>
        <v>0</v>
      </c>
      <c r="Q467" s="33">
        <f t="shared" si="135"/>
        <v>0</v>
      </c>
      <c r="R467" s="33">
        <f t="shared" si="135"/>
        <v>0</v>
      </c>
      <c r="S467" s="33">
        <f t="shared" si="135"/>
        <v>0</v>
      </c>
      <c r="T467" s="33">
        <f t="shared" si="135"/>
        <v>0</v>
      </c>
      <c r="U467" s="33">
        <f t="shared" si="135"/>
        <v>0</v>
      </c>
      <c r="V467" s="33">
        <f t="shared" si="135"/>
        <v>0</v>
      </c>
      <c r="W467" s="33">
        <f t="shared" si="135"/>
        <v>0</v>
      </c>
      <c r="X467" s="33">
        <f t="shared" si="135"/>
        <v>0</v>
      </c>
    </row>
    <row r="468" spans="2:24">
      <c r="B468" s="52" t="str">
        <f t="shared" si="123"/>
        <v/>
      </c>
      <c r="C468" s="492" t="str">
        <f t="shared" si="123"/>
        <v/>
      </c>
      <c r="D468" s="492" t="str">
        <f t="shared" si="123"/>
        <v/>
      </c>
      <c r="E468" s="52" t="str">
        <f t="shared" si="123"/>
        <v/>
      </c>
      <c r="F468" s="52"/>
      <c r="G468" s="52"/>
      <c r="H468" s="52"/>
      <c r="I468" s="52"/>
      <c r="J468" s="52"/>
      <c r="K468" s="33">
        <f t="shared" ref="K468:X468" si="136">ROUND(K423*ZUS,0)</f>
        <v>0</v>
      </c>
      <c r="L468" s="33">
        <f t="shared" si="136"/>
        <v>0</v>
      </c>
      <c r="M468" s="33">
        <f t="shared" si="136"/>
        <v>0</v>
      </c>
      <c r="N468" s="33">
        <f t="shared" si="136"/>
        <v>0</v>
      </c>
      <c r="O468" s="33">
        <f t="shared" si="136"/>
        <v>0</v>
      </c>
      <c r="P468" s="33">
        <f t="shared" si="136"/>
        <v>0</v>
      </c>
      <c r="Q468" s="33">
        <f t="shared" si="136"/>
        <v>0</v>
      </c>
      <c r="R468" s="33">
        <f t="shared" si="136"/>
        <v>0</v>
      </c>
      <c r="S468" s="33">
        <f t="shared" si="136"/>
        <v>0</v>
      </c>
      <c r="T468" s="33">
        <f t="shared" si="136"/>
        <v>0</v>
      </c>
      <c r="U468" s="33">
        <f t="shared" si="136"/>
        <v>0</v>
      </c>
      <c r="V468" s="33">
        <f t="shared" si="136"/>
        <v>0</v>
      </c>
      <c r="W468" s="33">
        <f t="shared" si="136"/>
        <v>0</v>
      </c>
      <c r="X468" s="33">
        <f t="shared" si="136"/>
        <v>0</v>
      </c>
    </row>
    <row r="469" spans="2:24">
      <c r="B469" s="52" t="str">
        <f t="shared" si="123"/>
        <v/>
      </c>
      <c r="C469" s="492" t="str">
        <f t="shared" si="123"/>
        <v/>
      </c>
      <c r="D469" s="492" t="str">
        <f t="shared" si="123"/>
        <v/>
      </c>
      <c r="E469" s="52" t="str">
        <f t="shared" si="123"/>
        <v/>
      </c>
      <c r="F469" s="52"/>
      <c r="G469" s="52"/>
      <c r="H469" s="52"/>
      <c r="I469" s="52"/>
      <c r="J469" s="52"/>
      <c r="K469" s="33">
        <f t="shared" ref="K469:X469" si="137">ROUND(K424*ZUS,0)</f>
        <v>0</v>
      </c>
      <c r="L469" s="33">
        <f t="shared" si="137"/>
        <v>0</v>
      </c>
      <c r="M469" s="33">
        <f t="shared" si="137"/>
        <v>0</v>
      </c>
      <c r="N469" s="33">
        <f t="shared" si="137"/>
        <v>0</v>
      </c>
      <c r="O469" s="33">
        <f t="shared" si="137"/>
        <v>0</v>
      </c>
      <c r="P469" s="33">
        <f t="shared" si="137"/>
        <v>0</v>
      </c>
      <c r="Q469" s="33">
        <f t="shared" si="137"/>
        <v>0</v>
      </c>
      <c r="R469" s="33">
        <f t="shared" si="137"/>
        <v>0</v>
      </c>
      <c r="S469" s="33">
        <f t="shared" si="137"/>
        <v>0</v>
      </c>
      <c r="T469" s="33">
        <f t="shared" si="137"/>
        <v>0</v>
      </c>
      <c r="U469" s="33">
        <f t="shared" si="137"/>
        <v>0</v>
      </c>
      <c r="V469" s="33">
        <f t="shared" si="137"/>
        <v>0</v>
      </c>
      <c r="W469" s="33">
        <f t="shared" si="137"/>
        <v>0</v>
      </c>
      <c r="X469" s="33">
        <f t="shared" si="137"/>
        <v>0</v>
      </c>
    </row>
    <row r="470" spans="2:24">
      <c r="B470" s="52" t="str">
        <f t="shared" si="123"/>
        <v/>
      </c>
      <c r="C470" s="492" t="str">
        <f t="shared" si="123"/>
        <v/>
      </c>
      <c r="D470" s="492" t="str">
        <f t="shared" si="123"/>
        <v/>
      </c>
      <c r="E470" s="52" t="str">
        <f t="shared" si="123"/>
        <v/>
      </c>
      <c r="F470" s="52"/>
      <c r="G470" s="52"/>
      <c r="H470" s="52"/>
      <c r="I470" s="52"/>
      <c r="J470" s="52"/>
      <c r="K470" s="33">
        <f t="shared" ref="K470:X470" si="138">ROUND(K425*ZUS,0)</f>
        <v>0</v>
      </c>
      <c r="L470" s="33">
        <f t="shared" si="138"/>
        <v>0</v>
      </c>
      <c r="M470" s="33">
        <f t="shared" si="138"/>
        <v>0</v>
      </c>
      <c r="N470" s="33">
        <f t="shared" si="138"/>
        <v>0</v>
      </c>
      <c r="O470" s="33">
        <f t="shared" si="138"/>
        <v>0</v>
      </c>
      <c r="P470" s="33">
        <f t="shared" si="138"/>
        <v>0</v>
      </c>
      <c r="Q470" s="33">
        <f t="shared" si="138"/>
        <v>0</v>
      </c>
      <c r="R470" s="33">
        <f t="shared" si="138"/>
        <v>0</v>
      </c>
      <c r="S470" s="33">
        <f t="shared" si="138"/>
        <v>0</v>
      </c>
      <c r="T470" s="33">
        <f t="shared" si="138"/>
        <v>0</v>
      </c>
      <c r="U470" s="33">
        <f t="shared" si="138"/>
        <v>0</v>
      </c>
      <c r="V470" s="33">
        <f t="shared" si="138"/>
        <v>0</v>
      </c>
      <c r="W470" s="33">
        <f t="shared" si="138"/>
        <v>0</v>
      </c>
      <c r="X470" s="33">
        <f t="shared" si="138"/>
        <v>0</v>
      </c>
    </row>
    <row r="471" spans="2:24">
      <c r="B471" s="52" t="str">
        <f t="shared" si="123"/>
        <v/>
      </c>
      <c r="C471" s="492" t="str">
        <f t="shared" si="123"/>
        <v/>
      </c>
      <c r="D471" s="492" t="str">
        <f t="shared" si="123"/>
        <v/>
      </c>
      <c r="E471" s="52" t="str">
        <f t="shared" si="123"/>
        <v/>
      </c>
      <c r="F471" s="52"/>
      <c r="G471" s="52"/>
      <c r="H471" s="52"/>
      <c r="I471" s="52"/>
      <c r="J471" s="52"/>
      <c r="K471" s="33">
        <f t="shared" ref="K471:X471" si="139">ROUND(K426*ZUS,0)</f>
        <v>0</v>
      </c>
      <c r="L471" s="33">
        <f t="shared" si="139"/>
        <v>0</v>
      </c>
      <c r="M471" s="33">
        <f t="shared" si="139"/>
        <v>0</v>
      </c>
      <c r="N471" s="33">
        <f t="shared" si="139"/>
        <v>0</v>
      </c>
      <c r="O471" s="33">
        <f t="shared" si="139"/>
        <v>0</v>
      </c>
      <c r="P471" s="33">
        <f t="shared" si="139"/>
        <v>0</v>
      </c>
      <c r="Q471" s="33">
        <f t="shared" si="139"/>
        <v>0</v>
      </c>
      <c r="R471" s="33">
        <f t="shared" si="139"/>
        <v>0</v>
      </c>
      <c r="S471" s="33">
        <f t="shared" si="139"/>
        <v>0</v>
      </c>
      <c r="T471" s="33">
        <f t="shared" si="139"/>
        <v>0</v>
      </c>
      <c r="U471" s="33">
        <f t="shared" si="139"/>
        <v>0</v>
      </c>
      <c r="V471" s="33">
        <f t="shared" si="139"/>
        <v>0</v>
      </c>
      <c r="W471" s="33">
        <f t="shared" si="139"/>
        <v>0</v>
      </c>
      <c r="X471" s="33">
        <f t="shared" si="139"/>
        <v>0</v>
      </c>
    </row>
    <row r="472" spans="2:24">
      <c r="B472" s="52" t="str">
        <f t="shared" si="123"/>
        <v/>
      </c>
      <c r="C472" s="492" t="str">
        <f t="shared" si="123"/>
        <v/>
      </c>
      <c r="D472" s="492" t="str">
        <f t="shared" si="123"/>
        <v/>
      </c>
      <c r="E472" s="52" t="str">
        <f t="shared" si="123"/>
        <v/>
      </c>
      <c r="F472" s="52"/>
      <c r="G472" s="52"/>
      <c r="H472" s="52"/>
      <c r="I472" s="52"/>
      <c r="J472" s="52"/>
      <c r="K472" s="33">
        <f t="shared" ref="K472:X472" si="140">ROUND(K427*ZUS,0)</f>
        <v>0</v>
      </c>
      <c r="L472" s="33">
        <f t="shared" si="140"/>
        <v>0</v>
      </c>
      <c r="M472" s="33">
        <f t="shared" si="140"/>
        <v>0</v>
      </c>
      <c r="N472" s="33">
        <f t="shared" si="140"/>
        <v>0</v>
      </c>
      <c r="O472" s="33">
        <f t="shared" si="140"/>
        <v>0</v>
      </c>
      <c r="P472" s="33">
        <f t="shared" si="140"/>
        <v>0</v>
      </c>
      <c r="Q472" s="33">
        <f t="shared" si="140"/>
        <v>0</v>
      </c>
      <c r="R472" s="33">
        <f t="shared" si="140"/>
        <v>0</v>
      </c>
      <c r="S472" s="33">
        <f t="shared" si="140"/>
        <v>0</v>
      </c>
      <c r="T472" s="33">
        <f t="shared" si="140"/>
        <v>0</v>
      </c>
      <c r="U472" s="33">
        <f t="shared" si="140"/>
        <v>0</v>
      </c>
      <c r="V472" s="33">
        <f t="shared" si="140"/>
        <v>0</v>
      </c>
      <c r="W472" s="33">
        <f t="shared" si="140"/>
        <v>0</v>
      </c>
      <c r="X472" s="33">
        <f t="shared" si="140"/>
        <v>0</v>
      </c>
    </row>
    <row r="473" spans="2:24">
      <c r="B473" s="52" t="str">
        <f t="shared" si="123"/>
        <v/>
      </c>
      <c r="C473" s="492" t="str">
        <f t="shared" si="123"/>
        <v/>
      </c>
      <c r="D473" s="492" t="str">
        <f t="shared" si="123"/>
        <v/>
      </c>
      <c r="E473" s="52" t="str">
        <f t="shared" si="123"/>
        <v/>
      </c>
      <c r="F473" s="52"/>
      <c r="G473" s="52"/>
      <c r="H473" s="52"/>
      <c r="I473" s="52"/>
      <c r="J473" s="52"/>
      <c r="K473" s="33">
        <f t="shared" ref="K473:X473" si="141">ROUND(K428*ZUS,0)</f>
        <v>0</v>
      </c>
      <c r="L473" s="33">
        <f t="shared" si="141"/>
        <v>0</v>
      </c>
      <c r="M473" s="33">
        <f t="shared" si="141"/>
        <v>0</v>
      </c>
      <c r="N473" s="33">
        <f t="shared" si="141"/>
        <v>0</v>
      </c>
      <c r="O473" s="33">
        <f t="shared" si="141"/>
        <v>0</v>
      </c>
      <c r="P473" s="33">
        <f t="shared" si="141"/>
        <v>0</v>
      </c>
      <c r="Q473" s="33">
        <f t="shared" si="141"/>
        <v>0</v>
      </c>
      <c r="R473" s="33">
        <f t="shared" si="141"/>
        <v>0</v>
      </c>
      <c r="S473" s="33">
        <f t="shared" si="141"/>
        <v>0</v>
      </c>
      <c r="T473" s="33">
        <f t="shared" si="141"/>
        <v>0</v>
      </c>
      <c r="U473" s="33">
        <f t="shared" si="141"/>
        <v>0</v>
      </c>
      <c r="V473" s="33">
        <f t="shared" si="141"/>
        <v>0</v>
      </c>
      <c r="W473" s="33">
        <f t="shared" si="141"/>
        <v>0</v>
      </c>
      <c r="X473" s="33">
        <f t="shared" si="141"/>
        <v>0</v>
      </c>
    </row>
    <row r="474" spans="2:24">
      <c r="B474" s="52" t="str">
        <f t="shared" si="123"/>
        <v/>
      </c>
      <c r="C474" s="492" t="str">
        <f t="shared" si="123"/>
        <v/>
      </c>
      <c r="D474" s="492" t="str">
        <f t="shared" si="123"/>
        <v/>
      </c>
      <c r="E474" s="52" t="str">
        <f t="shared" si="123"/>
        <v/>
      </c>
      <c r="F474" s="52"/>
      <c r="G474" s="52"/>
      <c r="H474" s="52"/>
      <c r="I474" s="52"/>
      <c r="J474" s="52"/>
      <c r="K474" s="33">
        <f t="shared" ref="K474:X474" si="142">ROUND(K429*ZUS,0)</f>
        <v>0</v>
      </c>
      <c r="L474" s="33">
        <f t="shared" si="142"/>
        <v>0</v>
      </c>
      <c r="M474" s="33">
        <f t="shared" si="142"/>
        <v>0</v>
      </c>
      <c r="N474" s="33">
        <f t="shared" si="142"/>
        <v>0</v>
      </c>
      <c r="O474" s="33">
        <f t="shared" si="142"/>
        <v>0</v>
      </c>
      <c r="P474" s="33">
        <f t="shared" si="142"/>
        <v>0</v>
      </c>
      <c r="Q474" s="33">
        <f t="shared" si="142"/>
        <v>0</v>
      </c>
      <c r="R474" s="33">
        <f t="shared" si="142"/>
        <v>0</v>
      </c>
      <c r="S474" s="33">
        <f t="shared" si="142"/>
        <v>0</v>
      </c>
      <c r="T474" s="33">
        <f t="shared" si="142"/>
        <v>0</v>
      </c>
      <c r="U474" s="33">
        <f t="shared" si="142"/>
        <v>0</v>
      </c>
      <c r="V474" s="33">
        <f t="shared" si="142"/>
        <v>0</v>
      </c>
      <c r="W474" s="33">
        <f t="shared" si="142"/>
        <v>0</v>
      </c>
      <c r="X474" s="33">
        <f t="shared" si="142"/>
        <v>0</v>
      </c>
    </row>
    <row r="475" spans="2:24">
      <c r="B475" s="52" t="str">
        <f t="shared" si="123"/>
        <v/>
      </c>
      <c r="C475" s="492" t="str">
        <f t="shared" si="123"/>
        <v/>
      </c>
      <c r="D475" s="492" t="str">
        <f t="shared" si="123"/>
        <v/>
      </c>
      <c r="E475" s="52" t="str">
        <f t="shared" si="123"/>
        <v/>
      </c>
      <c r="F475" s="52"/>
      <c r="G475" s="52"/>
      <c r="H475" s="52"/>
      <c r="I475" s="52"/>
      <c r="J475" s="52"/>
      <c r="K475" s="33">
        <f t="shared" ref="K475:X475" si="143">ROUND(K430*ZUS,0)</f>
        <v>0</v>
      </c>
      <c r="L475" s="33">
        <f t="shared" si="143"/>
        <v>0</v>
      </c>
      <c r="M475" s="33">
        <f t="shared" si="143"/>
        <v>0</v>
      </c>
      <c r="N475" s="33">
        <f t="shared" si="143"/>
        <v>0</v>
      </c>
      <c r="O475" s="33">
        <f t="shared" si="143"/>
        <v>0</v>
      </c>
      <c r="P475" s="33">
        <f t="shared" si="143"/>
        <v>0</v>
      </c>
      <c r="Q475" s="33">
        <f t="shared" si="143"/>
        <v>0</v>
      </c>
      <c r="R475" s="33">
        <f t="shared" si="143"/>
        <v>0</v>
      </c>
      <c r="S475" s="33">
        <f t="shared" si="143"/>
        <v>0</v>
      </c>
      <c r="T475" s="33">
        <f t="shared" si="143"/>
        <v>0</v>
      </c>
      <c r="U475" s="33">
        <f t="shared" si="143"/>
        <v>0</v>
      </c>
      <c r="V475" s="33">
        <f t="shared" si="143"/>
        <v>0</v>
      </c>
      <c r="W475" s="33">
        <f t="shared" si="143"/>
        <v>0</v>
      </c>
      <c r="X475" s="33">
        <f t="shared" si="143"/>
        <v>0</v>
      </c>
    </row>
    <row r="476" spans="2:24">
      <c r="B476" s="179" t="s">
        <v>322</v>
      </c>
      <c r="C476" s="179"/>
      <c r="D476" s="180"/>
      <c r="E476" s="180"/>
      <c r="F476" s="180"/>
      <c r="G476" s="180"/>
      <c r="H476" s="180"/>
      <c r="I476" s="180"/>
      <c r="J476" s="180"/>
      <c r="K476" s="181">
        <f t="shared" ref="K476:X476" si="144">IF(LataProjekcji&lt;=Koniec,ROUND(SUM(K436:K475),0),0)</f>
        <v>0</v>
      </c>
      <c r="L476" s="181">
        <f t="shared" si="144"/>
        <v>0</v>
      </c>
      <c r="M476" s="181">
        <f t="shared" si="144"/>
        <v>0</v>
      </c>
      <c r="N476" s="181">
        <f t="shared" si="144"/>
        <v>0</v>
      </c>
      <c r="O476" s="181">
        <f t="shared" si="144"/>
        <v>0</v>
      </c>
      <c r="P476" s="181">
        <f t="shared" si="144"/>
        <v>0</v>
      </c>
      <c r="Q476" s="181">
        <f t="shared" si="144"/>
        <v>0</v>
      </c>
      <c r="R476" s="181">
        <f t="shared" si="144"/>
        <v>0</v>
      </c>
      <c r="S476" s="181">
        <f t="shared" si="144"/>
        <v>0</v>
      </c>
      <c r="T476" s="181">
        <f t="shared" si="144"/>
        <v>0</v>
      </c>
      <c r="U476" s="181">
        <f t="shared" si="144"/>
        <v>0</v>
      </c>
      <c r="V476" s="181">
        <f t="shared" si="144"/>
        <v>0</v>
      </c>
      <c r="W476" s="181">
        <f t="shared" si="144"/>
        <v>0</v>
      </c>
      <c r="X476" s="181">
        <f t="shared" si="144"/>
        <v>0</v>
      </c>
    </row>
    <row r="477" spans="2:24" ht="25.95" customHeight="1">
      <c r="B477" s="187" t="s">
        <v>321</v>
      </c>
      <c r="C477" s="187"/>
      <c r="D477" s="29"/>
      <c r="E477" s="29"/>
      <c r="F477" s="30"/>
      <c r="G477" s="30"/>
      <c r="H477" s="30"/>
      <c r="I477" s="30"/>
      <c r="J477" s="30"/>
      <c r="K477" s="554" t="s">
        <v>349</v>
      </c>
      <c r="L477" s="554"/>
      <c r="M477" s="554"/>
      <c r="N477" s="554"/>
      <c r="O477" s="554"/>
      <c r="P477" s="554"/>
      <c r="Q477" s="554"/>
      <c r="R477" s="554"/>
      <c r="S477" s="554"/>
      <c r="T477" s="554"/>
      <c r="U477" s="554"/>
      <c r="V477" s="554"/>
      <c r="W477" s="554"/>
      <c r="X477" s="554"/>
    </row>
    <row r="478" spans="2:24">
      <c r="B478" s="19" t="str">
        <f t="shared" ref="B478:B517" si="145">IF(ISBLANK(B265),"",B265)</f>
        <v/>
      </c>
      <c r="C478" s="501" t="str">
        <f t="shared" ref="C478:E497" si="146">IF(ISBLANK(C265),"",C265)</f>
        <v/>
      </c>
      <c r="D478" s="501" t="str">
        <f t="shared" si="146"/>
        <v/>
      </c>
      <c r="E478" s="19" t="str">
        <f t="shared" si="146"/>
        <v/>
      </c>
      <c r="F478" s="19"/>
      <c r="G478" s="19"/>
      <c r="H478" s="19"/>
      <c r="I478" s="19"/>
      <c r="J478" s="19"/>
      <c r="K478" s="330">
        <f t="shared" ref="K478:X478" si="147">K349</f>
        <v>0</v>
      </c>
      <c r="L478" s="330">
        <f t="shared" si="147"/>
        <v>0</v>
      </c>
      <c r="M478" s="330">
        <f t="shared" si="147"/>
        <v>0</v>
      </c>
      <c r="N478" s="330">
        <f t="shared" si="147"/>
        <v>0</v>
      </c>
      <c r="O478" s="330">
        <f t="shared" si="147"/>
        <v>0</v>
      </c>
      <c r="P478" s="330">
        <f t="shared" si="147"/>
        <v>0</v>
      </c>
      <c r="Q478" s="330">
        <f t="shared" si="147"/>
        <v>0</v>
      </c>
      <c r="R478" s="330">
        <f t="shared" si="147"/>
        <v>0</v>
      </c>
      <c r="S478" s="330">
        <f t="shared" si="147"/>
        <v>0</v>
      </c>
      <c r="T478" s="330">
        <f t="shared" si="147"/>
        <v>0</v>
      </c>
      <c r="U478" s="330">
        <f t="shared" si="147"/>
        <v>0</v>
      </c>
      <c r="V478" s="330">
        <f t="shared" si="147"/>
        <v>0</v>
      </c>
      <c r="W478" s="330">
        <f t="shared" si="147"/>
        <v>0</v>
      </c>
      <c r="X478" s="330">
        <f t="shared" si="147"/>
        <v>0</v>
      </c>
    </row>
    <row r="479" spans="2:24">
      <c r="B479" s="19" t="str">
        <f t="shared" si="145"/>
        <v/>
      </c>
      <c r="C479" s="501" t="str">
        <f t="shared" si="146"/>
        <v/>
      </c>
      <c r="D479" s="501" t="str">
        <f t="shared" si="146"/>
        <v/>
      </c>
      <c r="E479" s="19" t="str">
        <f t="shared" si="146"/>
        <v/>
      </c>
      <c r="F479" s="52"/>
      <c r="G479" s="52"/>
      <c r="H479" s="52"/>
      <c r="I479" s="52"/>
      <c r="J479" s="52"/>
      <c r="K479" s="330">
        <f t="shared" ref="K479:X479" si="148">K350</f>
        <v>0</v>
      </c>
      <c r="L479" s="330">
        <f t="shared" si="148"/>
        <v>0</v>
      </c>
      <c r="M479" s="330">
        <f t="shared" si="148"/>
        <v>0</v>
      </c>
      <c r="N479" s="330">
        <f t="shared" si="148"/>
        <v>0</v>
      </c>
      <c r="O479" s="330">
        <f t="shared" si="148"/>
        <v>0</v>
      </c>
      <c r="P479" s="330">
        <f t="shared" si="148"/>
        <v>0</v>
      </c>
      <c r="Q479" s="330">
        <f t="shared" si="148"/>
        <v>0</v>
      </c>
      <c r="R479" s="330">
        <f t="shared" si="148"/>
        <v>0</v>
      </c>
      <c r="S479" s="330">
        <f t="shared" si="148"/>
        <v>0</v>
      </c>
      <c r="T479" s="330">
        <f t="shared" si="148"/>
        <v>0</v>
      </c>
      <c r="U479" s="330">
        <f t="shared" si="148"/>
        <v>0</v>
      </c>
      <c r="V479" s="330">
        <f t="shared" si="148"/>
        <v>0</v>
      </c>
      <c r="W479" s="330">
        <f t="shared" si="148"/>
        <v>0</v>
      </c>
      <c r="X479" s="330">
        <f t="shared" si="148"/>
        <v>0</v>
      </c>
    </row>
    <row r="480" spans="2:24">
      <c r="B480" s="19" t="str">
        <f t="shared" si="145"/>
        <v/>
      </c>
      <c r="C480" s="501" t="str">
        <f t="shared" si="146"/>
        <v/>
      </c>
      <c r="D480" s="501" t="str">
        <f t="shared" si="146"/>
        <v/>
      </c>
      <c r="E480" s="19" t="str">
        <f t="shared" si="146"/>
        <v/>
      </c>
      <c r="F480" s="52"/>
      <c r="G480" s="52"/>
      <c r="H480" s="52"/>
      <c r="I480" s="52"/>
      <c r="J480" s="52"/>
      <c r="K480" s="330">
        <f t="shared" ref="K480:X480" si="149">K351</f>
        <v>0</v>
      </c>
      <c r="L480" s="330">
        <f t="shared" si="149"/>
        <v>0</v>
      </c>
      <c r="M480" s="330">
        <f t="shared" si="149"/>
        <v>0</v>
      </c>
      <c r="N480" s="330">
        <f t="shared" si="149"/>
        <v>0</v>
      </c>
      <c r="O480" s="330">
        <f t="shared" si="149"/>
        <v>0</v>
      </c>
      <c r="P480" s="330">
        <f t="shared" si="149"/>
        <v>0</v>
      </c>
      <c r="Q480" s="330">
        <f t="shared" si="149"/>
        <v>0</v>
      </c>
      <c r="R480" s="330">
        <f t="shared" si="149"/>
        <v>0</v>
      </c>
      <c r="S480" s="330">
        <f t="shared" si="149"/>
        <v>0</v>
      </c>
      <c r="T480" s="330">
        <f t="shared" si="149"/>
        <v>0</v>
      </c>
      <c r="U480" s="330">
        <f t="shared" si="149"/>
        <v>0</v>
      </c>
      <c r="V480" s="330">
        <f t="shared" si="149"/>
        <v>0</v>
      </c>
      <c r="W480" s="330">
        <f t="shared" si="149"/>
        <v>0</v>
      </c>
      <c r="X480" s="330">
        <f t="shared" si="149"/>
        <v>0</v>
      </c>
    </row>
    <row r="481" spans="2:24">
      <c r="B481" s="19" t="str">
        <f t="shared" si="145"/>
        <v/>
      </c>
      <c r="C481" s="501" t="str">
        <f t="shared" si="146"/>
        <v/>
      </c>
      <c r="D481" s="501" t="str">
        <f t="shared" si="146"/>
        <v/>
      </c>
      <c r="E481" s="19" t="str">
        <f t="shared" si="146"/>
        <v/>
      </c>
      <c r="F481" s="52"/>
      <c r="G481" s="52"/>
      <c r="H481" s="52"/>
      <c r="I481" s="52"/>
      <c r="J481" s="52"/>
      <c r="K481" s="330">
        <f t="shared" ref="K481:X481" si="150">K352</f>
        <v>0</v>
      </c>
      <c r="L481" s="330">
        <f t="shared" si="150"/>
        <v>0</v>
      </c>
      <c r="M481" s="330">
        <f t="shared" si="150"/>
        <v>0</v>
      </c>
      <c r="N481" s="330">
        <f t="shared" si="150"/>
        <v>0</v>
      </c>
      <c r="O481" s="330">
        <f t="shared" si="150"/>
        <v>0</v>
      </c>
      <c r="P481" s="330">
        <f t="shared" si="150"/>
        <v>0</v>
      </c>
      <c r="Q481" s="330">
        <f t="shared" si="150"/>
        <v>0</v>
      </c>
      <c r="R481" s="330">
        <f t="shared" si="150"/>
        <v>0</v>
      </c>
      <c r="S481" s="330">
        <f t="shared" si="150"/>
        <v>0</v>
      </c>
      <c r="T481" s="330">
        <f t="shared" si="150"/>
        <v>0</v>
      </c>
      <c r="U481" s="330">
        <f t="shared" si="150"/>
        <v>0</v>
      </c>
      <c r="V481" s="330">
        <f t="shared" si="150"/>
        <v>0</v>
      </c>
      <c r="W481" s="330">
        <f t="shared" si="150"/>
        <v>0</v>
      </c>
      <c r="X481" s="330">
        <f t="shared" si="150"/>
        <v>0</v>
      </c>
    </row>
    <row r="482" spans="2:24">
      <c r="B482" s="19" t="str">
        <f t="shared" si="145"/>
        <v/>
      </c>
      <c r="C482" s="501" t="str">
        <f t="shared" si="146"/>
        <v/>
      </c>
      <c r="D482" s="501" t="str">
        <f t="shared" si="146"/>
        <v/>
      </c>
      <c r="E482" s="19" t="str">
        <f t="shared" si="146"/>
        <v/>
      </c>
      <c r="F482" s="52"/>
      <c r="G482" s="52"/>
      <c r="H482" s="52"/>
      <c r="I482" s="52"/>
      <c r="J482" s="52"/>
      <c r="K482" s="330">
        <f t="shared" ref="K482:X482" si="151">K353</f>
        <v>0</v>
      </c>
      <c r="L482" s="330">
        <f t="shared" si="151"/>
        <v>0</v>
      </c>
      <c r="M482" s="330">
        <f t="shared" si="151"/>
        <v>0</v>
      </c>
      <c r="N482" s="330">
        <f t="shared" si="151"/>
        <v>0</v>
      </c>
      <c r="O482" s="330">
        <f t="shared" si="151"/>
        <v>0</v>
      </c>
      <c r="P482" s="330">
        <f t="shared" si="151"/>
        <v>0</v>
      </c>
      <c r="Q482" s="330">
        <f t="shared" si="151"/>
        <v>0</v>
      </c>
      <c r="R482" s="330">
        <f t="shared" si="151"/>
        <v>0</v>
      </c>
      <c r="S482" s="330">
        <f t="shared" si="151"/>
        <v>0</v>
      </c>
      <c r="T482" s="330">
        <f t="shared" si="151"/>
        <v>0</v>
      </c>
      <c r="U482" s="330">
        <f t="shared" si="151"/>
        <v>0</v>
      </c>
      <c r="V482" s="330">
        <f t="shared" si="151"/>
        <v>0</v>
      </c>
      <c r="W482" s="330">
        <f t="shared" si="151"/>
        <v>0</v>
      </c>
      <c r="X482" s="330">
        <f t="shared" si="151"/>
        <v>0</v>
      </c>
    </row>
    <row r="483" spans="2:24">
      <c r="B483" s="19" t="str">
        <f t="shared" si="145"/>
        <v/>
      </c>
      <c r="C483" s="501" t="str">
        <f t="shared" si="146"/>
        <v/>
      </c>
      <c r="D483" s="501" t="str">
        <f t="shared" si="146"/>
        <v/>
      </c>
      <c r="E483" s="19" t="str">
        <f t="shared" si="146"/>
        <v/>
      </c>
      <c r="F483" s="52"/>
      <c r="G483" s="52"/>
      <c r="H483" s="52"/>
      <c r="I483" s="52"/>
      <c r="J483" s="52"/>
      <c r="K483" s="330">
        <f t="shared" ref="K483:X483" si="152">K354</f>
        <v>0</v>
      </c>
      <c r="L483" s="330">
        <f t="shared" si="152"/>
        <v>0</v>
      </c>
      <c r="M483" s="330">
        <f t="shared" si="152"/>
        <v>0</v>
      </c>
      <c r="N483" s="330">
        <f t="shared" si="152"/>
        <v>0</v>
      </c>
      <c r="O483" s="330">
        <f t="shared" si="152"/>
        <v>0</v>
      </c>
      <c r="P483" s="330">
        <f t="shared" si="152"/>
        <v>0</v>
      </c>
      <c r="Q483" s="330">
        <f t="shared" si="152"/>
        <v>0</v>
      </c>
      <c r="R483" s="330">
        <f t="shared" si="152"/>
        <v>0</v>
      </c>
      <c r="S483" s="330">
        <f t="shared" si="152"/>
        <v>0</v>
      </c>
      <c r="T483" s="330">
        <f t="shared" si="152"/>
        <v>0</v>
      </c>
      <c r="U483" s="330">
        <f t="shared" si="152"/>
        <v>0</v>
      </c>
      <c r="V483" s="330">
        <f t="shared" si="152"/>
        <v>0</v>
      </c>
      <c r="W483" s="330">
        <f t="shared" si="152"/>
        <v>0</v>
      </c>
      <c r="X483" s="330">
        <f t="shared" si="152"/>
        <v>0</v>
      </c>
    </row>
    <row r="484" spans="2:24">
      <c r="B484" s="19" t="str">
        <f t="shared" si="145"/>
        <v/>
      </c>
      <c r="C484" s="501" t="str">
        <f t="shared" si="146"/>
        <v/>
      </c>
      <c r="D484" s="501" t="str">
        <f t="shared" si="146"/>
        <v/>
      </c>
      <c r="E484" s="19" t="str">
        <f t="shared" si="146"/>
        <v/>
      </c>
      <c r="F484" s="52"/>
      <c r="G484" s="52"/>
      <c r="H484" s="52"/>
      <c r="I484" s="52"/>
      <c r="J484" s="52"/>
      <c r="K484" s="330">
        <f t="shared" ref="K484:X484" si="153">K355</f>
        <v>0</v>
      </c>
      <c r="L484" s="330">
        <f t="shared" si="153"/>
        <v>0</v>
      </c>
      <c r="M484" s="330">
        <f t="shared" si="153"/>
        <v>0</v>
      </c>
      <c r="N484" s="330">
        <f t="shared" si="153"/>
        <v>0</v>
      </c>
      <c r="O484" s="330">
        <f t="shared" si="153"/>
        <v>0</v>
      </c>
      <c r="P484" s="330">
        <f t="shared" si="153"/>
        <v>0</v>
      </c>
      <c r="Q484" s="330">
        <f t="shared" si="153"/>
        <v>0</v>
      </c>
      <c r="R484" s="330">
        <f t="shared" si="153"/>
        <v>0</v>
      </c>
      <c r="S484" s="330">
        <f t="shared" si="153"/>
        <v>0</v>
      </c>
      <c r="T484" s="330">
        <f t="shared" si="153"/>
        <v>0</v>
      </c>
      <c r="U484" s="330">
        <f t="shared" si="153"/>
        <v>0</v>
      </c>
      <c r="V484" s="330">
        <f t="shared" si="153"/>
        <v>0</v>
      </c>
      <c r="W484" s="330">
        <f t="shared" si="153"/>
        <v>0</v>
      </c>
      <c r="X484" s="330">
        <f t="shared" si="153"/>
        <v>0</v>
      </c>
    </row>
    <row r="485" spans="2:24">
      <c r="B485" s="19" t="str">
        <f t="shared" si="145"/>
        <v/>
      </c>
      <c r="C485" s="501" t="str">
        <f t="shared" si="146"/>
        <v/>
      </c>
      <c r="D485" s="501" t="str">
        <f t="shared" si="146"/>
        <v/>
      </c>
      <c r="E485" s="19" t="str">
        <f t="shared" si="146"/>
        <v/>
      </c>
      <c r="F485" s="52"/>
      <c r="G485" s="52"/>
      <c r="H485" s="52"/>
      <c r="I485" s="52"/>
      <c r="J485" s="52"/>
      <c r="K485" s="330">
        <f t="shared" ref="K485:X485" si="154">K356</f>
        <v>0</v>
      </c>
      <c r="L485" s="330">
        <f t="shared" si="154"/>
        <v>0</v>
      </c>
      <c r="M485" s="330">
        <f t="shared" si="154"/>
        <v>0</v>
      </c>
      <c r="N485" s="330">
        <f t="shared" si="154"/>
        <v>0</v>
      </c>
      <c r="O485" s="330">
        <f t="shared" si="154"/>
        <v>0</v>
      </c>
      <c r="P485" s="330">
        <f t="shared" si="154"/>
        <v>0</v>
      </c>
      <c r="Q485" s="330">
        <f t="shared" si="154"/>
        <v>0</v>
      </c>
      <c r="R485" s="330">
        <f t="shared" si="154"/>
        <v>0</v>
      </c>
      <c r="S485" s="330">
        <f t="shared" si="154"/>
        <v>0</v>
      </c>
      <c r="T485" s="330">
        <f t="shared" si="154"/>
        <v>0</v>
      </c>
      <c r="U485" s="330">
        <f t="shared" si="154"/>
        <v>0</v>
      </c>
      <c r="V485" s="330">
        <f t="shared" si="154"/>
        <v>0</v>
      </c>
      <c r="W485" s="330">
        <f t="shared" si="154"/>
        <v>0</v>
      </c>
      <c r="X485" s="330">
        <f t="shared" si="154"/>
        <v>0</v>
      </c>
    </row>
    <row r="486" spans="2:24">
      <c r="B486" s="19" t="str">
        <f t="shared" si="145"/>
        <v/>
      </c>
      <c r="C486" s="501" t="str">
        <f t="shared" si="146"/>
        <v/>
      </c>
      <c r="D486" s="501" t="str">
        <f t="shared" si="146"/>
        <v/>
      </c>
      <c r="E486" s="19" t="str">
        <f t="shared" si="146"/>
        <v/>
      </c>
      <c r="F486" s="52"/>
      <c r="G486" s="52"/>
      <c r="H486" s="52"/>
      <c r="I486" s="52"/>
      <c r="J486" s="52"/>
      <c r="K486" s="330">
        <f t="shared" ref="K486:X486" si="155">K357</f>
        <v>0</v>
      </c>
      <c r="L486" s="330">
        <f t="shared" si="155"/>
        <v>0</v>
      </c>
      <c r="M486" s="330">
        <f t="shared" si="155"/>
        <v>0</v>
      </c>
      <c r="N486" s="330">
        <f t="shared" si="155"/>
        <v>0</v>
      </c>
      <c r="O486" s="330">
        <f t="shared" si="155"/>
        <v>0</v>
      </c>
      <c r="P486" s="330">
        <f t="shared" si="155"/>
        <v>0</v>
      </c>
      <c r="Q486" s="330">
        <f t="shared" si="155"/>
        <v>0</v>
      </c>
      <c r="R486" s="330">
        <f t="shared" si="155"/>
        <v>0</v>
      </c>
      <c r="S486" s="330">
        <f t="shared" si="155"/>
        <v>0</v>
      </c>
      <c r="T486" s="330">
        <f t="shared" si="155"/>
        <v>0</v>
      </c>
      <c r="U486" s="330">
        <f t="shared" si="155"/>
        <v>0</v>
      </c>
      <c r="V486" s="330">
        <f t="shared" si="155"/>
        <v>0</v>
      </c>
      <c r="W486" s="330">
        <f t="shared" si="155"/>
        <v>0</v>
      </c>
      <c r="X486" s="330">
        <f t="shared" si="155"/>
        <v>0</v>
      </c>
    </row>
    <row r="487" spans="2:24">
      <c r="B487" s="19" t="str">
        <f t="shared" si="145"/>
        <v/>
      </c>
      <c r="C487" s="501" t="str">
        <f t="shared" si="146"/>
        <v/>
      </c>
      <c r="D487" s="501" t="str">
        <f t="shared" si="146"/>
        <v/>
      </c>
      <c r="E487" s="19" t="str">
        <f t="shared" si="146"/>
        <v/>
      </c>
      <c r="F487" s="52"/>
      <c r="G487" s="52"/>
      <c r="H487" s="52"/>
      <c r="I487" s="52"/>
      <c r="J487" s="52"/>
      <c r="K487" s="330">
        <f t="shared" ref="K487:X487" si="156">K358</f>
        <v>0</v>
      </c>
      <c r="L487" s="330">
        <f t="shared" si="156"/>
        <v>0</v>
      </c>
      <c r="M487" s="330">
        <f t="shared" si="156"/>
        <v>0</v>
      </c>
      <c r="N487" s="330">
        <f t="shared" si="156"/>
        <v>0</v>
      </c>
      <c r="O487" s="330">
        <f t="shared" si="156"/>
        <v>0</v>
      </c>
      <c r="P487" s="330">
        <f t="shared" si="156"/>
        <v>0</v>
      </c>
      <c r="Q487" s="330">
        <f t="shared" si="156"/>
        <v>0</v>
      </c>
      <c r="R487" s="330">
        <f t="shared" si="156"/>
        <v>0</v>
      </c>
      <c r="S487" s="330">
        <f t="shared" si="156"/>
        <v>0</v>
      </c>
      <c r="T487" s="330">
        <f t="shared" si="156"/>
        <v>0</v>
      </c>
      <c r="U487" s="330">
        <f t="shared" si="156"/>
        <v>0</v>
      </c>
      <c r="V487" s="330">
        <f t="shared" si="156"/>
        <v>0</v>
      </c>
      <c r="W487" s="330">
        <f t="shared" si="156"/>
        <v>0</v>
      </c>
      <c r="X487" s="330">
        <f t="shared" si="156"/>
        <v>0</v>
      </c>
    </row>
    <row r="488" spans="2:24">
      <c r="B488" s="19" t="str">
        <f t="shared" si="145"/>
        <v/>
      </c>
      <c r="C488" s="501" t="str">
        <f t="shared" si="146"/>
        <v/>
      </c>
      <c r="D488" s="501" t="str">
        <f t="shared" si="146"/>
        <v/>
      </c>
      <c r="E488" s="19" t="str">
        <f t="shared" si="146"/>
        <v/>
      </c>
      <c r="F488" s="52"/>
      <c r="G488" s="52"/>
      <c r="H488" s="52"/>
      <c r="I488" s="52"/>
      <c r="J488" s="52"/>
      <c r="K488" s="330">
        <f t="shared" ref="K488:X488" si="157">K359</f>
        <v>0</v>
      </c>
      <c r="L488" s="330">
        <f t="shared" si="157"/>
        <v>0</v>
      </c>
      <c r="M488" s="330">
        <f t="shared" si="157"/>
        <v>0</v>
      </c>
      <c r="N488" s="330">
        <f t="shared" si="157"/>
        <v>0</v>
      </c>
      <c r="O488" s="330">
        <f t="shared" si="157"/>
        <v>0</v>
      </c>
      <c r="P488" s="330">
        <f t="shared" si="157"/>
        <v>0</v>
      </c>
      <c r="Q488" s="330">
        <f t="shared" si="157"/>
        <v>0</v>
      </c>
      <c r="R488" s="330">
        <f t="shared" si="157"/>
        <v>0</v>
      </c>
      <c r="S488" s="330">
        <f t="shared" si="157"/>
        <v>0</v>
      </c>
      <c r="T488" s="330">
        <f t="shared" si="157"/>
        <v>0</v>
      </c>
      <c r="U488" s="330">
        <f t="shared" si="157"/>
        <v>0</v>
      </c>
      <c r="V488" s="330">
        <f t="shared" si="157"/>
        <v>0</v>
      </c>
      <c r="W488" s="330">
        <f t="shared" si="157"/>
        <v>0</v>
      </c>
      <c r="X488" s="330">
        <f t="shared" si="157"/>
        <v>0</v>
      </c>
    </row>
    <row r="489" spans="2:24">
      <c r="B489" s="19" t="str">
        <f t="shared" si="145"/>
        <v/>
      </c>
      <c r="C489" s="501" t="str">
        <f t="shared" si="146"/>
        <v/>
      </c>
      <c r="D489" s="501" t="str">
        <f t="shared" si="146"/>
        <v/>
      </c>
      <c r="E489" s="19" t="str">
        <f t="shared" si="146"/>
        <v/>
      </c>
      <c r="F489" s="52"/>
      <c r="G489" s="52"/>
      <c r="H489" s="52"/>
      <c r="I489" s="52"/>
      <c r="J489" s="52"/>
      <c r="K489" s="330">
        <f t="shared" ref="K489:X489" si="158">K360</f>
        <v>0</v>
      </c>
      <c r="L489" s="330">
        <f t="shared" si="158"/>
        <v>0</v>
      </c>
      <c r="M489" s="330">
        <f t="shared" si="158"/>
        <v>0</v>
      </c>
      <c r="N489" s="330">
        <f t="shared" si="158"/>
        <v>0</v>
      </c>
      <c r="O489" s="330">
        <f t="shared" si="158"/>
        <v>0</v>
      </c>
      <c r="P489" s="330">
        <f t="shared" si="158"/>
        <v>0</v>
      </c>
      <c r="Q489" s="330">
        <f t="shared" si="158"/>
        <v>0</v>
      </c>
      <c r="R489" s="330">
        <f t="shared" si="158"/>
        <v>0</v>
      </c>
      <c r="S489" s="330">
        <f t="shared" si="158"/>
        <v>0</v>
      </c>
      <c r="T489" s="330">
        <f t="shared" si="158"/>
        <v>0</v>
      </c>
      <c r="U489" s="330">
        <f t="shared" si="158"/>
        <v>0</v>
      </c>
      <c r="V489" s="330">
        <f t="shared" si="158"/>
        <v>0</v>
      </c>
      <c r="W489" s="330">
        <f t="shared" si="158"/>
        <v>0</v>
      </c>
      <c r="X489" s="330">
        <f t="shared" si="158"/>
        <v>0</v>
      </c>
    </row>
    <row r="490" spans="2:24">
      <c r="B490" s="19" t="str">
        <f t="shared" si="145"/>
        <v/>
      </c>
      <c r="C490" s="501" t="str">
        <f t="shared" si="146"/>
        <v/>
      </c>
      <c r="D490" s="501" t="str">
        <f t="shared" si="146"/>
        <v/>
      </c>
      <c r="E490" s="19" t="str">
        <f t="shared" si="146"/>
        <v/>
      </c>
      <c r="F490" s="52"/>
      <c r="G490" s="52"/>
      <c r="H490" s="52"/>
      <c r="I490" s="52"/>
      <c r="J490" s="52"/>
      <c r="K490" s="330">
        <f t="shared" ref="K490:X490" si="159">K361</f>
        <v>0</v>
      </c>
      <c r="L490" s="330">
        <f t="shared" si="159"/>
        <v>0</v>
      </c>
      <c r="M490" s="330">
        <f t="shared" si="159"/>
        <v>0</v>
      </c>
      <c r="N490" s="330">
        <f t="shared" si="159"/>
        <v>0</v>
      </c>
      <c r="O490" s="330">
        <f t="shared" si="159"/>
        <v>0</v>
      </c>
      <c r="P490" s="330">
        <f t="shared" si="159"/>
        <v>0</v>
      </c>
      <c r="Q490" s="330">
        <f t="shared" si="159"/>
        <v>0</v>
      </c>
      <c r="R490" s="330">
        <f t="shared" si="159"/>
        <v>0</v>
      </c>
      <c r="S490" s="330">
        <f t="shared" si="159"/>
        <v>0</v>
      </c>
      <c r="T490" s="330">
        <f t="shared" si="159"/>
        <v>0</v>
      </c>
      <c r="U490" s="330">
        <f t="shared" si="159"/>
        <v>0</v>
      </c>
      <c r="V490" s="330">
        <f t="shared" si="159"/>
        <v>0</v>
      </c>
      <c r="W490" s="330">
        <f t="shared" si="159"/>
        <v>0</v>
      </c>
      <c r="X490" s="330">
        <f t="shared" si="159"/>
        <v>0</v>
      </c>
    </row>
    <row r="491" spans="2:24">
      <c r="B491" s="19" t="str">
        <f t="shared" si="145"/>
        <v/>
      </c>
      <c r="C491" s="501" t="str">
        <f t="shared" si="146"/>
        <v/>
      </c>
      <c r="D491" s="501" t="str">
        <f t="shared" si="146"/>
        <v/>
      </c>
      <c r="E491" s="19" t="str">
        <f t="shared" si="146"/>
        <v/>
      </c>
      <c r="F491" s="52"/>
      <c r="G491" s="52"/>
      <c r="H491" s="52"/>
      <c r="I491" s="52"/>
      <c r="J491" s="52"/>
      <c r="K491" s="330">
        <f t="shared" ref="K491:X491" si="160">K362</f>
        <v>0</v>
      </c>
      <c r="L491" s="330">
        <f t="shared" si="160"/>
        <v>0</v>
      </c>
      <c r="M491" s="330">
        <f t="shared" si="160"/>
        <v>0</v>
      </c>
      <c r="N491" s="330">
        <f t="shared" si="160"/>
        <v>0</v>
      </c>
      <c r="O491" s="330">
        <f t="shared" si="160"/>
        <v>0</v>
      </c>
      <c r="P491" s="330">
        <f t="shared" si="160"/>
        <v>0</v>
      </c>
      <c r="Q491" s="330">
        <f t="shared" si="160"/>
        <v>0</v>
      </c>
      <c r="R491" s="330">
        <f t="shared" si="160"/>
        <v>0</v>
      </c>
      <c r="S491" s="330">
        <f t="shared" si="160"/>
        <v>0</v>
      </c>
      <c r="T491" s="330">
        <f t="shared" si="160"/>
        <v>0</v>
      </c>
      <c r="U491" s="330">
        <f t="shared" si="160"/>
        <v>0</v>
      </c>
      <c r="V491" s="330">
        <f t="shared" si="160"/>
        <v>0</v>
      </c>
      <c r="W491" s="330">
        <f t="shared" si="160"/>
        <v>0</v>
      </c>
      <c r="X491" s="330">
        <f t="shared" si="160"/>
        <v>0</v>
      </c>
    </row>
    <row r="492" spans="2:24">
      <c r="B492" s="19" t="str">
        <f t="shared" si="145"/>
        <v/>
      </c>
      <c r="C492" s="501" t="str">
        <f t="shared" si="146"/>
        <v/>
      </c>
      <c r="D492" s="501" t="str">
        <f t="shared" si="146"/>
        <v/>
      </c>
      <c r="E492" s="19" t="str">
        <f t="shared" si="146"/>
        <v/>
      </c>
      <c r="F492" s="52"/>
      <c r="G492" s="52"/>
      <c r="H492" s="52"/>
      <c r="I492" s="52"/>
      <c r="J492" s="52"/>
      <c r="K492" s="330">
        <f t="shared" ref="K492:X492" si="161">K363</f>
        <v>0</v>
      </c>
      <c r="L492" s="330">
        <f t="shared" si="161"/>
        <v>0</v>
      </c>
      <c r="M492" s="330">
        <f t="shared" si="161"/>
        <v>0</v>
      </c>
      <c r="N492" s="330">
        <f t="shared" si="161"/>
        <v>0</v>
      </c>
      <c r="O492" s="330">
        <f t="shared" si="161"/>
        <v>0</v>
      </c>
      <c r="P492" s="330">
        <f t="shared" si="161"/>
        <v>0</v>
      </c>
      <c r="Q492" s="330">
        <f t="shared" si="161"/>
        <v>0</v>
      </c>
      <c r="R492" s="330">
        <f t="shared" si="161"/>
        <v>0</v>
      </c>
      <c r="S492" s="330">
        <f t="shared" si="161"/>
        <v>0</v>
      </c>
      <c r="T492" s="330">
        <f t="shared" si="161"/>
        <v>0</v>
      </c>
      <c r="U492" s="330">
        <f t="shared" si="161"/>
        <v>0</v>
      </c>
      <c r="V492" s="330">
        <f t="shared" si="161"/>
        <v>0</v>
      </c>
      <c r="W492" s="330">
        <f t="shared" si="161"/>
        <v>0</v>
      </c>
      <c r="X492" s="330">
        <f t="shared" si="161"/>
        <v>0</v>
      </c>
    </row>
    <row r="493" spans="2:24">
      <c r="B493" s="19" t="str">
        <f t="shared" si="145"/>
        <v/>
      </c>
      <c r="C493" s="501" t="str">
        <f t="shared" si="146"/>
        <v/>
      </c>
      <c r="D493" s="501" t="str">
        <f t="shared" si="146"/>
        <v/>
      </c>
      <c r="E493" s="19" t="str">
        <f t="shared" si="146"/>
        <v/>
      </c>
      <c r="F493" s="52"/>
      <c r="G493" s="52"/>
      <c r="H493" s="52"/>
      <c r="I493" s="52"/>
      <c r="J493" s="52"/>
      <c r="K493" s="330">
        <f t="shared" ref="K493:X493" si="162">K364</f>
        <v>0</v>
      </c>
      <c r="L493" s="330">
        <f t="shared" si="162"/>
        <v>0</v>
      </c>
      <c r="M493" s="330">
        <f t="shared" si="162"/>
        <v>0</v>
      </c>
      <c r="N493" s="330">
        <f t="shared" si="162"/>
        <v>0</v>
      </c>
      <c r="O493" s="330">
        <f t="shared" si="162"/>
        <v>0</v>
      </c>
      <c r="P493" s="330">
        <f t="shared" si="162"/>
        <v>0</v>
      </c>
      <c r="Q493" s="330">
        <f t="shared" si="162"/>
        <v>0</v>
      </c>
      <c r="R493" s="330">
        <f t="shared" si="162"/>
        <v>0</v>
      </c>
      <c r="S493" s="330">
        <f t="shared" si="162"/>
        <v>0</v>
      </c>
      <c r="T493" s="330">
        <f t="shared" si="162"/>
        <v>0</v>
      </c>
      <c r="U493" s="330">
        <f t="shared" si="162"/>
        <v>0</v>
      </c>
      <c r="V493" s="330">
        <f t="shared" si="162"/>
        <v>0</v>
      </c>
      <c r="W493" s="330">
        <f t="shared" si="162"/>
        <v>0</v>
      </c>
      <c r="X493" s="330">
        <f t="shared" si="162"/>
        <v>0</v>
      </c>
    </row>
    <row r="494" spans="2:24">
      <c r="B494" s="19" t="str">
        <f t="shared" si="145"/>
        <v/>
      </c>
      <c r="C494" s="501" t="str">
        <f t="shared" si="146"/>
        <v/>
      </c>
      <c r="D494" s="501" t="str">
        <f t="shared" si="146"/>
        <v/>
      </c>
      <c r="E494" s="19" t="str">
        <f t="shared" si="146"/>
        <v/>
      </c>
      <c r="F494" s="52"/>
      <c r="G494" s="52"/>
      <c r="H494" s="52"/>
      <c r="I494" s="52"/>
      <c r="J494" s="52"/>
      <c r="K494" s="330">
        <f t="shared" ref="K494:X494" si="163">K365</f>
        <v>0</v>
      </c>
      <c r="L494" s="330">
        <f t="shared" si="163"/>
        <v>0</v>
      </c>
      <c r="M494" s="330">
        <f t="shared" si="163"/>
        <v>0</v>
      </c>
      <c r="N494" s="330">
        <f t="shared" si="163"/>
        <v>0</v>
      </c>
      <c r="O494" s="330">
        <f t="shared" si="163"/>
        <v>0</v>
      </c>
      <c r="P494" s="330">
        <f t="shared" si="163"/>
        <v>0</v>
      </c>
      <c r="Q494" s="330">
        <f t="shared" si="163"/>
        <v>0</v>
      </c>
      <c r="R494" s="330">
        <f t="shared" si="163"/>
        <v>0</v>
      </c>
      <c r="S494" s="330">
        <f t="shared" si="163"/>
        <v>0</v>
      </c>
      <c r="T494" s="330">
        <f t="shared" si="163"/>
        <v>0</v>
      </c>
      <c r="U494" s="330">
        <f t="shared" si="163"/>
        <v>0</v>
      </c>
      <c r="V494" s="330">
        <f t="shared" si="163"/>
        <v>0</v>
      </c>
      <c r="W494" s="330">
        <f t="shared" si="163"/>
        <v>0</v>
      </c>
      <c r="X494" s="330">
        <f t="shared" si="163"/>
        <v>0</v>
      </c>
    </row>
    <row r="495" spans="2:24">
      <c r="B495" s="19" t="str">
        <f t="shared" si="145"/>
        <v/>
      </c>
      <c r="C495" s="501" t="str">
        <f t="shared" si="146"/>
        <v/>
      </c>
      <c r="D495" s="501" t="str">
        <f t="shared" si="146"/>
        <v/>
      </c>
      <c r="E495" s="19" t="str">
        <f t="shared" si="146"/>
        <v/>
      </c>
      <c r="F495" s="52"/>
      <c r="G495" s="52"/>
      <c r="H495" s="52"/>
      <c r="I495" s="52"/>
      <c r="J495" s="52"/>
      <c r="K495" s="330">
        <f t="shared" ref="K495:X495" si="164">K366</f>
        <v>0</v>
      </c>
      <c r="L495" s="330">
        <f t="shared" si="164"/>
        <v>0</v>
      </c>
      <c r="M495" s="330">
        <f t="shared" si="164"/>
        <v>0</v>
      </c>
      <c r="N495" s="330">
        <f t="shared" si="164"/>
        <v>0</v>
      </c>
      <c r="O495" s="330">
        <f t="shared" si="164"/>
        <v>0</v>
      </c>
      <c r="P495" s="330">
        <f t="shared" si="164"/>
        <v>0</v>
      </c>
      <c r="Q495" s="330">
        <f t="shared" si="164"/>
        <v>0</v>
      </c>
      <c r="R495" s="330">
        <f t="shared" si="164"/>
        <v>0</v>
      </c>
      <c r="S495" s="330">
        <f t="shared" si="164"/>
        <v>0</v>
      </c>
      <c r="T495" s="330">
        <f t="shared" si="164"/>
        <v>0</v>
      </c>
      <c r="U495" s="330">
        <f t="shared" si="164"/>
        <v>0</v>
      </c>
      <c r="V495" s="330">
        <f t="shared" si="164"/>
        <v>0</v>
      </c>
      <c r="W495" s="330">
        <f t="shared" si="164"/>
        <v>0</v>
      </c>
      <c r="X495" s="330">
        <f t="shared" si="164"/>
        <v>0</v>
      </c>
    </row>
    <row r="496" spans="2:24">
      <c r="B496" s="19" t="str">
        <f t="shared" si="145"/>
        <v/>
      </c>
      <c r="C496" s="501" t="str">
        <f t="shared" si="146"/>
        <v/>
      </c>
      <c r="D496" s="501" t="str">
        <f t="shared" si="146"/>
        <v/>
      </c>
      <c r="E496" s="19" t="str">
        <f t="shared" si="146"/>
        <v/>
      </c>
      <c r="F496" s="52"/>
      <c r="G496" s="52"/>
      <c r="H496" s="52"/>
      <c r="I496" s="52"/>
      <c r="J496" s="52"/>
      <c r="K496" s="330">
        <f t="shared" ref="K496:X496" si="165">K367</f>
        <v>0</v>
      </c>
      <c r="L496" s="330">
        <f t="shared" si="165"/>
        <v>0</v>
      </c>
      <c r="M496" s="330">
        <f t="shared" si="165"/>
        <v>0</v>
      </c>
      <c r="N496" s="330">
        <f t="shared" si="165"/>
        <v>0</v>
      </c>
      <c r="O496" s="330">
        <f t="shared" si="165"/>
        <v>0</v>
      </c>
      <c r="P496" s="330">
        <f t="shared" si="165"/>
        <v>0</v>
      </c>
      <c r="Q496" s="330">
        <f t="shared" si="165"/>
        <v>0</v>
      </c>
      <c r="R496" s="330">
        <f t="shared" si="165"/>
        <v>0</v>
      </c>
      <c r="S496" s="330">
        <f t="shared" si="165"/>
        <v>0</v>
      </c>
      <c r="T496" s="330">
        <f t="shared" si="165"/>
        <v>0</v>
      </c>
      <c r="U496" s="330">
        <f t="shared" si="165"/>
        <v>0</v>
      </c>
      <c r="V496" s="330">
        <f t="shared" si="165"/>
        <v>0</v>
      </c>
      <c r="W496" s="330">
        <f t="shared" si="165"/>
        <v>0</v>
      </c>
      <c r="X496" s="330">
        <f t="shared" si="165"/>
        <v>0</v>
      </c>
    </row>
    <row r="497" spans="2:24">
      <c r="B497" s="19" t="str">
        <f t="shared" si="145"/>
        <v/>
      </c>
      <c r="C497" s="501" t="str">
        <f t="shared" si="146"/>
        <v/>
      </c>
      <c r="D497" s="501" t="str">
        <f t="shared" si="146"/>
        <v/>
      </c>
      <c r="E497" s="19" t="str">
        <f t="shared" si="146"/>
        <v/>
      </c>
      <c r="F497" s="52"/>
      <c r="G497" s="52"/>
      <c r="H497" s="52"/>
      <c r="I497" s="52"/>
      <c r="J497" s="52"/>
      <c r="K497" s="330">
        <f t="shared" ref="K497:X497" si="166">K368</f>
        <v>0</v>
      </c>
      <c r="L497" s="330">
        <f t="shared" si="166"/>
        <v>0</v>
      </c>
      <c r="M497" s="330">
        <f t="shared" si="166"/>
        <v>0</v>
      </c>
      <c r="N497" s="330">
        <f t="shared" si="166"/>
        <v>0</v>
      </c>
      <c r="O497" s="330">
        <f t="shared" si="166"/>
        <v>0</v>
      </c>
      <c r="P497" s="330">
        <f t="shared" si="166"/>
        <v>0</v>
      </c>
      <c r="Q497" s="330">
        <f t="shared" si="166"/>
        <v>0</v>
      </c>
      <c r="R497" s="330">
        <f t="shared" si="166"/>
        <v>0</v>
      </c>
      <c r="S497" s="330">
        <f t="shared" si="166"/>
        <v>0</v>
      </c>
      <c r="T497" s="330">
        <f t="shared" si="166"/>
        <v>0</v>
      </c>
      <c r="U497" s="330">
        <f t="shared" si="166"/>
        <v>0</v>
      </c>
      <c r="V497" s="330">
        <f t="shared" si="166"/>
        <v>0</v>
      </c>
      <c r="W497" s="330">
        <f t="shared" si="166"/>
        <v>0</v>
      </c>
      <c r="X497" s="330">
        <f t="shared" si="166"/>
        <v>0</v>
      </c>
    </row>
    <row r="498" spans="2:24">
      <c r="B498" s="19" t="str">
        <f t="shared" si="145"/>
        <v/>
      </c>
      <c r="C498" s="501" t="str">
        <f t="shared" ref="C498:E517" si="167">IF(ISBLANK(C285),"",C285)</f>
        <v/>
      </c>
      <c r="D498" s="501" t="str">
        <f t="shared" si="167"/>
        <v/>
      </c>
      <c r="E498" s="19" t="str">
        <f t="shared" si="167"/>
        <v/>
      </c>
      <c r="F498" s="52"/>
      <c r="G498" s="52"/>
      <c r="H498" s="52"/>
      <c r="I498" s="52"/>
      <c r="J498" s="52"/>
      <c r="K498" s="330">
        <f t="shared" ref="K498:X498" si="168">K369</f>
        <v>0</v>
      </c>
      <c r="L498" s="330">
        <f t="shared" si="168"/>
        <v>0</v>
      </c>
      <c r="M498" s="330">
        <f t="shared" si="168"/>
        <v>0</v>
      </c>
      <c r="N498" s="330">
        <f t="shared" si="168"/>
        <v>0</v>
      </c>
      <c r="O498" s="330">
        <f t="shared" si="168"/>
        <v>0</v>
      </c>
      <c r="P498" s="330">
        <f t="shared" si="168"/>
        <v>0</v>
      </c>
      <c r="Q498" s="330">
        <f t="shared" si="168"/>
        <v>0</v>
      </c>
      <c r="R498" s="330">
        <f t="shared" si="168"/>
        <v>0</v>
      </c>
      <c r="S498" s="330">
        <f t="shared" si="168"/>
        <v>0</v>
      </c>
      <c r="T498" s="330">
        <f t="shared" si="168"/>
        <v>0</v>
      </c>
      <c r="U498" s="330">
        <f t="shared" si="168"/>
        <v>0</v>
      </c>
      <c r="V498" s="330">
        <f t="shared" si="168"/>
        <v>0</v>
      </c>
      <c r="W498" s="330">
        <f t="shared" si="168"/>
        <v>0</v>
      </c>
      <c r="X498" s="330">
        <f t="shared" si="168"/>
        <v>0</v>
      </c>
    </row>
    <row r="499" spans="2:24">
      <c r="B499" s="19" t="str">
        <f t="shared" si="145"/>
        <v/>
      </c>
      <c r="C499" s="501" t="str">
        <f t="shared" si="167"/>
        <v/>
      </c>
      <c r="D499" s="501" t="str">
        <f t="shared" si="167"/>
        <v/>
      </c>
      <c r="E499" s="19" t="str">
        <f t="shared" si="167"/>
        <v/>
      </c>
      <c r="F499" s="52"/>
      <c r="G499" s="52"/>
      <c r="H499" s="52"/>
      <c r="I499" s="52"/>
      <c r="J499" s="52"/>
      <c r="K499" s="330">
        <f t="shared" ref="K499:X499" si="169">K370</f>
        <v>0</v>
      </c>
      <c r="L499" s="330">
        <f t="shared" si="169"/>
        <v>0</v>
      </c>
      <c r="M499" s="330">
        <f t="shared" si="169"/>
        <v>0</v>
      </c>
      <c r="N499" s="330">
        <f t="shared" si="169"/>
        <v>0</v>
      </c>
      <c r="O499" s="330">
        <f t="shared" si="169"/>
        <v>0</v>
      </c>
      <c r="P499" s="330">
        <f t="shared" si="169"/>
        <v>0</v>
      </c>
      <c r="Q499" s="330">
        <f t="shared" si="169"/>
        <v>0</v>
      </c>
      <c r="R499" s="330">
        <f t="shared" si="169"/>
        <v>0</v>
      </c>
      <c r="S499" s="330">
        <f t="shared" si="169"/>
        <v>0</v>
      </c>
      <c r="T499" s="330">
        <f t="shared" si="169"/>
        <v>0</v>
      </c>
      <c r="U499" s="330">
        <f t="shared" si="169"/>
        <v>0</v>
      </c>
      <c r="V499" s="330">
        <f t="shared" si="169"/>
        <v>0</v>
      </c>
      <c r="W499" s="330">
        <f t="shared" si="169"/>
        <v>0</v>
      </c>
      <c r="X499" s="330">
        <f t="shared" si="169"/>
        <v>0</v>
      </c>
    </row>
    <row r="500" spans="2:24">
      <c r="B500" s="19" t="str">
        <f t="shared" si="145"/>
        <v/>
      </c>
      <c r="C500" s="501" t="str">
        <f t="shared" si="167"/>
        <v/>
      </c>
      <c r="D500" s="501" t="str">
        <f t="shared" si="167"/>
        <v/>
      </c>
      <c r="E500" s="19" t="str">
        <f t="shared" si="167"/>
        <v/>
      </c>
      <c r="F500" s="52"/>
      <c r="G500" s="52"/>
      <c r="H500" s="52"/>
      <c r="I500" s="52"/>
      <c r="J500" s="52"/>
      <c r="K500" s="330">
        <f t="shared" ref="K500:X500" si="170">K371</f>
        <v>0</v>
      </c>
      <c r="L500" s="330">
        <f t="shared" si="170"/>
        <v>0</v>
      </c>
      <c r="M500" s="330">
        <f t="shared" si="170"/>
        <v>0</v>
      </c>
      <c r="N500" s="330">
        <f t="shared" si="170"/>
        <v>0</v>
      </c>
      <c r="O500" s="330">
        <f t="shared" si="170"/>
        <v>0</v>
      </c>
      <c r="P500" s="330">
        <f t="shared" si="170"/>
        <v>0</v>
      </c>
      <c r="Q500" s="330">
        <f t="shared" si="170"/>
        <v>0</v>
      </c>
      <c r="R500" s="330">
        <f t="shared" si="170"/>
        <v>0</v>
      </c>
      <c r="S500" s="330">
        <f t="shared" si="170"/>
        <v>0</v>
      </c>
      <c r="T500" s="330">
        <f t="shared" si="170"/>
        <v>0</v>
      </c>
      <c r="U500" s="330">
        <f t="shared" si="170"/>
        <v>0</v>
      </c>
      <c r="V500" s="330">
        <f t="shared" si="170"/>
        <v>0</v>
      </c>
      <c r="W500" s="330">
        <f t="shared" si="170"/>
        <v>0</v>
      </c>
      <c r="X500" s="330">
        <f t="shared" si="170"/>
        <v>0</v>
      </c>
    </row>
    <row r="501" spans="2:24">
      <c r="B501" s="19" t="str">
        <f t="shared" si="145"/>
        <v/>
      </c>
      <c r="C501" s="501" t="str">
        <f t="shared" si="167"/>
        <v/>
      </c>
      <c r="D501" s="501" t="str">
        <f t="shared" si="167"/>
        <v/>
      </c>
      <c r="E501" s="19" t="str">
        <f t="shared" si="167"/>
        <v/>
      </c>
      <c r="F501" s="52"/>
      <c r="G501" s="52"/>
      <c r="H501" s="52"/>
      <c r="I501" s="52"/>
      <c r="J501" s="52"/>
      <c r="K501" s="330">
        <f t="shared" ref="K501:X501" si="171">K372</f>
        <v>0</v>
      </c>
      <c r="L501" s="330">
        <f t="shared" si="171"/>
        <v>0</v>
      </c>
      <c r="M501" s="330">
        <f t="shared" si="171"/>
        <v>0</v>
      </c>
      <c r="N501" s="330">
        <f t="shared" si="171"/>
        <v>0</v>
      </c>
      <c r="O501" s="330">
        <f t="shared" si="171"/>
        <v>0</v>
      </c>
      <c r="P501" s="330">
        <f t="shared" si="171"/>
        <v>0</v>
      </c>
      <c r="Q501" s="330">
        <f t="shared" si="171"/>
        <v>0</v>
      </c>
      <c r="R501" s="330">
        <f t="shared" si="171"/>
        <v>0</v>
      </c>
      <c r="S501" s="330">
        <f t="shared" si="171"/>
        <v>0</v>
      </c>
      <c r="T501" s="330">
        <f t="shared" si="171"/>
        <v>0</v>
      </c>
      <c r="U501" s="330">
        <f t="shared" si="171"/>
        <v>0</v>
      </c>
      <c r="V501" s="330">
        <f t="shared" si="171"/>
        <v>0</v>
      </c>
      <c r="W501" s="330">
        <f t="shared" si="171"/>
        <v>0</v>
      </c>
      <c r="X501" s="330">
        <f t="shared" si="171"/>
        <v>0</v>
      </c>
    </row>
    <row r="502" spans="2:24">
      <c r="B502" s="19" t="str">
        <f t="shared" si="145"/>
        <v/>
      </c>
      <c r="C502" s="501" t="str">
        <f t="shared" si="167"/>
        <v/>
      </c>
      <c r="D502" s="501" t="str">
        <f t="shared" si="167"/>
        <v/>
      </c>
      <c r="E502" s="19" t="str">
        <f t="shared" si="167"/>
        <v/>
      </c>
      <c r="F502" s="52"/>
      <c r="G502" s="52"/>
      <c r="H502" s="52"/>
      <c r="I502" s="52"/>
      <c r="J502" s="52"/>
      <c r="K502" s="330">
        <f t="shared" ref="K502:X502" si="172">K373</f>
        <v>0</v>
      </c>
      <c r="L502" s="330">
        <f t="shared" si="172"/>
        <v>0</v>
      </c>
      <c r="M502" s="330">
        <f t="shared" si="172"/>
        <v>0</v>
      </c>
      <c r="N502" s="330">
        <f t="shared" si="172"/>
        <v>0</v>
      </c>
      <c r="O502" s="330">
        <f t="shared" si="172"/>
        <v>0</v>
      </c>
      <c r="P502" s="330">
        <f t="shared" si="172"/>
        <v>0</v>
      </c>
      <c r="Q502" s="330">
        <f t="shared" si="172"/>
        <v>0</v>
      </c>
      <c r="R502" s="330">
        <f t="shared" si="172"/>
        <v>0</v>
      </c>
      <c r="S502" s="330">
        <f t="shared" si="172"/>
        <v>0</v>
      </c>
      <c r="T502" s="330">
        <f t="shared" si="172"/>
        <v>0</v>
      </c>
      <c r="U502" s="330">
        <f t="shared" si="172"/>
        <v>0</v>
      </c>
      <c r="V502" s="330">
        <f t="shared" si="172"/>
        <v>0</v>
      </c>
      <c r="W502" s="330">
        <f t="shared" si="172"/>
        <v>0</v>
      </c>
      <c r="X502" s="330">
        <f t="shared" si="172"/>
        <v>0</v>
      </c>
    </row>
    <row r="503" spans="2:24">
      <c r="B503" s="19" t="str">
        <f t="shared" si="145"/>
        <v/>
      </c>
      <c r="C503" s="501" t="str">
        <f t="shared" si="167"/>
        <v/>
      </c>
      <c r="D503" s="501" t="str">
        <f t="shared" si="167"/>
        <v/>
      </c>
      <c r="E503" s="19" t="str">
        <f t="shared" si="167"/>
        <v/>
      </c>
      <c r="F503" s="52"/>
      <c r="G503" s="52"/>
      <c r="H503" s="52"/>
      <c r="I503" s="52"/>
      <c r="J503" s="52"/>
      <c r="K503" s="330">
        <f t="shared" ref="K503:X503" si="173">K374</f>
        <v>0</v>
      </c>
      <c r="L503" s="330">
        <f t="shared" si="173"/>
        <v>0</v>
      </c>
      <c r="M503" s="330">
        <f t="shared" si="173"/>
        <v>0</v>
      </c>
      <c r="N503" s="330">
        <f t="shared" si="173"/>
        <v>0</v>
      </c>
      <c r="O503" s="330">
        <f t="shared" si="173"/>
        <v>0</v>
      </c>
      <c r="P503" s="330">
        <f t="shared" si="173"/>
        <v>0</v>
      </c>
      <c r="Q503" s="330">
        <f t="shared" si="173"/>
        <v>0</v>
      </c>
      <c r="R503" s="330">
        <f t="shared" si="173"/>
        <v>0</v>
      </c>
      <c r="S503" s="330">
        <f t="shared" si="173"/>
        <v>0</v>
      </c>
      <c r="T503" s="330">
        <f t="shared" si="173"/>
        <v>0</v>
      </c>
      <c r="U503" s="330">
        <f t="shared" si="173"/>
        <v>0</v>
      </c>
      <c r="V503" s="330">
        <f t="shared" si="173"/>
        <v>0</v>
      </c>
      <c r="W503" s="330">
        <f t="shared" si="173"/>
        <v>0</v>
      </c>
      <c r="X503" s="330">
        <f t="shared" si="173"/>
        <v>0</v>
      </c>
    </row>
    <row r="504" spans="2:24">
      <c r="B504" s="19" t="str">
        <f t="shared" si="145"/>
        <v/>
      </c>
      <c r="C504" s="501" t="str">
        <f t="shared" si="167"/>
        <v/>
      </c>
      <c r="D504" s="501" t="str">
        <f t="shared" si="167"/>
        <v/>
      </c>
      <c r="E504" s="19" t="str">
        <f t="shared" si="167"/>
        <v/>
      </c>
      <c r="F504" s="52"/>
      <c r="G504" s="52"/>
      <c r="H504" s="52"/>
      <c r="I504" s="52"/>
      <c r="J504" s="52"/>
      <c r="K504" s="330">
        <f t="shared" ref="K504:X504" si="174">K375</f>
        <v>0</v>
      </c>
      <c r="L504" s="330">
        <f t="shared" si="174"/>
        <v>0</v>
      </c>
      <c r="M504" s="330">
        <f t="shared" si="174"/>
        <v>0</v>
      </c>
      <c r="N504" s="330">
        <f t="shared" si="174"/>
        <v>0</v>
      </c>
      <c r="O504" s="330">
        <f t="shared" si="174"/>
        <v>0</v>
      </c>
      <c r="P504" s="330">
        <f t="shared" si="174"/>
        <v>0</v>
      </c>
      <c r="Q504" s="330">
        <f t="shared" si="174"/>
        <v>0</v>
      </c>
      <c r="R504" s="330">
        <f t="shared" si="174"/>
        <v>0</v>
      </c>
      <c r="S504" s="330">
        <f t="shared" si="174"/>
        <v>0</v>
      </c>
      <c r="T504" s="330">
        <f t="shared" si="174"/>
        <v>0</v>
      </c>
      <c r="U504" s="330">
        <f t="shared" si="174"/>
        <v>0</v>
      </c>
      <c r="V504" s="330">
        <f t="shared" si="174"/>
        <v>0</v>
      </c>
      <c r="W504" s="330">
        <f t="shared" si="174"/>
        <v>0</v>
      </c>
      <c r="X504" s="330">
        <f t="shared" si="174"/>
        <v>0</v>
      </c>
    </row>
    <row r="505" spans="2:24">
      <c r="B505" s="19" t="str">
        <f t="shared" si="145"/>
        <v/>
      </c>
      <c r="C505" s="501" t="str">
        <f t="shared" si="167"/>
        <v/>
      </c>
      <c r="D505" s="501" t="str">
        <f t="shared" si="167"/>
        <v/>
      </c>
      <c r="E505" s="19" t="str">
        <f t="shared" si="167"/>
        <v/>
      </c>
      <c r="F505" s="52"/>
      <c r="G505" s="52"/>
      <c r="H505" s="52"/>
      <c r="I505" s="52"/>
      <c r="J505" s="52"/>
      <c r="K505" s="330">
        <f t="shared" ref="K505:X505" si="175">K376</f>
        <v>0</v>
      </c>
      <c r="L505" s="330">
        <f t="shared" si="175"/>
        <v>0</v>
      </c>
      <c r="M505" s="330">
        <f t="shared" si="175"/>
        <v>0</v>
      </c>
      <c r="N505" s="330">
        <f t="shared" si="175"/>
        <v>0</v>
      </c>
      <c r="O505" s="330">
        <f t="shared" si="175"/>
        <v>0</v>
      </c>
      <c r="P505" s="330">
        <f t="shared" si="175"/>
        <v>0</v>
      </c>
      <c r="Q505" s="330">
        <f t="shared" si="175"/>
        <v>0</v>
      </c>
      <c r="R505" s="330">
        <f t="shared" si="175"/>
        <v>0</v>
      </c>
      <c r="S505" s="330">
        <f t="shared" si="175"/>
        <v>0</v>
      </c>
      <c r="T505" s="330">
        <f t="shared" si="175"/>
        <v>0</v>
      </c>
      <c r="U505" s="330">
        <f t="shared" si="175"/>
        <v>0</v>
      </c>
      <c r="V505" s="330">
        <f t="shared" si="175"/>
        <v>0</v>
      </c>
      <c r="W505" s="330">
        <f t="shared" si="175"/>
        <v>0</v>
      </c>
      <c r="X505" s="330">
        <f t="shared" si="175"/>
        <v>0</v>
      </c>
    </row>
    <row r="506" spans="2:24">
      <c r="B506" s="19" t="str">
        <f t="shared" si="145"/>
        <v/>
      </c>
      <c r="C506" s="501" t="str">
        <f t="shared" si="167"/>
        <v/>
      </c>
      <c r="D506" s="501" t="str">
        <f t="shared" si="167"/>
        <v/>
      </c>
      <c r="E506" s="19" t="str">
        <f t="shared" si="167"/>
        <v/>
      </c>
      <c r="F506" s="52"/>
      <c r="G506" s="52"/>
      <c r="H506" s="52"/>
      <c r="I506" s="52"/>
      <c r="J506" s="52"/>
      <c r="K506" s="330">
        <f t="shared" ref="K506:X506" si="176">K377</f>
        <v>0</v>
      </c>
      <c r="L506" s="330">
        <f t="shared" si="176"/>
        <v>0</v>
      </c>
      <c r="M506" s="330">
        <f t="shared" si="176"/>
        <v>0</v>
      </c>
      <c r="N506" s="330">
        <f t="shared" si="176"/>
        <v>0</v>
      </c>
      <c r="O506" s="330">
        <f t="shared" si="176"/>
        <v>0</v>
      </c>
      <c r="P506" s="330">
        <f t="shared" si="176"/>
        <v>0</v>
      </c>
      <c r="Q506" s="330">
        <f t="shared" si="176"/>
        <v>0</v>
      </c>
      <c r="R506" s="330">
        <f t="shared" si="176"/>
        <v>0</v>
      </c>
      <c r="S506" s="330">
        <f t="shared" si="176"/>
        <v>0</v>
      </c>
      <c r="T506" s="330">
        <f t="shared" si="176"/>
        <v>0</v>
      </c>
      <c r="U506" s="330">
        <f t="shared" si="176"/>
        <v>0</v>
      </c>
      <c r="V506" s="330">
        <f t="shared" si="176"/>
        <v>0</v>
      </c>
      <c r="W506" s="330">
        <f t="shared" si="176"/>
        <v>0</v>
      </c>
      <c r="X506" s="330">
        <f t="shared" si="176"/>
        <v>0</v>
      </c>
    </row>
    <row r="507" spans="2:24">
      <c r="B507" s="19" t="str">
        <f t="shared" si="145"/>
        <v/>
      </c>
      <c r="C507" s="501" t="str">
        <f t="shared" si="167"/>
        <v/>
      </c>
      <c r="D507" s="501" t="str">
        <f t="shared" si="167"/>
        <v/>
      </c>
      <c r="E507" s="19" t="str">
        <f t="shared" si="167"/>
        <v/>
      </c>
      <c r="F507" s="52"/>
      <c r="G507" s="52"/>
      <c r="H507" s="52"/>
      <c r="I507" s="52"/>
      <c r="J507" s="52"/>
      <c r="K507" s="330">
        <f t="shared" ref="K507:X507" si="177">K378</f>
        <v>0</v>
      </c>
      <c r="L507" s="330">
        <f t="shared" si="177"/>
        <v>0</v>
      </c>
      <c r="M507" s="330">
        <f t="shared" si="177"/>
        <v>0</v>
      </c>
      <c r="N507" s="330">
        <f t="shared" si="177"/>
        <v>0</v>
      </c>
      <c r="O507" s="330">
        <f t="shared" si="177"/>
        <v>0</v>
      </c>
      <c r="P507" s="330">
        <f t="shared" si="177"/>
        <v>0</v>
      </c>
      <c r="Q507" s="330">
        <f t="shared" si="177"/>
        <v>0</v>
      </c>
      <c r="R507" s="330">
        <f t="shared" si="177"/>
        <v>0</v>
      </c>
      <c r="S507" s="330">
        <f t="shared" si="177"/>
        <v>0</v>
      </c>
      <c r="T507" s="330">
        <f t="shared" si="177"/>
        <v>0</v>
      </c>
      <c r="U507" s="330">
        <f t="shared" si="177"/>
        <v>0</v>
      </c>
      <c r="V507" s="330">
        <f t="shared" si="177"/>
        <v>0</v>
      </c>
      <c r="W507" s="330">
        <f t="shared" si="177"/>
        <v>0</v>
      </c>
      <c r="X507" s="330">
        <f t="shared" si="177"/>
        <v>0</v>
      </c>
    </row>
    <row r="508" spans="2:24">
      <c r="B508" s="19" t="str">
        <f t="shared" si="145"/>
        <v/>
      </c>
      <c r="C508" s="501" t="str">
        <f t="shared" si="167"/>
        <v/>
      </c>
      <c r="D508" s="501" t="str">
        <f t="shared" si="167"/>
        <v/>
      </c>
      <c r="E508" s="19" t="str">
        <f t="shared" si="167"/>
        <v/>
      </c>
      <c r="F508" s="52"/>
      <c r="G508" s="52"/>
      <c r="H508" s="52"/>
      <c r="I508" s="52"/>
      <c r="J508" s="52"/>
      <c r="K508" s="330">
        <f t="shared" ref="K508:X508" si="178">K379</f>
        <v>0</v>
      </c>
      <c r="L508" s="330">
        <f t="shared" si="178"/>
        <v>0</v>
      </c>
      <c r="M508" s="330">
        <f t="shared" si="178"/>
        <v>0</v>
      </c>
      <c r="N508" s="330">
        <f t="shared" si="178"/>
        <v>0</v>
      </c>
      <c r="O508" s="330">
        <f t="shared" si="178"/>
        <v>0</v>
      </c>
      <c r="P508" s="330">
        <f t="shared" si="178"/>
        <v>0</v>
      </c>
      <c r="Q508" s="330">
        <f t="shared" si="178"/>
        <v>0</v>
      </c>
      <c r="R508" s="330">
        <f t="shared" si="178"/>
        <v>0</v>
      </c>
      <c r="S508" s="330">
        <f t="shared" si="178"/>
        <v>0</v>
      </c>
      <c r="T508" s="330">
        <f t="shared" si="178"/>
        <v>0</v>
      </c>
      <c r="U508" s="330">
        <f t="shared" si="178"/>
        <v>0</v>
      </c>
      <c r="V508" s="330">
        <f t="shared" si="178"/>
        <v>0</v>
      </c>
      <c r="W508" s="330">
        <f t="shared" si="178"/>
        <v>0</v>
      </c>
      <c r="X508" s="330">
        <f t="shared" si="178"/>
        <v>0</v>
      </c>
    </row>
    <row r="509" spans="2:24">
      <c r="B509" s="19" t="str">
        <f t="shared" si="145"/>
        <v/>
      </c>
      <c r="C509" s="501" t="str">
        <f t="shared" si="167"/>
        <v/>
      </c>
      <c r="D509" s="501" t="str">
        <f t="shared" si="167"/>
        <v/>
      </c>
      <c r="E509" s="19" t="str">
        <f t="shared" si="167"/>
        <v/>
      </c>
      <c r="F509" s="52"/>
      <c r="G509" s="52"/>
      <c r="H509" s="52"/>
      <c r="I509" s="52"/>
      <c r="J509" s="52"/>
      <c r="K509" s="330">
        <f t="shared" ref="K509:X509" si="179">K380</f>
        <v>0</v>
      </c>
      <c r="L509" s="330">
        <f t="shared" si="179"/>
        <v>0</v>
      </c>
      <c r="M509" s="330">
        <f t="shared" si="179"/>
        <v>0</v>
      </c>
      <c r="N509" s="330">
        <f t="shared" si="179"/>
        <v>0</v>
      </c>
      <c r="O509" s="330">
        <f t="shared" si="179"/>
        <v>0</v>
      </c>
      <c r="P509" s="330">
        <f t="shared" si="179"/>
        <v>0</v>
      </c>
      <c r="Q509" s="330">
        <f t="shared" si="179"/>
        <v>0</v>
      </c>
      <c r="R509" s="330">
        <f t="shared" si="179"/>
        <v>0</v>
      </c>
      <c r="S509" s="330">
        <f t="shared" si="179"/>
        <v>0</v>
      </c>
      <c r="T509" s="330">
        <f t="shared" si="179"/>
        <v>0</v>
      </c>
      <c r="U509" s="330">
        <f t="shared" si="179"/>
        <v>0</v>
      </c>
      <c r="V509" s="330">
        <f t="shared" si="179"/>
        <v>0</v>
      </c>
      <c r="W509" s="330">
        <f t="shared" si="179"/>
        <v>0</v>
      </c>
      <c r="X509" s="330">
        <f t="shared" si="179"/>
        <v>0</v>
      </c>
    </row>
    <row r="510" spans="2:24">
      <c r="B510" s="19" t="str">
        <f t="shared" si="145"/>
        <v/>
      </c>
      <c r="C510" s="501" t="str">
        <f t="shared" si="167"/>
        <v/>
      </c>
      <c r="D510" s="501" t="str">
        <f t="shared" si="167"/>
        <v/>
      </c>
      <c r="E510" s="19" t="str">
        <f t="shared" si="167"/>
        <v/>
      </c>
      <c r="F510" s="52"/>
      <c r="G510" s="52"/>
      <c r="H510" s="52"/>
      <c r="I510" s="52"/>
      <c r="J510" s="52"/>
      <c r="K510" s="330">
        <f t="shared" ref="K510:X510" si="180">K381</f>
        <v>0</v>
      </c>
      <c r="L510" s="330">
        <f t="shared" si="180"/>
        <v>0</v>
      </c>
      <c r="M510" s="330">
        <f t="shared" si="180"/>
        <v>0</v>
      </c>
      <c r="N510" s="330">
        <f t="shared" si="180"/>
        <v>0</v>
      </c>
      <c r="O510" s="330">
        <f t="shared" si="180"/>
        <v>0</v>
      </c>
      <c r="P510" s="330">
        <f t="shared" si="180"/>
        <v>0</v>
      </c>
      <c r="Q510" s="330">
        <f t="shared" si="180"/>
        <v>0</v>
      </c>
      <c r="R510" s="330">
        <f t="shared" si="180"/>
        <v>0</v>
      </c>
      <c r="S510" s="330">
        <f t="shared" si="180"/>
        <v>0</v>
      </c>
      <c r="T510" s="330">
        <f t="shared" si="180"/>
        <v>0</v>
      </c>
      <c r="U510" s="330">
        <f t="shared" si="180"/>
        <v>0</v>
      </c>
      <c r="V510" s="330">
        <f t="shared" si="180"/>
        <v>0</v>
      </c>
      <c r="W510" s="330">
        <f t="shared" si="180"/>
        <v>0</v>
      </c>
      <c r="X510" s="330">
        <f t="shared" si="180"/>
        <v>0</v>
      </c>
    </row>
    <row r="511" spans="2:24">
      <c r="B511" s="19" t="str">
        <f t="shared" si="145"/>
        <v/>
      </c>
      <c r="C511" s="501" t="str">
        <f t="shared" si="167"/>
        <v/>
      </c>
      <c r="D511" s="501" t="str">
        <f t="shared" si="167"/>
        <v/>
      </c>
      <c r="E511" s="19" t="str">
        <f t="shared" si="167"/>
        <v/>
      </c>
      <c r="F511" s="52"/>
      <c r="G511" s="52"/>
      <c r="H511" s="52"/>
      <c r="I511" s="52"/>
      <c r="J511" s="52"/>
      <c r="K511" s="330">
        <f t="shared" ref="K511:X511" si="181">K382</f>
        <v>0</v>
      </c>
      <c r="L511" s="330">
        <f t="shared" si="181"/>
        <v>0</v>
      </c>
      <c r="M511" s="330">
        <f t="shared" si="181"/>
        <v>0</v>
      </c>
      <c r="N511" s="330">
        <f t="shared" si="181"/>
        <v>0</v>
      </c>
      <c r="O511" s="330">
        <f t="shared" si="181"/>
        <v>0</v>
      </c>
      <c r="P511" s="330">
        <f t="shared" si="181"/>
        <v>0</v>
      </c>
      <c r="Q511" s="330">
        <f t="shared" si="181"/>
        <v>0</v>
      </c>
      <c r="R511" s="330">
        <f t="shared" si="181"/>
        <v>0</v>
      </c>
      <c r="S511" s="330">
        <f t="shared" si="181"/>
        <v>0</v>
      </c>
      <c r="T511" s="330">
        <f t="shared" si="181"/>
        <v>0</v>
      </c>
      <c r="U511" s="330">
        <f t="shared" si="181"/>
        <v>0</v>
      </c>
      <c r="V511" s="330">
        <f t="shared" si="181"/>
        <v>0</v>
      </c>
      <c r="W511" s="330">
        <f t="shared" si="181"/>
        <v>0</v>
      </c>
      <c r="X511" s="330">
        <f t="shared" si="181"/>
        <v>0</v>
      </c>
    </row>
    <row r="512" spans="2:24">
      <c r="B512" s="19" t="str">
        <f t="shared" si="145"/>
        <v/>
      </c>
      <c r="C512" s="501" t="str">
        <f t="shared" si="167"/>
        <v/>
      </c>
      <c r="D512" s="501" t="str">
        <f t="shared" si="167"/>
        <v/>
      </c>
      <c r="E512" s="19" t="str">
        <f t="shared" si="167"/>
        <v/>
      </c>
      <c r="F512" s="52"/>
      <c r="G512" s="52"/>
      <c r="H512" s="52"/>
      <c r="I512" s="52"/>
      <c r="J512" s="52"/>
      <c r="K512" s="330">
        <f t="shared" ref="K512:X512" si="182">K383</f>
        <v>0</v>
      </c>
      <c r="L512" s="330">
        <f t="shared" si="182"/>
        <v>0</v>
      </c>
      <c r="M512" s="330">
        <f t="shared" si="182"/>
        <v>0</v>
      </c>
      <c r="N512" s="330">
        <f t="shared" si="182"/>
        <v>0</v>
      </c>
      <c r="O512" s="330">
        <f t="shared" si="182"/>
        <v>0</v>
      </c>
      <c r="P512" s="330">
        <f t="shared" si="182"/>
        <v>0</v>
      </c>
      <c r="Q512" s="330">
        <f t="shared" si="182"/>
        <v>0</v>
      </c>
      <c r="R512" s="330">
        <f t="shared" si="182"/>
        <v>0</v>
      </c>
      <c r="S512" s="330">
        <f t="shared" si="182"/>
        <v>0</v>
      </c>
      <c r="T512" s="330">
        <f t="shared" si="182"/>
        <v>0</v>
      </c>
      <c r="U512" s="330">
        <f t="shared" si="182"/>
        <v>0</v>
      </c>
      <c r="V512" s="330">
        <f t="shared" si="182"/>
        <v>0</v>
      </c>
      <c r="W512" s="330">
        <f t="shared" si="182"/>
        <v>0</v>
      </c>
      <c r="X512" s="330">
        <f t="shared" si="182"/>
        <v>0</v>
      </c>
    </row>
    <row r="513" spans="2:38">
      <c r="B513" s="19" t="str">
        <f t="shared" si="145"/>
        <v/>
      </c>
      <c r="C513" s="501" t="str">
        <f t="shared" si="167"/>
        <v/>
      </c>
      <c r="D513" s="501" t="str">
        <f t="shared" si="167"/>
        <v/>
      </c>
      <c r="E513" s="19" t="str">
        <f t="shared" si="167"/>
        <v/>
      </c>
      <c r="F513" s="52"/>
      <c r="G513" s="52"/>
      <c r="H513" s="52"/>
      <c r="I513" s="52"/>
      <c r="J513" s="52"/>
      <c r="K513" s="330">
        <f t="shared" ref="K513:X513" si="183">K384</f>
        <v>0</v>
      </c>
      <c r="L513" s="330">
        <f t="shared" si="183"/>
        <v>0</v>
      </c>
      <c r="M513" s="330">
        <f t="shared" si="183"/>
        <v>0</v>
      </c>
      <c r="N513" s="330">
        <f t="shared" si="183"/>
        <v>0</v>
      </c>
      <c r="O513" s="330">
        <f t="shared" si="183"/>
        <v>0</v>
      </c>
      <c r="P513" s="330">
        <f t="shared" si="183"/>
        <v>0</v>
      </c>
      <c r="Q513" s="330">
        <f t="shared" si="183"/>
        <v>0</v>
      </c>
      <c r="R513" s="330">
        <f t="shared" si="183"/>
        <v>0</v>
      </c>
      <c r="S513" s="330">
        <f t="shared" si="183"/>
        <v>0</v>
      </c>
      <c r="T513" s="330">
        <f t="shared" si="183"/>
        <v>0</v>
      </c>
      <c r="U513" s="330">
        <f t="shared" si="183"/>
        <v>0</v>
      </c>
      <c r="V513" s="330">
        <f t="shared" si="183"/>
        <v>0</v>
      </c>
      <c r="W513" s="330">
        <f t="shared" si="183"/>
        <v>0</v>
      </c>
      <c r="X513" s="330">
        <f t="shared" si="183"/>
        <v>0</v>
      </c>
    </row>
    <row r="514" spans="2:38">
      <c r="B514" s="19" t="str">
        <f t="shared" si="145"/>
        <v/>
      </c>
      <c r="C514" s="501" t="str">
        <f t="shared" si="167"/>
        <v/>
      </c>
      <c r="D514" s="501" t="str">
        <f t="shared" si="167"/>
        <v/>
      </c>
      <c r="E514" s="19" t="str">
        <f t="shared" si="167"/>
        <v/>
      </c>
      <c r="F514" s="52"/>
      <c r="G514" s="52"/>
      <c r="H514" s="52"/>
      <c r="I514" s="52"/>
      <c r="J514" s="52"/>
      <c r="K514" s="330">
        <f t="shared" ref="K514:X514" si="184">K385</f>
        <v>0</v>
      </c>
      <c r="L514" s="330">
        <f t="shared" si="184"/>
        <v>0</v>
      </c>
      <c r="M514" s="330">
        <f t="shared" si="184"/>
        <v>0</v>
      </c>
      <c r="N514" s="330">
        <f t="shared" si="184"/>
        <v>0</v>
      </c>
      <c r="O514" s="330">
        <f t="shared" si="184"/>
        <v>0</v>
      </c>
      <c r="P514" s="330">
        <f t="shared" si="184"/>
        <v>0</v>
      </c>
      <c r="Q514" s="330">
        <f t="shared" si="184"/>
        <v>0</v>
      </c>
      <c r="R514" s="330">
        <f t="shared" si="184"/>
        <v>0</v>
      </c>
      <c r="S514" s="330">
        <f t="shared" si="184"/>
        <v>0</v>
      </c>
      <c r="T514" s="330">
        <f t="shared" si="184"/>
        <v>0</v>
      </c>
      <c r="U514" s="330">
        <f t="shared" si="184"/>
        <v>0</v>
      </c>
      <c r="V514" s="330">
        <f t="shared" si="184"/>
        <v>0</v>
      </c>
      <c r="W514" s="330">
        <f t="shared" si="184"/>
        <v>0</v>
      </c>
      <c r="X514" s="330">
        <f t="shared" si="184"/>
        <v>0</v>
      </c>
    </row>
    <row r="515" spans="2:38">
      <c r="B515" s="19" t="str">
        <f t="shared" si="145"/>
        <v/>
      </c>
      <c r="C515" s="501" t="str">
        <f t="shared" si="167"/>
        <v/>
      </c>
      <c r="D515" s="501" t="str">
        <f t="shared" si="167"/>
        <v/>
      </c>
      <c r="E515" s="19" t="str">
        <f t="shared" si="167"/>
        <v/>
      </c>
      <c r="F515" s="52"/>
      <c r="G515" s="52"/>
      <c r="H515" s="52"/>
      <c r="I515" s="52"/>
      <c r="J515" s="52"/>
      <c r="K515" s="330">
        <f t="shared" ref="K515:X515" si="185">K386</f>
        <v>0</v>
      </c>
      <c r="L515" s="330">
        <f t="shared" si="185"/>
        <v>0</v>
      </c>
      <c r="M515" s="330">
        <f t="shared" si="185"/>
        <v>0</v>
      </c>
      <c r="N515" s="330">
        <f t="shared" si="185"/>
        <v>0</v>
      </c>
      <c r="O515" s="330">
        <f t="shared" si="185"/>
        <v>0</v>
      </c>
      <c r="P515" s="330">
        <f t="shared" si="185"/>
        <v>0</v>
      </c>
      <c r="Q515" s="330">
        <f t="shared" si="185"/>
        <v>0</v>
      </c>
      <c r="R515" s="330">
        <f t="shared" si="185"/>
        <v>0</v>
      </c>
      <c r="S515" s="330">
        <f t="shared" si="185"/>
        <v>0</v>
      </c>
      <c r="T515" s="330">
        <f t="shared" si="185"/>
        <v>0</v>
      </c>
      <c r="U515" s="330">
        <f t="shared" si="185"/>
        <v>0</v>
      </c>
      <c r="V515" s="330">
        <f t="shared" si="185"/>
        <v>0</v>
      </c>
      <c r="W515" s="330">
        <f t="shared" si="185"/>
        <v>0</v>
      </c>
      <c r="X515" s="330">
        <f t="shared" si="185"/>
        <v>0</v>
      </c>
    </row>
    <row r="516" spans="2:38">
      <c r="B516" s="19" t="str">
        <f t="shared" si="145"/>
        <v/>
      </c>
      <c r="C516" s="501" t="str">
        <f t="shared" si="167"/>
        <v/>
      </c>
      <c r="D516" s="501" t="str">
        <f t="shared" si="167"/>
        <v/>
      </c>
      <c r="E516" s="19" t="str">
        <f t="shared" si="167"/>
        <v/>
      </c>
      <c r="F516" s="52"/>
      <c r="G516" s="52"/>
      <c r="H516" s="52"/>
      <c r="I516" s="52"/>
      <c r="J516" s="52"/>
      <c r="K516" s="330">
        <f t="shared" ref="K516:X516" si="186">K387</f>
        <v>0</v>
      </c>
      <c r="L516" s="330">
        <f t="shared" si="186"/>
        <v>0</v>
      </c>
      <c r="M516" s="330">
        <f t="shared" si="186"/>
        <v>0</v>
      </c>
      <c r="N516" s="330">
        <f t="shared" si="186"/>
        <v>0</v>
      </c>
      <c r="O516" s="330">
        <f t="shared" si="186"/>
        <v>0</v>
      </c>
      <c r="P516" s="330">
        <f t="shared" si="186"/>
        <v>0</v>
      </c>
      <c r="Q516" s="330">
        <f t="shared" si="186"/>
        <v>0</v>
      </c>
      <c r="R516" s="330">
        <f t="shared" si="186"/>
        <v>0</v>
      </c>
      <c r="S516" s="330">
        <f t="shared" si="186"/>
        <v>0</v>
      </c>
      <c r="T516" s="330">
        <f t="shared" si="186"/>
        <v>0</v>
      </c>
      <c r="U516" s="330">
        <f t="shared" si="186"/>
        <v>0</v>
      </c>
      <c r="V516" s="330">
        <f t="shared" si="186"/>
        <v>0</v>
      </c>
      <c r="W516" s="330">
        <f t="shared" si="186"/>
        <v>0</v>
      </c>
      <c r="X516" s="330">
        <f t="shared" si="186"/>
        <v>0</v>
      </c>
    </row>
    <row r="517" spans="2:38">
      <c r="B517" s="19" t="str">
        <f t="shared" si="145"/>
        <v/>
      </c>
      <c r="C517" s="501" t="str">
        <f t="shared" si="167"/>
        <v/>
      </c>
      <c r="D517" s="501" t="str">
        <f t="shared" si="167"/>
        <v/>
      </c>
      <c r="E517" s="19" t="str">
        <f t="shared" si="167"/>
        <v/>
      </c>
      <c r="F517" s="52"/>
      <c r="G517" s="52"/>
      <c r="H517" s="52"/>
      <c r="I517" s="52"/>
      <c r="J517" s="52"/>
      <c r="K517" s="330">
        <f t="shared" ref="K517:X517" si="187">K388</f>
        <v>0</v>
      </c>
      <c r="L517" s="330">
        <f t="shared" si="187"/>
        <v>0</v>
      </c>
      <c r="M517" s="330">
        <f t="shared" si="187"/>
        <v>0</v>
      </c>
      <c r="N517" s="330">
        <f t="shared" si="187"/>
        <v>0</v>
      </c>
      <c r="O517" s="330">
        <f t="shared" si="187"/>
        <v>0</v>
      </c>
      <c r="P517" s="330">
        <f t="shared" si="187"/>
        <v>0</v>
      </c>
      <c r="Q517" s="330">
        <f t="shared" si="187"/>
        <v>0</v>
      </c>
      <c r="R517" s="330">
        <f t="shared" si="187"/>
        <v>0</v>
      </c>
      <c r="S517" s="330">
        <f t="shared" si="187"/>
        <v>0</v>
      </c>
      <c r="T517" s="330">
        <f t="shared" si="187"/>
        <v>0</v>
      </c>
      <c r="U517" s="330">
        <f t="shared" si="187"/>
        <v>0</v>
      </c>
      <c r="V517" s="330">
        <f t="shared" si="187"/>
        <v>0</v>
      </c>
      <c r="W517" s="330">
        <f t="shared" si="187"/>
        <v>0</v>
      </c>
      <c r="X517" s="330">
        <f t="shared" si="187"/>
        <v>0</v>
      </c>
    </row>
    <row r="518" spans="2:38"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2:38"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2:38">
      <c r="B520" s="351" t="s">
        <v>323</v>
      </c>
      <c r="C520" s="350" t="str">
        <f>C$114</f>
        <v>Moduł</v>
      </c>
      <c r="D520" s="350" t="str">
        <f t="shared" ref="D520:X520" si="188">D$114</f>
        <v>Kwalifikowalne</v>
      </c>
      <c r="E520" s="350" t="str">
        <f t="shared" si="188"/>
        <v>Koszty B+R</v>
      </c>
      <c r="F520" s="350"/>
      <c r="G520" s="350">
        <f t="shared" ca="1" si="188"/>
        <v>0</v>
      </c>
      <c r="H520" s="350">
        <f t="shared" ca="1" si="188"/>
        <v>0</v>
      </c>
      <c r="I520" s="350">
        <f t="shared" ca="1" si="188"/>
        <v>0</v>
      </c>
      <c r="J520" s="350" t="str">
        <f t="shared" si="188"/>
        <v/>
      </c>
      <c r="K520" s="350" t="str">
        <f t="shared" si="188"/>
        <v>Uzupełnij dane</v>
      </c>
      <c r="L520" s="350" t="str">
        <f t="shared" si="188"/>
        <v/>
      </c>
      <c r="M520" s="350" t="str">
        <f t="shared" si="188"/>
        <v/>
      </c>
      <c r="N520" s="350" t="str">
        <f t="shared" si="188"/>
        <v/>
      </c>
      <c r="O520" s="350" t="str">
        <f t="shared" si="188"/>
        <v/>
      </c>
      <c r="P520" s="350" t="str">
        <f t="shared" si="188"/>
        <v/>
      </c>
      <c r="Q520" s="350" t="str">
        <f t="shared" si="188"/>
        <v/>
      </c>
      <c r="R520" s="350" t="str">
        <f t="shared" si="188"/>
        <v/>
      </c>
      <c r="S520" s="350" t="str">
        <f t="shared" si="188"/>
        <v/>
      </c>
      <c r="T520" s="350" t="str">
        <f t="shared" si="188"/>
        <v/>
      </c>
      <c r="U520" s="350" t="str">
        <f t="shared" si="188"/>
        <v/>
      </c>
      <c r="V520" s="350" t="str">
        <f t="shared" si="188"/>
        <v/>
      </c>
      <c r="W520" s="350" t="str">
        <f t="shared" si="188"/>
        <v/>
      </c>
      <c r="X520" s="350" t="str">
        <f t="shared" si="188"/>
        <v/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2:38">
      <c r="B521" s="9"/>
      <c r="C521" s="308"/>
      <c r="D521" s="307"/>
      <c r="E521" s="9"/>
      <c r="F521" s="55"/>
      <c r="G521" s="55"/>
      <c r="H521" s="55"/>
      <c r="I521" s="55"/>
      <c r="J521" s="55"/>
      <c r="K521" s="346"/>
      <c r="L521" s="346"/>
      <c r="M521" s="346"/>
      <c r="N521" s="346"/>
      <c r="O521" s="346"/>
      <c r="P521" s="346"/>
      <c r="Q521" s="346"/>
      <c r="R521" s="346"/>
      <c r="S521" s="346"/>
      <c r="T521" s="346"/>
      <c r="U521" s="346"/>
      <c r="V521" s="346"/>
      <c r="W521" s="346"/>
      <c r="X521" s="346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2:38">
      <c r="B522" s="9"/>
      <c r="C522" s="307"/>
      <c r="D522" s="307"/>
      <c r="E522" s="9"/>
      <c r="F522" s="55"/>
      <c r="G522" s="55"/>
      <c r="H522" s="55"/>
      <c r="I522" s="55"/>
      <c r="J522" s="55"/>
      <c r="K522" s="346"/>
      <c r="L522" s="346"/>
      <c r="M522" s="346"/>
      <c r="N522" s="346"/>
      <c r="O522" s="346"/>
      <c r="P522" s="346"/>
      <c r="Q522" s="346"/>
      <c r="R522" s="346"/>
      <c r="S522" s="346"/>
      <c r="T522" s="346"/>
      <c r="U522" s="346"/>
      <c r="V522" s="346"/>
      <c r="W522" s="346"/>
      <c r="X522" s="346"/>
      <c r="Y522"/>
      <c r="Z522"/>
      <c r="AA522"/>
      <c r="AB522"/>
    </row>
    <row r="523" spans="2:38">
      <c r="B523" s="9"/>
      <c r="C523" s="307"/>
      <c r="D523" s="307"/>
      <c r="E523" s="9"/>
      <c r="F523" s="55"/>
      <c r="G523" s="55"/>
      <c r="H523" s="55"/>
      <c r="I523" s="55"/>
      <c r="J523" s="55"/>
      <c r="K523" s="346"/>
      <c r="L523" s="346"/>
      <c r="M523" s="346"/>
      <c r="N523" s="346"/>
      <c r="O523" s="346"/>
      <c r="P523" s="346"/>
      <c r="Q523" s="346"/>
      <c r="R523" s="346"/>
      <c r="S523" s="346"/>
      <c r="T523" s="346"/>
      <c r="U523" s="346"/>
      <c r="V523" s="346"/>
      <c r="W523" s="346"/>
      <c r="X523" s="346"/>
      <c r="Y523"/>
      <c r="Z523"/>
      <c r="AA523"/>
      <c r="AB523"/>
    </row>
    <row r="524" spans="2:38">
      <c r="B524" s="9"/>
      <c r="C524" s="307"/>
      <c r="D524" s="307"/>
      <c r="E524" s="9"/>
      <c r="F524" s="55"/>
      <c r="G524" s="55"/>
      <c r="H524" s="55"/>
      <c r="I524" s="55"/>
      <c r="J524" s="55"/>
      <c r="K524" s="346"/>
      <c r="L524" s="346"/>
      <c r="M524" s="346"/>
      <c r="N524" s="346"/>
      <c r="O524" s="346"/>
      <c r="P524" s="346"/>
      <c r="Q524" s="346"/>
      <c r="R524" s="346"/>
      <c r="S524" s="346"/>
      <c r="T524" s="346"/>
      <c r="U524" s="346"/>
      <c r="V524" s="346"/>
      <c r="W524" s="346"/>
      <c r="X524" s="346"/>
      <c r="Y524"/>
      <c r="Z524"/>
      <c r="AA524"/>
      <c r="AB524"/>
    </row>
    <row r="525" spans="2:38">
      <c r="B525" s="9"/>
      <c r="C525" s="307"/>
      <c r="D525" s="307"/>
      <c r="E525" s="9"/>
      <c r="F525" s="55"/>
      <c r="G525" s="55"/>
      <c r="H525" s="55"/>
      <c r="I525" s="55"/>
      <c r="J525" s="55"/>
      <c r="K525" s="346"/>
      <c r="L525" s="346"/>
      <c r="M525" s="346"/>
      <c r="N525" s="346"/>
      <c r="O525" s="346"/>
      <c r="P525" s="346"/>
      <c r="Q525" s="346"/>
      <c r="R525" s="346"/>
      <c r="S525" s="346"/>
      <c r="T525" s="346"/>
      <c r="U525" s="346"/>
      <c r="V525" s="346"/>
      <c r="W525" s="346"/>
      <c r="X525" s="346"/>
      <c r="Y525"/>
      <c r="Z525"/>
      <c r="AA525"/>
      <c r="AB525"/>
    </row>
    <row r="526" spans="2:38">
      <c r="B526" s="9"/>
      <c r="C526" s="307"/>
      <c r="D526" s="307"/>
      <c r="E526" s="9"/>
      <c r="F526" s="55"/>
      <c r="G526" s="55"/>
      <c r="H526" s="55"/>
      <c r="I526" s="55"/>
      <c r="J526" s="55"/>
      <c r="K526" s="346"/>
      <c r="L526" s="346"/>
      <c r="M526" s="346"/>
      <c r="N526" s="346"/>
      <c r="O526" s="346"/>
      <c r="P526" s="346"/>
      <c r="Q526" s="346"/>
      <c r="R526" s="346"/>
      <c r="S526" s="346"/>
      <c r="T526" s="346"/>
      <c r="U526" s="346"/>
      <c r="V526" s="346"/>
      <c r="W526" s="346"/>
      <c r="X526" s="346"/>
      <c r="Y526"/>
      <c r="Z526"/>
      <c r="AA526"/>
      <c r="AB526"/>
    </row>
    <row r="527" spans="2:38">
      <c r="B527" s="9"/>
      <c r="C527" s="307"/>
      <c r="D527" s="307"/>
      <c r="E527" s="9"/>
      <c r="F527" s="55"/>
      <c r="G527" s="55"/>
      <c r="H527" s="55"/>
      <c r="I527" s="55"/>
      <c r="J527" s="55"/>
      <c r="K527" s="346"/>
      <c r="L527" s="346"/>
      <c r="M527" s="346"/>
      <c r="N527" s="346"/>
      <c r="O527" s="346"/>
      <c r="P527" s="346"/>
      <c r="Q527" s="346"/>
      <c r="R527" s="346"/>
      <c r="S527" s="346"/>
      <c r="T527" s="346"/>
      <c r="U527" s="346"/>
      <c r="V527" s="346"/>
      <c r="W527" s="346"/>
      <c r="X527" s="346"/>
      <c r="Y527"/>
      <c r="Z527"/>
      <c r="AA527"/>
      <c r="AB527"/>
    </row>
    <row r="528" spans="2:38">
      <c r="B528" s="9"/>
      <c r="C528" s="308"/>
      <c r="D528" s="307"/>
      <c r="E528" s="9"/>
      <c r="F528" s="55"/>
      <c r="G528" s="55"/>
      <c r="H528" s="55"/>
      <c r="I528" s="55"/>
      <c r="J528" s="55"/>
      <c r="K528" s="346"/>
      <c r="L528" s="346"/>
      <c r="M528" s="346"/>
      <c r="N528" s="346"/>
      <c r="O528" s="346"/>
      <c r="P528" s="346"/>
      <c r="Q528" s="346"/>
      <c r="R528" s="346"/>
      <c r="S528" s="346"/>
      <c r="T528" s="346"/>
      <c r="U528" s="346"/>
      <c r="V528" s="346"/>
      <c r="W528" s="346"/>
      <c r="X528" s="346"/>
      <c r="Y528"/>
      <c r="Z528"/>
      <c r="AA528"/>
      <c r="AB528"/>
    </row>
    <row r="529" spans="2:28">
      <c r="B529" s="9"/>
      <c r="C529" s="307"/>
      <c r="D529" s="307"/>
      <c r="E529" s="9"/>
      <c r="F529" s="55"/>
      <c r="G529" s="55"/>
      <c r="H529" s="55"/>
      <c r="I529" s="55"/>
      <c r="J529" s="55"/>
      <c r="K529" s="346"/>
      <c r="L529" s="346"/>
      <c r="M529" s="346"/>
      <c r="N529" s="346"/>
      <c r="O529" s="346"/>
      <c r="P529" s="346"/>
      <c r="Q529" s="346"/>
      <c r="R529" s="346"/>
      <c r="S529" s="346"/>
      <c r="T529" s="346"/>
      <c r="U529" s="346"/>
      <c r="V529" s="346"/>
      <c r="W529" s="346"/>
      <c r="X529" s="346"/>
      <c r="Y529"/>
      <c r="Z529"/>
      <c r="AA529"/>
      <c r="AB529"/>
    </row>
    <row r="530" spans="2:28">
      <c r="B530" s="9"/>
      <c r="C530" s="307"/>
      <c r="D530" s="307"/>
      <c r="E530" s="9"/>
      <c r="F530" s="183"/>
      <c r="G530" s="183"/>
      <c r="H530" s="183"/>
      <c r="I530" s="183"/>
      <c r="J530" s="183"/>
      <c r="K530" s="346"/>
      <c r="L530" s="346"/>
      <c r="M530" s="346"/>
      <c r="N530" s="346"/>
      <c r="O530" s="346"/>
      <c r="P530" s="346"/>
      <c r="Q530" s="346"/>
      <c r="R530" s="346"/>
      <c r="S530" s="346"/>
      <c r="T530" s="346"/>
      <c r="U530" s="346"/>
      <c r="V530" s="346"/>
      <c r="W530" s="346"/>
      <c r="X530" s="346"/>
      <c r="Y530"/>
      <c r="Z530"/>
      <c r="AA530"/>
      <c r="AB530"/>
    </row>
    <row r="531" spans="2:28">
      <c r="B531" s="9"/>
      <c r="C531" s="307"/>
      <c r="D531" s="307"/>
      <c r="E531" s="9"/>
      <c r="F531" s="183"/>
      <c r="G531" s="183"/>
      <c r="H531" s="183"/>
      <c r="I531" s="183"/>
      <c r="J531" s="183"/>
      <c r="K531" s="346"/>
      <c r="L531" s="346"/>
      <c r="M531" s="346"/>
      <c r="N531" s="346"/>
      <c r="O531" s="346"/>
      <c r="P531" s="346"/>
      <c r="Q531" s="346"/>
      <c r="R531" s="346"/>
      <c r="S531" s="346"/>
      <c r="T531" s="346"/>
      <c r="U531" s="346"/>
      <c r="V531" s="346"/>
      <c r="W531" s="346"/>
      <c r="X531" s="346"/>
      <c r="Y531"/>
      <c r="Z531"/>
      <c r="AA531"/>
      <c r="AB531"/>
    </row>
    <row r="532" spans="2:28">
      <c r="B532" s="9"/>
      <c r="C532" s="307"/>
      <c r="D532" s="307"/>
      <c r="E532" s="9"/>
      <c r="F532" s="183"/>
      <c r="G532" s="183"/>
      <c r="H532" s="183"/>
      <c r="I532" s="183"/>
      <c r="J532" s="183"/>
      <c r="K532" s="346"/>
      <c r="L532" s="346"/>
      <c r="M532" s="346"/>
      <c r="N532" s="346"/>
      <c r="O532" s="346"/>
      <c r="P532" s="346"/>
      <c r="Q532" s="346"/>
      <c r="R532" s="346"/>
      <c r="S532" s="346"/>
      <c r="T532" s="346"/>
      <c r="U532" s="346"/>
      <c r="V532" s="346"/>
      <c r="W532" s="346"/>
      <c r="X532" s="346"/>
      <c r="Y532"/>
      <c r="Z532"/>
      <c r="AA532"/>
      <c r="AB532"/>
    </row>
    <row r="533" spans="2:28">
      <c r="B533" s="9"/>
      <c r="C533" s="307"/>
      <c r="D533" s="307"/>
      <c r="E533" s="9"/>
      <c r="F533" s="183"/>
      <c r="G533" s="183"/>
      <c r="H533" s="183"/>
      <c r="I533" s="183"/>
      <c r="J533" s="183"/>
      <c r="K533" s="346"/>
      <c r="L533" s="346"/>
      <c r="M533" s="346"/>
      <c r="N533" s="346"/>
      <c r="O533" s="346"/>
      <c r="P533" s="346"/>
      <c r="Q533" s="346"/>
      <c r="R533" s="346"/>
      <c r="S533" s="346"/>
      <c r="T533" s="346"/>
      <c r="U533" s="346"/>
      <c r="V533" s="346"/>
      <c r="W533" s="346"/>
      <c r="X533" s="346"/>
      <c r="Y533"/>
      <c r="Z533"/>
      <c r="AA533"/>
      <c r="AB533"/>
    </row>
    <row r="534" spans="2:28">
      <c r="B534" s="9"/>
      <c r="C534" s="307"/>
      <c r="D534" s="307"/>
      <c r="E534" s="9"/>
      <c r="F534" s="183"/>
      <c r="G534" s="183"/>
      <c r="H534" s="183"/>
      <c r="I534" s="183"/>
      <c r="J534" s="183"/>
      <c r="K534" s="346"/>
      <c r="L534" s="346"/>
      <c r="M534" s="346"/>
      <c r="N534" s="346"/>
      <c r="O534" s="346"/>
      <c r="P534" s="346"/>
      <c r="Q534" s="346"/>
      <c r="R534" s="346"/>
      <c r="S534" s="346"/>
      <c r="T534" s="346"/>
      <c r="U534" s="346"/>
      <c r="V534" s="346"/>
      <c r="W534" s="346"/>
      <c r="X534" s="346"/>
      <c r="Y534"/>
      <c r="Z534"/>
      <c r="AA534"/>
      <c r="AB534"/>
    </row>
    <row r="535" spans="2:28">
      <c r="B535" s="9"/>
      <c r="C535" s="308"/>
      <c r="D535" s="307"/>
      <c r="E535" s="9"/>
      <c r="F535" s="183"/>
      <c r="G535" s="183"/>
      <c r="H535" s="183"/>
      <c r="I535" s="183"/>
      <c r="J535" s="183"/>
      <c r="K535" s="346"/>
      <c r="L535" s="346"/>
      <c r="M535" s="346"/>
      <c r="N535" s="346"/>
      <c r="O535" s="346"/>
      <c r="P535" s="346"/>
      <c r="Q535" s="346"/>
      <c r="R535" s="346"/>
      <c r="S535" s="346"/>
      <c r="T535" s="346"/>
      <c r="U535" s="346"/>
      <c r="V535" s="346"/>
      <c r="W535" s="346"/>
      <c r="X535" s="346"/>
      <c r="Y535"/>
      <c r="Z535"/>
      <c r="AA535"/>
      <c r="AB535"/>
    </row>
    <row r="536" spans="2:28">
      <c r="B536" s="9"/>
      <c r="C536" s="307"/>
      <c r="D536" s="307"/>
      <c r="E536" s="9"/>
      <c r="F536" s="183"/>
      <c r="G536" s="183"/>
      <c r="H536" s="183"/>
      <c r="I536" s="183"/>
      <c r="J536" s="183"/>
      <c r="K536" s="346"/>
      <c r="L536" s="346"/>
      <c r="M536" s="346"/>
      <c r="N536" s="346"/>
      <c r="O536" s="346"/>
      <c r="P536" s="346"/>
      <c r="Q536" s="346"/>
      <c r="R536" s="346"/>
      <c r="S536" s="346"/>
      <c r="T536" s="346"/>
      <c r="U536" s="346"/>
      <c r="V536" s="346"/>
      <c r="W536" s="346"/>
      <c r="X536" s="346"/>
      <c r="Y536"/>
      <c r="Z536"/>
      <c r="AA536"/>
      <c r="AB536"/>
    </row>
    <row r="537" spans="2:28">
      <c r="B537" s="9"/>
      <c r="C537" s="307"/>
      <c r="D537" s="307"/>
      <c r="E537" s="9"/>
      <c r="F537" s="183"/>
      <c r="G537" s="183"/>
      <c r="H537" s="183"/>
      <c r="I537" s="183"/>
      <c r="J537" s="183"/>
      <c r="K537" s="346"/>
      <c r="L537" s="346"/>
      <c r="M537" s="346"/>
      <c r="N537" s="346"/>
      <c r="O537" s="346"/>
      <c r="P537" s="346"/>
      <c r="Q537" s="346"/>
      <c r="R537" s="346"/>
      <c r="S537" s="346"/>
      <c r="T537" s="346"/>
      <c r="U537" s="346"/>
      <c r="V537" s="346"/>
      <c r="W537" s="346"/>
      <c r="X537" s="346"/>
      <c r="Y537"/>
      <c r="Z537"/>
      <c r="AA537"/>
      <c r="AB537"/>
    </row>
    <row r="538" spans="2:28">
      <c r="B538" s="9"/>
      <c r="C538" s="307"/>
      <c r="D538" s="307"/>
      <c r="E538" s="9"/>
      <c r="F538" s="183"/>
      <c r="G538" s="183"/>
      <c r="H538" s="183"/>
      <c r="I538" s="183"/>
      <c r="J538" s="183"/>
      <c r="K538" s="346"/>
      <c r="L538" s="346"/>
      <c r="M538" s="346"/>
      <c r="N538" s="346"/>
      <c r="O538" s="346"/>
      <c r="P538" s="346"/>
      <c r="Q538" s="346"/>
      <c r="R538" s="346"/>
      <c r="S538" s="346"/>
      <c r="T538" s="346"/>
      <c r="U538" s="346"/>
      <c r="V538" s="346"/>
      <c r="W538" s="346"/>
      <c r="X538" s="346"/>
      <c r="Y538"/>
      <c r="Z538"/>
      <c r="AA538"/>
      <c r="AB538"/>
    </row>
    <row r="539" spans="2:28">
      <c r="B539" s="9"/>
      <c r="C539" s="307"/>
      <c r="D539" s="307"/>
      <c r="E539" s="9"/>
      <c r="F539" s="183"/>
      <c r="G539" s="183"/>
      <c r="H539" s="183"/>
      <c r="I539" s="183"/>
      <c r="J539" s="183"/>
      <c r="K539" s="346"/>
      <c r="L539" s="346"/>
      <c r="M539" s="346"/>
      <c r="N539" s="346"/>
      <c r="O539" s="346"/>
      <c r="P539" s="346"/>
      <c r="Q539" s="346"/>
      <c r="R539" s="346"/>
      <c r="S539" s="346"/>
      <c r="T539" s="346"/>
      <c r="U539" s="346"/>
      <c r="V539" s="346"/>
      <c r="W539" s="346"/>
      <c r="X539" s="346"/>
      <c r="Y539"/>
      <c r="Z539"/>
      <c r="AA539"/>
      <c r="AB539"/>
    </row>
    <row r="540" spans="2:28">
      <c r="B540" s="9"/>
      <c r="C540" s="307"/>
      <c r="D540" s="307"/>
      <c r="E540" s="9"/>
      <c r="F540" s="183"/>
      <c r="G540" s="183"/>
      <c r="H540" s="183"/>
      <c r="I540" s="183"/>
      <c r="J540" s="183"/>
      <c r="K540" s="346"/>
      <c r="L540" s="346"/>
      <c r="M540" s="346"/>
      <c r="N540" s="346"/>
      <c r="O540" s="346"/>
      <c r="P540" s="346"/>
      <c r="Q540" s="346"/>
      <c r="R540" s="346"/>
      <c r="S540" s="346"/>
      <c r="T540" s="346"/>
      <c r="U540" s="346"/>
      <c r="V540" s="346"/>
      <c r="W540" s="346"/>
      <c r="X540" s="346"/>
      <c r="Y540"/>
      <c r="Z540"/>
      <c r="AA540"/>
      <c r="AB540"/>
    </row>
    <row r="541" spans="2:28">
      <c r="B541" s="9"/>
      <c r="C541" s="308"/>
      <c r="D541" s="307"/>
      <c r="E541" s="9"/>
      <c r="F541" s="183"/>
      <c r="G541" s="183"/>
      <c r="H541" s="183"/>
      <c r="I541" s="183"/>
      <c r="J541" s="183"/>
      <c r="K541" s="346"/>
      <c r="L541" s="346"/>
      <c r="M541" s="346"/>
      <c r="N541" s="346"/>
      <c r="O541" s="346"/>
      <c r="P541" s="346"/>
      <c r="Q541" s="346"/>
      <c r="R541" s="346"/>
      <c r="S541" s="346"/>
      <c r="T541" s="346"/>
      <c r="U541" s="346"/>
      <c r="V541" s="346"/>
      <c r="W541" s="346"/>
      <c r="X541" s="346"/>
      <c r="Y541"/>
      <c r="Z541"/>
      <c r="AA541"/>
      <c r="AB541"/>
    </row>
    <row r="542" spans="2:28">
      <c r="B542" s="9"/>
      <c r="C542" s="307"/>
      <c r="D542" s="307"/>
      <c r="E542" s="9"/>
      <c r="F542" s="183"/>
      <c r="G542" s="183"/>
      <c r="H542" s="183"/>
      <c r="I542" s="183"/>
      <c r="J542" s="183"/>
      <c r="K542" s="346"/>
      <c r="L542" s="346"/>
      <c r="M542" s="346"/>
      <c r="N542" s="346"/>
      <c r="O542" s="346"/>
      <c r="P542" s="346"/>
      <c r="Q542" s="346"/>
      <c r="R542" s="346"/>
      <c r="S542" s="346"/>
      <c r="T542" s="346"/>
      <c r="U542" s="346"/>
      <c r="V542" s="346"/>
      <c r="W542" s="346"/>
      <c r="X542" s="346"/>
      <c r="Y542"/>
      <c r="Z542"/>
      <c r="AA542"/>
      <c r="AB542"/>
    </row>
    <row r="543" spans="2:28">
      <c r="B543" s="9"/>
      <c r="C543" s="307"/>
      <c r="D543" s="307"/>
      <c r="E543" s="9"/>
      <c r="F543" s="183"/>
      <c r="G543" s="183"/>
      <c r="H543" s="183"/>
      <c r="I543" s="183"/>
      <c r="J543" s="183"/>
      <c r="K543" s="346"/>
      <c r="L543" s="346"/>
      <c r="M543" s="346"/>
      <c r="N543" s="346"/>
      <c r="O543" s="346"/>
      <c r="P543" s="346"/>
      <c r="Q543" s="346"/>
      <c r="R543" s="346"/>
      <c r="S543" s="346"/>
      <c r="T543" s="346"/>
      <c r="U543" s="346"/>
      <c r="V543" s="346"/>
      <c r="W543" s="346"/>
      <c r="X543" s="346"/>
      <c r="Y543"/>
      <c r="Z543"/>
      <c r="AA543"/>
      <c r="AB543"/>
    </row>
    <row r="544" spans="2:28">
      <c r="B544" s="9"/>
      <c r="C544" s="307"/>
      <c r="D544" s="307"/>
      <c r="E544" s="9"/>
      <c r="F544" s="183"/>
      <c r="G544" s="183"/>
      <c r="H544" s="183"/>
      <c r="I544" s="183"/>
      <c r="J544" s="183"/>
      <c r="K544" s="346"/>
      <c r="L544" s="346"/>
      <c r="M544" s="346"/>
      <c r="N544" s="346"/>
      <c r="O544" s="346"/>
      <c r="P544" s="346"/>
      <c r="Q544" s="346"/>
      <c r="R544" s="346"/>
      <c r="S544" s="346"/>
      <c r="T544" s="346"/>
      <c r="U544" s="346"/>
      <c r="V544" s="346"/>
      <c r="W544" s="346"/>
      <c r="X544" s="346"/>
      <c r="Y544"/>
      <c r="Z544"/>
      <c r="AA544"/>
      <c r="AB544"/>
    </row>
    <row r="545" spans="2:28">
      <c r="B545" s="9"/>
      <c r="C545" s="307"/>
      <c r="D545" s="307"/>
      <c r="E545" s="9"/>
      <c r="F545" s="183"/>
      <c r="G545" s="183"/>
      <c r="H545" s="183"/>
      <c r="I545" s="183"/>
      <c r="J545" s="183"/>
      <c r="K545" s="346"/>
      <c r="L545" s="346"/>
      <c r="M545" s="346"/>
      <c r="N545" s="346"/>
      <c r="O545" s="346"/>
      <c r="P545" s="346"/>
      <c r="Q545" s="346"/>
      <c r="R545" s="346"/>
      <c r="S545" s="346"/>
      <c r="T545" s="346"/>
      <c r="U545" s="346"/>
      <c r="V545" s="346"/>
      <c r="W545" s="346"/>
      <c r="X545" s="346"/>
      <c r="Y545"/>
      <c r="Z545"/>
      <c r="AA545"/>
      <c r="AB545"/>
    </row>
    <row r="546" spans="2:28">
      <c r="B546" s="9"/>
      <c r="C546" s="307"/>
      <c r="D546" s="307"/>
      <c r="E546" s="9"/>
      <c r="F546" s="183"/>
      <c r="G546" s="183"/>
      <c r="H546" s="183"/>
      <c r="I546" s="183"/>
      <c r="J546" s="183"/>
      <c r="K546" s="346"/>
      <c r="L546" s="346"/>
      <c r="M546" s="346"/>
      <c r="N546" s="346"/>
      <c r="O546" s="346"/>
      <c r="P546" s="346"/>
      <c r="Q546" s="346"/>
      <c r="R546" s="346"/>
      <c r="S546" s="346"/>
      <c r="T546" s="346"/>
      <c r="U546" s="346"/>
      <c r="V546" s="346"/>
      <c r="W546" s="346"/>
      <c r="X546" s="346"/>
      <c r="Y546"/>
      <c r="Z546"/>
      <c r="AA546"/>
      <c r="AB546"/>
    </row>
    <row r="547" spans="2:28">
      <c r="B547" s="9"/>
      <c r="C547" s="308"/>
      <c r="D547" s="307"/>
      <c r="E547" s="9"/>
      <c r="F547" s="183"/>
      <c r="G547" s="183"/>
      <c r="H547" s="183"/>
      <c r="I547" s="183"/>
      <c r="J547" s="183"/>
      <c r="K547" s="346"/>
      <c r="L547" s="346"/>
      <c r="M547" s="346"/>
      <c r="N547" s="346"/>
      <c r="O547" s="346"/>
      <c r="P547" s="346"/>
      <c r="Q547" s="346"/>
      <c r="R547" s="346"/>
      <c r="S547" s="346"/>
      <c r="T547" s="346"/>
      <c r="U547" s="346"/>
      <c r="V547" s="346"/>
      <c r="W547" s="346"/>
      <c r="X547" s="346"/>
      <c r="Y547"/>
      <c r="Z547"/>
      <c r="AA547"/>
      <c r="AB547"/>
    </row>
    <row r="548" spans="2:28">
      <c r="B548" s="9"/>
      <c r="C548" s="307"/>
      <c r="D548" s="307"/>
      <c r="E548" s="9"/>
      <c r="F548" s="183"/>
      <c r="G548" s="183"/>
      <c r="H548" s="183"/>
      <c r="I548" s="183"/>
      <c r="J548" s="183"/>
      <c r="K548" s="346"/>
      <c r="L548" s="346"/>
      <c r="M548" s="346"/>
      <c r="N548" s="346"/>
      <c r="O548" s="346"/>
      <c r="P548" s="346"/>
      <c r="Q548" s="346"/>
      <c r="R548" s="346"/>
      <c r="S548" s="346"/>
      <c r="T548" s="346"/>
      <c r="U548" s="346"/>
      <c r="V548" s="346"/>
      <c r="W548" s="346"/>
      <c r="X548" s="346"/>
      <c r="Y548"/>
      <c r="Z548"/>
      <c r="AA548"/>
      <c r="AB548"/>
    </row>
    <row r="549" spans="2:28">
      <c r="B549" s="9"/>
      <c r="C549" s="307"/>
      <c r="D549" s="307"/>
      <c r="E549" s="9"/>
      <c r="F549" s="183"/>
      <c r="G549" s="183"/>
      <c r="H549" s="183"/>
      <c r="I549" s="183"/>
      <c r="J549" s="183"/>
      <c r="K549" s="346"/>
      <c r="L549" s="346"/>
      <c r="M549" s="346"/>
      <c r="N549" s="346"/>
      <c r="O549" s="346"/>
      <c r="P549" s="346"/>
      <c r="Q549" s="346"/>
      <c r="R549" s="346"/>
      <c r="S549" s="346"/>
      <c r="T549" s="346"/>
      <c r="U549" s="346"/>
      <c r="V549" s="346"/>
      <c r="W549" s="346"/>
      <c r="X549" s="346"/>
      <c r="Y549"/>
      <c r="Z549"/>
      <c r="AA549"/>
      <c r="AB549"/>
    </row>
    <row r="550" spans="2:28">
      <c r="B550" s="9"/>
      <c r="C550" s="307"/>
      <c r="D550" s="307"/>
      <c r="E550" s="9"/>
      <c r="F550" s="183"/>
      <c r="G550" s="183"/>
      <c r="H550" s="183"/>
      <c r="I550" s="183"/>
      <c r="J550" s="183"/>
      <c r="K550" s="346"/>
      <c r="L550" s="346"/>
      <c r="M550" s="346"/>
      <c r="N550" s="346"/>
      <c r="O550" s="346"/>
      <c r="P550" s="346"/>
      <c r="Q550" s="346"/>
      <c r="R550" s="346"/>
      <c r="S550" s="346"/>
      <c r="T550" s="346"/>
      <c r="U550" s="346"/>
      <c r="V550" s="346"/>
      <c r="W550" s="346"/>
      <c r="X550" s="346"/>
      <c r="Y550"/>
      <c r="Z550"/>
      <c r="AA550"/>
      <c r="AB550"/>
    </row>
    <row r="551" spans="2:28">
      <c r="B551" s="179" t="s">
        <v>350</v>
      </c>
      <c r="C551" s="179"/>
      <c r="D551" s="180"/>
      <c r="E551" s="180"/>
      <c r="F551" s="180"/>
      <c r="G551" s="180"/>
      <c r="H551" s="180"/>
      <c r="I551" s="180"/>
      <c r="J551" s="180"/>
      <c r="K551" s="181">
        <f t="shared" ref="K551:X551" si="189">IF(LataProjekcji&lt;=Koniec,ROUND(SUM(K521:K550),0),0)</f>
        <v>0</v>
      </c>
      <c r="L551" s="181">
        <f t="shared" si="189"/>
        <v>0</v>
      </c>
      <c r="M551" s="181">
        <f t="shared" si="189"/>
        <v>0</v>
      </c>
      <c r="N551" s="181">
        <f t="shared" si="189"/>
        <v>0</v>
      </c>
      <c r="O551" s="181">
        <f t="shared" si="189"/>
        <v>0</v>
      </c>
      <c r="P551" s="181">
        <f t="shared" si="189"/>
        <v>0</v>
      </c>
      <c r="Q551" s="181">
        <f t="shared" si="189"/>
        <v>0</v>
      </c>
      <c r="R551" s="181">
        <f t="shared" si="189"/>
        <v>0</v>
      </c>
      <c r="S551" s="181">
        <f t="shared" si="189"/>
        <v>0</v>
      </c>
      <c r="T551" s="181">
        <f t="shared" si="189"/>
        <v>0</v>
      </c>
      <c r="U551" s="181">
        <f t="shared" si="189"/>
        <v>0</v>
      </c>
      <c r="V551" s="181">
        <f t="shared" si="189"/>
        <v>0</v>
      </c>
      <c r="W551" s="181">
        <f t="shared" si="189"/>
        <v>0</v>
      </c>
      <c r="X551" s="181">
        <f t="shared" si="189"/>
        <v>0</v>
      </c>
      <c r="Y551"/>
      <c r="Z551"/>
      <c r="AA551"/>
      <c r="AB551"/>
    </row>
    <row r="552" spans="2:28">
      <c r="B552" s="189" t="s">
        <v>340</v>
      </c>
      <c r="C552" s="189"/>
      <c r="D552" s="190"/>
      <c r="E552" s="190"/>
      <c r="F552" s="191"/>
      <c r="G552" s="191"/>
      <c r="H552" s="191"/>
      <c r="I552" s="191"/>
      <c r="J552" s="191"/>
      <c r="K552" s="552" t="s">
        <v>341</v>
      </c>
      <c r="L552" s="553"/>
      <c r="M552" s="553"/>
      <c r="N552" s="553"/>
      <c r="O552" s="553"/>
      <c r="P552" s="553"/>
      <c r="Q552" s="553"/>
      <c r="R552" s="553"/>
      <c r="S552" s="553"/>
      <c r="T552" s="553"/>
      <c r="U552" s="553"/>
      <c r="V552" s="553"/>
      <c r="W552" s="553"/>
      <c r="X552" s="553"/>
      <c r="Y552"/>
      <c r="Z552"/>
      <c r="AA552"/>
      <c r="AB552"/>
    </row>
    <row r="553" spans="2:28">
      <c r="B553" s="188" t="str">
        <f t="shared" ref="B553:E582" si="190">IF(ISBLANK(B521),"",B521)</f>
        <v/>
      </c>
      <c r="C553" s="502" t="str">
        <f t="shared" si="190"/>
        <v/>
      </c>
      <c r="D553" s="502" t="str">
        <f t="shared" si="190"/>
        <v/>
      </c>
      <c r="E553" s="188" t="str">
        <f t="shared" si="190"/>
        <v/>
      </c>
      <c r="F553" s="188"/>
      <c r="G553" s="188"/>
      <c r="H553" s="188"/>
      <c r="I553" s="188"/>
      <c r="J553" s="188"/>
      <c r="K553" s="329"/>
      <c r="L553" s="329"/>
      <c r="M553" s="329"/>
      <c r="N553" s="329"/>
      <c r="O553" s="329"/>
      <c r="P553" s="329"/>
      <c r="Q553" s="329"/>
      <c r="R553" s="329"/>
      <c r="S553" s="329"/>
      <c r="T553" s="329"/>
      <c r="U553" s="329"/>
      <c r="V553" s="329"/>
      <c r="W553" s="329"/>
      <c r="X553" s="329"/>
      <c r="Y553"/>
      <c r="Z553"/>
      <c r="AA553"/>
      <c r="AB553"/>
    </row>
    <row r="554" spans="2:28">
      <c r="B554" s="188" t="str">
        <f t="shared" si="190"/>
        <v/>
      </c>
      <c r="C554" s="502" t="str">
        <f t="shared" si="190"/>
        <v/>
      </c>
      <c r="D554" s="502" t="str">
        <f t="shared" si="190"/>
        <v/>
      </c>
      <c r="E554" s="188" t="str">
        <f t="shared" si="190"/>
        <v/>
      </c>
      <c r="F554" s="63"/>
      <c r="G554" s="63"/>
      <c r="H554" s="63"/>
      <c r="I554" s="63"/>
      <c r="J554" s="63"/>
      <c r="K554" s="329"/>
      <c r="L554" s="329"/>
      <c r="M554" s="329"/>
      <c r="N554" s="329"/>
      <c r="O554" s="329"/>
      <c r="P554" s="329"/>
      <c r="Q554" s="329"/>
      <c r="R554" s="329"/>
      <c r="S554" s="329"/>
      <c r="T554" s="329"/>
      <c r="U554" s="329"/>
      <c r="V554" s="329"/>
      <c r="W554" s="329"/>
      <c r="X554" s="329"/>
      <c r="Y554"/>
      <c r="Z554"/>
      <c r="AA554"/>
      <c r="AB554"/>
    </row>
    <row r="555" spans="2:28">
      <c r="B555" s="188" t="str">
        <f t="shared" si="190"/>
        <v/>
      </c>
      <c r="C555" s="502" t="str">
        <f t="shared" si="190"/>
        <v/>
      </c>
      <c r="D555" s="502" t="str">
        <f t="shared" si="190"/>
        <v/>
      </c>
      <c r="E555" s="188" t="str">
        <f t="shared" si="190"/>
        <v/>
      </c>
      <c r="F555" s="63"/>
      <c r="G555" s="63"/>
      <c r="H555" s="63"/>
      <c r="I555" s="63"/>
      <c r="J555" s="63"/>
      <c r="K555" s="329"/>
      <c r="L555" s="329"/>
      <c r="M555" s="329"/>
      <c r="N555" s="329"/>
      <c r="O555" s="329"/>
      <c r="P555" s="329"/>
      <c r="Q555" s="329"/>
      <c r="R555" s="329"/>
      <c r="S555" s="329"/>
      <c r="T555" s="329"/>
      <c r="U555" s="329"/>
      <c r="V555" s="329"/>
      <c r="W555" s="329"/>
      <c r="X555" s="329"/>
      <c r="Y555"/>
      <c r="Z555"/>
      <c r="AA555"/>
      <c r="AB555"/>
    </row>
    <row r="556" spans="2:28">
      <c r="B556" s="188" t="str">
        <f t="shared" si="190"/>
        <v/>
      </c>
      <c r="C556" s="502" t="str">
        <f t="shared" si="190"/>
        <v/>
      </c>
      <c r="D556" s="502" t="str">
        <f t="shared" si="190"/>
        <v/>
      </c>
      <c r="E556" s="188" t="str">
        <f t="shared" si="190"/>
        <v/>
      </c>
      <c r="F556" s="63"/>
      <c r="G556" s="63"/>
      <c r="H556" s="63"/>
      <c r="I556" s="63"/>
      <c r="J556" s="63"/>
      <c r="K556" s="329"/>
      <c r="L556" s="329"/>
      <c r="M556" s="329"/>
      <c r="N556" s="329"/>
      <c r="O556" s="329"/>
      <c r="P556" s="329"/>
      <c r="Q556" s="329"/>
      <c r="R556" s="329"/>
      <c r="S556" s="329"/>
      <c r="T556" s="329"/>
      <c r="U556" s="329"/>
      <c r="V556" s="329"/>
      <c r="W556" s="329"/>
      <c r="X556" s="329"/>
      <c r="Y556"/>
      <c r="Z556"/>
      <c r="AA556"/>
      <c r="AB556"/>
    </row>
    <row r="557" spans="2:28">
      <c r="B557" s="188" t="str">
        <f t="shared" si="190"/>
        <v/>
      </c>
      <c r="C557" s="502" t="str">
        <f t="shared" si="190"/>
        <v/>
      </c>
      <c r="D557" s="502" t="str">
        <f t="shared" si="190"/>
        <v/>
      </c>
      <c r="E557" s="188" t="str">
        <f t="shared" si="190"/>
        <v/>
      </c>
      <c r="F557" s="63"/>
      <c r="G557" s="63"/>
      <c r="H557" s="63"/>
      <c r="I557" s="63"/>
      <c r="J557" s="63"/>
      <c r="K557" s="329"/>
      <c r="L557" s="329"/>
      <c r="M557" s="329"/>
      <c r="N557" s="329"/>
      <c r="O557" s="329"/>
      <c r="P557" s="329"/>
      <c r="Q557" s="329"/>
      <c r="R557" s="329"/>
      <c r="S557" s="329"/>
      <c r="T557" s="329"/>
      <c r="U557" s="329"/>
      <c r="V557" s="329"/>
      <c r="W557" s="329"/>
      <c r="X557" s="329"/>
      <c r="Y557"/>
      <c r="Z557"/>
      <c r="AA557"/>
      <c r="AB557"/>
    </row>
    <row r="558" spans="2:28">
      <c r="B558" s="188" t="str">
        <f t="shared" si="190"/>
        <v/>
      </c>
      <c r="C558" s="502" t="str">
        <f t="shared" si="190"/>
        <v/>
      </c>
      <c r="D558" s="502" t="str">
        <f t="shared" si="190"/>
        <v/>
      </c>
      <c r="E558" s="188" t="str">
        <f t="shared" si="190"/>
        <v/>
      </c>
      <c r="F558" s="63"/>
      <c r="G558" s="63"/>
      <c r="H558" s="63"/>
      <c r="I558" s="63"/>
      <c r="J558" s="63"/>
      <c r="K558" s="329"/>
      <c r="L558" s="329"/>
      <c r="M558" s="329"/>
      <c r="N558" s="329"/>
      <c r="O558" s="329"/>
      <c r="P558" s="329"/>
      <c r="Q558" s="329"/>
      <c r="R558" s="329"/>
      <c r="S558" s="329"/>
      <c r="T558" s="329"/>
      <c r="U558" s="329"/>
      <c r="V558" s="329"/>
      <c r="W558" s="329"/>
      <c r="X558" s="329"/>
      <c r="Y558"/>
      <c r="Z558"/>
      <c r="AA558"/>
      <c r="AB558"/>
    </row>
    <row r="559" spans="2:28">
      <c r="B559" s="188" t="str">
        <f t="shared" si="190"/>
        <v/>
      </c>
      <c r="C559" s="502" t="str">
        <f t="shared" si="190"/>
        <v/>
      </c>
      <c r="D559" s="502" t="str">
        <f t="shared" si="190"/>
        <v/>
      </c>
      <c r="E559" s="188" t="str">
        <f t="shared" si="190"/>
        <v/>
      </c>
      <c r="F559" s="63"/>
      <c r="G559" s="63"/>
      <c r="H559" s="63"/>
      <c r="I559" s="63"/>
      <c r="J559" s="63"/>
      <c r="K559" s="329"/>
      <c r="L559" s="329"/>
      <c r="M559" s="329"/>
      <c r="N559" s="329"/>
      <c r="O559" s="329"/>
      <c r="P559" s="329"/>
      <c r="Q559" s="329"/>
      <c r="R559" s="329"/>
      <c r="S559" s="329"/>
      <c r="T559" s="329"/>
      <c r="U559" s="329"/>
      <c r="V559" s="329"/>
      <c r="W559" s="329"/>
      <c r="X559" s="329"/>
      <c r="Y559"/>
      <c r="Z559"/>
      <c r="AA559"/>
      <c r="AB559"/>
    </row>
    <row r="560" spans="2:28">
      <c r="B560" s="188" t="str">
        <f t="shared" si="190"/>
        <v/>
      </c>
      <c r="C560" s="502" t="str">
        <f t="shared" si="190"/>
        <v/>
      </c>
      <c r="D560" s="502" t="str">
        <f t="shared" si="190"/>
        <v/>
      </c>
      <c r="E560" s="188" t="str">
        <f t="shared" si="190"/>
        <v/>
      </c>
      <c r="F560" s="63"/>
      <c r="G560" s="63"/>
      <c r="H560" s="63"/>
      <c r="I560" s="63"/>
      <c r="J560" s="63"/>
      <c r="K560" s="329"/>
      <c r="L560" s="329"/>
      <c r="M560" s="329"/>
      <c r="N560" s="329"/>
      <c r="O560" s="329"/>
      <c r="P560" s="329"/>
      <c r="Q560" s="329"/>
      <c r="R560" s="329"/>
      <c r="S560" s="329"/>
      <c r="T560" s="329"/>
      <c r="U560" s="329"/>
      <c r="V560" s="329"/>
      <c r="W560" s="329"/>
      <c r="X560" s="329"/>
      <c r="Y560"/>
      <c r="Z560"/>
      <c r="AA560"/>
      <c r="AB560"/>
    </row>
    <row r="561" spans="2:28">
      <c r="B561" s="188" t="str">
        <f t="shared" si="190"/>
        <v/>
      </c>
      <c r="C561" s="502" t="str">
        <f t="shared" si="190"/>
        <v/>
      </c>
      <c r="D561" s="502" t="str">
        <f t="shared" si="190"/>
        <v/>
      </c>
      <c r="E561" s="188" t="str">
        <f t="shared" si="190"/>
        <v/>
      </c>
      <c r="F561" s="63"/>
      <c r="G561" s="63"/>
      <c r="H561" s="63"/>
      <c r="I561" s="63"/>
      <c r="J561" s="63"/>
      <c r="K561" s="329"/>
      <c r="L561" s="329"/>
      <c r="M561" s="329"/>
      <c r="N561" s="329"/>
      <c r="O561" s="329"/>
      <c r="P561" s="329"/>
      <c r="Q561" s="329"/>
      <c r="R561" s="329"/>
      <c r="S561" s="329"/>
      <c r="T561" s="329"/>
      <c r="U561" s="329"/>
      <c r="V561" s="329"/>
      <c r="W561" s="329"/>
      <c r="X561" s="329"/>
      <c r="Y561"/>
      <c r="Z561"/>
      <c r="AA561"/>
      <c r="AB561"/>
    </row>
    <row r="562" spans="2:28">
      <c r="B562" s="188" t="str">
        <f t="shared" si="190"/>
        <v/>
      </c>
      <c r="C562" s="502" t="str">
        <f t="shared" si="190"/>
        <v/>
      </c>
      <c r="D562" s="502" t="str">
        <f t="shared" si="190"/>
        <v/>
      </c>
      <c r="E562" s="188" t="str">
        <f t="shared" si="190"/>
        <v/>
      </c>
      <c r="F562" s="63"/>
      <c r="G562" s="63"/>
      <c r="H562" s="63"/>
      <c r="I562" s="63"/>
      <c r="J562" s="63"/>
      <c r="K562" s="329"/>
      <c r="L562" s="329"/>
      <c r="M562" s="329"/>
      <c r="N562" s="329"/>
      <c r="O562" s="329"/>
      <c r="P562" s="329"/>
      <c r="Q562" s="329"/>
      <c r="R562" s="329"/>
      <c r="S562" s="329"/>
      <c r="T562" s="329"/>
      <c r="U562" s="329"/>
      <c r="V562" s="329"/>
      <c r="W562" s="329"/>
      <c r="X562" s="329"/>
      <c r="Y562"/>
      <c r="Z562"/>
      <c r="AA562"/>
      <c r="AB562"/>
    </row>
    <row r="563" spans="2:28">
      <c r="B563" s="188" t="str">
        <f t="shared" si="190"/>
        <v/>
      </c>
      <c r="C563" s="502" t="str">
        <f t="shared" si="190"/>
        <v/>
      </c>
      <c r="D563" s="502" t="str">
        <f t="shared" si="190"/>
        <v/>
      </c>
      <c r="E563" s="188" t="str">
        <f t="shared" si="190"/>
        <v/>
      </c>
      <c r="F563" s="63"/>
      <c r="G563" s="63"/>
      <c r="H563" s="63"/>
      <c r="I563" s="63"/>
      <c r="J563" s="63"/>
      <c r="K563" s="329"/>
      <c r="L563" s="329"/>
      <c r="M563" s="329"/>
      <c r="N563" s="329"/>
      <c r="O563" s="329"/>
      <c r="P563" s="329"/>
      <c r="Q563" s="329"/>
      <c r="R563" s="329"/>
      <c r="S563" s="329"/>
      <c r="T563" s="329"/>
      <c r="U563" s="329"/>
      <c r="V563" s="329"/>
      <c r="W563" s="329"/>
      <c r="X563" s="329"/>
    </row>
    <row r="564" spans="2:28">
      <c r="B564" s="188" t="str">
        <f t="shared" si="190"/>
        <v/>
      </c>
      <c r="C564" s="502" t="str">
        <f t="shared" si="190"/>
        <v/>
      </c>
      <c r="D564" s="502" t="str">
        <f t="shared" si="190"/>
        <v/>
      </c>
      <c r="E564" s="188" t="str">
        <f t="shared" si="190"/>
        <v/>
      </c>
      <c r="F564" s="63"/>
      <c r="G564" s="63"/>
      <c r="H564" s="63"/>
      <c r="I564" s="63"/>
      <c r="J564" s="63"/>
      <c r="K564" s="329"/>
      <c r="L564" s="329"/>
      <c r="M564" s="329"/>
      <c r="N564" s="329"/>
      <c r="O564" s="329"/>
      <c r="P564" s="329"/>
      <c r="Q564" s="329"/>
      <c r="R564" s="329"/>
      <c r="S564" s="329"/>
      <c r="T564" s="329"/>
      <c r="U564" s="329"/>
      <c r="V564" s="329"/>
      <c r="W564" s="329"/>
      <c r="X564" s="329"/>
    </row>
    <row r="565" spans="2:28">
      <c r="B565" s="188" t="str">
        <f t="shared" si="190"/>
        <v/>
      </c>
      <c r="C565" s="502" t="str">
        <f t="shared" si="190"/>
        <v/>
      </c>
      <c r="D565" s="502" t="str">
        <f t="shared" si="190"/>
        <v/>
      </c>
      <c r="E565" s="188" t="str">
        <f t="shared" si="190"/>
        <v/>
      </c>
      <c r="F565" s="63"/>
      <c r="G565" s="63"/>
      <c r="H565" s="63"/>
      <c r="I565" s="63"/>
      <c r="J565" s="63"/>
      <c r="K565" s="329"/>
      <c r="L565" s="329"/>
      <c r="M565" s="329"/>
      <c r="N565" s="329"/>
      <c r="O565" s="329"/>
      <c r="P565" s="329"/>
      <c r="Q565" s="329"/>
      <c r="R565" s="329"/>
      <c r="S565" s="329"/>
      <c r="T565" s="329"/>
      <c r="U565" s="329"/>
      <c r="V565" s="329"/>
      <c r="W565" s="329"/>
      <c r="X565" s="329"/>
    </row>
    <row r="566" spans="2:28">
      <c r="B566" s="188" t="str">
        <f t="shared" si="190"/>
        <v/>
      </c>
      <c r="C566" s="502" t="str">
        <f t="shared" si="190"/>
        <v/>
      </c>
      <c r="D566" s="502" t="str">
        <f t="shared" si="190"/>
        <v/>
      </c>
      <c r="E566" s="188" t="str">
        <f t="shared" si="190"/>
        <v/>
      </c>
      <c r="F566" s="63"/>
      <c r="G566" s="63"/>
      <c r="H566" s="63"/>
      <c r="I566" s="63"/>
      <c r="J566" s="63"/>
      <c r="K566" s="329"/>
      <c r="L566" s="329"/>
      <c r="M566" s="329"/>
      <c r="N566" s="329"/>
      <c r="O566" s="329"/>
      <c r="P566" s="329"/>
      <c r="Q566" s="329"/>
      <c r="R566" s="329"/>
      <c r="S566" s="329"/>
      <c r="T566" s="329"/>
      <c r="U566" s="329"/>
      <c r="V566" s="329"/>
      <c r="W566" s="329"/>
      <c r="X566" s="329"/>
    </row>
    <row r="567" spans="2:28">
      <c r="B567" s="188" t="str">
        <f t="shared" si="190"/>
        <v/>
      </c>
      <c r="C567" s="502" t="str">
        <f t="shared" si="190"/>
        <v/>
      </c>
      <c r="D567" s="502" t="str">
        <f t="shared" si="190"/>
        <v/>
      </c>
      <c r="E567" s="188" t="str">
        <f t="shared" si="190"/>
        <v/>
      </c>
      <c r="F567" s="63"/>
      <c r="G567" s="63"/>
      <c r="H567" s="63"/>
      <c r="I567" s="63"/>
      <c r="J567" s="63"/>
      <c r="K567" s="329"/>
      <c r="L567" s="329"/>
      <c r="M567" s="329"/>
      <c r="N567" s="329"/>
      <c r="O567" s="329"/>
      <c r="P567" s="329"/>
      <c r="Q567" s="329"/>
      <c r="R567" s="329"/>
      <c r="S567" s="329"/>
      <c r="T567" s="329"/>
      <c r="U567" s="329"/>
      <c r="V567" s="329"/>
      <c r="W567" s="329"/>
      <c r="X567" s="329"/>
    </row>
    <row r="568" spans="2:28">
      <c r="B568" s="188" t="str">
        <f t="shared" si="190"/>
        <v/>
      </c>
      <c r="C568" s="502" t="str">
        <f t="shared" si="190"/>
        <v/>
      </c>
      <c r="D568" s="502" t="str">
        <f t="shared" si="190"/>
        <v/>
      </c>
      <c r="E568" s="188" t="str">
        <f t="shared" si="190"/>
        <v/>
      </c>
      <c r="F568" s="63"/>
      <c r="G568" s="63"/>
      <c r="H568" s="63"/>
      <c r="I568" s="63"/>
      <c r="J568" s="63"/>
      <c r="K568" s="329"/>
      <c r="L568" s="329"/>
      <c r="M568" s="329"/>
      <c r="N568" s="329"/>
      <c r="O568" s="329"/>
      <c r="P568" s="329"/>
      <c r="Q568" s="329"/>
      <c r="R568" s="329"/>
      <c r="S568" s="329"/>
      <c r="T568" s="329"/>
      <c r="U568" s="329"/>
      <c r="V568" s="329"/>
      <c r="W568" s="329"/>
      <c r="X568" s="329"/>
    </row>
    <row r="569" spans="2:28">
      <c r="B569" s="188" t="str">
        <f t="shared" si="190"/>
        <v/>
      </c>
      <c r="C569" s="502" t="str">
        <f t="shared" si="190"/>
        <v/>
      </c>
      <c r="D569" s="502" t="str">
        <f t="shared" si="190"/>
        <v/>
      </c>
      <c r="E569" s="188" t="str">
        <f t="shared" si="190"/>
        <v/>
      </c>
      <c r="F569" s="63"/>
      <c r="G569" s="63"/>
      <c r="H569" s="63"/>
      <c r="I569" s="63"/>
      <c r="J569" s="63"/>
      <c r="K569" s="329"/>
      <c r="L569" s="329"/>
      <c r="M569" s="329"/>
      <c r="N569" s="329"/>
      <c r="O569" s="329"/>
      <c r="P569" s="329"/>
      <c r="Q569" s="329"/>
      <c r="R569" s="329"/>
      <c r="S569" s="329"/>
      <c r="T569" s="329"/>
      <c r="U569" s="329"/>
      <c r="V569" s="329"/>
      <c r="W569" s="329"/>
      <c r="X569" s="329"/>
    </row>
    <row r="570" spans="2:28">
      <c r="B570" s="188" t="str">
        <f t="shared" si="190"/>
        <v/>
      </c>
      <c r="C570" s="502" t="str">
        <f t="shared" si="190"/>
        <v/>
      </c>
      <c r="D570" s="502" t="str">
        <f t="shared" si="190"/>
        <v/>
      </c>
      <c r="E570" s="188" t="str">
        <f t="shared" si="190"/>
        <v/>
      </c>
      <c r="F570" s="63"/>
      <c r="G570" s="63"/>
      <c r="H570" s="63"/>
      <c r="I570" s="63"/>
      <c r="J570" s="63"/>
      <c r="K570" s="329"/>
      <c r="L570" s="329"/>
      <c r="M570" s="329"/>
      <c r="N570" s="329"/>
      <c r="O570" s="329"/>
      <c r="P570" s="329"/>
      <c r="Q570" s="329"/>
      <c r="R570" s="329"/>
      <c r="S570" s="329"/>
      <c r="T570" s="329"/>
      <c r="U570" s="329"/>
      <c r="V570" s="329"/>
      <c r="W570" s="329"/>
      <c r="X570" s="329"/>
    </row>
    <row r="571" spans="2:28">
      <c r="B571" s="188" t="str">
        <f t="shared" si="190"/>
        <v/>
      </c>
      <c r="C571" s="502" t="str">
        <f t="shared" si="190"/>
        <v/>
      </c>
      <c r="D571" s="502" t="str">
        <f t="shared" si="190"/>
        <v/>
      </c>
      <c r="E571" s="188" t="str">
        <f t="shared" si="190"/>
        <v/>
      </c>
      <c r="F571" s="63"/>
      <c r="G571" s="63"/>
      <c r="H571" s="63"/>
      <c r="I571" s="63"/>
      <c r="J571" s="63"/>
      <c r="K571" s="329"/>
      <c r="L571" s="329"/>
      <c r="M571" s="329"/>
      <c r="N571" s="329"/>
      <c r="O571" s="329"/>
      <c r="P571" s="329"/>
      <c r="Q571" s="329"/>
      <c r="R571" s="329"/>
      <c r="S571" s="329"/>
      <c r="T571" s="329"/>
      <c r="U571" s="329"/>
      <c r="V571" s="329"/>
      <c r="W571" s="329"/>
      <c r="X571" s="329"/>
    </row>
    <row r="572" spans="2:28">
      <c r="B572" s="188" t="str">
        <f t="shared" si="190"/>
        <v/>
      </c>
      <c r="C572" s="502" t="str">
        <f t="shared" si="190"/>
        <v/>
      </c>
      <c r="D572" s="502" t="str">
        <f t="shared" si="190"/>
        <v/>
      </c>
      <c r="E572" s="188" t="str">
        <f t="shared" si="190"/>
        <v/>
      </c>
      <c r="F572" s="63"/>
      <c r="G572" s="63"/>
      <c r="H572" s="63"/>
      <c r="I572" s="63"/>
      <c r="J572" s="63"/>
      <c r="K572" s="329"/>
      <c r="L572" s="329"/>
      <c r="M572" s="329"/>
      <c r="N572" s="329"/>
      <c r="O572" s="329"/>
      <c r="P572" s="329"/>
      <c r="Q572" s="329"/>
      <c r="R572" s="329"/>
      <c r="S572" s="329"/>
      <c r="T572" s="329"/>
      <c r="U572" s="329"/>
      <c r="V572" s="329"/>
      <c r="W572" s="329"/>
      <c r="X572" s="329"/>
    </row>
    <row r="573" spans="2:28">
      <c r="B573" s="188" t="str">
        <f t="shared" si="190"/>
        <v/>
      </c>
      <c r="C573" s="502" t="str">
        <f t="shared" si="190"/>
        <v/>
      </c>
      <c r="D573" s="502" t="str">
        <f t="shared" si="190"/>
        <v/>
      </c>
      <c r="E573" s="188" t="str">
        <f t="shared" si="190"/>
        <v/>
      </c>
      <c r="F573" s="63"/>
      <c r="G573" s="63"/>
      <c r="H573" s="63"/>
      <c r="I573" s="63"/>
      <c r="J573" s="63"/>
      <c r="K573" s="329"/>
      <c r="L573" s="329"/>
      <c r="M573" s="329"/>
      <c r="N573" s="329"/>
      <c r="O573" s="329"/>
      <c r="P573" s="329"/>
      <c r="Q573" s="329"/>
      <c r="R573" s="329"/>
      <c r="S573" s="329"/>
      <c r="T573" s="329"/>
      <c r="U573" s="329"/>
      <c r="V573" s="329"/>
      <c r="W573" s="329"/>
      <c r="X573" s="329"/>
    </row>
    <row r="574" spans="2:28">
      <c r="B574" s="188" t="str">
        <f t="shared" si="190"/>
        <v/>
      </c>
      <c r="C574" s="502" t="str">
        <f t="shared" si="190"/>
        <v/>
      </c>
      <c r="D574" s="502" t="str">
        <f t="shared" si="190"/>
        <v/>
      </c>
      <c r="E574" s="188" t="str">
        <f t="shared" si="190"/>
        <v/>
      </c>
      <c r="F574" s="63"/>
      <c r="G574" s="63"/>
      <c r="H574" s="63"/>
      <c r="I574" s="63"/>
      <c r="J574" s="63"/>
      <c r="K574" s="329"/>
      <c r="L574" s="329"/>
      <c r="M574" s="329"/>
      <c r="N574" s="329"/>
      <c r="O574" s="329"/>
      <c r="P574" s="329"/>
      <c r="Q574" s="329"/>
      <c r="R574" s="329"/>
      <c r="S574" s="329"/>
      <c r="T574" s="329"/>
      <c r="U574" s="329"/>
      <c r="V574" s="329"/>
      <c r="W574" s="329"/>
      <c r="X574" s="329"/>
    </row>
    <row r="575" spans="2:28">
      <c r="B575" s="188" t="str">
        <f t="shared" si="190"/>
        <v/>
      </c>
      <c r="C575" s="502" t="str">
        <f t="shared" si="190"/>
        <v/>
      </c>
      <c r="D575" s="502" t="str">
        <f t="shared" si="190"/>
        <v/>
      </c>
      <c r="E575" s="188" t="str">
        <f t="shared" si="190"/>
        <v/>
      </c>
      <c r="F575" s="63"/>
      <c r="G575" s="63"/>
      <c r="H575" s="63"/>
      <c r="I575" s="63"/>
      <c r="J575" s="63"/>
      <c r="K575" s="329"/>
      <c r="L575" s="329"/>
      <c r="M575" s="329"/>
      <c r="N575" s="329"/>
      <c r="O575" s="329"/>
      <c r="P575" s="329"/>
      <c r="Q575" s="329"/>
      <c r="R575" s="329"/>
      <c r="S575" s="329"/>
      <c r="T575" s="329"/>
      <c r="U575" s="329"/>
      <c r="V575" s="329"/>
      <c r="W575" s="329"/>
      <c r="X575" s="329"/>
    </row>
    <row r="576" spans="2:28">
      <c r="B576" s="188" t="str">
        <f t="shared" si="190"/>
        <v/>
      </c>
      <c r="C576" s="502" t="str">
        <f t="shared" si="190"/>
        <v/>
      </c>
      <c r="D576" s="502" t="str">
        <f t="shared" si="190"/>
        <v/>
      </c>
      <c r="E576" s="188" t="str">
        <f t="shared" si="190"/>
        <v/>
      </c>
      <c r="F576" s="63"/>
      <c r="G576" s="63"/>
      <c r="H576" s="63"/>
      <c r="I576" s="63"/>
      <c r="J576" s="63"/>
      <c r="K576" s="329"/>
      <c r="L576" s="329"/>
      <c r="M576" s="329"/>
      <c r="N576" s="329"/>
      <c r="O576" s="329"/>
      <c r="P576" s="329"/>
      <c r="Q576" s="329"/>
      <c r="R576" s="329"/>
      <c r="S576" s="329"/>
      <c r="T576" s="329"/>
      <c r="U576" s="329"/>
      <c r="V576" s="329"/>
      <c r="W576" s="329"/>
      <c r="X576" s="329"/>
    </row>
    <row r="577" spans="2:24">
      <c r="B577" s="188" t="str">
        <f t="shared" si="190"/>
        <v/>
      </c>
      <c r="C577" s="502" t="str">
        <f t="shared" si="190"/>
        <v/>
      </c>
      <c r="D577" s="502" t="str">
        <f t="shared" si="190"/>
        <v/>
      </c>
      <c r="E577" s="188" t="str">
        <f t="shared" si="190"/>
        <v/>
      </c>
      <c r="F577" s="63"/>
      <c r="G577" s="63"/>
      <c r="H577" s="63"/>
      <c r="I577" s="63"/>
      <c r="J577" s="63"/>
      <c r="K577" s="329"/>
      <c r="L577" s="329"/>
      <c r="M577" s="329"/>
      <c r="N577" s="329"/>
      <c r="O577" s="329"/>
      <c r="P577" s="329"/>
      <c r="Q577" s="329"/>
      <c r="R577" s="329"/>
      <c r="S577" s="329"/>
      <c r="T577" s="329"/>
      <c r="U577" s="329"/>
      <c r="V577" s="329"/>
      <c r="W577" s="329"/>
      <c r="X577" s="329"/>
    </row>
    <row r="578" spans="2:24">
      <c r="B578" s="188" t="str">
        <f t="shared" si="190"/>
        <v/>
      </c>
      <c r="C578" s="502" t="str">
        <f t="shared" si="190"/>
        <v/>
      </c>
      <c r="D578" s="502" t="str">
        <f t="shared" si="190"/>
        <v/>
      </c>
      <c r="E578" s="188" t="str">
        <f t="shared" si="190"/>
        <v/>
      </c>
      <c r="F578" s="63"/>
      <c r="G578" s="63"/>
      <c r="H578" s="63"/>
      <c r="I578" s="63"/>
      <c r="J578" s="63"/>
      <c r="K578" s="329"/>
      <c r="L578" s="329"/>
      <c r="M578" s="329"/>
      <c r="N578" s="329"/>
      <c r="O578" s="329"/>
      <c r="P578" s="329"/>
      <c r="Q578" s="329"/>
      <c r="R578" s="329"/>
      <c r="S578" s="329"/>
      <c r="T578" s="329"/>
      <c r="U578" s="329"/>
      <c r="V578" s="329"/>
      <c r="W578" s="329"/>
      <c r="X578" s="329"/>
    </row>
    <row r="579" spans="2:24">
      <c r="B579" s="188" t="str">
        <f t="shared" si="190"/>
        <v/>
      </c>
      <c r="C579" s="502" t="str">
        <f t="shared" si="190"/>
        <v/>
      </c>
      <c r="D579" s="502" t="str">
        <f t="shared" si="190"/>
        <v/>
      </c>
      <c r="E579" s="188" t="str">
        <f t="shared" si="190"/>
        <v/>
      </c>
      <c r="F579" s="63"/>
      <c r="G579" s="63"/>
      <c r="H579" s="63"/>
      <c r="I579" s="63"/>
      <c r="J579" s="63"/>
      <c r="K579" s="329"/>
      <c r="L579" s="329"/>
      <c r="M579" s="329"/>
      <c r="N579" s="329"/>
      <c r="O579" s="329"/>
      <c r="P579" s="329"/>
      <c r="Q579" s="329"/>
      <c r="R579" s="329"/>
      <c r="S579" s="329"/>
      <c r="T579" s="329"/>
      <c r="U579" s="329"/>
      <c r="V579" s="329"/>
      <c r="W579" s="329"/>
      <c r="X579" s="329"/>
    </row>
    <row r="580" spans="2:24">
      <c r="B580" s="188" t="str">
        <f t="shared" si="190"/>
        <v/>
      </c>
      <c r="C580" s="502" t="str">
        <f t="shared" si="190"/>
        <v/>
      </c>
      <c r="D580" s="502" t="str">
        <f t="shared" si="190"/>
        <v/>
      </c>
      <c r="E580" s="188" t="str">
        <f t="shared" si="190"/>
        <v/>
      </c>
      <c r="F580" s="63"/>
      <c r="G580" s="63"/>
      <c r="H580" s="63"/>
      <c r="I580" s="63"/>
      <c r="J580" s="63"/>
      <c r="K580" s="329"/>
      <c r="L580" s="329"/>
      <c r="M580" s="329"/>
      <c r="N580" s="329"/>
      <c r="O580" s="329"/>
      <c r="P580" s="329"/>
      <c r="Q580" s="329"/>
      <c r="R580" s="329"/>
      <c r="S580" s="329"/>
      <c r="T580" s="329"/>
      <c r="U580" s="329"/>
      <c r="V580" s="329"/>
      <c r="W580" s="329"/>
      <c r="X580" s="329"/>
    </row>
    <row r="581" spans="2:24">
      <c r="B581" s="188" t="str">
        <f t="shared" si="190"/>
        <v/>
      </c>
      <c r="C581" s="502" t="str">
        <f t="shared" si="190"/>
        <v/>
      </c>
      <c r="D581" s="502" t="str">
        <f t="shared" si="190"/>
        <v/>
      </c>
      <c r="E581" s="188" t="str">
        <f t="shared" si="190"/>
        <v/>
      </c>
      <c r="F581" s="63"/>
      <c r="G581" s="63"/>
      <c r="H581" s="63"/>
      <c r="I581" s="63"/>
      <c r="J581" s="63"/>
      <c r="K581" s="329"/>
      <c r="L581" s="329"/>
      <c r="M581" s="329"/>
      <c r="N581" s="329"/>
      <c r="O581" s="329"/>
      <c r="P581" s="329"/>
      <c r="Q581" s="329"/>
      <c r="R581" s="329"/>
      <c r="S581" s="329"/>
      <c r="T581" s="329"/>
      <c r="U581" s="329"/>
      <c r="V581" s="329"/>
      <c r="W581" s="329"/>
      <c r="X581" s="329"/>
    </row>
    <row r="582" spans="2:24">
      <c r="B582" s="188" t="str">
        <f t="shared" si="190"/>
        <v/>
      </c>
      <c r="C582" s="502" t="str">
        <f t="shared" si="190"/>
        <v/>
      </c>
      <c r="D582" s="502" t="str">
        <f t="shared" si="190"/>
        <v/>
      </c>
      <c r="E582" s="188" t="str">
        <f t="shared" si="190"/>
        <v/>
      </c>
      <c r="F582" s="63"/>
      <c r="G582" s="63"/>
      <c r="H582" s="63"/>
      <c r="I582" s="63"/>
      <c r="J582" s="63"/>
      <c r="K582" s="329"/>
      <c r="L582" s="329"/>
      <c r="M582" s="329"/>
      <c r="N582" s="329"/>
      <c r="O582" s="329"/>
      <c r="P582" s="329"/>
      <c r="Q582" s="329"/>
      <c r="R582" s="329"/>
      <c r="S582" s="329"/>
      <c r="T582" s="329"/>
      <c r="U582" s="329"/>
      <c r="V582" s="329"/>
      <c r="W582" s="329"/>
      <c r="X582" s="329"/>
    </row>
    <row r="583" spans="2:24"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2:24"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2:24">
      <c r="B585" s="351" t="s">
        <v>325</v>
      </c>
      <c r="C585" s="350" t="str">
        <f>C$114</f>
        <v>Moduł</v>
      </c>
      <c r="D585" s="350" t="str">
        <f t="shared" ref="D585:X585" si="191">D$114</f>
        <v>Kwalifikowalne</v>
      </c>
      <c r="E585" s="350" t="str">
        <f t="shared" si="191"/>
        <v>Koszty B+R</v>
      </c>
      <c r="F585" s="350"/>
      <c r="G585" s="350">
        <f t="shared" ca="1" si="191"/>
        <v>0</v>
      </c>
      <c r="H585" s="350">
        <f t="shared" ca="1" si="191"/>
        <v>0</v>
      </c>
      <c r="I585" s="350">
        <f t="shared" ca="1" si="191"/>
        <v>0</v>
      </c>
      <c r="J585" s="350" t="str">
        <f t="shared" si="191"/>
        <v/>
      </c>
      <c r="K585" s="350" t="str">
        <f t="shared" si="191"/>
        <v>Uzupełnij dane</v>
      </c>
      <c r="L585" s="350" t="str">
        <f t="shared" si="191"/>
        <v/>
      </c>
      <c r="M585" s="350" t="str">
        <f t="shared" si="191"/>
        <v/>
      </c>
      <c r="N585" s="350" t="str">
        <f t="shared" si="191"/>
        <v/>
      </c>
      <c r="O585" s="350" t="str">
        <f t="shared" si="191"/>
        <v/>
      </c>
      <c r="P585" s="350" t="str">
        <f t="shared" si="191"/>
        <v/>
      </c>
      <c r="Q585" s="350" t="str">
        <f t="shared" si="191"/>
        <v/>
      </c>
      <c r="R585" s="350" t="str">
        <f t="shared" si="191"/>
        <v/>
      </c>
      <c r="S585" s="350" t="str">
        <f t="shared" si="191"/>
        <v/>
      </c>
      <c r="T585" s="350" t="str">
        <f t="shared" si="191"/>
        <v/>
      </c>
      <c r="U585" s="350" t="str">
        <f t="shared" si="191"/>
        <v/>
      </c>
      <c r="V585" s="350" t="str">
        <f t="shared" si="191"/>
        <v/>
      </c>
      <c r="W585" s="350" t="str">
        <f t="shared" si="191"/>
        <v/>
      </c>
      <c r="X585" s="350" t="str">
        <f t="shared" si="191"/>
        <v/>
      </c>
    </row>
    <row r="586" spans="2:24">
      <c r="B586" s="9"/>
      <c r="C586" s="307"/>
      <c r="D586" s="307"/>
      <c r="E586" s="9"/>
      <c r="F586" s="55"/>
      <c r="G586" s="55"/>
      <c r="H586" s="55"/>
      <c r="I586" s="55"/>
      <c r="J586" s="55"/>
      <c r="K586" s="346"/>
      <c r="L586" s="346"/>
      <c r="M586" s="346"/>
      <c r="N586" s="346"/>
      <c r="O586" s="346"/>
      <c r="P586" s="346"/>
      <c r="Q586" s="346"/>
      <c r="R586" s="346"/>
      <c r="S586" s="346"/>
      <c r="T586" s="346"/>
      <c r="U586" s="346"/>
      <c r="V586" s="346"/>
      <c r="W586" s="346"/>
      <c r="X586" s="346"/>
    </row>
    <row r="587" spans="2:24">
      <c r="B587" s="9"/>
      <c r="C587" s="307"/>
      <c r="D587" s="307"/>
      <c r="E587" s="9"/>
      <c r="F587" s="55"/>
      <c r="G587" s="55"/>
      <c r="H587" s="55"/>
      <c r="I587" s="55"/>
      <c r="J587" s="55"/>
      <c r="K587" s="346"/>
      <c r="L587" s="346"/>
      <c r="M587" s="346"/>
      <c r="N587" s="346"/>
      <c r="O587" s="346"/>
      <c r="P587" s="346"/>
      <c r="Q587" s="346"/>
      <c r="R587" s="346"/>
      <c r="S587" s="346"/>
      <c r="T587" s="346"/>
      <c r="U587" s="346"/>
      <c r="V587" s="346"/>
      <c r="W587" s="346"/>
      <c r="X587" s="346"/>
    </row>
    <row r="588" spans="2:24">
      <c r="B588" s="9"/>
      <c r="C588" s="307"/>
      <c r="D588" s="307"/>
      <c r="E588" s="9"/>
      <c r="F588" s="55"/>
      <c r="G588" s="55"/>
      <c r="H588" s="55"/>
      <c r="I588" s="55"/>
      <c r="J588" s="55"/>
      <c r="K588" s="346"/>
      <c r="L588" s="346"/>
      <c r="M588" s="346"/>
      <c r="N588" s="346"/>
      <c r="O588" s="346"/>
      <c r="P588" s="346"/>
      <c r="Q588" s="346"/>
      <c r="R588" s="346"/>
      <c r="S588" s="346"/>
      <c r="T588" s="346"/>
      <c r="U588" s="346"/>
      <c r="V588" s="346"/>
      <c r="W588" s="346"/>
      <c r="X588" s="346"/>
    </row>
    <row r="589" spans="2:24">
      <c r="B589" s="9"/>
      <c r="C589" s="307"/>
      <c r="D589" s="307"/>
      <c r="E589" s="9"/>
      <c r="F589" s="55"/>
      <c r="G589" s="55"/>
      <c r="H589" s="55"/>
      <c r="I589" s="55"/>
      <c r="J589" s="55"/>
      <c r="K589" s="346"/>
      <c r="L589" s="346"/>
      <c r="M589" s="346"/>
      <c r="N589" s="346"/>
      <c r="O589" s="346"/>
      <c r="P589" s="346"/>
      <c r="Q589" s="346"/>
      <c r="R589" s="346"/>
      <c r="S589" s="346"/>
      <c r="T589" s="346"/>
      <c r="U589" s="346"/>
      <c r="V589" s="346"/>
      <c r="W589" s="346"/>
      <c r="X589" s="346"/>
    </row>
    <row r="590" spans="2:24">
      <c r="B590" s="9"/>
      <c r="C590" s="307"/>
      <c r="D590" s="307"/>
      <c r="E590" s="9"/>
      <c r="F590" s="55"/>
      <c r="G590" s="55"/>
      <c r="H590" s="55"/>
      <c r="I590" s="55"/>
      <c r="J590" s="55"/>
      <c r="K590" s="346"/>
      <c r="L590" s="346"/>
      <c r="M590" s="346"/>
      <c r="N590" s="346"/>
      <c r="O590" s="346"/>
      <c r="P590" s="346"/>
      <c r="Q590" s="346"/>
      <c r="R590" s="346"/>
      <c r="S590" s="346"/>
      <c r="T590" s="346"/>
      <c r="U590" s="346"/>
      <c r="V590" s="346"/>
      <c r="W590" s="346"/>
      <c r="X590" s="346"/>
    </row>
    <row r="591" spans="2:24">
      <c r="B591" s="179" t="s">
        <v>326</v>
      </c>
      <c r="C591" s="179"/>
      <c r="D591" s="180"/>
      <c r="E591" s="180"/>
      <c r="F591" s="180"/>
      <c r="G591" s="180"/>
      <c r="H591" s="180"/>
      <c r="I591" s="180"/>
      <c r="J591" s="180"/>
      <c r="K591" s="181">
        <f t="shared" ref="K591:X591" si="192">IF(LataProjekcji&lt;=Koniec,ROUND(SUM(K586:K590),0),0)</f>
        <v>0</v>
      </c>
      <c r="L591" s="181">
        <f t="shared" si="192"/>
        <v>0</v>
      </c>
      <c r="M591" s="181">
        <f t="shared" si="192"/>
        <v>0</v>
      </c>
      <c r="N591" s="181">
        <f t="shared" si="192"/>
        <v>0</v>
      </c>
      <c r="O591" s="181">
        <f t="shared" si="192"/>
        <v>0</v>
      </c>
      <c r="P591" s="181">
        <f t="shared" si="192"/>
        <v>0</v>
      </c>
      <c r="Q591" s="181">
        <f t="shared" si="192"/>
        <v>0</v>
      </c>
      <c r="R591" s="181">
        <f t="shared" si="192"/>
        <v>0</v>
      </c>
      <c r="S591" s="181">
        <f t="shared" si="192"/>
        <v>0</v>
      </c>
      <c r="T591" s="181">
        <f t="shared" si="192"/>
        <v>0</v>
      </c>
      <c r="U591" s="181">
        <f t="shared" si="192"/>
        <v>0</v>
      </c>
      <c r="V591" s="181">
        <f t="shared" si="192"/>
        <v>0</v>
      </c>
      <c r="W591" s="181">
        <f t="shared" si="192"/>
        <v>0</v>
      </c>
      <c r="X591" s="181">
        <f t="shared" si="192"/>
        <v>0</v>
      </c>
    </row>
    <row r="592" spans="2:24"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2:25"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2:25">
      <c r="B594" s="351" t="s">
        <v>327</v>
      </c>
      <c r="C594" s="350" t="str">
        <f>C$114</f>
        <v>Moduł</v>
      </c>
      <c r="D594" s="350" t="str">
        <f t="shared" ref="D594:X594" si="193">D$114</f>
        <v>Kwalifikowalne</v>
      </c>
      <c r="E594" s="350" t="str">
        <f t="shared" si="193"/>
        <v>Koszty B+R</v>
      </c>
      <c r="F594" s="350"/>
      <c r="G594" s="350">
        <f t="shared" ca="1" si="193"/>
        <v>0</v>
      </c>
      <c r="H594" s="350">
        <f t="shared" ca="1" si="193"/>
        <v>0</v>
      </c>
      <c r="I594" s="350">
        <f t="shared" ca="1" si="193"/>
        <v>0</v>
      </c>
      <c r="J594" s="350" t="str">
        <f t="shared" si="193"/>
        <v/>
      </c>
      <c r="K594" s="350" t="str">
        <f t="shared" si="193"/>
        <v>Uzupełnij dane</v>
      </c>
      <c r="L594" s="350" t="str">
        <f t="shared" si="193"/>
        <v/>
      </c>
      <c r="M594" s="350" t="str">
        <f t="shared" si="193"/>
        <v/>
      </c>
      <c r="N594" s="350" t="str">
        <f t="shared" si="193"/>
        <v/>
      </c>
      <c r="O594" s="350" t="str">
        <f t="shared" si="193"/>
        <v/>
      </c>
      <c r="P594" s="350" t="str">
        <f t="shared" si="193"/>
        <v/>
      </c>
      <c r="Q594" s="350" t="str">
        <f t="shared" si="193"/>
        <v/>
      </c>
      <c r="R594" s="350" t="str">
        <f t="shared" si="193"/>
        <v/>
      </c>
      <c r="S594" s="350" t="str">
        <f t="shared" si="193"/>
        <v/>
      </c>
      <c r="T594" s="350" t="str">
        <f t="shared" si="193"/>
        <v/>
      </c>
      <c r="U594" s="350" t="str">
        <f t="shared" si="193"/>
        <v/>
      </c>
      <c r="V594" s="350" t="str">
        <f t="shared" si="193"/>
        <v/>
      </c>
      <c r="W594" s="350" t="str">
        <f t="shared" si="193"/>
        <v/>
      </c>
      <c r="X594" s="350" t="str">
        <f t="shared" si="193"/>
        <v/>
      </c>
    </row>
    <row r="595" spans="2:25">
      <c r="B595" s="52" t="s">
        <v>328</v>
      </c>
      <c r="C595" s="492"/>
      <c r="D595" s="492"/>
      <c r="E595" s="52"/>
      <c r="F595" s="52"/>
      <c r="G595" s="52"/>
      <c r="H595" s="52"/>
      <c r="I595" s="52"/>
      <c r="J595" s="52"/>
      <c r="K595" s="33">
        <f>IF(LataProjekcji&lt;=Koniec,Finansowanie!K109+Finansowanie!K118+Finansowanie!K127+Finansowanie!K135,0)</f>
        <v>0</v>
      </c>
      <c r="L595" s="33">
        <f>IF(LataProjekcji&lt;=Koniec,Finansowanie!L109+Finansowanie!L118+Finansowanie!L127+Finansowanie!L135,0)</f>
        <v>0</v>
      </c>
      <c r="M595" s="33">
        <f>IF(LataProjekcji&lt;=Koniec,Finansowanie!M109+Finansowanie!M118+Finansowanie!M127+Finansowanie!M135,0)</f>
        <v>0</v>
      </c>
      <c r="N595" s="33">
        <f>IF(LataProjekcji&lt;=Koniec,Finansowanie!N109+Finansowanie!N118+Finansowanie!N127+Finansowanie!N135,0)</f>
        <v>0</v>
      </c>
      <c r="O595" s="33">
        <f>IF(LataProjekcji&lt;=Koniec,Finansowanie!O109+Finansowanie!O118+Finansowanie!O127+Finansowanie!O135,0)</f>
        <v>0</v>
      </c>
      <c r="P595" s="33">
        <f>IF(LataProjekcji&lt;=Koniec,Finansowanie!P109+Finansowanie!P118+Finansowanie!P127+Finansowanie!P135,0)</f>
        <v>0</v>
      </c>
      <c r="Q595" s="33">
        <f>IF(LataProjekcji&lt;=Koniec,Finansowanie!Q109+Finansowanie!Q118+Finansowanie!Q127+Finansowanie!Q135,0)</f>
        <v>0</v>
      </c>
      <c r="R595" s="33">
        <f>IF(LataProjekcji&lt;=Koniec,Finansowanie!R109+Finansowanie!R118+Finansowanie!R127+Finansowanie!R135,0)</f>
        <v>0</v>
      </c>
      <c r="S595" s="33">
        <f>IF(LataProjekcji&lt;=Koniec,Finansowanie!S109+Finansowanie!S118+Finansowanie!S127+Finansowanie!S135,0)</f>
        <v>0</v>
      </c>
      <c r="T595" s="33">
        <f>IF(LataProjekcji&lt;=Koniec,Finansowanie!T109+Finansowanie!T118+Finansowanie!T127+Finansowanie!T135,0)</f>
        <v>0</v>
      </c>
      <c r="U595" s="33">
        <f>IF(LataProjekcji&lt;=Koniec,Finansowanie!U109+Finansowanie!U118+Finansowanie!U127+Finansowanie!U135,0)</f>
        <v>0</v>
      </c>
      <c r="V595" s="33">
        <f>IF(LataProjekcji&lt;=Koniec,Finansowanie!V109+Finansowanie!V118+Finansowanie!V127+Finansowanie!V135,0)</f>
        <v>0</v>
      </c>
      <c r="W595" s="33">
        <f>IF(LataProjekcji&lt;=Koniec,Finansowanie!W109+Finansowanie!W118+Finansowanie!W127+Finansowanie!W135,0)</f>
        <v>0</v>
      </c>
      <c r="X595" s="33">
        <f>IF(LataProjekcji&lt;=Koniec,Finansowanie!X109+Finansowanie!X118+Finansowanie!X127+Finansowanie!X135,0)</f>
        <v>0</v>
      </c>
    </row>
    <row r="596" spans="2:25">
      <c r="B596" s="9"/>
      <c r="C596" s="307"/>
      <c r="D596" s="307"/>
      <c r="E596" s="9"/>
      <c r="F596" s="55"/>
      <c r="G596" s="55"/>
      <c r="H596" s="55"/>
      <c r="I596" s="55"/>
      <c r="J596" s="55"/>
      <c r="K596" s="346"/>
      <c r="L596" s="346"/>
      <c r="M596" s="346"/>
      <c r="N596" s="346"/>
      <c r="O596" s="346"/>
      <c r="P596" s="346"/>
      <c r="Q596" s="346"/>
      <c r="R596" s="346"/>
      <c r="S596" s="346"/>
      <c r="T596" s="346"/>
      <c r="U596" s="346"/>
      <c r="V596" s="346"/>
      <c r="W596" s="346"/>
      <c r="X596" s="346"/>
    </row>
    <row r="597" spans="2:25">
      <c r="B597" s="9"/>
      <c r="C597" s="307"/>
      <c r="D597" s="307"/>
      <c r="E597" s="9"/>
      <c r="F597" s="55"/>
      <c r="G597" s="55"/>
      <c r="H597" s="55"/>
      <c r="I597" s="55"/>
      <c r="J597" s="55"/>
      <c r="K597" s="346"/>
      <c r="L597" s="346"/>
      <c r="M597" s="346"/>
      <c r="N597" s="346"/>
      <c r="O597" s="346"/>
      <c r="P597" s="346"/>
      <c r="Q597" s="346"/>
      <c r="R597" s="346"/>
      <c r="S597" s="346"/>
      <c r="T597" s="346"/>
      <c r="U597" s="346"/>
      <c r="V597" s="346"/>
      <c r="W597" s="346"/>
      <c r="X597" s="346"/>
    </row>
    <row r="598" spans="2:25">
      <c r="B598" s="9"/>
      <c r="C598" s="307"/>
      <c r="D598" s="307"/>
      <c r="E598" s="9"/>
      <c r="F598" s="55"/>
      <c r="G598" s="55"/>
      <c r="H598" s="55"/>
      <c r="I598" s="55"/>
      <c r="J598" s="55"/>
      <c r="K598" s="346"/>
      <c r="L598" s="346"/>
      <c r="M598" s="346"/>
      <c r="N598" s="346"/>
      <c r="O598" s="346"/>
      <c r="P598" s="346"/>
      <c r="Q598" s="346"/>
      <c r="R598" s="346"/>
      <c r="S598" s="346"/>
      <c r="T598" s="346"/>
      <c r="U598" s="346"/>
      <c r="V598" s="346"/>
      <c r="W598" s="346"/>
      <c r="X598" s="346"/>
    </row>
    <row r="599" spans="2:25">
      <c r="B599" s="182"/>
      <c r="C599" s="307"/>
      <c r="D599" s="307"/>
      <c r="E599" s="9"/>
      <c r="F599" s="183"/>
      <c r="G599" s="183"/>
      <c r="H599" s="183"/>
      <c r="I599" s="183"/>
      <c r="J599" s="183"/>
      <c r="K599" s="349"/>
      <c r="L599" s="349"/>
      <c r="M599" s="349"/>
      <c r="N599" s="349"/>
      <c r="O599" s="349"/>
      <c r="P599" s="349"/>
      <c r="Q599" s="349"/>
      <c r="R599" s="349"/>
      <c r="S599" s="349"/>
      <c r="T599" s="349"/>
      <c r="U599" s="349"/>
      <c r="V599" s="349"/>
      <c r="W599" s="349"/>
      <c r="X599" s="349"/>
    </row>
    <row r="600" spans="2:25">
      <c r="B600" s="179" t="s">
        <v>329</v>
      </c>
      <c r="C600" s="179"/>
      <c r="D600" s="180"/>
      <c r="E600" s="180"/>
      <c r="F600" s="180"/>
      <c r="G600" s="180"/>
      <c r="H600" s="180"/>
      <c r="I600" s="180"/>
      <c r="J600" s="180"/>
      <c r="K600" s="181">
        <f t="shared" ref="K600:X600" si="194">IF(LataProjekcji&lt;=Koniec,ROUND(SUM(K595:K599),0),0)</f>
        <v>0</v>
      </c>
      <c r="L600" s="181">
        <f t="shared" si="194"/>
        <v>0</v>
      </c>
      <c r="M600" s="181">
        <f t="shared" si="194"/>
        <v>0</v>
      </c>
      <c r="N600" s="181">
        <f t="shared" si="194"/>
        <v>0</v>
      </c>
      <c r="O600" s="181">
        <f t="shared" si="194"/>
        <v>0</v>
      </c>
      <c r="P600" s="181">
        <f t="shared" si="194"/>
        <v>0</v>
      </c>
      <c r="Q600" s="181">
        <f t="shared" si="194"/>
        <v>0</v>
      </c>
      <c r="R600" s="181">
        <f t="shared" si="194"/>
        <v>0</v>
      </c>
      <c r="S600" s="181">
        <f t="shared" si="194"/>
        <v>0</v>
      </c>
      <c r="T600" s="181">
        <f t="shared" si="194"/>
        <v>0</v>
      </c>
      <c r="U600" s="181">
        <f t="shared" si="194"/>
        <v>0</v>
      </c>
      <c r="V600" s="181">
        <f t="shared" si="194"/>
        <v>0</v>
      </c>
      <c r="W600" s="181">
        <f t="shared" si="194"/>
        <v>0</v>
      </c>
      <c r="X600" s="181">
        <f t="shared" si="194"/>
        <v>0</v>
      </c>
    </row>
    <row r="601" spans="2:25"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2:25"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2:25">
      <c r="B603" s="29" t="s">
        <v>351</v>
      </c>
      <c r="C603" s="29"/>
      <c r="D603" s="30"/>
      <c r="E603" s="30"/>
      <c r="F603" s="30"/>
      <c r="G603" s="30"/>
      <c r="H603" s="30"/>
      <c r="I603" s="30"/>
      <c r="J603" s="30"/>
      <c r="K603" s="156" t="str">
        <f t="shared" ref="K603:X603" si="195">LataProjekcji</f>
        <v>Uzupełnij dane</v>
      </c>
      <c r="L603" s="156" t="str">
        <f t="shared" si="195"/>
        <v/>
      </c>
      <c r="M603" s="156" t="str">
        <f t="shared" si="195"/>
        <v/>
      </c>
      <c r="N603" s="156" t="str">
        <f t="shared" si="195"/>
        <v/>
      </c>
      <c r="O603" s="156" t="str">
        <f t="shared" si="195"/>
        <v/>
      </c>
      <c r="P603" s="156" t="str">
        <f t="shared" si="195"/>
        <v/>
      </c>
      <c r="Q603" s="156" t="str">
        <f t="shared" si="195"/>
        <v/>
      </c>
      <c r="R603" s="156" t="str">
        <f t="shared" si="195"/>
        <v/>
      </c>
      <c r="S603" s="185" t="str">
        <f t="shared" si="195"/>
        <v/>
      </c>
      <c r="T603" s="185" t="str">
        <f t="shared" si="195"/>
        <v/>
      </c>
      <c r="U603" s="185" t="str">
        <f t="shared" si="195"/>
        <v/>
      </c>
      <c r="V603" s="185" t="str">
        <f t="shared" si="195"/>
        <v/>
      </c>
      <c r="W603" s="185" t="str">
        <f t="shared" si="195"/>
        <v/>
      </c>
      <c r="X603" s="185" t="str">
        <f t="shared" si="195"/>
        <v/>
      </c>
      <c r="Y603" s="192"/>
    </row>
    <row r="604" spans="2:25">
      <c r="B604" s="52" t="s">
        <v>331</v>
      </c>
      <c r="C604" s="52"/>
      <c r="D604" s="52"/>
      <c r="E604" s="52"/>
      <c r="F604" s="52"/>
      <c r="G604" s="52"/>
      <c r="H604" s="52"/>
      <c r="I604" s="52"/>
      <c r="J604" s="52"/>
      <c r="K604" s="33">
        <f ca="1">'Środki trwałe'!K798</f>
        <v>0</v>
      </c>
      <c r="L604" s="33">
        <f ca="1">'Środki trwałe'!L798</f>
        <v>0</v>
      </c>
      <c r="M604" s="33">
        <f ca="1">'Środki trwałe'!M798</f>
        <v>0</v>
      </c>
      <c r="N604" s="33">
        <f ca="1">'Środki trwałe'!N798</f>
        <v>0</v>
      </c>
      <c r="O604" s="33">
        <f ca="1">'Środki trwałe'!O798</f>
        <v>0</v>
      </c>
      <c r="P604" s="33">
        <f ca="1">'Środki trwałe'!P798</f>
        <v>0</v>
      </c>
      <c r="Q604" s="33">
        <f ca="1">'Środki trwałe'!Q798</f>
        <v>0</v>
      </c>
      <c r="R604" s="33">
        <f ca="1">'Środki trwałe'!R798</f>
        <v>0</v>
      </c>
      <c r="S604" s="33">
        <f ca="1">'Środki trwałe'!S798</f>
        <v>0</v>
      </c>
      <c r="T604" s="33">
        <f ca="1">'Środki trwałe'!T798</f>
        <v>0</v>
      </c>
      <c r="U604" s="33">
        <f ca="1">'Środki trwałe'!U798</f>
        <v>0</v>
      </c>
      <c r="V604" s="33">
        <f ca="1">'Środki trwałe'!V798</f>
        <v>0</v>
      </c>
      <c r="W604" s="33">
        <f ca="1">'Środki trwałe'!W798</f>
        <v>0</v>
      </c>
      <c r="X604" s="33">
        <f ca="1">'Środki trwałe'!X798</f>
        <v>0</v>
      </c>
      <c r="Y604" s="192"/>
    </row>
    <row r="605" spans="2:25">
      <c r="B605" s="52" t="s">
        <v>332</v>
      </c>
      <c r="C605" s="52"/>
      <c r="D605" s="52"/>
      <c r="E605" s="52"/>
      <c r="F605" s="52"/>
      <c r="G605" s="52"/>
      <c r="H605" s="52"/>
      <c r="I605" s="52"/>
      <c r="J605" s="52"/>
      <c r="K605" s="33">
        <f t="shared" ref="K605:X605" si="196">IF(LataProjekcji&lt;=Koniec,ROUND(K137,0),0)</f>
        <v>0</v>
      </c>
      <c r="L605" s="33">
        <f t="shared" si="196"/>
        <v>0</v>
      </c>
      <c r="M605" s="33">
        <f t="shared" si="196"/>
        <v>0</v>
      </c>
      <c r="N605" s="33">
        <f t="shared" si="196"/>
        <v>0</v>
      </c>
      <c r="O605" s="33">
        <f t="shared" si="196"/>
        <v>0</v>
      </c>
      <c r="P605" s="33">
        <f t="shared" si="196"/>
        <v>0</v>
      </c>
      <c r="Q605" s="33">
        <f t="shared" si="196"/>
        <v>0</v>
      </c>
      <c r="R605" s="33">
        <f t="shared" si="196"/>
        <v>0</v>
      </c>
      <c r="S605" s="33">
        <f t="shared" si="196"/>
        <v>0</v>
      </c>
      <c r="T605" s="33">
        <f t="shared" si="196"/>
        <v>0</v>
      </c>
      <c r="U605" s="33">
        <f t="shared" si="196"/>
        <v>0</v>
      </c>
      <c r="V605" s="33">
        <f t="shared" si="196"/>
        <v>0</v>
      </c>
      <c r="W605" s="33">
        <f t="shared" si="196"/>
        <v>0</v>
      </c>
      <c r="X605" s="33">
        <f t="shared" si="196"/>
        <v>0</v>
      </c>
      <c r="Y605" s="193"/>
    </row>
    <row r="606" spans="2:25">
      <c r="B606" s="52" t="s">
        <v>312</v>
      </c>
      <c r="C606" s="52"/>
      <c r="D606" s="52"/>
      <c r="E606" s="52"/>
      <c r="F606" s="52"/>
      <c r="G606" s="52"/>
      <c r="H606" s="52"/>
      <c r="I606" s="52"/>
      <c r="J606" s="52"/>
      <c r="K606" s="33">
        <f t="shared" ref="K606:X606" si="197">IF(LataProjekcji&lt;=Koniec,ROUND(K182,0),0)</f>
        <v>0</v>
      </c>
      <c r="L606" s="33">
        <f t="shared" si="197"/>
        <v>0</v>
      </c>
      <c r="M606" s="33">
        <f t="shared" si="197"/>
        <v>0</v>
      </c>
      <c r="N606" s="33">
        <f t="shared" si="197"/>
        <v>0</v>
      </c>
      <c r="O606" s="33">
        <f t="shared" si="197"/>
        <v>0</v>
      </c>
      <c r="P606" s="33">
        <f t="shared" si="197"/>
        <v>0</v>
      </c>
      <c r="Q606" s="33">
        <f t="shared" si="197"/>
        <v>0</v>
      </c>
      <c r="R606" s="33">
        <f t="shared" si="197"/>
        <v>0</v>
      </c>
      <c r="S606" s="33">
        <f t="shared" si="197"/>
        <v>0</v>
      </c>
      <c r="T606" s="33">
        <f t="shared" si="197"/>
        <v>0</v>
      </c>
      <c r="U606" s="33">
        <f t="shared" si="197"/>
        <v>0</v>
      </c>
      <c r="V606" s="33">
        <f t="shared" si="197"/>
        <v>0</v>
      </c>
      <c r="W606" s="33">
        <f t="shared" si="197"/>
        <v>0</v>
      </c>
      <c r="X606" s="33">
        <f t="shared" si="197"/>
        <v>0</v>
      </c>
      <c r="Y606" s="193"/>
    </row>
    <row r="607" spans="2:25">
      <c r="B607" s="52" t="s">
        <v>314</v>
      </c>
      <c r="C607" s="52"/>
      <c r="D607" s="52"/>
      <c r="E607" s="52"/>
      <c r="F607" s="52"/>
      <c r="G607" s="52"/>
      <c r="H607" s="52"/>
      <c r="I607" s="52"/>
      <c r="J607" s="52"/>
      <c r="K607" s="33">
        <f t="shared" ref="K607:X607" si="198">IF(LataProjekcji&lt;=Koniec,ROUND(K212,0),0)</f>
        <v>0</v>
      </c>
      <c r="L607" s="33">
        <f t="shared" si="198"/>
        <v>0</v>
      </c>
      <c r="M607" s="33">
        <f>IF(LataProjekcji&lt;=Koniec,ROUND(M212,0),0)</f>
        <v>0</v>
      </c>
      <c r="N607" s="33">
        <f t="shared" si="198"/>
        <v>0</v>
      </c>
      <c r="O607" s="33">
        <f t="shared" si="198"/>
        <v>0</v>
      </c>
      <c r="P607" s="33">
        <f t="shared" si="198"/>
        <v>0</v>
      </c>
      <c r="Q607" s="33">
        <f t="shared" si="198"/>
        <v>0</v>
      </c>
      <c r="R607" s="33">
        <f t="shared" si="198"/>
        <v>0</v>
      </c>
      <c r="S607" s="33">
        <f t="shared" si="198"/>
        <v>0</v>
      </c>
      <c r="T607" s="33">
        <f t="shared" si="198"/>
        <v>0</v>
      </c>
      <c r="U607" s="33">
        <f t="shared" si="198"/>
        <v>0</v>
      </c>
      <c r="V607" s="33">
        <f t="shared" si="198"/>
        <v>0</v>
      </c>
      <c r="W607" s="33">
        <f t="shared" si="198"/>
        <v>0</v>
      </c>
      <c r="X607" s="33">
        <f t="shared" si="198"/>
        <v>0</v>
      </c>
      <c r="Y607" s="5"/>
    </row>
    <row r="608" spans="2:25">
      <c r="B608" s="52" t="s">
        <v>333</v>
      </c>
      <c r="C608" s="52"/>
      <c r="D608" s="52"/>
      <c r="E608" s="52"/>
      <c r="F608" s="52"/>
      <c r="G608" s="52"/>
      <c r="H608" s="52"/>
      <c r="I608" s="52"/>
      <c r="J608" s="52"/>
      <c r="K608" s="33">
        <f t="shared" ref="K608:X608" si="199">IF(LataProjekcji&lt;=Koniec,ROUND(K431,0),0)</f>
        <v>0</v>
      </c>
      <c r="L608" s="33">
        <f t="shared" si="199"/>
        <v>0</v>
      </c>
      <c r="M608" s="33">
        <f t="shared" si="199"/>
        <v>0</v>
      </c>
      <c r="N608" s="33">
        <f t="shared" si="199"/>
        <v>0</v>
      </c>
      <c r="O608" s="33">
        <f t="shared" si="199"/>
        <v>0</v>
      </c>
      <c r="P608" s="33">
        <f t="shared" si="199"/>
        <v>0</v>
      </c>
      <c r="Q608" s="33">
        <f t="shared" si="199"/>
        <v>0</v>
      </c>
      <c r="R608" s="33">
        <f t="shared" si="199"/>
        <v>0</v>
      </c>
      <c r="S608" s="33">
        <f t="shared" si="199"/>
        <v>0</v>
      </c>
      <c r="T608" s="33">
        <f t="shared" si="199"/>
        <v>0</v>
      </c>
      <c r="U608" s="33">
        <f t="shared" si="199"/>
        <v>0</v>
      </c>
      <c r="V608" s="33">
        <f t="shared" si="199"/>
        <v>0</v>
      </c>
      <c r="W608" s="33">
        <f t="shared" si="199"/>
        <v>0</v>
      </c>
      <c r="X608" s="33">
        <f t="shared" si="199"/>
        <v>0</v>
      </c>
      <c r="Y608" s="5"/>
    </row>
    <row r="609" spans="2:25">
      <c r="B609" s="52" t="s">
        <v>320</v>
      </c>
      <c r="C609" s="52"/>
      <c r="D609" s="52"/>
      <c r="E609" s="52"/>
      <c r="F609" s="52"/>
      <c r="G609" s="52"/>
      <c r="H609" s="52"/>
      <c r="I609" s="52"/>
      <c r="J609" s="52"/>
      <c r="K609" s="33">
        <f t="shared" ref="K609:X609" si="200">IF(LataProjekcji&lt;=Koniec,ROUND(K476,0),0)</f>
        <v>0</v>
      </c>
      <c r="L609" s="33">
        <f t="shared" si="200"/>
        <v>0</v>
      </c>
      <c r="M609" s="33">
        <f t="shared" si="200"/>
        <v>0</v>
      </c>
      <c r="N609" s="33">
        <f t="shared" si="200"/>
        <v>0</v>
      </c>
      <c r="O609" s="33">
        <f t="shared" si="200"/>
        <v>0</v>
      </c>
      <c r="P609" s="33">
        <f t="shared" si="200"/>
        <v>0</v>
      </c>
      <c r="Q609" s="33">
        <f t="shared" si="200"/>
        <v>0</v>
      </c>
      <c r="R609" s="33">
        <f t="shared" si="200"/>
        <v>0</v>
      </c>
      <c r="S609" s="33">
        <f t="shared" si="200"/>
        <v>0</v>
      </c>
      <c r="T609" s="33">
        <f t="shared" si="200"/>
        <v>0</v>
      </c>
      <c r="U609" s="33">
        <f t="shared" si="200"/>
        <v>0</v>
      </c>
      <c r="V609" s="33">
        <f t="shared" si="200"/>
        <v>0</v>
      </c>
      <c r="W609" s="33">
        <f t="shared" si="200"/>
        <v>0</v>
      </c>
      <c r="X609" s="33">
        <f t="shared" si="200"/>
        <v>0</v>
      </c>
      <c r="Y609" s="193"/>
    </row>
    <row r="610" spans="2:25">
      <c r="B610" s="52" t="s">
        <v>323</v>
      </c>
      <c r="C610" s="52"/>
      <c r="D610" s="52"/>
      <c r="E610" s="52"/>
      <c r="F610" s="52"/>
      <c r="G610" s="52"/>
      <c r="H610" s="52"/>
      <c r="I610" s="52"/>
      <c r="J610" s="52"/>
      <c r="K610" s="33">
        <f t="shared" ref="K610:X610" si="201">IF(LataProjekcji&lt;=Koniec,ROUND(K551,0),0)</f>
        <v>0</v>
      </c>
      <c r="L610" s="33">
        <f t="shared" si="201"/>
        <v>0</v>
      </c>
      <c r="M610" s="33">
        <f t="shared" si="201"/>
        <v>0</v>
      </c>
      <c r="N610" s="33">
        <f t="shared" si="201"/>
        <v>0</v>
      </c>
      <c r="O610" s="33">
        <f t="shared" si="201"/>
        <v>0</v>
      </c>
      <c r="P610" s="33">
        <f t="shared" si="201"/>
        <v>0</v>
      </c>
      <c r="Q610" s="33">
        <f t="shared" si="201"/>
        <v>0</v>
      </c>
      <c r="R610" s="33">
        <f t="shared" si="201"/>
        <v>0</v>
      </c>
      <c r="S610" s="33">
        <f t="shared" si="201"/>
        <v>0</v>
      </c>
      <c r="T610" s="33">
        <f t="shared" si="201"/>
        <v>0</v>
      </c>
      <c r="U610" s="33">
        <f t="shared" si="201"/>
        <v>0</v>
      </c>
      <c r="V610" s="33">
        <f t="shared" si="201"/>
        <v>0</v>
      </c>
      <c r="W610" s="33">
        <f t="shared" si="201"/>
        <v>0</v>
      </c>
      <c r="X610" s="33">
        <f t="shared" si="201"/>
        <v>0</v>
      </c>
      <c r="Y610" s="193"/>
    </row>
    <row r="611" spans="2:25">
      <c r="B611" s="106" t="s">
        <v>334</v>
      </c>
      <c r="C611" s="106"/>
      <c r="D611" s="106"/>
      <c r="E611" s="106"/>
      <c r="F611" s="106"/>
      <c r="G611" s="106"/>
      <c r="H611" s="106"/>
      <c r="I611" s="106"/>
      <c r="J611" s="106"/>
      <c r="K611" s="107">
        <f>IF(LataProjekcji&lt;=Koniec,Przychody!K246,0)</f>
        <v>0</v>
      </c>
      <c r="L611" s="107">
        <f>IF(LataProjekcji&lt;=Koniec,Przychody!L246,0)</f>
        <v>0</v>
      </c>
      <c r="M611" s="107">
        <f>IF(LataProjekcji&lt;=Koniec,Przychody!M246,0)</f>
        <v>0</v>
      </c>
      <c r="N611" s="107">
        <f>IF(LataProjekcji&lt;=Koniec,Przychody!N246,0)</f>
        <v>0</v>
      </c>
      <c r="O611" s="107">
        <f>IF(LataProjekcji&lt;=Koniec,Przychody!O246,0)</f>
        <v>0</v>
      </c>
      <c r="P611" s="107">
        <f>IF(LataProjekcji&lt;=Koniec,Przychody!P246,0)</f>
        <v>0</v>
      </c>
      <c r="Q611" s="107">
        <f>IF(LataProjekcji&lt;=Koniec,Przychody!Q246,0)</f>
        <v>0</v>
      </c>
      <c r="R611" s="107">
        <f>IF(LataProjekcji&lt;=Koniec,Przychody!R246,0)</f>
        <v>0</v>
      </c>
      <c r="S611" s="107">
        <f>IF(LataProjekcji&lt;=Koniec,Przychody!S246,0)</f>
        <v>0</v>
      </c>
      <c r="T611" s="107">
        <f>IF(LataProjekcji&lt;=Koniec,Przychody!T246,0)</f>
        <v>0</v>
      </c>
      <c r="U611" s="107">
        <f>IF(LataProjekcji&lt;=Koniec,Przychody!U246,0)</f>
        <v>0</v>
      </c>
      <c r="V611" s="107">
        <f>IF(LataProjekcji&lt;=Koniec,Przychody!V246,0)</f>
        <v>0</v>
      </c>
      <c r="W611" s="107">
        <f>IF(LataProjekcji&lt;=Koniec,Przychody!W246,0)</f>
        <v>0</v>
      </c>
      <c r="X611" s="107">
        <f>IF(LataProjekcji&lt;=Koniec,Przychody!X246,0)</f>
        <v>0</v>
      </c>
      <c r="Y611" s="193"/>
    </row>
    <row r="612" spans="2:25">
      <c r="B612" s="195" t="s">
        <v>335</v>
      </c>
      <c r="C612" s="195"/>
      <c r="D612" s="196"/>
      <c r="E612" s="196"/>
      <c r="F612" s="196"/>
      <c r="G612" s="196"/>
      <c r="H612" s="196"/>
      <c r="I612" s="196"/>
      <c r="J612" s="196"/>
      <c r="K612" s="197">
        <f ca="1">SUM(K604:K611)</f>
        <v>0</v>
      </c>
      <c r="L612" s="197">
        <f t="shared" ref="L612:X612" ca="1" si="202">SUM(L604:L611)</f>
        <v>0</v>
      </c>
      <c r="M612" s="197">
        <f t="shared" ca="1" si="202"/>
        <v>0</v>
      </c>
      <c r="N612" s="197">
        <f t="shared" ca="1" si="202"/>
        <v>0</v>
      </c>
      <c r="O612" s="197">
        <f t="shared" ca="1" si="202"/>
        <v>0</v>
      </c>
      <c r="P612" s="197">
        <f t="shared" ca="1" si="202"/>
        <v>0</v>
      </c>
      <c r="Q612" s="197">
        <f t="shared" ca="1" si="202"/>
        <v>0</v>
      </c>
      <c r="R612" s="197">
        <f t="shared" ca="1" si="202"/>
        <v>0</v>
      </c>
      <c r="S612" s="197">
        <f t="shared" ca="1" si="202"/>
        <v>0</v>
      </c>
      <c r="T612" s="197">
        <f t="shared" ca="1" si="202"/>
        <v>0</v>
      </c>
      <c r="U612" s="197">
        <f t="shared" ca="1" si="202"/>
        <v>0</v>
      </c>
      <c r="V612" s="197">
        <f t="shared" ca="1" si="202"/>
        <v>0</v>
      </c>
      <c r="W612" s="197">
        <f t="shared" ca="1" si="202"/>
        <v>0</v>
      </c>
      <c r="X612" s="197">
        <f t="shared" ca="1" si="202"/>
        <v>0</v>
      </c>
      <c r="Y612" s="193"/>
    </row>
    <row r="613" spans="2:25">
      <c r="B613" s="99" t="s">
        <v>325</v>
      </c>
      <c r="C613" s="99"/>
      <c r="D613" s="99"/>
      <c r="E613" s="99"/>
      <c r="F613" s="99"/>
      <c r="G613" s="99"/>
      <c r="H613" s="99"/>
      <c r="I613" s="99"/>
      <c r="J613" s="99"/>
      <c r="K613" s="98">
        <f t="shared" ref="K613:X613" si="203">IF(LataProjekcji&lt;=Koniec,ROUND(K591,0),0)</f>
        <v>0</v>
      </c>
      <c r="L613" s="98">
        <f t="shared" si="203"/>
        <v>0</v>
      </c>
      <c r="M613" s="98">
        <f t="shared" si="203"/>
        <v>0</v>
      </c>
      <c r="N613" s="98">
        <f t="shared" si="203"/>
        <v>0</v>
      </c>
      <c r="O613" s="98">
        <f t="shared" si="203"/>
        <v>0</v>
      </c>
      <c r="P613" s="98">
        <f t="shared" si="203"/>
        <v>0</v>
      </c>
      <c r="Q613" s="98">
        <f t="shared" si="203"/>
        <v>0</v>
      </c>
      <c r="R613" s="98">
        <f t="shared" si="203"/>
        <v>0</v>
      </c>
      <c r="S613" s="98">
        <f t="shared" si="203"/>
        <v>0</v>
      </c>
      <c r="T613" s="98">
        <f t="shared" si="203"/>
        <v>0</v>
      </c>
      <c r="U613" s="98">
        <f t="shared" si="203"/>
        <v>0</v>
      </c>
      <c r="V613" s="98">
        <f t="shared" si="203"/>
        <v>0</v>
      </c>
      <c r="W613" s="98">
        <f t="shared" si="203"/>
        <v>0</v>
      </c>
      <c r="X613" s="98">
        <f t="shared" si="203"/>
        <v>0</v>
      </c>
      <c r="Y613" s="194"/>
    </row>
    <row r="614" spans="2:25">
      <c r="B614" s="99" t="s">
        <v>327</v>
      </c>
      <c r="C614" s="99"/>
      <c r="D614" s="99"/>
      <c r="E614" s="99"/>
      <c r="F614" s="99"/>
      <c r="G614" s="99"/>
      <c r="H614" s="99"/>
      <c r="I614" s="99"/>
      <c r="J614" s="99"/>
      <c r="K614" s="98">
        <f t="shared" ref="K614:X614" si="204">IF(LataProjekcji&lt;=Koniec,ROUND(K600,0),0)</f>
        <v>0</v>
      </c>
      <c r="L614" s="98">
        <f t="shared" si="204"/>
        <v>0</v>
      </c>
      <c r="M614" s="98">
        <f t="shared" si="204"/>
        <v>0</v>
      </c>
      <c r="N614" s="98">
        <f t="shared" si="204"/>
        <v>0</v>
      </c>
      <c r="O614" s="98">
        <f t="shared" si="204"/>
        <v>0</v>
      </c>
      <c r="P614" s="98">
        <f t="shared" si="204"/>
        <v>0</v>
      </c>
      <c r="Q614" s="98">
        <f t="shared" si="204"/>
        <v>0</v>
      </c>
      <c r="R614" s="98">
        <f t="shared" si="204"/>
        <v>0</v>
      </c>
      <c r="S614" s="98">
        <f t="shared" si="204"/>
        <v>0</v>
      </c>
      <c r="T614" s="98">
        <f t="shared" si="204"/>
        <v>0</v>
      </c>
      <c r="U614" s="98">
        <f t="shared" si="204"/>
        <v>0</v>
      </c>
      <c r="V614" s="98">
        <f t="shared" si="204"/>
        <v>0</v>
      </c>
      <c r="W614" s="98">
        <f t="shared" si="204"/>
        <v>0</v>
      </c>
      <c r="X614" s="98">
        <f t="shared" si="204"/>
        <v>0</v>
      </c>
      <c r="Y614" s="194"/>
    </row>
    <row r="615" spans="2:25"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5"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5">
      <c r="B617" s="29" t="s">
        <v>673</v>
      </c>
      <c r="C617" s="29"/>
      <c r="D617" s="30"/>
      <c r="E617" s="30"/>
      <c r="F617" s="30"/>
      <c r="G617" s="30"/>
      <c r="H617" s="30"/>
      <c r="I617" s="30"/>
      <c r="J617" s="30"/>
      <c r="K617" s="156" t="str">
        <f t="shared" ref="K617:X617" si="205">LataProjekcji</f>
        <v>Uzupełnij dane</v>
      </c>
      <c r="L617" s="156" t="str">
        <f t="shared" si="205"/>
        <v/>
      </c>
      <c r="M617" s="156" t="str">
        <f t="shared" si="205"/>
        <v/>
      </c>
      <c r="N617" s="156" t="str">
        <f t="shared" si="205"/>
        <v/>
      </c>
      <c r="O617" s="156" t="str">
        <f t="shared" si="205"/>
        <v/>
      </c>
      <c r="P617" s="156" t="str">
        <f t="shared" si="205"/>
        <v/>
      </c>
      <c r="Q617" s="156" t="str">
        <f t="shared" si="205"/>
        <v/>
      </c>
      <c r="R617" s="156" t="str">
        <f t="shared" si="205"/>
        <v/>
      </c>
      <c r="S617" s="185" t="str">
        <f t="shared" si="205"/>
        <v/>
      </c>
      <c r="T617" s="185" t="str">
        <f t="shared" si="205"/>
        <v/>
      </c>
      <c r="U617" s="185" t="str">
        <f t="shared" si="205"/>
        <v/>
      </c>
      <c r="V617" s="185" t="str">
        <f t="shared" si="205"/>
        <v/>
      </c>
      <c r="W617" s="185" t="str">
        <f t="shared" si="205"/>
        <v/>
      </c>
      <c r="X617" s="185" t="str">
        <f t="shared" si="205"/>
        <v/>
      </c>
    </row>
    <row r="618" spans="2:25">
      <c r="B618" s="102" t="s">
        <v>332</v>
      </c>
      <c r="C618" s="102"/>
      <c r="D618" s="102"/>
      <c r="E618" s="102"/>
      <c r="F618" s="102"/>
      <c r="G618" s="102"/>
      <c r="H618" s="102"/>
      <c r="I618" s="102"/>
      <c r="J618" s="102"/>
      <c r="K618" s="103">
        <f t="shared" ref="K618:X618" si="206">IF(LataProjekcji&lt;=Koniec,ROUND(K605-K630,0),0)</f>
        <v>0</v>
      </c>
      <c r="L618" s="103">
        <f t="shared" si="206"/>
        <v>0</v>
      </c>
      <c r="M618" s="103">
        <f t="shared" si="206"/>
        <v>0</v>
      </c>
      <c r="N618" s="103">
        <f t="shared" si="206"/>
        <v>0</v>
      </c>
      <c r="O618" s="103">
        <f t="shared" si="206"/>
        <v>0</v>
      </c>
      <c r="P618" s="103">
        <f t="shared" si="206"/>
        <v>0</v>
      </c>
      <c r="Q618" s="103">
        <f t="shared" si="206"/>
        <v>0</v>
      </c>
      <c r="R618" s="103">
        <f t="shared" si="206"/>
        <v>0</v>
      </c>
      <c r="S618" s="103">
        <f t="shared" si="206"/>
        <v>0</v>
      </c>
      <c r="T618" s="103">
        <f t="shared" si="206"/>
        <v>0</v>
      </c>
      <c r="U618" s="103">
        <f t="shared" si="206"/>
        <v>0</v>
      </c>
      <c r="V618" s="103">
        <f t="shared" si="206"/>
        <v>0</v>
      </c>
      <c r="W618" s="103">
        <f t="shared" si="206"/>
        <v>0</v>
      </c>
      <c r="X618" s="103">
        <f t="shared" si="206"/>
        <v>0</v>
      </c>
    </row>
    <row r="619" spans="2:25">
      <c r="B619" s="52" t="s">
        <v>312</v>
      </c>
      <c r="C619" s="52"/>
      <c r="D619" s="52"/>
      <c r="E619" s="52"/>
      <c r="F619" s="52"/>
      <c r="G619" s="52"/>
      <c r="H619" s="52"/>
      <c r="I619" s="52"/>
      <c r="J619" s="52"/>
      <c r="K619" s="33">
        <f t="shared" ref="K619:X619" si="207">IF(LataProjekcji&lt;=Koniec,ROUND(K606-K631,0),0)</f>
        <v>0</v>
      </c>
      <c r="L619" s="33">
        <f t="shared" si="207"/>
        <v>0</v>
      </c>
      <c r="M619" s="33">
        <f t="shared" si="207"/>
        <v>0</v>
      </c>
      <c r="N619" s="33">
        <f t="shared" si="207"/>
        <v>0</v>
      </c>
      <c r="O619" s="33">
        <f t="shared" si="207"/>
        <v>0</v>
      </c>
      <c r="P619" s="33">
        <f t="shared" si="207"/>
        <v>0</v>
      </c>
      <c r="Q619" s="33">
        <f t="shared" si="207"/>
        <v>0</v>
      </c>
      <c r="R619" s="33">
        <f t="shared" si="207"/>
        <v>0</v>
      </c>
      <c r="S619" s="33">
        <f t="shared" si="207"/>
        <v>0</v>
      </c>
      <c r="T619" s="33">
        <f t="shared" si="207"/>
        <v>0</v>
      </c>
      <c r="U619" s="33">
        <f t="shared" si="207"/>
        <v>0</v>
      </c>
      <c r="V619" s="33">
        <f t="shared" si="207"/>
        <v>0</v>
      </c>
      <c r="W619" s="33">
        <f t="shared" si="207"/>
        <v>0</v>
      </c>
      <c r="X619" s="33">
        <f t="shared" si="207"/>
        <v>0</v>
      </c>
    </row>
    <row r="620" spans="2:25">
      <c r="B620" s="52" t="s">
        <v>314</v>
      </c>
      <c r="C620" s="52"/>
      <c r="D620" s="52"/>
      <c r="E620" s="52"/>
      <c r="F620" s="52"/>
      <c r="G620" s="52"/>
      <c r="H620" s="52"/>
      <c r="I620" s="52"/>
      <c r="J620" s="52"/>
      <c r="K620" s="33">
        <f t="shared" ref="K620:X620" si="208">IF(LataProjekcji&lt;=Koniec,ROUND(K607-K632,0),0)</f>
        <v>0</v>
      </c>
      <c r="L620" s="33">
        <f t="shared" si="208"/>
        <v>0</v>
      </c>
      <c r="M620" s="33">
        <f t="shared" si="208"/>
        <v>0</v>
      </c>
      <c r="N620" s="33">
        <f t="shared" si="208"/>
        <v>0</v>
      </c>
      <c r="O620" s="33">
        <f t="shared" si="208"/>
        <v>0</v>
      </c>
      <c r="P620" s="33">
        <f t="shared" si="208"/>
        <v>0</v>
      </c>
      <c r="Q620" s="33">
        <f t="shared" si="208"/>
        <v>0</v>
      </c>
      <c r="R620" s="33">
        <f t="shared" si="208"/>
        <v>0</v>
      </c>
      <c r="S620" s="33">
        <f t="shared" si="208"/>
        <v>0</v>
      </c>
      <c r="T620" s="33">
        <f t="shared" si="208"/>
        <v>0</v>
      </c>
      <c r="U620" s="33">
        <f t="shared" si="208"/>
        <v>0</v>
      </c>
      <c r="V620" s="33">
        <f t="shared" si="208"/>
        <v>0</v>
      </c>
      <c r="W620" s="33">
        <f t="shared" si="208"/>
        <v>0</v>
      </c>
      <c r="X620" s="33">
        <f t="shared" si="208"/>
        <v>0</v>
      </c>
    </row>
    <row r="621" spans="2:25">
      <c r="B621" s="52" t="s">
        <v>333</v>
      </c>
      <c r="C621" s="52"/>
      <c r="D621" s="52"/>
      <c r="E621" s="52"/>
      <c r="F621" s="52"/>
      <c r="G621" s="52"/>
      <c r="H621" s="52"/>
      <c r="I621" s="52"/>
      <c r="J621" s="52"/>
      <c r="K621" s="33">
        <f t="shared" ref="K621:X621" si="209">IF(LataProjekcji&lt;=Koniec,ROUND(K608-K633,0),0)</f>
        <v>0</v>
      </c>
      <c r="L621" s="33">
        <f t="shared" si="209"/>
        <v>0</v>
      </c>
      <c r="M621" s="33">
        <f t="shared" si="209"/>
        <v>0</v>
      </c>
      <c r="N621" s="33">
        <f t="shared" si="209"/>
        <v>0</v>
      </c>
      <c r="O621" s="33">
        <f t="shared" si="209"/>
        <v>0</v>
      </c>
      <c r="P621" s="33">
        <f t="shared" si="209"/>
        <v>0</v>
      </c>
      <c r="Q621" s="33">
        <f t="shared" si="209"/>
        <v>0</v>
      </c>
      <c r="R621" s="33">
        <f t="shared" si="209"/>
        <v>0</v>
      </c>
      <c r="S621" s="33">
        <f t="shared" si="209"/>
        <v>0</v>
      </c>
      <c r="T621" s="33">
        <f t="shared" si="209"/>
        <v>0</v>
      </c>
      <c r="U621" s="33">
        <f t="shared" si="209"/>
        <v>0</v>
      </c>
      <c r="V621" s="33">
        <f t="shared" si="209"/>
        <v>0</v>
      </c>
      <c r="W621" s="33">
        <f t="shared" si="209"/>
        <v>0</v>
      </c>
      <c r="X621" s="33">
        <f t="shared" si="209"/>
        <v>0</v>
      </c>
    </row>
    <row r="622" spans="2:25">
      <c r="B622" s="52" t="s">
        <v>320</v>
      </c>
      <c r="C622" s="52"/>
      <c r="D622" s="52"/>
      <c r="E622" s="52"/>
      <c r="F622" s="52"/>
      <c r="G622" s="52"/>
      <c r="H622" s="52"/>
      <c r="I622" s="52"/>
      <c r="J622" s="52"/>
      <c r="K622" s="33">
        <f t="shared" ref="K622:X622" si="210">IF(LataProjekcji&lt;=Koniec,ROUND(K609-K634,0),0)</f>
        <v>0</v>
      </c>
      <c r="L622" s="33">
        <f t="shared" si="210"/>
        <v>0</v>
      </c>
      <c r="M622" s="33">
        <f t="shared" si="210"/>
        <v>0</v>
      </c>
      <c r="N622" s="33">
        <f t="shared" si="210"/>
        <v>0</v>
      </c>
      <c r="O622" s="33">
        <f t="shared" si="210"/>
        <v>0</v>
      </c>
      <c r="P622" s="33">
        <f t="shared" si="210"/>
        <v>0</v>
      </c>
      <c r="Q622" s="33">
        <f t="shared" si="210"/>
        <v>0</v>
      </c>
      <c r="R622" s="33">
        <f t="shared" si="210"/>
        <v>0</v>
      </c>
      <c r="S622" s="33">
        <f t="shared" si="210"/>
        <v>0</v>
      </c>
      <c r="T622" s="33">
        <f t="shared" si="210"/>
        <v>0</v>
      </c>
      <c r="U622" s="33">
        <f t="shared" si="210"/>
        <v>0</v>
      </c>
      <c r="V622" s="33">
        <f t="shared" si="210"/>
        <v>0</v>
      </c>
      <c r="W622" s="33">
        <f t="shared" si="210"/>
        <v>0</v>
      </c>
      <c r="X622" s="33">
        <f t="shared" si="210"/>
        <v>0</v>
      </c>
    </row>
    <row r="623" spans="2:25">
      <c r="B623" s="52" t="s">
        <v>323</v>
      </c>
      <c r="C623" s="52"/>
      <c r="D623" s="52"/>
      <c r="E623" s="52"/>
      <c r="F623" s="52"/>
      <c r="G623" s="52"/>
      <c r="H623" s="52"/>
      <c r="I623" s="52"/>
      <c r="J623" s="52"/>
      <c r="K623" s="33">
        <f t="shared" ref="K623:X623" si="211">IF(LataProjekcji&lt;=Koniec,ROUND(K610-K635,0),0)</f>
        <v>0</v>
      </c>
      <c r="L623" s="33">
        <f t="shared" si="211"/>
        <v>0</v>
      </c>
      <c r="M623" s="33">
        <f t="shared" si="211"/>
        <v>0</v>
      </c>
      <c r="N623" s="33">
        <f t="shared" si="211"/>
        <v>0</v>
      </c>
      <c r="O623" s="33">
        <f t="shared" si="211"/>
        <v>0</v>
      </c>
      <c r="P623" s="33">
        <f t="shared" si="211"/>
        <v>0</v>
      </c>
      <c r="Q623" s="33">
        <f t="shared" si="211"/>
        <v>0</v>
      </c>
      <c r="R623" s="33">
        <f t="shared" si="211"/>
        <v>0</v>
      </c>
      <c r="S623" s="33">
        <f t="shared" si="211"/>
        <v>0</v>
      </c>
      <c r="T623" s="33">
        <f t="shared" si="211"/>
        <v>0</v>
      </c>
      <c r="U623" s="33">
        <f t="shared" si="211"/>
        <v>0</v>
      </c>
      <c r="V623" s="33">
        <f t="shared" si="211"/>
        <v>0</v>
      </c>
      <c r="W623" s="33">
        <f t="shared" si="211"/>
        <v>0</v>
      </c>
      <c r="X623" s="33">
        <f t="shared" si="211"/>
        <v>0</v>
      </c>
    </row>
    <row r="624" spans="2:25">
      <c r="B624" s="106" t="s">
        <v>334</v>
      </c>
      <c r="C624" s="106"/>
      <c r="D624" s="106"/>
      <c r="E624" s="106"/>
      <c r="F624" s="106"/>
      <c r="G624" s="106"/>
      <c r="H624" s="106"/>
      <c r="I624" s="106"/>
      <c r="J624" s="106"/>
      <c r="K624" s="107">
        <f t="shared" ref="K624:X624" si="212">IF(LataProjekcji&lt;=Koniec,ROUND(K611-K636,0),0)</f>
        <v>0</v>
      </c>
      <c r="L624" s="107">
        <f t="shared" si="212"/>
        <v>0</v>
      </c>
      <c r="M624" s="107">
        <f t="shared" si="212"/>
        <v>0</v>
      </c>
      <c r="N624" s="107">
        <f t="shared" si="212"/>
        <v>0</v>
      </c>
      <c r="O624" s="107">
        <f t="shared" si="212"/>
        <v>0</v>
      </c>
      <c r="P624" s="107">
        <f t="shared" si="212"/>
        <v>0</v>
      </c>
      <c r="Q624" s="107">
        <f t="shared" si="212"/>
        <v>0</v>
      </c>
      <c r="R624" s="107">
        <f t="shared" si="212"/>
        <v>0</v>
      </c>
      <c r="S624" s="107">
        <f t="shared" si="212"/>
        <v>0</v>
      </c>
      <c r="T624" s="107">
        <f t="shared" si="212"/>
        <v>0</v>
      </c>
      <c r="U624" s="107">
        <f t="shared" si="212"/>
        <v>0</v>
      </c>
      <c r="V624" s="107">
        <f t="shared" si="212"/>
        <v>0</v>
      </c>
      <c r="W624" s="107">
        <f t="shared" si="212"/>
        <v>0</v>
      </c>
      <c r="X624" s="107">
        <f t="shared" si="212"/>
        <v>0</v>
      </c>
    </row>
    <row r="625" spans="2:31">
      <c r="B625" s="99" t="s">
        <v>325</v>
      </c>
      <c r="C625" s="99"/>
      <c r="D625" s="99"/>
      <c r="E625" s="99"/>
      <c r="F625" s="99"/>
      <c r="G625" s="99"/>
      <c r="H625" s="99"/>
      <c r="I625" s="99"/>
      <c r="J625" s="99"/>
      <c r="K625" s="98">
        <f t="shared" ref="K625:X625" si="213">IF(LataProjekcji&lt;=Koniec,ROUND(K613-K637,0),0)</f>
        <v>0</v>
      </c>
      <c r="L625" s="98">
        <f t="shared" si="213"/>
        <v>0</v>
      </c>
      <c r="M625" s="98">
        <f t="shared" si="213"/>
        <v>0</v>
      </c>
      <c r="N625" s="98">
        <f t="shared" si="213"/>
        <v>0</v>
      </c>
      <c r="O625" s="98">
        <f t="shared" si="213"/>
        <v>0</v>
      </c>
      <c r="P625" s="98">
        <f t="shared" si="213"/>
        <v>0</v>
      </c>
      <c r="Q625" s="98">
        <f t="shared" si="213"/>
        <v>0</v>
      </c>
      <c r="R625" s="98">
        <f t="shared" si="213"/>
        <v>0</v>
      </c>
      <c r="S625" s="98">
        <f t="shared" si="213"/>
        <v>0</v>
      </c>
      <c r="T625" s="98">
        <f t="shared" si="213"/>
        <v>0</v>
      </c>
      <c r="U625" s="98">
        <f t="shared" si="213"/>
        <v>0</v>
      </c>
      <c r="V625" s="98">
        <f t="shared" si="213"/>
        <v>0</v>
      </c>
      <c r="W625" s="98">
        <f t="shared" si="213"/>
        <v>0</v>
      </c>
      <c r="X625" s="98">
        <f t="shared" si="213"/>
        <v>0</v>
      </c>
    </row>
    <row r="626" spans="2:31">
      <c r="B626" s="99" t="s">
        <v>327</v>
      </c>
      <c r="C626" s="99"/>
      <c r="D626" s="99"/>
      <c r="E626" s="99"/>
      <c r="F626" s="99"/>
      <c r="G626" s="99"/>
      <c r="H626" s="99"/>
      <c r="I626" s="99"/>
      <c r="J626" s="99"/>
      <c r="K626" s="98">
        <f t="shared" ref="K626:X626" si="214">IF(LataProjekcji&lt;=Koniec,ROUND(K614-K638,0),0)</f>
        <v>0</v>
      </c>
      <c r="L626" s="98">
        <f t="shared" si="214"/>
        <v>0</v>
      </c>
      <c r="M626" s="98">
        <f t="shared" si="214"/>
        <v>0</v>
      </c>
      <c r="N626" s="98">
        <f t="shared" si="214"/>
        <v>0</v>
      </c>
      <c r="O626" s="98">
        <f t="shared" si="214"/>
        <v>0</v>
      </c>
      <c r="P626" s="98">
        <f t="shared" si="214"/>
        <v>0</v>
      </c>
      <c r="Q626" s="98">
        <f t="shared" si="214"/>
        <v>0</v>
      </c>
      <c r="R626" s="98">
        <f t="shared" si="214"/>
        <v>0</v>
      </c>
      <c r="S626" s="98">
        <f t="shared" si="214"/>
        <v>0</v>
      </c>
      <c r="T626" s="98">
        <f t="shared" si="214"/>
        <v>0</v>
      </c>
      <c r="U626" s="98">
        <f t="shared" si="214"/>
        <v>0</v>
      </c>
      <c r="V626" s="98">
        <f t="shared" si="214"/>
        <v>0</v>
      </c>
      <c r="W626" s="98">
        <f t="shared" si="214"/>
        <v>0</v>
      </c>
      <c r="X626" s="98">
        <f t="shared" si="214"/>
        <v>0</v>
      </c>
    </row>
    <row r="627" spans="2:31"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31"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31">
      <c r="B629" s="29" t="s">
        <v>672</v>
      </c>
      <c r="C629" s="29"/>
      <c r="D629" s="30"/>
      <c r="E629" s="30"/>
      <c r="F629" s="30"/>
      <c r="G629" s="30"/>
      <c r="H629" s="30"/>
      <c r="I629" s="30"/>
      <c r="J629" s="30"/>
      <c r="K629" s="156" t="str">
        <f t="shared" ref="K629:X629" si="215">LataProjekcji</f>
        <v>Uzupełnij dane</v>
      </c>
      <c r="L629" s="156" t="str">
        <f t="shared" si="215"/>
        <v/>
      </c>
      <c r="M629" s="156" t="str">
        <f t="shared" si="215"/>
        <v/>
      </c>
      <c r="N629" s="156" t="str">
        <f t="shared" si="215"/>
        <v/>
      </c>
      <c r="O629" s="156" t="str">
        <f t="shared" si="215"/>
        <v/>
      </c>
      <c r="P629" s="156" t="str">
        <f t="shared" si="215"/>
        <v/>
      </c>
      <c r="Q629" s="156" t="str">
        <f t="shared" si="215"/>
        <v/>
      </c>
      <c r="R629" s="156" t="str">
        <f t="shared" si="215"/>
        <v/>
      </c>
      <c r="S629" s="185" t="str">
        <f t="shared" si="215"/>
        <v/>
      </c>
      <c r="T629" s="185" t="str">
        <f t="shared" si="215"/>
        <v/>
      </c>
      <c r="U629" s="185" t="str">
        <f t="shared" si="215"/>
        <v/>
      </c>
      <c r="V629" s="185" t="str">
        <f t="shared" si="215"/>
        <v/>
      </c>
      <c r="W629" s="185" t="str">
        <f t="shared" si="215"/>
        <v/>
      </c>
      <c r="X629" s="185" t="str">
        <f t="shared" si="215"/>
        <v/>
      </c>
    </row>
    <row r="630" spans="2:31">
      <c r="B630" s="102" t="s">
        <v>332</v>
      </c>
      <c r="C630" s="102"/>
      <c r="D630" s="102"/>
      <c r="E630" s="102"/>
      <c r="F630" s="102"/>
      <c r="G630" s="102"/>
      <c r="H630" s="102"/>
      <c r="I630" s="102"/>
      <c r="J630" s="102"/>
      <c r="K630" s="103">
        <f t="shared" ref="K630:X630" si="216">IF(LataProjekcji&lt;=Koniec,K909,0)</f>
        <v>0</v>
      </c>
      <c r="L630" s="103">
        <f t="shared" si="216"/>
        <v>0</v>
      </c>
      <c r="M630" s="103">
        <f t="shared" si="216"/>
        <v>0</v>
      </c>
      <c r="N630" s="103">
        <f t="shared" si="216"/>
        <v>0</v>
      </c>
      <c r="O630" s="103">
        <f t="shared" si="216"/>
        <v>0</v>
      </c>
      <c r="P630" s="103">
        <f t="shared" si="216"/>
        <v>0</v>
      </c>
      <c r="Q630" s="103">
        <f t="shared" si="216"/>
        <v>0</v>
      </c>
      <c r="R630" s="103">
        <f t="shared" si="216"/>
        <v>0</v>
      </c>
      <c r="S630" s="103">
        <f t="shared" si="216"/>
        <v>0</v>
      </c>
      <c r="T630" s="103">
        <f t="shared" si="216"/>
        <v>0</v>
      </c>
      <c r="U630" s="103">
        <f t="shared" si="216"/>
        <v>0</v>
      </c>
      <c r="V630" s="103">
        <f t="shared" si="216"/>
        <v>0</v>
      </c>
      <c r="W630" s="103">
        <f t="shared" si="216"/>
        <v>0</v>
      </c>
      <c r="X630" s="103">
        <f t="shared" si="216"/>
        <v>0</v>
      </c>
    </row>
    <row r="631" spans="2:31">
      <c r="B631" s="52" t="s">
        <v>312</v>
      </c>
      <c r="C631" s="52"/>
      <c r="D631" s="52"/>
      <c r="E631" s="52"/>
      <c r="F631" s="52"/>
      <c r="G631" s="52"/>
      <c r="H631" s="52"/>
      <c r="I631" s="52"/>
      <c r="J631" s="52"/>
      <c r="K631" s="33">
        <f t="shared" ref="K631:X631" si="217">IF(LataProjekcji&lt;=Koniec,K910,0)</f>
        <v>0</v>
      </c>
      <c r="L631" s="33">
        <f t="shared" si="217"/>
        <v>0</v>
      </c>
      <c r="M631" s="33">
        <f t="shared" si="217"/>
        <v>0</v>
      </c>
      <c r="N631" s="33">
        <f t="shared" si="217"/>
        <v>0</v>
      </c>
      <c r="O631" s="33">
        <f t="shared" si="217"/>
        <v>0</v>
      </c>
      <c r="P631" s="33">
        <f t="shared" si="217"/>
        <v>0</v>
      </c>
      <c r="Q631" s="33">
        <f t="shared" si="217"/>
        <v>0</v>
      </c>
      <c r="R631" s="33">
        <f t="shared" si="217"/>
        <v>0</v>
      </c>
      <c r="S631" s="33">
        <f t="shared" si="217"/>
        <v>0</v>
      </c>
      <c r="T631" s="33">
        <f t="shared" si="217"/>
        <v>0</v>
      </c>
      <c r="U631" s="33">
        <f t="shared" si="217"/>
        <v>0</v>
      </c>
      <c r="V631" s="33">
        <f t="shared" si="217"/>
        <v>0</v>
      </c>
      <c r="W631" s="33">
        <f t="shared" si="217"/>
        <v>0</v>
      </c>
      <c r="X631" s="33">
        <f t="shared" si="217"/>
        <v>0</v>
      </c>
    </row>
    <row r="632" spans="2:31">
      <c r="B632" s="52" t="s">
        <v>314</v>
      </c>
      <c r="C632" s="52"/>
      <c r="D632" s="52"/>
      <c r="E632" s="52"/>
      <c r="F632" s="52"/>
      <c r="G632" s="52"/>
      <c r="H632" s="52"/>
      <c r="I632" s="52"/>
      <c r="J632" s="52"/>
      <c r="K632" s="33">
        <f t="shared" ref="K632:X632" si="218">IF(LataProjekcji&lt;=Koniec,K911,0)</f>
        <v>0</v>
      </c>
      <c r="L632" s="33">
        <f t="shared" si="218"/>
        <v>0</v>
      </c>
      <c r="M632" s="33">
        <f t="shared" si="218"/>
        <v>0</v>
      </c>
      <c r="N632" s="33">
        <f t="shared" si="218"/>
        <v>0</v>
      </c>
      <c r="O632" s="33">
        <f t="shared" si="218"/>
        <v>0</v>
      </c>
      <c r="P632" s="33">
        <f t="shared" si="218"/>
        <v>0</v>
      </c>
      <c r="Q632" s="33">
        <f t="shared" si="218"/>
        <v>0</v>
      </c>
      <c r="R632" s="33">
        <f t="shared" si="218"/>
        <v>0</v>
      </c>
      <c r="S632" s="33">
        <f t="shared" si="218"/>
        <v>0</v>
      </c>
      <c r="T632" s="33">
        <f t="shared" si="218"/>
        <v>0</v>
      </c>
      <c r="U632" s="33">
        <f t="shared" si="218"/>
        <v>0</v>
      </c>
      <c r="V632" s="33">
        <f t="shared" si="218"/>
        <v>0</v>
      </c>
      <c r="W632" s="33">
        <f t="shared" si="218"/>
        <v>0</v>
      </c>
      <c r="X632" s="33">
        <f t="shared" si="218"/>
        <v>0</v>
      </c>
    </row>
    <row r="633" spans="2:31">
      <c r="B633" s="52" t="s">
        <v>333</v>
      </c>
      <c r="C633" s="52"/>
      <c r="D633" s="52"/>
      <c r="E633" s="52"/>
      <c r="F633" s="52"/>
      <c r="G633" s="52"/>
      <c r="H633" s="52"/>
      <c r="I633" s="52"/>
      <c r="J633" s="52"/>
      <c r="K633" s="33">
        <f t="shared" ref="K633:X633" si="219">IF(LataProjekcji&lt;=Koniec,K912,0)</f>
        <v>0</v>
      </c>
      <c r="L633" s="33">
        <f t="shared" si="219"/>
        <v>0</v>
      </c>
      <c r="M633" s="33">
        <f t="shared" si="219"/>
        <v>0</v>
      </c>
      <c r="N633" s="33">
        <f t="shared" si="219"/>
        <v>0</v>
      </c>
      <c r="O633" s="33">
        <f t="shared" si="219"/>
        <v>0</v>
      </c>
      <c r="P633" s="33">
        <f t="shared" si="219"/>
        <v>0</v>
      </c>
      <c r="Q633" s="33">
        <f t="shared" si="219"/>
        <v>0</v>
      </c>
      <c r="R633" s="33">
        <f t="shared" si="219"/>
        <v>0</v>
      </c>
      <c r="S633" s="33">
        <f t="shared" si="219"/>
        <v>0</v>
      </c>
      <c r="T633" s="33">
        <f t="shared" si="219"/>
        <v>0</v>
      </c>
      <c r="U633" s="33">
        <f t="shared" si="219"/>
        <v>0</v>
      </c>
      <c r="V633" s="33">
        <f t="shared" si="219"/>
        <v>0</v>
      </c>
      <c r="W633" s="33">
        <f t="shared" si="219"/>
        <v>0</v>
      </c>
      <c r="X633" s="33">
        <f t="shared" si="219"/>
        <v>0</v>
      </c>
    </row>
    <row r="634" spans="2:31">
      <c r="B634" s="52" t="s">
        <v>320</v>
      </c>
      <c r="C634" s="52"/>
      <c r="D634" s="52"/>
      <c r="E634" s="52"/>
      <c r="F634" s="52"/>
      <c r="G634" s="52"/>
      <c r="H634" s="52"/>
      <c r="I634" s="52"/>
      <c r="J634" s="52"/>
      <c r="K634" s="33">
        <f t="shared" ref="K634:X634" si="220">IF(LataProjekcji&lt;=Koniec,K913,0)</f>
        <v>0</v>
      </c>
      <c r="L634" s="33">
        <f t="shared" si="220"/>
        <v>0</v>
      </c>
      <c r="M634" s="33">
        <f t="shared" si="220"/>
        <v>0</v>
      </c>
      <c r="N634" s="33">
        <f t="shared" si="220"/>
        <v>0</v>
      </c>
      <c r="O634" s="33">
        <f t="shared" si="220"/>
        <v>0</v>
      </c>
      <c r="P634" s="33">
        <f t="shared" si="220"/>
        <v>0</v>
      </c>
      <c r="Q634" s="33">
        <f t="shared" si="220"/>
        <v>0</v>
      </c>
      <c r="R634" s="33">
        <f t="shared" si="220"/>
        <v>0</v>
      </c>
      <c r="S634" s="33">
        <f t="shared" si="220"/>
        <v>0</v>
      </c>
      <c r="T634" s="33">
        <f t="shared" si="220"/>
        <v>0</v>
      </c>
      <c r="U634" s="33">
        <f t="shared" si="220"/>
        <v>0</v>
      </c>
      <c r="V634" s="33">
        <f t="shared" si="220"/>
        <v>0</v>
      </c>
      <c r="W634" s="33">
        <f t="shared" si="220"/>
        <v>0</v>
      </c>
      <c r="X634" s="33">
        <f t="shared" si="220"/>
        <v>0</v>
      </c>
      <c r="AE634" s="5"/>
    </row>
    <row r="635" spans="2:31">
      <c r="B635" s="52" t="s">
        <v>323</v>
      </c>
      <c r="C635" s="52"/>
      <c r="D635" s="52"/>
      <c r="E635" s="52"/>
      <c r="F635" s="52"/>
      <c r="G635" s="52"/>
      <c r="H635" s="52"/>
      <c r="I635" s="52"/>
      <c r="J635" s="52"/>
      <c r="K635" s="33">
        <f>IF(LataProjekcji&lt;=Koniec,K914,0)</f>
        <v>0</v>
      </c>
      <c r="L635" s="33">
        <f t="shared" ref="L635:X635" si="221">IF(LataProjekcji&lt;=Koniec,L914,0)</f>
        <v>0</v>
      </c>
      <c r="M635" s="33">
        <f t="shared" si="221"/>
        <v>0</v>
      </c>
      <c r="N635" s="33">
        <f t="shared" si="221"/>
        <v>0</v>
      </c>
      <c r="O635" s="33">
        <f t="shared" si="221"/>
        <v>0</v>
      </c>
      <c r="P635" s="33">
        <f t="shared" si="221"/>
        <v>0</v>
      </c>
      <c r="Q635" s="33">
        <f t="shared" si="221"/>
        <v>0</v>
      </c>
      <c r="R635" s="33">
        <f t="shared" si="221"/>
        <v>0</v>
      </c>
      <c r="S635" s="33">
        <f t="shared" si="221"/>
        <v>0</v>
      </c>
      <c r="T635" s="33">
        <f t="shared" si="221"/>
        <v>0</v>
      </c>
      <c r="U635" s="33">
        <f t="shared" si="221"/>
        <v>0</v>
      </c>
      <c r="V635" s="33">
        <f t="shared" si="221"/>
        <v>0</v>
      </c>
      <c r="W635" s="33">
        <f t="shared" si="221"/>
        <v>0</v>
      </c>
      <c r="X635" s="33">
        <f t="shared" si="221"/>
        <v>0</v>
      </c>
      <c r="AE635" s="5"/>
    </row>
    <row r="636" spans="2:31">
      <c r="B636" s="106" t="s">
        <v>334</v>
      </c>
      <c r="C636" s="106"/>
      <c r="D636" s="106"/>
      <c r="E636" s="106"/>
      <c r="F636" s="106"/>
      <c r="G636" s="106"/>
      <c r="H636" s="106"/>
      <c r="I636" s="106"/>
      <c r="J636" s="106"/>
      <c r="K636" s="107">
        <f t="shared" ref="K636:X636" si="222">IF(LataProjekcji&lt;=Koniec,K915,0)</f>
        <v>0</v>
      </c>
      <c r="L636" s="107">
        <f t="shared" si="222"/>
        <v>0</v>
      </c>
      <c r="M636" s="107">
        <f t="shared" si="222"/>
        <v>0</v>
      </c>
      <c r="N636" s="107">
        <f t="shared" si="222"/>
        <v>0</v>
      </c>
      <c r="O636" s="107">
        <f t="shared" si="222"/>
        <v>0</v>
      </c>
      <c r="P636" s="107">
        <f t="shared" si="222"/>
        <v>0</v>
      </c>
      <c r="Q636" s="107">
        <f t="shared" si="222"/>
        <v>0</v>
      </c>
      <c r="R636" s="107">
        <f t="shared" si="222"/>
        <v>0</v>
      </c>
      <c r="S636" s="107">
        <f t="shared" si="222"/>
        <v>0</v>
      </c>
      <c r="T636" s="107">
        <f t="shared" si="222"/>
        <v>0</v>
      </c>
      <c r="U636" s="107">
        <f t="shared" si="222"/>
        <v>0</v>
      </c>
      <c r="V636" s="107">
        <f t="shared" si="222"/>
        <v>0</v>
      </c>
      <c r="W636" s="107">
        <f t="shared" si="222"/>
        <v>0</v>
      </c>
      <c r="X636" s="107">
        <f t="shared" si="222"/>
        <v>0</v>
      </c>
    </row>
    <row r="637" spans="2:31">
      <c r="B637" s="99" t="s">
        <v>325</v>
      </c>
      <c r="C637" s="99"/>
      <c r="D637" s="99"/>
      <c r="E637" s="99"/>
      <c r="F637" s="99"/>
      <c r="G637" s="99"/>
      <c r="H637" s="99"/>
      <c r="I637" s="99"/>
      <c r="J637" s="99"/>
      <c r="K637" s="98">
        <f t="shared" ref="K637:X637" si="223">IF(LataProjekcji&lt;=Koniec,K916,0)</f>
        <v>0</v>
      </c>
      <c r="L637" s="98">
        <f t="shared" si="223"/>
        <v>0</v>
      </c>
      <c r="M637" s="98">
        <f t="shared" si="223"/>
        <v>0</v>
      </c>
      <c r="N637" s="98">
        <f t="shared" si="223"/>
        <v>0</v>
      </c>
      <c r="O637" s="98">
        <f t="shared" si="223"/>
        <v>0</v>
      </c>
      <c r="P637" s="98">
        <f t="shared" si="223"/>
        <v>0</v>
      </c>
      <c r="Q637" s="98">
        <f t="shared" si="223"/>
        <v>0</v>
      </c>
      <c r="R637" s="98">
        <f t="shared" si="223"/>
        <v>0</v>
      </c>
      <c r="S637" s="98">
        <f t="shared" si="223"/>
        <v>0</v>
      </c>
      <c r="T637" s="98">
        <f t="shared" si="223"/>
        <v>0</v>
      </c>
      <c r="U637" s="98">
        <f t="shared" si="223"/>
        <v>0</v>
      </c>
      <c r="V637" s="98">
        <f t="shared" si="223"/>
        <v>0</v>
      </c>
      <c r="W637" s="98">
        <f t="shared" si="223"/>
        <v>0</v>
      </c>
      <c r="X637" s="98">
        <f t="shared" si="223"/>
        <v>0</v>
      </c>
    </row>
    <row r="638" spans="2:31">
      <c r="B638" s="99" t="s">
        <v>327</v>
      </c>
      <c r="C638" s="99"/>
      <c r="D638" s="99"/>
      <c r="E638" s="99"/>
      <c r="F638" s="99"/>
      <c r="G638" s="99"/>
      <c r="H638" s="99"/>
      <c r="I638" s="99"/>
      <c r="J638" s="99"/>
      <c r="K638" s="98">
        <f t="shared" ref="K638:X638" si="224">IF(LataProjekcji&lt;=Koniec,K917,0)</f>
        <v>0</v>
      </c>
      <c r="L638" s="98">
        <f t="shared" si="224"/>
        <v>0</v>
      </c>
      <c r="M638" s="98">
        <f t="shared" si="224"/>
        <v>0</v>
      </c>
      <c r="N638" s="98">
        <f t="shared" si="224"/>
        <v>0</v>
      </c>
      <c r="O638" s="98">
        <f t="shared" si="224"/>
        <v>0</v>
      </c>
      <c r="P638" s="98">
        <f t="shared" si="224"/>
        <v>0</v>
      </c>
      <c r="Q638" s="98">
        <f t="shared" si="224"/>
        <v>0</v>
      </c>
      <c r="R638" s="98">
        <f t="shared" si="224"/>
        <v>0</v>
      </c>
      <c r="S638" s="98">
        <f t="shared" si="224"/>
        <v>0</v>
      </c>
      <c r="T638" s="98">
        <f t="shared" si="224"/>
        <v>0</v>
      </c>
      <c r="U638" s="98">
        <f t="shared" si="224"/>
        <v>0</v>
      </c>
      <c r="V638" s="98">
        <f t="shared" si="224"/>
        <v>0</v>
      </c>
      <c r="W638" s="98">
        <f t="shared" si="224"/>
        <v>0</v>
      </c>
      <c r="X638" s="98">
        <f t="shared" si="224"/>
        <v>0</v>
      </c>
    </row>
    <row r="639" spans="2:31"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31"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3" ht="14.4">
      <c r="B641" s="11" t="s">
        <v>51</v>
      </c>
      <c r="C641" s="11"/>
    </row>
    <row r="642" spans="2:3"/>
    <row r="643" spans="2:3"/>
    <row r="644" spans="2:3"/>
    <row r="645" spans="2:3"/>
    <row r="646" spans="2:3"/>
    <row r="647" spans="2:3"/>
    <row r="648" spans="2:3"/>
    <row r="649" spans="2:3"/>
    <row r="650" spans="2:3"/>
    <row r="651" spans="2:3"/>
    <row r="652" spans="2:3"/>
    <row r="653" spans="2:3"/>
    <row r="654" spans="2:3"/>
    <row r="655" spans="2:3"/>
    <row r="656" spans="2:3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98" spans="1:24" hidden="1">
      <c r="B698" s="20" t="s">
        <v>677</v>
      </c>
      <c r="C698" s="20"/>
      <c r="D698" s="82" t="s">
        <v>336</v>
      </c>
      <c r="E698" s="20" t="s">
        <v>337</v>
      </c>
      <c r="F698" s="21"/>
      <c r="G698" s="21"/>
      <c r="H698" s="21"/>
      <c r="I698" s="21"/>
      <c r="J698" s="452"/>
      <c r="K698" s="64" t="str">
        <f t="shared" ref="K698:X698" si="225">LataProjekcji</f>
        <v>Uzupełnij dane</v>
      </c>
      <c r="L698" s="64" t="str">
        <f t="shared" si="225"/>
        <v/>
      </c>
      <c r="M698" s="64" t="str">
        <f t="shared" si="225"/>
        <v/>
      </c>
      <c r="N698" s="64" t="str">
        <f t="shared" si="225"/>
        <v/>
      </c>
      <c r="O698" s="64" t="str">
        <f t="shared" si="225"/>
        <v/>
      </c>
      <c r="P698" s="64" t="str">
        <f t="shared" si="225"/>
        <v/>
      </c>
      <c r="Q698" s="64" t="str">
        <f t="shared" si="225"/>
        <v/>
      </c>
      <c r="R698" s="64" t="str">
        <f t="shared" si="225"/>
        <v/>
      </c>
      <c r="S698" s="64" t="str">
        <f t="shared" si="225"/>
        <v/>
      </c>
      <c r="T698" s="64" t="str">
        <f t="shared" si="225"/>
        <v/>
      </c>
      <c r="U698" s="64" t="str">
        <f t="shared" si="225"/>
        <v/>
      </c>
      <c r="V698" s="64" t="str">
        <f t="shared" si="225"/>
        <v/>
      </c>
      <c r="W698" s="64" t="str">
        <f t="shared" si="225"/>
        <v/>
      </c>
      <c r="X698" s="64" t="str">
        <f t="shared" si="225"/>
        <v/>
      </c>
    </row>
    <row r="699" spans="1:24" hidden="1">
      <c r="B699" s="58"/>
      <c r="C699" s="58"/>
      <c r="D699" s="83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</row>
    <row r="700" spans="1:24" hidden="1">
      <c r="B700" s="20" t="s">
        <v>338</v>
      </c>
      <c r="C700" s="20"/>
      <c r="D700" s="80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259"/>
      <c r="B701" s="59" t="str">
        <f t="shared" ref="B701:E720" si="226">IF(ISBLANK(B117),"",B117)</f>
        <v/>
      </c>
      <c r="C701" s="59" t="str">
        <f t="shared" si="226"/>
        <v/>
      </c>
      <c r="D701" s="59" t="str">
        <f t="shared" si="226"/>
        <v/>
      </c>
      <c r="E701" s="59" t="str">
        <f t="shared" si="226"/>
        <v/>
      </c>
      <c r="F701" s="59"/>
      <c r="G701" s="59"/>
      <c r="H701" s="59"/>
      <c r="I701" s="59"/>
      <c r="J701" s="453"/>
      <c r="K701" s="60">
        <f t="shared" ref="K701:X701" si="227">IF(AND($C701="B+R",$E701="prace rozwojowe",LataProjekcji&lt;=Koniec_PR,Modul_badawczo_rozwojowy=tak),ROUND(K117,0),0)</f>
        <v>0</v>
      </c>
      <c r="L701" s="60">
        <f t="shared" si="227"/>
        <v>0</v>
      </c>
      <c r="M701" s="60">
        <f t="shared" si="227"/>
        <v>0</v>
      </c>
      <c r="N701" s="60">
        <f t="shared" si="227"/>
        <v>0</v>
      </c>
      <c r="O701" s="60">
        <f t="shared" si="227"/>
        <v>0</v>
      </c>
      <c r="P701" s="60">
        <f t="shared" si="227"/>
        <v>0</v>
      </c>
      <c r="Q701" s="60">
        <f t="shared" si="227"/>
        <v>0</v>
      </c>
      <c r="R701" s="60">
        <f t="shared" si="227"/>
        <v>0</v>
      </c>
      <c r="S701" s="60">
        <f t="shared" si="227"/>
        <v>0</v>
      </c>
      <c r="T701" s="60">
        <f t="shared" si="227"/>
        <v>0</v>
      </c>
      <c r="U701" s="60">
        <f t="shared" si="227"/>
        <v>0</v>
      </c>
      <c r="V701" s="60">
        <f t="shared" si="227"/>
        <v>0</v>
      </c>
      <c r="W701" s="60">
        <f t="shared" si="227"/>
        <v>0</v>
      </c>
      <c r="X701" s="60">
        <f t="shared" si="227"/>
        <v>0</v>
      </c>
    </row>
    <row r="702" spans="1:24" hidden="1">
      <c r="A702" s="259"/>
      <c r="B702" s="59" t="str">
        <f t="shared" si="226"/>
        <v/>
      </c>
      <c r="C702" s="59" t="str">
        <f t="shared" si="226"/>
        <v/>
      </c>
      <c r="D702" s="59" t="str">
        <f t="shared" si="226"/>
        <v/>
      </c>
      <c r="E702" s="59" t="str">
        <f t="shared" si="226"/>
        <v/>
      </c>
      <c r="F702" s="59"/>
      <c r="G702" s="59"/>
      <c r="H702" s="59"/>
      <c r="I702" s="59"/>
      <c r="J702" s="59"/>
      <c r="K702" s="60">
        <f t="shared" ref="K702:X702" si="228">IF(AND($C702="B+R",$E702="prace rozwojowe",LataProjekcji&lt;=Koniec_PR,Modul_badawczo_rozwojowy=tak),ROUND(K118,0),0)</f>
        <v>0</v>
      </c>
      <c r="L702" s="60">
        <f t="shared" si="228"/>
        <v>0</v>
      </c>
      <c r="M702" s="60">
        <f t="shared" si="228"/>
        <v>0</v>
      </c>
      <c r="N702" s="60">
        <f t="shared" si="228"/>
        <v>0</v>
      </c>
      <c r="O702" s="60">
        <f t="shared" si="228"/>
        <v>0</v>
      </c>
      <c r="P702" s="60">
        <f t="shared" si="228"/>
        <v>0</v>
      </c>
      <c r="Q702" s="60">
        <f t="shared" si="228"/>
        <v>0</v>
      </c>
      <c r="R702" s="60">
        <f t="shared" si="228"/>
        <v>0</v>
      </c>
      <c r="S702" s="60">
        <f t="shared" si="228"/>
        <v>0</v>
      </c>
      <c r="T702" s="60">
        <f t="shared" si="228"/>
        <v>0</v>
      </c>
      <c r="U702" s="60">
        <f t="shared" si="228"/>
        <v>0</v>
      </c>
      <c r="V702" s="60">
        <f t="shared" si="228"/>
        <v>0</v>
      </c>
      <c r="W702" s="60">
        <f t="shared" si="228"/>
        <v>0</v>
      </c>
      <c r="X702" s="60">
        <f t="shared" si="228"/>
        <v>0</v>
      </c>
    </row>
    <row r="703" spans="1:24" hidden="1">
      <c r="A703" s="259"/>
      <c r="B703" s="59" t="str">
        <f t="shared" si="226"/>
        <v/>
      </c>
      <c r="C703" s="59" t="str">
        <f t="shared" si="226"/>
        <v/>
      </c>
      <c r="D703" s="59" t="str">
        <f t="shared" si="226"/>
        <v/>
      </c>
      <c r="E703" s="59" t="str">
        <f t="shared" si="226"/>
        <v/>
      </c>
      <c r="F703" s="59"/>
      <c r="G703" s="59"/>
      <c r="H703" s="59"/>
      <c r="I703" s="59"/>
      <c r="J703" s="59"/>
      <c r="K703" s="60">
        <f t="shared" ref="K703:X703" si="229">IF(AND($C703="B+R",$E703="prace rozwojowe",LataProjekcji&lt;=Koniec_PR,Modul_badawczo_rozwojowy=tak),ROUND(K119,0),0)</f>
        <v>0</v>
      </c>
      <c r="L703" s="60">
        <f t="shared" si="229"/>
        <v>0</v>
      </c>
      <c r="M703" s="60">
        <f t="shared" si="229"/>
        <v>0</v>
      </c>
      <c r="N703" s="60">
        <f t="shared" si="229"/>
        <v>0</v>
      </c>
      <c r="O703" s="60">
        <f t="shared" si="229"/>
        <v>0</v>
      </c>
      <c r="P703" s="60">
        <f t="shared" si="229"/>
        <v>0</v>
      </c>
      <c r="Q703" s="60">
        <f t="shared" si="229"/>
        <v>0</v>
      </c>
      <c r="R703" s="60">
        <f t="shared" si="229"/>
        <v>0</v>
      </c>
      <c r="S703" s="60">
        <f t="shared" si="229"/>
        <v>0</v>
      </c>
      <c r="T703" s="60">
        <f t="shared" si="229"/>
        <v>0</v>
      </c>
      <c r="U703" s="60">
        <f t="shared" si="229"/>
        <v>0</v>
      </c>
      <c r="V703" s="60">
        <f t="shared" si="229"/>
        <v>0</v>
      </c>
      <c r="W703" s="60">
        <f t="shared" si="229"/>
        <v>0</v>
      </c>
      <c r="X703" s="60">
        <f t="shared" si="229"/>
        <v>0</v>
      </c>
    </row>
    <row r="704" spans="1:24" hidden="1">
      <c r="A704" s="259"/>
      <c r="B704" s="59" t="str">
        <f t="shared" si="226"/>
        <v/>
      </c>
      <c r="C704" s="59" t="str">
        <f t="shared" si="226"/>
        <v/>
      </c>
      <c r="D704" s="59" t="str">
        <f t="shared" si="226"/>
        <v/>
      </c>
      <c r="E704" s="59" t="str">
        <f t="shared" si="226"/>
        <v/>
      </c>
      <c r="F704" s="59"/>
      <c r="G704" s="59"/>
      <c r="H704" s="59"/>
      <c r="I704" s="59"/>
      <c r="J704" s="59"/>
      <c r="K704" s="60">
        <f t="shared" ref="K704:X704" si="230">IF(AND($C704="B+R",$E704="prace rozwojowe",LataProjekcji&lt;=Koniec_PR,Modul_badawczo_rozwojowy=tak),ROUND(K120,0),0)</f>
        <v>0</v>
      </c>
      <c r="L704" s="60">
        <f t="shared" si="230"/>
        <v>0</v>
      </c>
      <c r="M704" s="60">
        <f t="shared" si="230"/>
        <v>0</v>
      </c>
      <c r="N704" s="60">
        <f t="shared" si="230"/>
        <v>0</v>
      </c>
      <c r="O704" s="60">
        <f t="shared" si="230"/>
        <v>0</v>
      </c>
      <c r="P704" s="60">
        <f t="shared" si="230"/>
        <v>0</v>
      </c>
      <c r="Q704" s="60">
        <f t="shared" si="230"/>
        <v>0</v>
      </c>
      <c r="R704" s="60">
        <f t="shared" si="230"/>
        <v>0</v>
      </c>
      <c r="S704" s="60">
        <f t="shared" si="230"/>
        <v>0</v>
      </c>
      <c r="T704" s="60">
        <f t="shared" si="230"/>
        <v>0</v>
      </c>
      <c r="U704" s="60">
        <f t="shared" si="230"/>
        <v>0</v>
      </c>
      <c r="V704" s="60">
        <f t="shared" si="230"/>
        <v>0</v>
      </c>
      <c r="W704" s="60">
        <f t="shared" si="230"/>
        <v>0</v>
      </c>
      <c r="X704" s="60">
        <f t="shared" si="230"/>
        <v>0</v>
      </c>
    </row>
    <row r="705" spans="1:24" hidden="1">
      <c r="A705" s="259"/>
      <c r="B705" s="59" t="str">
        <f t="shared" si="226"/>
        <v/>
      </c>
      <c r="C705" s="59" t="str">
        <f t="shared" si="226"/>
        <v/>
      </c>
      <c r="D705" s="59" t="str">
        <f t="shared" si="226"/>
        <v/>
      </c>
      <c r="E705" s="59" t="str">
        <f t="shared" si="226"/>
        <v/>
      </c>
      <c r="F705" s="59"/>
      <c r="G705" s="59"/>
      <c r="H705" s="59"/>
      <c r="I705" s="59"/>
      <c r="J705" s="59"/>
      <c r="K705" s="60">
        <f t="shared" ref="K705:X705" si="231">IF(AND($C705="B+R",$E705="prace rozwojowe",LataProjekcji&lt;=Koniec_PR,Modul_badawczo_rozwojowy=tak),ROUND(K121,0),0)</f>
        <v>0</v>
      </c>
      <c r="L705" s="60">
        <f t="shared" si="231"/>
        <v>0</v>
      </c>
      <c r="M705" s="60">
        <f t="shared" si="231"/>
        <v>0</v>
      </c>
      <c r="N705" s="60">
        <f t="shared" si="231"/>
        <v>0</v>
      </c>
      <c r="O705" s="60">
        <f t="shared" si="231"/>
        <v>0</v>
      </c>
      <c r="P705" s="60">
        <f t="shared" si="231"/>
        <v>0</v>
      </c>
      <c r="Q705" s="60">
        <f t="shared" si="231"/>
        <v>0</v>
      </c>
      <c r="R705" s="60">
        <f t="shared" si="231"/>
        <v>0</v>
      </c>
      <c r="S705" s="60">
        <f t="shared" si="231"/>
        <v>0</v>
      </c>
      <c r="T705" s="60">
        <f t="shared" si="231"/>
        <v>0</v>
      </c>
      <c r="U705" s="60">
        <f t="shared" si="231"/>
        <v>0</v>
      </c>
      <c r="V705" s="60">
        <f t="shared" si="231"/>
        <v>0</v>
      </c>
      <c r="W705" s="60">
        <f t="shared" si="231"/>
        <v>0</v>
      </c>
      <c r="X705" s="60">
        <f t="shared" si="231"/>
        <v>0</v>
      </c>
    </row>
    <row r="706" spans="1:24" hidden="1">
      <c r="A706" s="259"/>
      <c r="B706" s="59" t="str">
        <f t="shared" si="226"/>
        <v/>
      </c>
      <c r="C706" s="59" t="str">
        <f t="shared" si="226"/>
        <v/>
      </c>
      <c r="D706" s="59" t="str">
        <f t="shared" si="226"/>
        <v/>
      </c>
      <c r="E706" s="59" t="str">
        <f t="shared" si="226"/>
        <v/>
      </c>
      <c r="F706" s="59"/>
      <c r="G706" s="59"/>
      <c r="H706" s="59"/>
      <c r="I706" s="59"/>
      <c r="J706" s="59"/>
      <c r="K706" s="60">
        <f t="shared" ref="K706:X706" si="232">IF(AND($C706="B+R",$E706="prace rozwojowe",LataProjekcji&lt;=Koniec_PR,Modul_badawczo_rozwojowy=tak),ROUND(K122,0),0)</f>
        <v>0</v>
      </c>
      <c r="L706" s="60">
        <f t="shared" si="232"/>
        <v>0</v>
      </c>
      <c r="M706" s="60">
        <f t="shared" si="232"/>
        <v>0</v>
      </c>
      <c r="N706" s="60">
        <f t="shared" si="232"/>
        <v>0</v>
      </c>
      <c r="O706" s="60">
        <f t="shared" si="232"/>
        <v>0</v>
      </c>
      <c r="P706" s="60">
        <f t="shared" si="232"/>
        <v>0</v>
      </c>
      <c r="Q706" s="60">
        <f t="shared" si="232"/>
        <v>0</v>
      </c>
      <c r="R706" s="60">
        <f t="shared" si="232"/>
        <v>0</v>
      </c>
      <c r="S706" s="60">
        <f t="shared" si="232"/>
        <v>0</v>
      </c>
      <c r="T706" s="60">
        <f t="shared" si="232"/>
        <v>0</v>
      </c>
      <c r="U706" s="60">
        <f t="shared" si="232"/>
        <v>0</v>
      </c>
      <c r="V706" s="60">
        <f t="shared" si="232"/>
        <v>0</v>
      </c>
      <c r="W706" s="60">
        <f t="shared" si="232"/>
        <v>0</v>
      </c>
      <c r="X706" s="60">
        <f t="shared" si="232"/>
        <v>0</v>
      </c>
    </row>
    <row r="707" spans="1:24" hidden="1">
      <c r="A707" s="259"/>
      <c r="B707" s="59" t="str">
        <f t="shared" si="226"/>
        <v/>
      </c>
      <c r="C707" s="59" t="str">
        <f t="shared" si="226"/>
        <v/>
      </c>
      <c r="D707" s="59" t="str">
        <f t="shared" si="226"/>
        <v/>
      </c>
      <c r="E707" s="59" t="str">
        <f t="shared" si="226"/>
        <v/>
      </c>
      <c r="F707" s="59"/>
      <c r="G707" s="59"/>
      <c r="H707" s="59"/>
      <c r="I707" s="59"/>
      <c r="J707" s="59"/>
      <c r="K707" s="60">
        <f t="shared" ref="K707:X707" si="233">IF(AND($C707="B+R",$E707="prace rozwojowe",LataProjekcji&lt;=Koniec_PR,Modul_badawczo_rozwojowy=tak),ROUND(K123,0),0)</f>
        <v>0</v>
      </c>
      <c r="L707" s="60">
        <f t="shared" si="233"/>
        <v>0</v>
      </c>
      <c r="M707" s="60">
        <f t="shared" si="233"/>
        <v>0</v>
      </c>
      <c r="N707" s="60">
        <f t="shared" si="233"/>
        <v>0</v>
      </c>
      <c r="O707" s="60">
        <f t="shared" si="233"/>
        <v>0</v>
      </c>
      <c r="P707" s="60">
        <f t="shared" si="233"/>
        <v>0</v>
      </c>
      <c r="Q707" s="60">
        <f t="shared" si="233"/>
        <v>0</v>
      </c>
      <c r="R707" s="60">
        <f t="shared" si="233"/>
        <v>0</v>
      </c>
      <c r="S707" s="60">
        <f t="shared" si="233"/>
        <v>0</v>
      </c>
      <c r="T707" s="60">
        <f t="shared" si="233"/>
        <v>0</v>
      </c>
      <c r="U707" s="60">
        <f t="shared" si="233"/>
        <v>0</v>
      </c>
      <c r="V707" s="60">
        <f t="shared" si="233"/>
        <v>0</v>
      </c>
      <c r="W707" s="60">
        <f t="shared" si="233"/>
        <v>0</v>
      </c>
      <c r="X707" s="60">
        <f t="shared" si="233"/>
        <v>0</v>
      </c>
    </row>
    <row r="708" spans="1:24" hidden="1">
      <c r="A708" s="259"/>
      <c r="B708" s="59" t="str">
        <f t="shared" si="226"/>
        <v/>
      </c>
      <c r="C708" s="59" t="str">
        <f t="shared" si="226"/>
        <v/>
      </c>
      <c r="D708" s="59" t="str">
        <f t="shared" si="226"/>
        <v/>
      </c>
      <c r="E708" s="59" t="str">
        <f t="shared" si="226"/>
        <v/>
      </c>
      <c r="F708" s="59"/>
      <c r="G708" s="59"/>
      <c r="H708" s="59"/>
      <c r="I708" s="59"/>
      <c r="J708" s="59"/>
      <c r="K708" s="60">
        <f t="shared" ref="K708:X708" si="234">IF(AND($C708="B+R",$E708="prace rozwojowe",LataProjekcji&lt;=Koniec_PR,Modul_badawczo_rozwojowy=tak),ROUND(K124,0),0)</f>
        <v>0</v>
      </c>
      <c r="L708" s="60">
        <f t="shared" si="234"/>
        <v>0</v>
      </c>
      <c r="M708" s="60">
        <f t="shared" si="234"/>
        <v>0</v>
      </c>
      <c r="N708" s="60">
        <f t="shared" si="234"/>
        <v>0</v>
      </c>
      <c r="O708" s="60">
        <f t="shared" si="234"/>
        <v>0</v>
      </c>
      <c r="P708" s="60">
        <f t="shared" si="234"/>
        <v>0</v>
      </c>
      <c r="Q708" s="60">
        <f t="shared" si="234"/>
        <v>0</v>
      </c>
      <c r="R708" s="60">
        <f t="shared" si="234"/>
        <v>0</v>
      </c>
      <c r="S708" s="60">
        <f t="shared" si="234"/>
        <v>0</v>
      </c>
      <c r="T708" s="60">
        <f t="shared" si="234"/>
        <v>0</v>
      </c>
      <c r="U708" s="60">
        <f t="shared" si="234"/>
        <v>0</v>
      </c>
      <c r="V708" s="60">
        <f t="shared" si="234"/>
        <v>0</v>
      </c>
      <c r="W708" s="60">
        <f t="shared" si="234"/>
        <v>0</v>
      </c>
      <c r="X708" s="60">
        <f t="shared" si="234"/>
        <v>0</v>
      </c>
    </row>
    <row r="709" spans="1:24" hidden="1">
      <c r="A709" s="259"/>
      <c r="B709" s="59" t="str">
        <f t="shared" si="226"/>
        <v/>
      </c>
      <c r="C709" s="59" t="str">
        <f t="shared" si="226"/>
        <v/>
      </c>
      <c r="D709" s="59" t="str">
        <f t="shared" si="226"/>
        <v/>
      </c>
      <c r="E709" s="59" t="str">
        <f t="shared" si="226"/>
        <v/>
      </c>
      <c r="F709" s="59"/>
      <c r="G709" s="59"/>
      <c r="H709" s="59"/>
      <c r="I709" s="59"/>
      <c r="J709" s="59"/>
      <c r="K709" s="60">
        <f t="shared" ref="K709:X709" si="235">IF(AND($C709="B+R",$E709="prace rozwojowe",LataProjekcji&lt;=Koniec_PR,Modul_badawczo_rozwojowy=tak),ROUND(K125,0),0)</f>
        <v>0</v>
      </c>
      <c r="L709" s="60">
        <f t="shared" si="235"/>
        <v>0</v>
      </c>
      <c r="M709" s="60">
        <f t="shared" si="235"/>
        <v>0</v>
      </c>
      <c r="N709" s="60">
        <f t="shared" si="235"/>
        <v>0</v>
      </c>
      <c r="O709" s="60">
        <f t="shared" si="235"/>
        <v>0</v>
      </c>
      <c r="P709" s="60">
        <f t="shared" si="235"/>
        <v>0</v>
      </c>
      <c r="Q709" s="60">
        <f t="shared" si="235"/>
        <v>0</v>
      </c>
      <c r="R709" s="60">
        <f t="shared" si="235"/>
        <v>0</v>
      </c>
      <c r="S709" s="60">
        <f t="shared" si="235"/>
        <v>0</v>
      </c>
      <c r="T709" s="60">
        <f t="shared" si="235"/>
        <v>0</v>
      </c>
      <c r="U709" s="60">
        <f t="shared" si="235"/>
        <v>0</v>
      </c>
      <c r="V709" s="60">
        <f t="shared" si="235"/>
        <v>0</v>
      </c>
      <c r="W709" s="60">
        <f t="shared" si="235"/>
        <v>0</v>
      </c>
      <c r="X709" s="60">
        <f t="shared" si="235"/>
        <v>0</v>
      </c>
    </row>
    <row r="710" spans="1:24" hidden="1">
      <c r="A710" s="259"/>
      <c r="B710" s="59" t="str">
        <f t="shared" si="226"/>
        <v/>
      </c>
      <c r="C710" s="59" t="str">
        <f t="shared" si="226"/>
        <v/>
      </c>
      <c r="D710" s="59" t="str">
        <f t="shared" si="226"/>
        <v/>
      </c>
      <c r="E710" s="59" t="str">
        <f t="shared" si="226"/>
        <v/>
      </c>
      <c r="F710" s="59"/>
      <c r="G710" s="59"/>
      <c r="H710" s="59"/>
      <c r="I710" s="59"/>
      <c r="J710" s="59"/>
      <c r="K710" s="60">
        <f t="shared" ref="K710:X710" si="236">IF(AND($C710="B+R",$E710="prace rozwojowe",LataProjekcji&lt;=Koniec_PR,Modul_badawczo_rozwojowy=tak),ROUND(K126,0),0)</f>
        <v>0</v>
      </c>
      <c r="L710" s="60">
        <f t="shared" si="236"/>
        <v>0</v>
      </c>
      <c r="M710" s="60">
        <f t="shared" si="236"/>
        <v>0</v>
      </c>
      <c r="N710" s="60">
        <f t="shared" si="236"/>
        <v>0</v>
      </c>
      <c r="O710" s="60">
        <f t="shared" si="236"/>
        <v>0</v>
      </c>
      <c r="P710" s="60">
        <f t="shared" si="236"/>
        <v>0</v>
      </c>
      <c r="Q710" s="60">
        <f t="shared" si="236"/>
        <v>0</v>
      </c>
      <c r="R710" s="60">
        <f t="shared" si="236"/>
        <v>0</v>
      </c>
      <c r="S710" s="60">
        <f t="shared" si="236"/>
        <v>0</v>
      </c>
      <c r="T710" s="60">
        <f t="shared" si="236"/>
        <v>0</v>
      </c>
      <c r="U710" s="60">
        <f t="shared" si="236"/>
        <v>0</v>
      </c>
      <c r="V710" s="60">
        <f t="shared" si="236"/>
        <v>0</v>
      </c>
      <c r="W710" s="60">
        <f t="shared" si="236"/>
        <v>0</v>
      </c>
      <c r="X710" s="60">
        <f t="shared" si="236"/>
        <v>0</v>
      </c>
    </row>
    <row r="711" spans="1:24" hidden="1">
      <c r="A711" s="259"/>
      <c r="B711" s="59" t="str">
        <f t="shared" si="226"/>
        <v/>
      </c>
      <c r="C711" s="59" t="str">
        <f t="shared" si="226"/>
        <v/>
      </c>
      <c r="D711" s="59" t="str">
        <f t="shared" si="226"/>
        <v/>
      </c>
      <c r="E711" s="59" t="str">
        <f t="shared" si="226"/>
        <v/>
      </c>
      <c r="F711" s="59"/>
      <c r="G711" s="59"/>
      <c r="H711" s="59"/>
      <c r="I711" s="59"/>
      <c r="J711" s="59"/>
      <c r="K711" s="60">
        <f t="shared" ref="K711:X711" si="237">IF(AND($C711="B+R",$E711="prace rozwojowe",LataProjekcji&lt;=Koniec_PR,Modul_badawczo_rozwojowy=tak),ROUND(K127,0),0)</f>
        <v>0</v>
      </c>
      <c r="L711" s="60">
        <f t="shared" si="237"/>
        <v>0</v>
      </c>
      <c r="M711" s="60">
        <f t="shared" si="237"/>
        <v>0</v>
      </c>
      <c r="N711" s="60">
        <f t="shared" si="237"/>
        <v>0</v>
      </c>
      <c r="O711" s="60">
        <f t="shared" si="237"/>
        <v>0</v>
      </c>
      <c r="P711" s="60">
        <f t="shared" si="237"/>
        <v>0</v>
      </c>
      <c r="Q711" s="60">
        <f t="shared" si="237"/>
        <v>0</v>
      </c>
      <c r="R711" s="60">
        <f t="shared" si="237"/>
        <v>0</v>
      </c>
      <c r="S711" s="60">
        <f t="shared" si="237"/>
        <v>0</v>
      </c>
      <c r="T711" s="60">
        <f t="shared" si="237"/>
        <v>0</v>
      </c>
      <c r="U711" s="60">
        <f t="shared" si="237"/>
        <v>0</v>
      </c>
      <c r="V711" s="60">
        <f t="shared" si="237"/>
        <v>0</v>
      </c>
      <c r="W711" s="60">
        <f t="shared" si="237"/>
        <v>0</v>
      </c>
      <c r="X711" s="60">
        <f t="shared" si="237"/>
        <v>0</v>
      </c>
    </row>
    <row r="712" spans="1:24" hidden="1">
      <c r="A712" s="259"/>
      <c r="B712" s="59" t="str">
        <f t="shared" si="226"/>
        <v/>
      </c>
      <c r="C712" s="59" t="str">
        <f t="shared" si="226"/>
        <v/>
      </c>
      <c r="D712" s="59" t="str">
        <f t="shared" si="226"/>
        <v/>
      </c>
      <c r="E712" s="59" t="str">
        <f t="shared" si="226"/>
        <v/>
      </c>
      <c r="F712" s="59"/>
      <c r="G712" s="59"/>
      <c r="H712" s="59"/>
      <c r="I712" s="59"/>
      <c r="J712" s="59"/>
      <c r="K712" s="60">
        <f t="shared" ref="K712:X712" si="238">IF(AND($C712="B+R",$E712="prace rozwojowe",LataProjekcji&lt;=Koniec_PR,Modul_badawczo_rozwojowy=tak),ROUND(K128,0),0)</f>
        <v>0</v>
      </c>
      <c r="L712" s="60">
        <f t="shared" si="238"/>
        <v>0</v>
      </c>
      <c r="M712" s="60">
        <f t="shared" si="238"/>
        <v>0</v>
      </c>
      <c r="N712" s="60">
        <f t="shared" si="238"/>
        <v>0</v>
      </c>
      <c r="O712" s="60">
        <f t="shared" si="238"/>
        <v>0</v>
      </c>
      <c r="P712" s="60">
        <f t="shared" si="238"/>
        <v>0</v>
      </c>
      <c r="Q712" s="60">
        <f t="shared" si="238"/>
        <v>0</v>
      </c>
      <c r="R712" s="60">
        <f t="shared" si="238"/>
        <v>0</v>
      </c>
      <c r="S712" s="60">
        <f t="shared" si="238"/>
        <v>0</v>
      </c>
      <c r="T712" s="60">
        <f t="shared" si="238"/>
        <v>0</v>
      </c>
      <c r="U712" s="60">
        <f t="shared" si="238"/>
        <v>0</v>
      </c>
      <c r="V712" s="60">
        <f t="shared" si="238"/>
        <v>0</v>
      </c>
      <c r="W712" s="60">
        <f t="shared" si="238"/>
        <v>0</v>
      </c>
      <c r="X712" s="60">
        <f t="shared" si="238"/>
        <v>0</v>
      </c>
    </row>
    <row r="713" spans="1:24" hidden="1">
      <c r="A713" s="259"/>
      <c r="B713" s="59" t="str">
        <f t="shared" si="226"/>
        <v/>
      </c>
      <c r="C713" s="59" t="str">
        <f t="shared" si="226"/>
        <v/>
      </c>
      <c r="D713" s="59" t="str">
        <f t="shared" si="226"/>
        <v/>
      </c>
      <c r="E713" s="59" t="str">
        <f t="shared" si="226"/>
        <v/>
      </c>
      <c r="F713" s="59"/>
      <c r="G713" s="59"/>
      <c r="H713" s="59"/>
      <c r="I713" s="59"/>
      <c r="J713" s="59"/>
      <c r="K713" s="60">
        <f t="shared" ref="K713:X713" si="239">IF(AND($C713="B+R",$E713="prace rozwojowe",LataProjekcji&lt;=Koniec_PR,Modul_badawczo_rozwojowy=tak),ROUND(K129,0),0)</f>
        <v>0</v>
      </c>
      <c r="L713" s="60">
        <f t="shared" si="239"/>
        <v>0</v>
      </c>
      <c r="M713" s="60">
        <f t="shared" si="239"/>
        <v>0</v>
      </c>
      <c r="N713" s="60">
        <f t="shared" si="239"/>
        <v>0</v>
      </c>
      <c r="O713" s="60">
        <f t="shared" si="239"/>
        <v>0</v>
      </c>
      <c r="P713" s="60">
        <f t="shared" si="239"/>
        <v>0</v>
      </c>
      <c r="Q713" s="60">
        <f t="shared" si="239"/>
        <v>0</v>
      </c>
      <c r="R713" s="60">
        <f t="shared" si="239"/>
        <v>0</v>
      </c>
      <c r="S713" s="60">
        <f t="shared" si="239"/>
        <v>0</v>
      </c>
      <c r="T713" s="60">
        <f t="shared" si="239"/>
        <v>0</v>
      </c>
      <c r="U713" s="60">
        <f t="shared" si="239"/>
        <v>0</v>
      </c>
      <c r="V713" s="60">
        <f t="shared" si="239"/>
        <v>0</v>
      </c>
      <c r="W713" s="60">
        <f t="shared" si="239"/>
        <v>0</v>
      </c>
      <c r="X713" s="60">
        <f t="shared" si="239"/>
        <v>0</v>
      </c>
    </row>
    <row r="714" spans="1:24" hidden="1">
      <c r="A714" s="259"/>
      <c r="B714" s="59" t="str">
        <f t="shared" si="226"/>
        <v/>
      </c>
      <c r="C714" s="59" t="str">
        <f t="shared" si="226"/>
        <v/>
      </c>
      <c r="D714" s="59" t="str">
        <f t="shared" si="226"/>
        <v/>
      </c>
      <c r="E714" s="59" t="str">
        <f t="shared" si="226"/>
        <v/>
      </c>
      <c r="F714" s="59"/>
      <c r="G714" s="59"/>
      <c r="H714" s="59"/>
      <c r="I714" s="59"/>
      <c r="J714" s="59"/>
      <c r="K714" s="60">
        <f t="shared" ref="K714:X714" si="240">IF(AND($C714="B+R",$E714="prace rozwojowe",LataProjekcji&lt;=Koniec_PR,Modul_badawczo_rozwojowy=tak),ROUND(K130,0),0)</f>
        <v>0</v>
      </c>
      <c r="L714" s="60">
        <f t="shared" si="240"/>
        <v>0</v>
      </c>
      <c r="M714" s="60">
        <f t="shared" si="240"/>
        <v>0</v>
      </c>
      <c r="N714" s="60">
        <f t="shared" si="240"/>
        <v>0</v>
      </c>
      <c r="O714" s="60">
        <f t="shared" si="240"/>
        <v>0</v>
      </c>
      <c r="P714" s="60">
        <f t="shared" si="240"/>
        <v>0</v>
      </c>
      <c r="Q714" s="60">
        <f t="shared" si="240"/>
        <v>0</v>
      </c>
      <c r="R714" s="60">
        <f t="shared" si="240"/>
        <v>0</v>
      </c>
      <c r="S714" s="60">
        <f t="shared" si="240"/>
        <v>0</v>
      </c>
      <c r="T714" s="60">
        <f t="shared" si="240"/>
        <v>0</v>
      </c>
      <c r="U714" s="60">
        <f t="shared" si="240"/>
        <v>0</v>
      </c>
      <c r="V714" s="60">
        <f t="shared" si="240"/>
        <v>0</v>
      </c>
      <c r="W714" s="60">
        <f t="shared" si="240"/>
        <v>0</v>
      </c>
      <c r="X714" s="60">
        <f t="shared" si="240"/>
        <v>0</v>
      </c>
    </row>
    <row r="715" spans="1:24" hidden="1">
      <c r="A715" s="259"/>
      <c r="B715" s="59" t="str">
        <f t="shared" si="226"/>
        <v/>
      </c>
      <c r="C715" s="59" t="str">
        <f t="shared" si="226"/>
        <v/>
      </c>
      <c r="D715" s="59" t="str">
        <f t="shared" si="226"/>
        <v/>
      </c>
      <c r="E715" s="59" t="str">
        <f t="shared" si="226"/>
        <v/>
      </c>
      <c r="F715" s="59"/>
      <c r="G715" s="59"/>
      <c r="H715" s="59"/>
      <c r="I715" s="59"/>
      <c r="J715" s="59"/>
      <c r="K715" s="60">
        <f t="shared" ref="K715:X715" si="241">IF(AND($C715="B+R",$E715="prace rozwojowe",LataProjekcji&lt;=Koniec_PR,Modul_badawczo_rozwojowy=tak),ROUND(K131,0),0)</f>
        <v>0</v>
      </c>
      <c r="L715" s="60">
        <f t="shared" si="241"/>
        <v>0</v>
      </c>
      <c r="M715" s="60">
        <f t="shared" si="241"/>
        <v>0</v>
      </c>
      <c r="N715" s="60">
        <f t="shared" si="241"/>
        <v>0</v>
      </c>
      <c r="O715" s="60">
        <f t="shared" si="241"/>
        <v>0</v>
      </c>
      <c r="P715" s="60">
        <f t="shared" si="241"/>
        <v>0</v>
      </c>
      <c r="Q715" s="60">
        <f t="shared" si="241"/>
        <v>0</v>
      </c>
      <c r="R715" s="60">
        <f t="shared" si="241"/>
        <v>0</v>
      </c>
      <c r="S715" s="60">
        <f t="shared" si="241"/>
        <v>0</v>
      </c>
      <c r="T715" s="60">
        <f t="shared" si="241"/>
        <v>0</v>
      </c>
      <c r="U715" s="60">
        <f t="shared" si="241"/>
        <v>0</v>
      </c>
      <c r="V715" s="60">
        <f t="shared" si="241"/>
        <v>0</v>
      </c>
      <c r="W715" s="60">
        <f t="shared" si="241"/>
        <v>0</v>
      </c>
      <c r="X715" s="60">
        <f t="shared" si="241"/>
        <v>0</v>
      </c>
    </row>
    <row r="716" spans="1:24" hidden="1">
      <c r="A716" s="259"/>
      <c r="B716" s="59" t="str">
        <f t="shared" si="226"/>
        <v/>
      </c>
      <c r="C716" s="59" t="str">
        <f t="shared" si="226"/>
        <v/>
      </c>
      <c r="D716" s="59" t="str">
        <f t="shared" si="226"/>
        <v/>
      </c>
      <c r="E716" s="59" t="str">
        <f t="shared" si="226"/>
        <v/>
      </c>
      <c r="F716" s="59"/>
      <c r="G716" s="59"/>
      <c r="H716" s="59"/>
      <c r="I716" s="59"/>
      <c r="J716" s="59"/>
      <c r="K716" s="60">
        <f t="shared" ref="K716:X716" si="242">IF(AND($C716="B+R",$E716="prace rozwojowe",LataProjekcji&lt;=Koniec_PR,Modul_badawczo_rozwojowy=tak),ROUND(K132,0),0)</f>
        <v>0</v>
      </c>
      <c r="L716" s="60">
        <f t="shared" si="242"/>
        <v>0</v>
      </c>
      <c r="M716" s="60">
        <f t="shared" si="242"/>
        <v>0</v>
      </c>
      <c r="N716" s="60">
        <f t="shared" si="242"/>
        <v>0</v>
      </c>
      <c r="O716" s="60">
        <f t="shared" si="242"/>
        <v>0</v>
      </c>
      <c r="P716" s="60">
        <f t="shared" si="242"/>
        <v>0</v>
      </c>
      <c r="Q716" s="60">
        <f t="shared" si="242"/>
        <v>0</v>
      </c>
      <c r="R716" s="60">
        <f t="shared" si="242"/>
        <v>0</v>
      </c>
      <c r="S716" s="60">
        <f t="shared" si="242"/>
        <v>0</v>
      </c>
      <c r="T716" s="60">
        <f t="shared" si="242"/>
        <v>0</v>
      </c>
      <c r="U716" s="60">
        <f t="shared" si="242"/>
        <v>0</v>
      </c>
      <c r="V716" s="60">
        <f t="shared" si="242"/>
        <v>0</v>
      </c>
      <c r="W716" s="60">
        <f t="shared" si="242"/>
        <v>0</v>
      </c>
      <c r="X716" s="60">
        <f t="shared" si="242"/>
        <v>0</v>
      </c>
    </row>
    <row r="717" spans="1:24" hidden="1">
      <c r="A717" s="259"/>
      <c r="B717" s="59" t="str">
        <f t="shared" si="226"/>
        <v/>
      </c>
      <c r="C717" s="59" t="str">
        <f t="shared" si="226"/>
        <v/>
      </c>
      <c r="D717" s="59" t="str">
        <f t="shared" si="226"/>
        <v/>
      </c>
      <c r="E717" s="59" t="str">
        <f t="shared" si="226"/>
        <v/>
      </c>
      <c r="F717" s="59"/>
      <c r="G717" s="59"/>
      <c r="H717" s="59"/>
      <c r="I717" s="59"/>
      <c r="J717" s="59"/>
      <c r="K717" s="60">
        <f t="shared" ref="K717:X717" si="243">IF(AND($C717="B+R",$E717="prace rozwojowe",LataProjekcji&lt;=Koniec_PR,Modul_badawczo_rozwojowy=tak),ROUND(K133,0),0)</f>
        <v>0</v>
      </c>
      <c r="L717" s="60">
        <f t="shared" si="243"/>
        <v>0</v>
      </c>
      <c r="M717" s="60">
        <f t="shared" si="243"/>
        <v>0</v>
      </c>
      <c r="N717" s="60">
        <f t="shared" si="243"/>
        <v>0</v>
      </c>
      <c r="O717" s="60">
        <f t="shared" si="243"/>
        <v>0</v>
      </c>
      <c r="P717" s="60">
        <f t="shared" si="243"/>
        <v>0</v>
      </c>
      <c r="Q717" s="60">
        <f t="shared" si="243"/>
        <v>0</v>
      </c>
      <c r="R717" s="60">
        <f t="shared" si="243"/>
        <v>0</v>
      </c>
      <c r="S717" s="60">
        <f t="shared" si="243"/>
        <v>0</v>
      </c>
      <c r="T717" s="60">
        <f t="shared" si="243"/>
        <v>0</v>
      </c>
      <c r="U717" s="60">
        <f t="shared" si="243"/>
        <v>0</v>
      </c>
      <c r="V717" s="60">
        <f t="shared" si="243"/>
        <v>0</v>
      </c>
      <c r="W717" s="60">
        <f t="shared" si="243"/>
        <v>0</v>
      </c>
      <c r="X717" s="60">
        <f t="shared" si="243"/>
        <v>0</v>
      </c>
    </row>
    <row r="718" spans="1:24" hidden="1">
      <c r="A718" s="259"/>
      <c r="B718" s="59" t="str">
        <f t="shared" si="226"/>
        <v/>
      </c>
      <c r="C718" s="59" t="str">
        <f t="shared" si="226"/>
        <v/>
      </c>
      <c r="D718" s="59" t="str">
        <f t="shared" si="226"/>
        <v/>
      </c>
      <c r="E718" s="59" t="str">
        <f t="shared" si="226"/>
        <v/>
      </c>
      <c r="F718" s="59"/>
      <c r="G718" s="59"/>
      <c r="H718" s="59"/>
      <c r="I718" s="59"/>
      <c r="J718" s="59"/>
      <c r="K718" s="60">
        <f t="shared" ref="K718:X718" si="244">IF(AND($C718="B+R",$E718="prace rozwojowe",LataProjekcji&lt;=Koniec_PR,Modul_badawczo_rozwojowy=tak),ROUND(K134,0),0)</f>
        <v>0</v>
      </c>
      <c r="L718" s="60">
        <f t="shared" si="244"/>
        <v>0</v>
      </c>
      <c r="M718" s="60">
        <f t="shared" si="244"/>
        <v>0</v>
      </c>
      <c r="N718" s="60">
        <f t="shared" si="244"/>
        <v>0</v>
      </c>
      <c r="O718" s="60">
        <f t="shared" si="244"/>
        <v>0</v>
      </c>
      <c r="P718" s="60">
        <f t="shared" si="244"/>
        <v>0</v>
      </c>
      <c r="Q718" s="60">
        <f t="shared" si="244"/>
        <v>0</v>
      </c>
      <c r="R718" s="60">
        <f t="shared" si="244"/>
        <v>0</v>
      </c>
      <c r="S718" s="60">
        <f t="shared" si="244"/>
        <v>0</v>
      </c>
      <c r="T718" s="60">
        <f t="shared" si="244"/>
        <v>0</v>
      </c>
      <c r="U718" s="60">
        <f t="shared" si="244"/>
        <v>0</v>
      </c>
      <c r="V718" s="60">
        <f t="shared" si="244"/>
        <v>0</v>
      </c>
      <c r="W718" s="60">
        <f t="shared" si="244"/>
        <v>0</v>
      </c>
      <c r="X718" s="60">
        <f t="shared" si="244"/>
        <v>0</v>
      </c>
    </row>
    <row r="719" spans="1:24" hidden="1">
      <c r="A719" s="259"/>
      <c r="B719" s="59" t="str">
        <f t="shared" si="226"/>
        <v/>
      </c>
      <c r="C719" s="59" t="str">
        <f t="shared" si="226"/>
        <v/>
      </c>
      <c r="D719" s="59" t="str">
        <f t="shared" si="226"/>
        <v/>
      </c>
      <c r="E719" s="59" t="str">
        <f t="shared" si="226"/>
        <v/>
      </c>
      <c r="F719" s="59"/>
      <c r="G719" s="59"/>
      <c r="H719" s="59"/>
      <c r="I719" s="59"/>
      <c r="J719" s="59"/>
      <c r="K719" s="60">
        <f t="shared" ref="K719:X719" si="245">IF(AND($C719="B+R",$E719="prace rozwojowe",LataProjekcji&lt;=Koniec_PR,Modul_badawczo_rozwojowy=tak),ROUND(K135,0),0)</f>
        <v>0</v>
      </c>
      <c r="L719" s="60">
        <f t="shared" si="245"/>
        <v>0</v>
      </c>
      <c r="M719" s="60">
        <f t="shared" si="245"/>
        <v>0</v>
      </c>
      <c r="N719" s="60">
        <f t="shared" si="245"/>
        <v>0</v>
      </c>
      <c r="O719" s="60">
        <f t="shared" si="245"/>
        <v>0</v>
      </c>
      <c r="P719" s="60">
        <f t="shared" si="245"/>
        <v>0</v>
      </c>
      <c r="Q719" s="60">
        <f t="shared" si="245"/>
        <v>0</v>
      </c>
      <c r="R719" s="60">
        <f t="shared" si="245"/>
        <v>0</v>
      </c>
      <c r="S719" s="60">
        <f t="shared" si="245"/>
        <v>0</v>
      </c>
      <c r="T719" s="60">
        <f t="shared" si="245"/>
        <v>0</v>
      </c>
      <c r="U719" s="60">
        <f t="shared" si="245"/>
        <v>0</v>
      </c>
      <c r="V719" s="60">
        <f t="shared" si="245"/>
        <v>0</v>
      </c>
      <c r="W719" s="60">
        <f t="shared" si="245"/>
        <v>0</v>
      </c>
      <c r="X719" s="60">
        <f t="shared" si="245"/>
        <v>0</v>
      </c>
    </row>
    <row r="720" spans="1:24" hidden="1">
      <c r="A720" s="259"/>
      <c r="B720" s="59" t="str">
        <f t="shared" si="226"/>
        <v/>
      </c>
      <c r="C720" s="59" t="str">
        <f t="shared" si="226"/>
        <v/>
      </c>
      <c r="D720" s="59" t="str">
        <f t="shared" si="226"/>
        <v/>
      </c>
      <c r="E720" s="59" t="str">
        <f t="shared" si="226"/>
        <v/>
      </c>
      <c r="F720" s="59"/>
      <c r="G720" s="59"/>
      <c r="H720" s="59"/>
      <c r="I720" s="59"/>
      <c r="J720" s="59"/>
      <c r="K720" s="60">
        <f t="shared" ref="K720:X720" si="246">IF(AND($C720="B+R",$E720="prace rozwojowe",LataProjekcji&lt;=Koniec_PR,Modul_badawczo_rozwojowy=tak),ROUND(K136,0),0)</f>
        <v>0</v>
      </c>
      <c r="L720" s="60">
        <f t="shared" si="246"/>
        <v>0</v>
      </c>
      <c r="M720" s="60">
        <f t="shared" si="246"/>
        <v>0</v>
      </c>
      <c r="N720" s="60">
        <f t="shared" si="246"/>
        <v>0</v>
      </c>
      <c r="O720" s="60">
        <f t="shared" si="246"/>
        <v>0</v>
      </c>
      <c r="P720" s="60">
        <f t="shared" si="246"/>
        <v>0</v>
      </c>
      <c r="Q720" s="60">
        <f t="shared" si="246"/>
        <v>0</v>
      </c>
      <c r="R720" s="60">
        <f t="shared" si="246"/>
        <v>0</v>
      </c>
      <c r="S720" s="60">
        <f t="shared" si="246"/>
        <v>0</v>
      </c>
      <c r="T720" s="60">
        <f t="shared" si="246"/>
        <v>0</v>
      </c>
      <c r="U720" s="60">
        <f t="shared" si="246"/>
        <v>0</v>
      </c>
      <c r="V720" s="60">
        <f t="shared" si="246"/>
        <v>0</v>
      </c>
      <c r="W720" s="60">
        <f t="shared" si="246"/>
        <v>0</v>
      </c>
      <c r="X720" s="60">
        <f t="shared" si="246"/>
        <v>0</v>
      </c>
    </row>
    <row r="721" spans="2:24" hidden="1">
      <c r="B721" s="20" t="s">
        <v>339</v>
      </c>
      <c r="C721" s="20"/>
      <c r="D721" s="80"/>
      <c r="E721" s="21"/>
      <c r="F721" s="21"/>
      <c r="G721" s="21"/>
      <c r="H721" s="21"/>
      <c r="I721" s="21"/>
      <c r="J721" s="21"/>
      <c r="K721" s="61">
        <f>ROUND(SUM(K701:K720),0)</f>
        <v>0</v>
      </c>
      <c r="L721" s="61">
        <f t="shared" ref="L721:X721" si="247">ROUND(SUM(L701:L720),0)</f>
        <v>0</v>
      </c>
      <c r="M721" s="61">
        <f t="shared" si="247"/>
        <v>0</v>
      </c>
      <c r="N721" s="61">
        <f t="shared" si="247"/>
        <v>0</v>
      </c>
      <c r="O721" s="61">
        <f t="shared" si="247"/>
        <v>0</v>
      </c>
      <c r="P721" s="61">
        <f t="shared" si="247"/>
        <v>0</v>
      </c>
      <c r="Q721" s="61">
        <f t="shared" si="247"/>
        <v>0</v>
      </c>
      <c r="R721" s="61">
        <f t="shared" si="247"/>
        <v>0</v>
      </c>
      <c r="S721" s="61">
        <f t="shared" si="247"/>
        <v>0</v>
      </c>
      <c r="T721" s="61">
        <f t="shared" si="247"/>
        <v>0</v>
      </c>
      <c r="U721" s="61">
        <f t="shared" si="247"/>
        <v>0</v>
      </c>
      <c r="V721" s="61">
        <f t="shared" si="247"/>
        <v>0</v>
      </c>
      <c r="W721" s="61">
        <f t="shared" si="247"/>
        <v>0</v>
      </c>
      <c r="X721" s="61">
        <f t="shared" si="247"/>
        <v>0</v>
      </c>
    </row>
    <row r="722" spans="2:24" hidden="1">
      <c r="B722" s="21"/>
      <c r="C722" s="21"/>
      <c r="D722" s="80"/>
      <c r="E722" s="21"/>
      <c r="F722" s="21"/>
      <c r="G722" s="21"/>
      <c r="H722" s="21"/>
      <c r="I722" s="21"/>
      <c r="J722" s="21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2:24" hidden="1">
      <c r="B723" s="21"/>
      <c r="C723" s="21"/>
      <c r="D723" s="80"/>
      <c r="E723" s="21"/>
      <c r="F723" s="21"/>
      <c r="G723" s="21"/>
      <c r="H723" s="21"/>
      <c r="I723" s="21"/>
      <c r="J723" s="21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2:24" hidden="1">
      <c r="B724" s="20" t="s">
        <v>342</v>
      </c>
      <c r="C724" s="20"/>
      <c r="D724" s="82" t="s">
        <v>336</v>
      </c>
      <c r="E724" s="20" t="s">
        <v>337</v>
      </c>
      <c r="F724" s="21"/>
      <c r="G724" s="21"/>
      <c r="H724" s="21"/>
      <c r="I724" s="21"/>
      <c r="J724" s="21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2:24" hidden="1">
      <c r="B725" s="59" t="str">
        <f t="shared" ref="B725:E744" si="248">IF(ISBLANK(B162),"",B162)</f>
        <v/>
      </c>
      <c r="C725" s="59" t="str">
        <f t="shared" si="248"/>
        <v/>
      </c>
      <c r="D725" s="59" t="str">
        <f t="shared" si="248"/>
        <v/>
      </c>
      <c r="E725" s="59" t="str">
        <f t="shared" si="248"/>
        <v/>
      </c>
      <c r="F725" s="59"/>
      <c r="G725" s="59"/>
      <c r="H725" s="59"/>
      <c r="I725" s="59"/>
      <c r="J725" s="59" t="s">
        <v>731</v>
      </c>
      <c r="K725" s="60">
        <f t="shared" ref="K725:X725" si="249">IF(AND($C725="B+R",$E725="prace rozwojowe",LataProjekcji&lt;=Koniec_PR,Modul_badawczo_rozwojowy=tak),ROUND(K162,0),0)</f>
        <v>0</v>
      </c>
      <c r="L725" s="60">
        <f t="shared" si="249"/>
        <v>0</v>
      </c>
      <c r="M725" s="60">
        <f t="shared" si="249"/>
        <v>0</v>
      </c>
      <c r="N725" s="60">
        <f t="shared" si="249"/>
        <v>0</v>
      </c>
      <c r="O725" s="60">
        <f t="shared" si="249"/>
        <v>0</v>
      </c>
      <c r="P725" s="60">
        <f t="shared" si="249"/>
        <v>0</v>
      </c>
      <c r="Q725" s="60">
        <f t="shared" si="249"/>
        <v>0</v>
      </c>
      <c r="R725" s="60">
        <f t="shared" si="249"/>
        <v>0</v>
      </c>
      <c r="S725" s="60">
        <f t="shared" si="249"/>
        <v>0</v>
      </c>
      <c r="T725" s="60">
        <f t="shared" si="249"/>
        <v>0</v>
      </c>
      <c r="U725" s="60">
        <f t="shared" si="249"/>
        <v>0</v>
      </c>
      <c r="V725" s="60">
        <f t="shared" si="249"/>
        <v>0</v>
      </c>
      <c r="W725" s="60">
        <f t="shared" si="249"/>
        <v>0</v>
      </c>
      <c r="X725" s="60">
        <f t="shared" si="249"/>
        <v>0</v>
      </c>
    </row>
    <row r="726" spans="2:24" hidden="1">
      <c r="B726" s="59" t="str">
        <f t="shared" si="248"/>
        <v/>
      </c>
      <c r="C726" s="59" t="str">
        <f t="shared" si="248"/>
        <v/>
      </c>
      <c r="D726" s="59" t="str">
        <f t="shared" si="248"/>
        <v/>
      </c>
      <c r="E726" s="59" t="str">
        <f t="shared" si="248"/>
        <v/>
      </c>
      <c r="F726" s="59"/>
      <c r="G726" s="59"/>
      <c r="H726" s="59"/>
      <c r="I726" s="59"/>
      <c r="J726" s="59"/>
      <c r="K726" s="60">
        <f t="shared" ref="K726:X726" si="250">IF(AND($C726="B+R",$E726="prace rozwojowe",LataProjekcji&lt;=Koniec_PR,Modul_badawczo_rozwojowy=tak),ROUND(K163,0),0)</f>
        <v>0</v>
      </c>
      <c r="L726" s="60">
        <f t="shared" si="250"/>
        <v>0</v>
      </c>
      <c r="M726" s="60">
        <f t="shared" si="250"/>
        <v>0</v>
      </c>
      <c r="N726" s="60">
        <f t="shared" si="250"/>
        <v>0</v>
      </c>
      <c r="O726" s="60">
        <f t="shared" si="250"/>
        <v>0</v>
      </c>
      <c r="P726" s="60">
        <f t="shared" si="250"/>
        <v>0</v>
      </c>
      <c r="Q726" s="60">
        <f t="shared" si="250"/>
        <v>0</v>
      </c>
      <c r="R726" s="60">
        <f t="shared" si="250"/>
        <v>0</v>
      </c>
      <c r="S726" s="60">
        <f t="shared" si="250"/>
        <v>0</v>
      </c>
      <c r="T726" s="60">
        <f t="shared" si="250"/>
        <v>0</v>
      </c>
      <c r="U726" s="60">
        <f t="shared" si="250"/>
        <v>0</v>
      </c>
      <c r="V726" s="60">
        <f t="shared" si="250"/>
        <v>0</v>
      </c>
      <c r="W726" s="60">
        <f t="shared" si="250"/>
        <v>0</v>
      </c>
      <c r="X726" s="60">
        <f t="shared" si="250"/>
        <v>0</v>
      </c>
    </row>
    <row r="727" spans="2:24" hidden="1">
      <c r="B727" s="59" t="str">
        <f t="shared" si="248"/>
        <v/>
      </c>
      <c r="C727" s="59" t="str">
        <f t="shared" si="248"/>
        <v/>
      </c>
      <c r="D727" s="59" t="str">
        <f t="shared" si="248"/>
        <v/>
      </c>
      <c r="E727" s="59" t="str">
        <f t="shared" si="248"/>
        <v/>
      </c>
      <c r="F727" s="59"/>
      <c r="G727" s="59"/>
      <c r="H727" s="59"/>
      <c r="I727" s="59"/>
      <c r="J727" s="59"/>
      <c r="K727" s="60">
        <f t="shared" ref="K727:X727" si="251">IF(AND($C727="B+R",$E727="prace rozwojowe",LataProjekcji&lt;=Koniec_PR,Modul_badawczo_rozwojowy=tak),ROUND(K164,0),0)</f>
        <v>0</v>
      </c>
      <c r="L727" s="60">
        <f t="shared" si="251"/>
        <v>0</v>
      </c>
      <c r="M727" s="60">
        <f t="shared" si="251"/>
        <v>0</v>
      </c>
      <c r="N727" s="60">
        <f t="shared" si="251"/>
        <v>0</v>
      </c>
      <c r="O727" s="60">
        <f t="shared" si="251"/>
        <v>0</v>
      </c>
      <c r="P727" s="60">
        <f t="shared" si="251"/>
        <v>0</v>
      </c>
      <c r="Q727" s="60">
        <f t="shared" si="251"/>
        <v>0</v>
      </c>
      <c r="R727" s="60">
        <f t="shared" si="251"/>
        <v>0</v>
      </c>
      <c r="S727" s="60">
        <f t="shared" si="251"/>
        <v>0</v>
      </c>
      <c r="T727" s="60">
        <f t="shared" si="251"/>
        <v>0</v>
      </c>
      <c r="U727" s="60">
        <f t="shared" si="251"/>
        <v>0</v>
      </c>
      <c r="V727" s="60">
        <f t="shared" si="251"/>
        <v>0</v>
      </c>
      <c r="W727" s="60">
        <f t="shared" si="251"/>
        <v>0</v>
      </c>
      <c r="X727" s="60">
        <f t="shared" si="251"/>
        <v>0</v>
      </c>
    </row>
    <row r="728" spans="2:24" hidden="1">
      <c r="B728" s="59" t="str">
        <f t="shared" si="248"/>
        <v/>
      </c>
      <c r="C728" s="59" t="str">
        <f t="shared" si="248"/>
        <v/>
      </c>
      <c r="D728" s="59" t="str">
        <f t="shared" si="248"/>
        <v/>
      </c>
      <c r="E728" s="59" t="str">
        <f t="shared" si="248"/>
        <v/>
      </c>
      <c r="F728" s="59"/>
      <c r="G728" s="59"/>
      <c r="H728" s="59"/>
      <c r="I728" s="59"/>
      <c r="J728" s="59"/>
      <c r="K728" s="60">
        <f t="shared" ref="K728:X728" si="252">IF(AND($C728="B+R",$E728="prace rozwojowe",LataProjekcji&lt;=Koniec_PR,Modul_badawczo_rozwojowy=tak),ROUND(K165,0),0)</f>
        <v>0</v>
      </c>
      <c r="L728" s="60">
        <f t="shared" si="252"/>
        <v>0</v>
      </c>
      <c r="M728" s="60">
        <f t="shared" si="252"/>
        <v>0</v>
      </c>
      <c r="N728" s="60">
        <f t="shared" si="252"/>
        <v>0</v>
      </c>
      <c r="O728" s="60">
        <f t="shared" si="252"/>
        <v>0</v>
      </c>
      <c r="P728" s="60">
        <f t="shared" si="252"/>
        <v>0</v>
      </c>
      <c r="Q728" s="60">
        <f t="shared" si="252"/>
        <v>0</v>
      </c>
      <c r="R728" s="60">
        <f t="shared" si="252"/>
        <v>0</v>
      </c>
      <c r="S728" s="60">
        <f t="shared" si="252"/>
        <v>0</v>
      </c>
      <c r="T728" s="60">
        <f t="shared" si="252"/>
        <v>0</v>
      </c>
      <c r="U728" s="60">
        <f t="shared" si="252"/>
        <v>0</v>
      </c>
      <c r="V728" s="60">
        <f t="shared" si="252"/>
        <v>0</v>
      </c>
      <c r="W728" s="60">
        <f t="shared" si="252"/>
        <v>0</v>
      </c>
      <c r="X728" s="60">
        <f t="shared" si="252"/>
        <v>0</v>
      </c>
    </row>
    <row r="729" spans="2:24" hidden="1">
      <c r="B729" s="59" t="str">
        <f t="shared" si="248"/>
        <v/>
      </c>
      <c r="C729" s="59" t="str">
        <f t="shared" si="248"/>
        <v/>
      </c>
      <c r="D729" s="59" t="str">
        <f t="shared" si="248"/>
        <v/>
      </c>
      <c r="E729" s="59" t="str">
        <f t="shared" si="248"/>
        <v/>
      </c>
      <c r="F729" s="59"/>
      <c r="G729" s="59"/>
      <c r="H729" s="59"/>
      <c r="I729" s="59"/>
      <c r="J729" s="59"/>
      <c r="K729" s="60">
        <f t="shared" ref="K729:X729" si="253">IF(AND($C729="B+R",$E729="prace rozwojowe",LataProjekcji&lt;=Koniec_PR,Modul_badawczo_rozwojowy=tak),ROUND(K166,0),0)</f>
        <v>0</v>
      </c>
      <c r="L729" s="60">
        <f t="shared" si="253"/>
        <v>0</v>
      </c>
      <c r="M729" s="60">
        <f t="shared" si="253"/>
        <v>0</v>
      </c>
      <c r="N729" s="60">
        <f t="shared" si="253"/>
        <v>0</v>
      </c>
      <c r="O729" s="60">
        <f t="shared" si="253"/>
        <v>0</v>
      </c>
      <c r="P729" s="60">
        <f t="shared" si="253"/>
        <v>0</v>
      </c>
      <c r="Q729" s="60">
        <f t="shared" si="253"/>
        <v>0</v>
      </c>
      <c r="R729" s="60">
        <f t="shared" si="253"/>
        <v>0</v>
      </c>
      <c r="S729" s="60">
        <f t="shared" si="253"/>
        <v>0</v>
      </c>
      <c r="T729" s="60">
        <f t="shared" si="253"/>
        <v>0</v>
      </c>
      <c r="U729" s="60">
        <f t="shared" si="253"/>
        <v>0</v>
      </c>
      <c r="V729" s="60">
        <f t="shared" si="253"/>
        <v>0</v>
      </c>
      <c r="W729" s="60">
        <f t="shared" si="253"/>
        <v>0</v>
      </c>
      <c r="X729" s="60">
        <f t="shared" si="253"/>
        <v>0</v>
      </c>
    </row>
    <row r="730" spans="2:24" hidden="1">
      <c r="B730" s="59" t="str">
        <f t="shared" si="248"/>
        <v/>
      </c>
      <c r="C730" s="59" t="str">
        <f t="shared" si="248"/>
        <v/>
      </c>
      <c r="D730" s="59" t="str">
        <f t="shared" si="248"/>
        <v/>
      </c>
      <c r="E730" s="59" t="str">
        <f t="shared" si="248"/>
        <v/>
      </c>
      <c r="F730" s="59"/>
      <c r="G730" s="59"/>
      <c r="H730" s="59"/>
      <c r="I730" s="59"/>
      <c r="J730" s="59"/>
      <c r="K730" s="60">
        <f t="shared" ref="K730:X730" si="254">IF(AND($C730="B+R",$E730="prace rozwojowe",LataProjekcji&lt;=Koniec_PR,Modul_badawczo_rozwojowy=tak),ROUND(K167,0),0)</f>
        <v>0</v>
      </c>
      <c r="L730" s="60">
        <f t="shared" si="254"/>
        <v>0</v>
      </c>
      <c r="M730" s="60">
        <f t="shared" si="254"/>
        <v>0</v>
      </c>
      <c r="N730" s="60">
        <f t="shared" si="254"/>
        <v>0</v>
      </c>
      <c r="O730" s="60">
        <f t="shared" si="254"/>
        <v>0</v>
      </c>
      <c r="P730" s="60">
        <f t="shared" si="254"/>
        <v>0</v>
      </c>
      <c r="Q730" s="60">
        <f t="shared" si="254"/>
        <v>0</v>
      </c>
      <c r="R730" s="60">
        <f t="shared" si="254"/>
        <v>0</v>
      </c>
      <c r="S730" s="60">
        <f t="shared" si="254"/>
        <v>0</v>
      </c>
      <c r="T730" s="60">
        <f t="shared" si="254"/>
        <v>0</v>
      </c>
      <c r="U730" s="60">
        <f t="shared" si="254"/>
        <v>0</v>
      </c>
      <c r="V730" s="60">
        <f t="shared" si="254"/>
        <v>0</v>
      </c>
      <c r="W730" s="60">
        <f t="shared" si="254"/>
        <v>0</v>
      </c>
      <c r="X730" s="60">
        <f t="shared" si="254"/>
        <v>0</v>
      </c>
    </row>
    <row r="731" spans="2:24" hidden="1">
      <c r="B731" s="59" t="str">
        <f t="shared" si="248"/>
        <v/>
      </c>
      <c r="C731" s="59" t="str">
        <f t="shared" si="248"/>
        <v/>
      </c>
      <c r="D731" s="59" t="str">
        <f t="shared" si="248"/>
        <v/>
      </c>
      <c r="E731" s="59" t="str">
        <f t="shared" si="248"/>
        <v/>
      </c>
      <c r="F731" s="59"/>
      <c r="G731" s="59"/>
      <c r="H731" s="59"/>
      <c r="I731" s="59"/>
      <c r="J731" s="59"/>
      <c r="K731" s="60">
        <f t="shared" ref="K731:X731" si="255">IF(AND($C731="B+R",$E731="prace rozwojowe",LataProjekcji&lt;=Koniec_PR,Modul_badawczo_rozwojowy=tak),ROUND(K168,0),0)</f>
        <v>0</v>
      </c>
      <c r="L731" s="60">
        <f t="shared" si="255"/>
        <v>0</v>
      </c>
      <c r="M731" s="60">
        <f t="shared" si="255"/>
        <v>0</v>
      </c>
      <c r="N731" s="60">
        <f t="shared" si="255"/>
        <v>0</v>
      </c>
      <c r="O731" s="60">
        <f t="shared" si="255"/>
        <v>0</v>
      </c>
      <c r="P731" s="60">
        <f t="shared" si="255"/>
        <v>0</v>
      </c>
      <c r="Q731" s="60">
        <f t="shared" si="255"/>
        <v>0</v>
      </c>
      <c r="R731" s="60">
        <f t="shared" si="255"/>
        <v>0</v>
      </c>
      <c r="S731" s="60">
        <f t="shared" si="255"/>
        <v>0</v>
      </c>
      <c r="T731" s="60">
        <f t="shared" si="255"/>
        <v>0</v>
      </c>
      <c r="U731" s="60">
        <f t="shared" si="255"/>
        <v>0</v>
      </c>
      <c r="V731" s="60">
        <f t="shared" si="255"/>
        <v>0</v>
      </c>
      <c r="W731" s="60">
        <f t="shared" si="255"/>
        <v>0</v>
      </c>
      <c r="X731" s="60">
        <f t="shared" si="255"/>
        <v>0</v>
      </c>
    </row>
    <row r="732" spans="2:24" hidden="1">
      <c r="B732" s="59" t="str">
        <f t="shared" si="248"/>
        <v/>
      </c>
      <c r="C732" s="59" t="str">
        <f t="shared" si="248"/>
        <v/>
      </c>
      <c r="D732" s="59" t="str">
        <f t="shared" si="248"/>
        <v/>
      </c>
      <c r="E732" s="59" t="str">
        <f t="shared" si="248"/>
        <v/>
      </c>
      <c r="F732" s="59"/>
      <c r="G732" s="59"/>
      <c r="H732" s="59"/>
      <c r="I732" s="59"/>
      <c r="J732" s="59"/>
      <c r="K732" s="60">
        <f t="shared" ref="K732:X732" si="256">IF(AND($C732="B+R",$E732="prace rozwojowe",LataProjekcji&lt;=Koniec_PR,Modul_badawczo_rozwojowy=tak),ROUND(K169,0),0)</f>
        <v>0</v>
      </c>
      <c r="L732" s="60">
        <f t="shared" si="256"/>
        <v>0</v>
      </c>
      <c r="M732" s="60">
        <f t="shared" si="256"/>
        <v>0</v>
      </c>
      <c r="N732" s="60">
        <f t="shared" si="256"/>
        <v>0</v>
      </c>
      <c r="O732" s="60">
        <f t="shared" si="256"/>
        <v>0</v>
      </c>
      <c r="P732" s="60">
        <f t="shared" si="256"/>
        <v>0</v>
      </c>
      <c r="Q732" s="60">
        <f t="shared" si="256"/>
        <v>0</v>
      </c>
      <c r="R732" s="60">
        <f t="shared" si="256"/>
        <v>0</v>
      </c>
      <c r="S732" s="60">
        <f t="shared" si="256"/>
        <v>0</v>
      </c>
      <c r="T732" s="60">
        <f t="shared" si="256"/>
        <v>0</v>
      </c>
      <c r="U732" s="60">
        <f t="shared" si="256"/>
        <v>0</v>
      </c>
      <c r="V732" s="60">
        <f t="shared" si="256"/>
        <v>0</v>
      </c>
      <c r="W732" s="60">
        <f t="shared" si="256"/>
        <v>0</v>
      </c>
      <c r="X732" s="60">
        <f t="shared" si="256"/>
        <v>0</v>
      </c>
    </row>
    <row r="733" spans="2:24" hidden="1">
      <c r="B733" s="59" t="str">
        <f t="shared" si="248"/>
        <v/>
      </c>
      <c r="C733" s="59" t="str">
        <f t="shared" si="248"/>
        <v/>
      </c>
      <c r="D733" s="59" t="str">
        <f t="shared" si="248"/>
        <v/>
      </c>
      <c r="E733" s="59" t="str">
        <f t="shared" si="248"/>
        <v/>
      </c>
      <c r="F733" s="59"/>
      <c r="G733" s="59"/>
      <c r="H733" s="59"/>
      <c r="I733" s="59"/>
      <c r="J733" s="59"/>
      <c r="K733" s="60">
        <f t="shared" ref="K733:X733" si="257">IF(AND($C733="B+R",$E733="prace rozwojowe",LataProjekcji&lt;=Koniec_PR,Modul_badawczo_rozwojowy=tak),ROUND(K170,0),0)</f>
        <v>0</v>
      </c>
      <c r="L733" s="60">
        <f t="shared" si="257"/>
        <v>0</v>
      </c>
      <c r="M733" s="60">
        <f t="shared" si="257"/>
        <v>0</v>
      </c>
      <c r="N733" s="60">
        <f t="shared" si="257"/>
        <v>0</v>
      </c>
      <c r="O733" s="60">
        <f t="shared" si="257"/>
        <v>0</v>
      </c>
      <c r="P733" s="60">
        <f t="shared" si="257"/>
        <v>0</v>
      </c>
      <c r="Q733" s="60">
        <f t="shared" si="257"/>
        <v>0</v>
      </c>
      <c r="R733" s="60">
        <f t="shared" si="257"/>
        <v>0</v>
      </c>
      <c r="S733" s="60">
        <f t="shared" si="257"/>
        <v>0</v>
      </c>
      <c r="T733" s="60">
        <f t="shared" si="257"/>
        <v>0</v>
      </c>
      <c r="U733" s="60">
        <f t="shared" si="257"/>
        <v>0</v>
      </c>
      <c r="V733" s="60">
        <f t="shared" si="257"/>
        <v>0</v>
      </c>
      <c r="W733" s="60">
        <f t="shared" si="257"/>
        <v>0</v>
      </c>
      <c r="X733" s="60">
        <f t="shared" si="257"/>
        <v>0</v>
      </c>
    </row>
    <row r="734" spans="2:24" hidden="1">
      <c r="B734" s="59" t="str">
        <f t="shared" si="248"/>
        <v/>
      </c>
      <c r="C734" s="59" t="str">
        <f t="shared" si="248"/>
        <v/>
      </c>
      <c r="D734" s="59" t="str">
        <f t="shared" si="248"/>
        <v/>
      </c>
      <c r="E734" s="59" t="str">
        <f t="shared" si="248"/>
        <v/>
      </c>
      <c r="F734" s="59"/>
      <c r="G734" s="59"/>
      <c r="H734" s="59"/>
      <c r="I734" s="59"/>
      <c r="J734" s="59"/>
      <c r="K734" s="60">
        <f t="shared" ref="K734:X734" si="258">IF(AND($C734="B+R",$E734="prace rozwojowe",LataProjekcji&lt;=Koniec_PR,Modul_badawczo_rozwojowy=tak),ROUND(K171,0),0)</f>
        <v>0</v>
      </c>
      <c r="L734" s="60">
        <f t="shared" si="258"/>
        <v>0</v>
      </c>
      <c r="M734" s="60">
        <f t="shared" si="258"/>
        <v>0</v>
      </c>
      <c r="N734" s="60">
        <f t="shared" si="258"/>
        <v>0</v>
      </c>
      <c r="O734" s="60">
        <f t="shared" si="258"/>
        <v>0</v>
      </c>
      <c r="P734" s="60">
        <f t="shared" si="258"/>
        <v>0</v>
      </c>
      <c r="Q734" s="60">
        <f t="shared" si="258"/>
        <v>0</v>
      </c>
      <c r="R734" s="60">
        <f t="shared" si="258"/>
        <v>0</v>
      </c>
      <c r="S734" s="60">
        <f t="shared" si="258"/>
        <v>0</v>
      </c>
      <c r="T734" s="60">
        <f t="shared" si="258"/>
        <v>0</v>
      </c>
      <c r="U734" s="60">
        <f t="shared" si="258"/>
        <v>0</v>
      </c>
      <c r="V734" s="60">
        <f t="shared" si="258"/>
        <v>0</v>
      </c>
      <c r="W734" s="60">
        <f t="shared" si="258"/>
        <v>0</v>
      </c>
      <c r="X734" s="60">
        <f t="shared" si="258"/>
        <v>0</v>
      </c>
    </row>
    <row r="735" spans="2:24" hidden="1">
      <c r="B735" s="59" t="str">
        <f t="shared" si="248"/>
        <v/>
      </c>
      <c r="C735" s="59" t="str">
        <f t="shared" si="248"/>
        <v/>
      </c>
      <c r="D735" s="59" t="str">
        <f t="shared" si="248"/>
        <v/>
      </c>
      <c r="E735" s="59" t="str">
        <f t="shared" si="248"/>
        <v/>
      </c>
      <c r="F735" s="59"/>
      <c r="G735" s="59"/>
      <c r="H735" s="59"/>
      <c r="I735" s="59"/>
      <c r="J735" s="59"/>
      <c r="K735" s="60">
        <f t="shared" ref="K735:X735" si="259">IF(AND($C735="B+R",$E735="prace rozwojowe",LataProjekcji&lt;=Koniec_PR,Modul_badawczo_rozwojowy=tak),ROUND(K172,0),0)</f>
        <v>0</v>
      </c>
      <c r="L735" s="60">
        <f t="shared" si="259"/>
        <v>0</v>
      </c>
      <c r="M735" s="60">
        <f t="shared" si="259"/>
        <v>0</v>
      </c>
      <c r="N735" s="60">
        <f t="shared" si="259"/>
        <v>0</v>
      </c>
      <c r="O735" s="60">
        <f t="shared" si="259"/>
        <v>0</v>
      </c>
      <c r="P735" s="60">
        <f t="shared" si="259"/>
        <v>0</v>
      </c>
      <c r="Q735" s="60">
        <f t="shared" si="259"/>
        <v>0</v>
      </c>
      <c r="R735" s="60">
        <f t="shared" si="259"/>
        <v>0</v>
      </c>
      <c r="S735" s="60">
        <f t="shared" si="259"/>
        <v>0</v>
      </c>
      <c r="T735" s="60">
        <f t="shared" si="259"/>
        <v>0</v>
      </c>
      <c r="U735" s="60">
        <f t="shared" si="259"/>
        <v>0</v>
      </c>
      <c r="V735" s="60">
        <f t="shared" si="259"/>
        <v>0</v>
      </c>
      <c r="W735" s="60">
        <f t="shared" si="259"/>
        <v>0</v>
      </c>
      <c r="X735" s="60">
        <f t="shared" si="259"/>
        <v>0</v>
      </c>
    </row>
    <row r="736" spans="2:24" hidden="1">
      <c r="B736" s="59" t="str">
        <f t="shared" si="248"/>
        <v/>
      </c>
      <c r="C736" s="59" t="str">
        <f t="shared" si="248"/>
        <v/>
      </c>
      <c r="D736" s="59" t="str">
        <f t="shared" si="248"/>
        <v/>
      </c>
      <c r="E736" s="59" t="str">
        <f t="shared" si="248"/>
        <v/>
      </c>
      <c r="F736" s="59"/>
      <c r="G736" s="59"/>
      <c r="H736" s="59"/>
      <c r="I736" s="59"/>
      <c r="J736" s="59"/>
      <c r="K736" s="60">
        <f t="shared" ref="K736:X736" si="260">IF(AND($C736="B+R",$E736="prace rozwojowe",LataProjekcji&lt;=Koniec_PR,Modul_badawczo_rozwojowy=tak),ROUND(K173,0),0)</f>
        <v>0</v>
      </c>
      <c r="L736" s="60">
        <f t="shared" si="260"/>
        <v>0</v>
      </c>
      <c r="M736" s="60">
        <f t="shared" si="260"/>
        <v>0</v>
      </c>
      <c r="N736" s="60">
        <f t="shared" si="260"/>
        <v>0</v>
      </c>
      <c r="O736" s="60">
        <f t="shared" si="260"/>
        <v>0</v>
      </c>
      <c r="P736" s="60">
        <f t="shared" si="260"/>
        <v>0</v>
      </c>
      <c r="Q736" s="60">
        <f t="shared" si="260"/>
        <v>0</v>
      </c>
      <c r="R736" s="60">
        <f t="shared" si="260"/>
        <v>0</v>
      </c>
      <c r="S736" s="60">
        <f t="shared" si="260"/>
        <v>0</v>
      </c>
      <c r="T736" s="60">
        <f t="shared" si="260"/>
        <v>0</v>
      </c>
      <c r="U736" s="60">
        <f t="shared" si="260"/>
        <v>0</v>
      </c>
      <c r="V736" s="60">
        <f t="shared" si="260"/>
        <v>0</v>
      </c>
      <c r="W736" s="60">
        <f t="shared" si="260"/>
        <v>0</v>
      </c>
      <c r="X736" s="60">
        <f t="shared" si="260"/>
        <v>0</v>
      </c>
    </row>
    <row r="737" spans="2:24" hidden="1">
      <c r="B737" s="59" t="str">
        <f t="shared" si="248"/>
        <v/>
      </c>
      <c r="C737" s="59" t="str">
        <f t="shared" si="248"/>
        <v/>
      </c>
      <c r="D737" s="59" t="str">
        <f t="shared" si="248"/>
        <v/>
      </c>
      <c r="E737" s="59" t="str">
        <f t="shared" si="248"/>
        <v/>
      </c>
      <c r="F737" s="59"/>
      <c r="G737" s="59"/>
      <c r="H737" s="59"/>
      <c r="I737" s="59"/>
      <c r="J737" s="59"/>
      <c r="K737" s="60">
        <f t="shared" ref="K737:X737" si="261">IF(AND($C737="B+R",$E737="prace rozwojowe",LataProjekcji&lt;=Koniec_PR,Modul_badawczo_rozwojowy=tak),ROUND(K174,0),0)</f>
        <v>0</v>
      </c>
      <c r="L737" s="60">
        <f t="shared" si="261"/>
        <v>0</v>
      </c>
      <c r="M737" s="60">
        <f t="shared" si="261"/>
        <v>0</v>
      </c>
      <c r="N737" s="60">
        <f t="shared" si="261"/>
        <v>0</v>
      </c>
      <c r="O737" s="60">
        <f t="shared" si="261"/>
        <v>0</v>
      </c>
      <c r="P737" s="60">
        <f t="shared" si="261"/>
        <v>0</v>
      </c>
      <c r="Q737" s="60">
        <f t="shared" si="261"/>
        <v>0</v>
      </c>
      <c r="R737" s="60">
        <f t="shared" si="261"/>
        <v>0</v>
      </c>
      <c r="S737" s="60">
        <f t="shared" si="261"/>
        <v>0</v>
      </c>
      <c r="T737" s="60">
        <f t="shared" si="261"/>
        <v>0</v>
      </c>
      <c r="U737" s="60">
        <f t="shared" si="261"/>
        <v>0</v>
      </c>
      <c r="V737" s="60">
        <f t="shared" si="261"/>
        <v>0</v>
      </c>
      <c r="W737" s="60">
        <f t="shared" si="261"/>
        <v>0</v>
      </c>
      <c r="X737" s="60">
        <f t="shared" si="261"/>
        <v>0</v>
      </c>
    </row>
    <row r="738" spans="2:24" hidden="1">
      <c r="B738" s="59" t="str">
        <f t="shared" si="248"/>
        <v/>
      </c>
      <c r="C738" s="59" t="str">
        <f t="shared" si="248"/>
        <v/>
      </c>
      <c r="D738" s="59" t="str">
        <f t="shared" si="248"/>
        <v/>
      </c>
      <c r="E738" s="59" t="str">
        <f t="shared" si="248"/>
        <v/>
      </c>
      <c r="F738" s="59"/>
      <c r="G738" s="59"/>
      <c r="H738" s="59"/>
      <c r="I738" s="59"/>
      <c r="J738" s="59"/>
      <c r="K738" s="60">
        <f t="shared" ref="K738:X738" si="262">IF(AND($C738="B+R",$E738="prace rozwojowe",LataProjekcji&lt;=Koniec_PR,Modul_badawczo_rozwojowy=tak),ROUND(K175,0),0)</f>
        <v>0</v>
      </c>
      <c r="L738" s="60">
        <f t="shared" si="262"/>
        <v>0</v>
      </c>
      <c r="M738" s="60">
        <f t="shared" si="262"/>
        <v>0</v>
      </c>
      <c r="N738" s="60">
        <f t="shared" si="262"/>
        <v>0</v>
      </c>
      <c r="O738" s="60">
        <f t="shared" si="262"/>
        <v>0</v>
      </c>
      <c r="P738" s="60">
        <f t="shared" si="262"/>
        <v>0</v>
      </c>
      <c r="Q738" s="60">
        <f t="shared" si="262"/>
        <v>0</v>
      </c>
      <c r="R738" s="60">
        <f t="shared" si="262"/>
        <v>0</v>
      </c>
      <c r="S738" s="60">
        <f t="shared" si="262"/>
        <v>0</v>
      </c>
      <c r="T738" s="60">
        <f t="shared" si="262"/>
        <v>0</v>
      </c>
      <c r="U738" s="60">
        <f t="shared" si="262"/>
        <v>0</v>
      </c>
      <c r="V738" s="60">
        <f t="shared" si="262"/>
        <v>0</v>
      </c>
      <c r="W738" s="60">
        <f t="shared" si="262"/>
        <v>0</v>
      </c>
      <c r="X738" s="60">
        <f t="shared" si="262"/>
        <v>0</v>
      </c>
    </row>
    <row r="739" spans="2:24" hidden="1">
      <c r="B739" s="59" t="str">
        <f t="shared" si="248"/>
        <v/>
      </c>
      <c r="C739" s="59" t="str">
        <f t="shared" si="248"/>
        <v/>
      </c>
      <c r="D739" s="59" t="str">
        <f t="shared" si="248"/>
        <v/>
      </c>
      <c r="E739" s="59" t="str">
        <f t="shared" si="248"/>
        <v/>
      </c>
      <c r="F739" s="59"/>
      <c r="G739" s="59"/>
      <c r="H739" s="59"/>
      <c r="I739" s="59"/>
      <c r="J739" s="59"/>
      <c r="K739" s="60">
        <f t="shared" ref="K739:X739" si="263">IF(AND($C739="B+R",$E739="prace rozwojowe",LataProjekcji&lt;=Koniec_PR,Modul_badawczo_rozwojowy=tak),ROUND(K176,0),0)</f>
        <v>0</v>
      </c>
      <c r="L739" s="60">
        <f t="shared" si="263"/>
        <v>0</v>
      </c>
      <c r="M739" s="60">
        <f t="shared" si="263"/>
        <v>0</v>
      </c>
      <c r="N739" s="60">
        <f t="shared" si="263"/>
        <v>0</v>
      </c>
      <c r="O739" s="60">
        <f t="shared" si="263"/>
        <v>0</v>
      </c>
      <c r="P739" s="60">
        <f t="shared" si="263"/>
        <v>0</v>
      </c>
      <c r="Q739" s="60">
        <f t="shared" si="263"/>
        <v>0</v>
      </c>
      <c r="R739" s="60">
        <f t="shared" si="263"/>
        <v>0</v>
      </c>
      <c r="S739" s="60">
        <f t="shared" si="263"/>
        <v>0</v>
      </c>
      <c r="T739" s="60">
        <f t="shared" si="263"/>
        <v>0</v>
      </c>
      <c r="U739" s="60">
        <f t="shared" si="263"/>
        <v>0</v>
      </c>
      <c r="V739" s="60">
        <f t="shared" si="263"/>
        <v>0</v>
      </c>
      <c r="W739" s="60">
        <f t="shared" si="263"/>
        <v>0</v>
      </c>
      <c r="X739" s="60">
        <f t="shared" si="263"/>
        <v>0</v>
      </c>
    </row>
    <row r="740" spans="2:24" hidden="1">
      <c r="B740" s="59" t="str">
        <f t="shared" si="248"/>
        <v/>
      </c>
      <c r="C740" s="59" t="str">
        <f t="shared" si="248"/>
        <v/>
      </c>
      <c r="D740" s="59" t="str">
        <f t="shared" si="248"/>
        <v/>
      </c>
      <c r="E740" s="59" t="str">
        <f t="shared" si="248"/>
        <v/>
      </c>
      <c r="F740" s="59"/>
      <c r="G740" s="59"/>
      <c r="H740" s="59"/>
      <c r="I740" s="59"/>
      <c r="J740" s="59"/>
      <c r="K740" s="60">
        <f t="shared" ref="K740:X740" si="264">IF(AND($C740="B+R",$E740="prace rozwojowe",LataProjekcji&lt;=Koniec_PR,Modul_badawczo_rozwojowy=tak),ROUND(K177,0),0)</f>
        <v>0</v>
      </c>
      <c r="L740" s="60">
        <f t="shared" si="264"/>
        <v>0</v>
      </c>
      <c r="M740" s="60">
        <f t="shared" si="264"/>
        <v>0</v>
      </c>
      <c r="N740" s="60">
        <f t="shared" si="264"/>
        <v>0</v>
      </c>
      <c r="O740" s="60">
        <f t="shared" si="264"/>
        <v>0</v>
      </c>
      <c r="P740" s="60">
        <f t="shared" si="264"/>
        <v>0</v>
      </c>
      <c r="Q740" s="60">
        <f t="shared" si="264"/>
        <v>0</v>
      </c>
      <c r="R740" s="60">
        <f t="shared" si="264"/>
        <v>0</v>
      </c>
      <c r="S740" s="60">
        <f t="shared" si="264"/>
        <v>0</v>
      </c>
      <c r="T740" s="60">
        <f t="shared" si="264"/>
        <v>0</v>
      </c>
      <c r="U740" s="60">
        <f t="shared" si="264"/>
        <v>0</v>
      </c>
      <c r="V740" s="60">
        <f t="shared" si="264"/>
        <v>0</v>
      </c>
      <c r="W740" s="60">
        <f t="shared" si="264"/>
        <v>0</v>
      </c>
      <c r="X740" s="60">
        <f t="shared" si="264"/>
        <v>0</v>
      </c>
    </row>
    <row r="741" spans="2:24" hidden="1">
      <c r="B741" s="59" t="str">
        <f t="shared" si="248"/>
        <v/>
      </c>
      <c r="C741" s="59" t="str">
        <f t="shared" si="248"/>
        <v/>
      </c>
      <c r="D741" s="59" t="str">
        <f t="shared" si="248"/>
        <v/>
      </c>
      <c r="E741" s="59" t="str">
        <f t="shared" si="248"/>
        <v/>
      </c>
      <c r="F741" s="59"/>
      <c r="G741" s="59"/>
      <c r="H741" s="59"/>
      <c r="I741" s="59"/>
      <c r="J741" s="59"/>
      <c r="K741" s="60">
        <f t="shared" ref="K741:X741" si="265">IF(AND($C741="B+R",$E741="prace rozwojowe",LataProjekcji&lt;=Koniec_PR,Modul_badawczo_rozwojowy=tak),ROUND(K178,0),0)</f>
        <v>0</v>
      </c>
      <c r="L741" s="60">
        <f t="shared" si="265"/>
        <v>0</v>
      </c>
      <c r="M741" s="60">
        <f t="shared" si="265"/>
        <v>0</v>
      </c>
      <c r="N741" s="60">
        <f t="shared" si="265"/>
        <v>0</v>
      </c>
      <c r="O741" s="60">
        <f t="shared" si="265"/>
        <v>0</v>
      </c>
      <c r="P741" s="60">
        <f t="shared" si="265"/>
        <v>0</v>
      </c>
      <c r="Q741" s="60">
        <f t="shared" si="265"/>
        <v>0</v>
      </c>
      <c r="R741" s="60">
        <f t="shared" si="265"/>
        <v>0</v>
      </c>
      <c r="S741" s="60">
        <f t="shared" si="265"/>
        <v>0</v>
      </c>
      <c r="T741" s="60">
        <f t="shared" si="265"/>
        <v>0</v>
      </c>
      <c r="U741" s="60">
        <f t="shared" si="265"/>
        <v>0</v>
      </c>
      <c r="V741" s="60">
        <f t="shared" si="265"/>
        <v>0</v>
      </c>
      <c r="W741" s="60">
        <f t="shared" si="265"/>
        <v>0</v>
      </c>
      <c r="X741" s="60">
        <f t="shared" si="265"/>
        <v>0</v>
      </c>
    </row>
    <row r="742" spans="2:24" hidden="1">
      <c r="B742" s="59" t="str">
        <f t="shared" si="248"/>
        <v/>
      </c>
      <c r="C742" s="59" t="str">
        <f t="shared" si="248"/>
        <v/>
      </c>
      <c r="D742" s="59" t="str">
        <f t="shared" si="248"/>
        <v/>
      </c>
      <c r="E742" s="59" t="str">
        <f t="shared" si="248"/>
        <v/>
      </c>
      <c r="F742" s="59"/>
      <c r="G742" s="59"/>
      <c r="H742" s="59"/>
      <c r="I742" s="59"/>
      <c r="J742" s="59"/>
      <c r="K742" s="60">
        <f t="shared" ref="K742:X742" si="266">IF(AND($C742="B+R",$E742="prace rozwojowe",LataProjekcji&lt;=Koniec_PR,Modul_badawczo_rozwojowy=tak),ROUND(K179,0),0)</f>
        <v>0</v>
      </c>
      <c r="L742" s="60">
        <f t="shared" si="266"/>
        <v>0</v>
      </c>
      <c r="M742" s="60">
        <f t="shared" si="266"/>
        <v>0</v>
      </c>
      <c r="N742" s="60">
        <f t="shared" si="266"/>
        <v>0</v>
      </c>
      <c r="O742" s="60">
        <f t="shared" si="266"/>
        <v>0</v>
      </c>
      <c r="P742" s="60">
        <f t="shared" si="266"/>
        <v>0</v>
      </c>
      <c r="Q742" s="60">
        <f t="shared" si="266"/>
        <v>0</v>
      </c>
      <c r="R742" s="60">
        <f t="shared" si="266"/>
        <v>0</v>
      </c>
      <c r="S742" s="60">
        <f t="shared" si="266"/>
        <v>0</v>
      </c>
      <c r="T742" s="60">
        <f t="shared" si="266"/>
        <v>0</v>
      </c>
      <c r="U742" s="60">
        <f t="shared" si="266"/>
        <v>0</v>
      </c>
      <c r="V742" s="60">
        <f t="shared" si="266"/>
        <v>0</v>
      </c>
      <c r="W742" s="60">
        <f t="shared" si="266"/>
        <v>0</v>
      </c>
      <c r="X742" s="60">
        <f t="shared" si="266"/>
        <v>0</v>
      </c>
    </row>
    <row r="743" spans="2:24" hidden="1">
      <c r="B743" s="59" t="str">
        <f t="shared" si="248"/>
        <v/>
      </c>
      <c r="C743" s="59" t="str">
        <f t="shared" si="248"/>
        <v/>
      </c>
      <c r="D743" s="59" t="str">
        <f t="shared" si="248"/>
        <v/>
      </c>
      <c r="E743" s="59" t="str">
        <f t="shared" si="248"/>
        <v/>
      </c>
      <c r="F743" s="59"/>
      <c r="G743" s="59"/>
      <c r="H743" s="59"/>
      <c r="I743" s="59"/>
      <c r="J743" s="59"/>
      <c r="K743" s="60">
        <f t="shared" ref="K743:X743" si="267">IF(AND($C743="B+R",$E743="prace rozwojowe",LataProjekcji&lt;=Koniec_PR,Modul_badawczo_rozwojowy=tak),ROUND(K180,0),0)</f>
        <v>0</v>
      </c>
      <c r="L743" s="60">
        <f t="shared" si="267"/>
        <v>0</v>
      </c>
      <c r="M743" s="60">
        <f t="shared" si="267"/>
        <v>0</v>
      </c>
      <c r="N743" s="60">
        <f t="shared" si="267"/>
        <v>0</v>
      </c>
      <c r="O743" s="60">
        <f t="shared" si="267"/>
        <v>0</v>
      </c>
      <c r="P743" s="60">
        <f t="shared" si="267"/>
        <v>0</v>
      </c>
      <c r="Q743" s="60">
        <f t="shared" si="267"/>
        <v>0</v>
      </c>
      <c r="R743" s="60">
        <f t="shared" si="267"/>
        <v>0</v>
      </c>
      <c r="S743" s="60">
        <f t="shared" si="267"/>
        <v>0</v>
      </c>
      <c r="T743" s="60">
        <f t="shared" si="267"/>
        <v>0</v>
      </c>
      <c r="U743" s="60">
        <f t="shared" si="267"/>
        <v>0</v>
      </c>
      <c r="V743" s="60">
        <f t="shared" si="267"/>
        <v>0</v>
      </c>
      <c r="W743" s="60">
        <f t="shared" si="267"/>
        <v>0</v>
      </c>
      <c r="X743" s="60">
        <f t="shared" si="267"/>
        <v>0</v>
      </c>
    </row>
    <row r="744" spans="2:24" hidden="1">
      <c r="B744" s="59" t="str">
        <f t="shared" si="248"/>
        <v/>
      </c>
      <c r="C744" s="59" t="str">
        <f t="shared" si="248"/>
        <v/>
      </c>
      <c r="D744" s="59" t="str">
        <f t="shared" si="248"/>
        <v/>
      </c>
      <c r="E744" s="59" t="str">
        <f t="shared" si="248"/>
        <v/>
      </c>
      <c r="F744" s="59"/>
      <c r="G744" s="59"/>
      <c r="H744" s="59"/>
      <c r="I744" s="59"/>
      <c r="J744" s="59"/>
      <c r="K744" s="60">
        <f t="shared" ref="K744:X744" si="268">IF(AND($C744="B+R",$E744="prace rozwojowe",LataProjekcji&lt;=Koniec_PR,Modul_badawczo_rozwojowy=tak),ROUND(K181,0),0)</f>
        <v>0</v>
      </c>
      <c r="L744" s="60">
        <f t="shared" si="268"/>
        <v>0</v>
      </c>
      <c r="M744" s="60">
        <f t="shared" si="268"/>
        <v>0</v>
      </c>
      <c r="N744" s="60">
        <f t="shared" si="268"/>
        <v>0</v>
      </c>
      <c r="O744" s="60">
        <f t="shared" si="268"/>
        <v>0</v>
      </c>
      <c r="P744" s="60">
        <f t="shared" si="268"/>
        <v>0</v>
      </c>
      <c r="Q744" s="60">
        <f t="shared" si="268"/>
        <v>0</v>
      </c>
      <c r="R744" s="60">
        <f t="shared" si="268"/>
        <v>0</v>
      </c>
      <c r="S744" s="60">
        <f t="shared" si="268"/>
        <v>0</v>
      </c>
      <c r="T744" s="60">
        <f t="shared" si="268"/>
        <v>0</v>
      </c>
      <c r="U744" s="60">
        <f t="shared" si="268"/>
        <v>0</v>
      </c>
      <c r="V744" s="60">
        <f t="shared" si="268"/>
        <v>0</v>
      </c>
      <c r="W744" s="60">
        <f t="shared" si="268"/>
        <v>0</v>
      </c>
      <c r="X744" s="60">
        <f t="shared" si="268"/>
        <v>0</v>
      </c>
    </row>
    <row r="745" spans="2:24" hidden="1">
      <c r="B745" s="20" t="s">
        <v>343</v>
      </c>
      <c r="C745" s="20"/>
      <c r="D745" s="80"/>
      <c r="E745" s="21"/>
      <c r="F745" s="21"/>
      <c r="G745" s="21"/>
      <c r="H745" s="21"/>
      <c r="I745" s="21"/>
      <c r="J745" s="21"/>
      <c r="K745" s="61">
        <f>ROUND(SUM(K725:K744),0)</f>
        <v>0</v>
      </c>
      <c r="L745" s="61">
        <f t="shared" ref="L745:X745" si="269">ROUND(SUM(L725:L744),0)</f>
        <v>0</v>
      </c>
      <c r="M745" s="61">
        <f t="shared" si="269"/>
        <v>0</v>
      </c>
      <c r="N745" s="61">
        <f t="shared" si="269"/>
        <v>0</v>
      </c>
      <c r="O745" s="61">
        <f t="shared" si="269"/>
        <v>0</v>
      </c>
      <c r="P745" s="61">
        <f t="shared" si="269"/>
        <v>0</v>
      </c>
      <c r="Q745" s="61">
        <f t="shared" si="269"/>
        <v>0</v>
      </c>
      <c r="R745" s="61">
        <f t="shared" si="269"/>
        <v>0</v>
      </c>
      <c r="S745" s="61">
        <f t="shared" si="269"/>
        <v>0</v>
      </c>
      <c r="T745" s="61">
        <f t="shared" si="269"/>
        <v>0</v>
      </c>
      <c r="U745" s="61">
        <f t="shared" si="269"/>
        <v>0</v>
      </c>
      <c r="V745" s="61">
        <f t="shared" si="269"/>
        <v>0</v>
      </c>
      <c r="W745" s="61">
        <f t="shared" si="269"/>
        <v>0</v>
      </c>
      <c r="X745" s="61">
        <f t="shared" si="269"/>
        <v>0</v>
      </c>
    </row>
    <row r="746" spans="2:24" hidden="1">
      <c r="B746" s="21"/>
      <c r="C746" s="21"/>
      <c r="D746" s="80"/>
      <c r="E746" s="21"/>
      <c r="F746" s="21"/>
      <c r="G746" s="21"/>
      <c r="H746" s="21"/>
      <c r="I746" s="21"/>
      <c r="J746" s="21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2:24" hidden="1">
      <c r="B747" s="21"/>
      <c r="C747" s="21"/>
      <c r="D747" s="80"/>
      <c r="E747" s="21"/>
      <c r="F747" s="21"/>
      <c r="G747" s="21"/>
      <c r="H747" s="21"/>
      <c r="I747" s="21"/>
      <c r="J747" s="21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2:24" hidden="1">
      <c r="B748" s="20" t="s">
        <v>344</v>
      </c>
      <c r="C748" s="20"/>
      <c r="D748" s="82" t="s">
        <v>336</v>
      </c>
      <c r="E748" s="20" t="s">
        <v>337</v>
      </c>
      <c r="F748" s="21"/>
      <c r="G748" s="21"/>
      <c r="H748" s="21"/>
      <c r="I748" s="21"/>
      <c r="J748" s="21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2:24" hidden="1">
      <c r="B749" s="59" t="str">
        <f t="shared" ref="B749:E753" si="270">IF(ISBLANK(B207),"",B207)</f>
        <v/>
      </c>
      <c r="C749" s="59" t="str">
        <f t="shared" si="270"/>
        <v/>
      </c>
      <c r="D749" s="59" t="str">
        <f t="shared" si="270"/>
        <v/>
      </c>
      <c r="E749" s="59" t="str">
        <f t="shared" si="270"/>
        <v/>
      </c>
      <c r="F749" s="59"/>
      <c r="G749" s="59"/>
      <c r="H749" s="59"/>
      <c r="I749" s="59"/>
      <c r="J749" s="59" t="s">
        <v>732</v>
      </c>
      <c r="K749" s="60">
        <f t="shared" ref="K749:X749" si="271">IF(AND($C749="B+R",$E749="prace rozwojowe",LataProjekcji&lt;=Koniec_PR,Modul_badawczo_rozwojowy=tak),ROUND(K207,0),0)</f>
        <v>0</v>
      </c>
      <c r="L749" s="60">
        <f t="shared" si="271"/>
        <v>0</v>
      </c>
      <c r="M749" s="60">
        <f t="shared" si="271"/>
        <v>0</v>
      </c>
      <c r="N749" s="60">
        <f t="shared" si="271"/>
        <v>0</v>
      </c>
      <c r="O749" s="60">
        <f t="shared" si="271"/>
        <v>0</v>
      </c>
      <c r="P749" s="60">
        <f t="shared" si="271"/>
        <v>0</v>
      </c>
      <c r="Q749" s="60">
        <f t="shared" si="271"/>
        <v>0</v>
      </c>
      <c r="R749" s="60">
        <f t="shared" si="271"/>
        <v>0</v>
      </c>
      <c r="S749" s="60">
        <f t="shared" si="271"/>
        <v>0</v>
      </c>
      <c r="T749" s="60">
        <f t="shared" si="271"/>
        <v>0</v>
      </c>
      <c r="U749" s="60">
        <f t="shared" si="271"/>
        <v>0</v>
      </c>
      <c r="V749" s="60">
        <f t="shared" si="271"/>
        <v>0</v>
      </c>
      <c r="W749" s="60">
        <f t="shared" si="271"/>
        <v>0</v>
      </c>
      <c r="X749" s="60">
        <f t="shared" si="271"/>
        <v>0</v>
      </c>
    </row>
    <row r="750" spans="2:24" hidden="1">
      <c r="B750" s="59" t="str">
        <f t="shared" si="270"/>
        <v/>
      </c>
      <c r="C750" s="59" t="str">
        <f t="shared" si="270"/>
        <v/>
      </c>
      <c r="D750" s="59" t="str">
        <f t="shared" si="270"/>
        <v/>
      </c>
      <c r="E750" s="59" t="str">
        <f t="shared" si="270"/>
        <v/>
      </c>
      <c r="F750" s="59"/>
      <c r="G750" s="59"/>
      <c r="H750" s="59"/>
      <c r="I750" s="59"/>
      <c r="J750" s="59"/>
      <c r="K750" s="60">
        <f t="shared" ref="K750:X750" si="272">IF(AND($C750="B+R",$E750="prace rozwojowe",LataProjekcji&lt;=Koniec_PR,Modul_badawczo_rozwojowy=tak),ROUND(K208,0),0)</f>
        <v>0</v>
      </c>
      <c r="L750" s="60">
        <f t="shared" si="272"/>
        <v>0</v>
      </c>
      <c r="M750" s="60">
        <f t="shared" si="272"/>
        <v>0</v>
      </c>
      <c r="N750" s="60">
        <f t="shared" si="272"/>
        <v>0</v>
      </c>
      <c r="O750" s="60">
        <f t="shared" si="272"/>
        <v>0</v>
      </c>
      <c r="P750" s="60">
        <f t="shared" si="272"/>
        <v>0</v>
      </c>
      <c r="Q750" s="60">
        <f t="shared" si="272"/>
        <v>0</v>
      </c>
      <c r="R750" s="60">
        <f t="shared" si="272"/>
        <v>0</v>
      </c>
      <c r="S750" s="60">
        <f t="shared" si="272"/>
        <v>0</v>
      </c>
      <c r="T750" s="60">
        <f t="shared" si="272"/>
        <v>0</v>
      </c>
      <c r="U750" s="60">
        <f t="shared" si="272"/>
        <v>0</v>
      </c>
      <c r="V750" s="60">
        <f t="shared" si="272"/>
        <v>0</v>
      </c>
      <c r="W750" s="60">
        <f t="shared" si="272"/>
        <v>0</v>
      </c>
      <c r="X750" s="60">
        <f t="shared" si="272"/>
        <v>0</v>
      </c>
    </row>
    <row r="751" spans="2:24" hidden="1">
      <c r="B751" s="59" t="str">
        <f t="shared" si="270"/>
        <v/>
      </c>
      <c r="C751" s="59" t="str">
        <f t="shared" si="270"/>
        <v/>
      </c>
      <c r="D751" s="59" t="str">
        <f t="shared" si="270"/>
        <v/>
      </c>
      <c r="E751" s="59" t="str">
        <f t="shared" si="270"/>
        <v/>
      </c>
      <c r="F751" s="59"/>
      <c r="G751" s="59"/>
      <c r="H751" s="59"/>
      <c r="I751" s="59"/>
      <c r="J751" s="59"/>
      <c r="K751" s="60">
        <f t="shared" ref="K751:X751" si="273">IF(AND($C751="B+R",$E751="prace rozwojowe",LataProjekcji&lt;=Koniec_PR,Modul_badawczo_rozwojowy=tak),ROUND(K209,0),0)</f>
        <v>0</v>
      </c>
      <c r="L751" s="60">
        <f t="shared" si="273"/>
        <v>0</v>
      </c>
      <c r="M751" s="60">
        <f t="shared" si="273"/>
        <v>0</v>
      </c>
      <c r="N751" s="60">
        <f t="shared" si="273"/>
        <v>0</v>
      </c>
      <c r="O751" s="60">
        <f t="shared" si="273"/>
        <v>0</v>
      </c>
      <c r="P751" s="60">
        <f t="shared" si="273"/>
        <v>0</v>
      </c>
      <c r="Q751" s="60">
        <f t="shared" si="273"/>
        <v>0</v>
      </c>
      <c r="R751" s="60">
        <f t="shared" si="273"/>
        <v>0</v>
      </c>
      <c r="S751" s="60">
        <f t="shared" si="273"/>
        <v>0</v>
      </c>
      <c r="T751" s="60">
        <f t="shared" si="273"/>
        <v>0</v>
      </c>
      <c r="U751" s="60">
        <f t="shared" si="273"/>
        <v>0</v>
      </c>
      <c r="V751" s="60">
        <f t="shared" si="273"/>
        <v>0</v>
      </c>
      <c r="W751" s="60">
        <f t="shared" si="273"/>
        <v>0</v>
      </c>
      <c r="X751" s="60">
        <f t="shared" si="273"/>
        <v>0</v>
      </c>
    </row>
    <row r="752" spans="2:24" hidden="1">
      <c r="B752" s="59" t="str">
        <f t="shared" si="270"/>
        <v/>
      </c>
      <c r="C752" s="59" t="str">
        <f t="shared" si="270"/>
        <v/>
      </c>
      <c r="D752" s="59" t="str">
        <f t="shared" si="270"/>
        <v/>
      </c>
      <c r="E752" s="59" t="str">
        <f t="shared" si="270"/>
        <v/>
      </c>
      <c r="F752" s="59"/>
      <c r="G752" s="59"/>
      <c r="H752" s="59"/>
      <c r="I752" s="59"/>
      <c r="J752" s="59"/>
      <c r="K752" s="60">
        <f t="shared" ref="K752:X752" si="274">IF(AND($C752="B+R",$E752="prace rozwojowe",LataProjekcji&lt;=Koniec_PR,Modul_badawczo_rozwojowy=tak),ROUND(K210,0),0)</f>
        <v>0</v>
      </c>
      <c r="L752" s="60">
        <f t="shared" si="274"/>
        <v>0</v>
      </c>
      <c r="M752" s="60">
        <f t="shared" si="274"/>
        <v>0</v>
      </c>
      <c r="N752" s="60">
        <f t="shared" si="274"/>
        <v>0</v>
      </c>
      <c r="O752" s="60">
        <f t="shared" si="274"/>
        <v>0</v>
      </c>
      <c r="P752" s="60">
        <f t="shared" si="274"/>
        <v>0</v>
      </c>
      <c r="Q752" s="60">
        <f t="shared" si="274"/>
        <v>0</v>
      </c>
      <c r="R752" s="60">
        <f t="shared" si="274"/>
        <v>0</v>
      </c>
      <c r="S752" s="60">
        <f t="shared" si="274"/>
        <v>0</v>
      </c>
      <c r="T752" s="60">
        <f t="shared" si="274"/>
        <v>0</v>
      </c>
      <c r="U752" s="60">
        <f t="shared" si="274"/>
        <v>0</v>
      </c>
      <c r="V752" s="60">
        <f t="shared" si="274"/>
        <v>0</v>
      </c>
      <c r="W752" s="60">
        <f t="shared" si="274"/>
        <v>0</v>
      </c>
      <c r="X752" s="60">
        <f t="shared" si="274"/>
        <v>0</v>
      </c>
    </row>
    <row r="753" spans="2:24" hidden="1">
      <c r="B753" s="59" t="str">
        <f t="shared" si="270"/>
        <v/>
      </c>
      <c r="C753" s="59" t="str">
        <f t="shared" si="270"/>
        <v/>
      </c>
      <c r="D753" s="59" t="str">
        <f t="shared" si="270"/>
        <v/>
      </c>
      <c r="E753" s="59" t="str">
        <f t="shared" si="270"/>
        <v/>
      </c>
      <c r="F753" s="59"/>
      <c r="G753" s="59"/>
      <c r="H753" s="59"/>
      <c r="I753" s="59"/>
      <c r="J753" s="59"/>
      <c r="K753" s="60">
        <f t="shared" ref="K753:X753" si="275">IF(AND($C753="B+R",$E753="prace rozwojowe",LataProjekcji&lt;=Koniec_PR,Modul_badawczo_rozwojowy=tak),ROUND(K211,0),0)</f>
        <v>0</v>
      </c>
      <c r="L753" s="60">
        <f t="shared" si="275"/>
        <v>0</v>
      </c>
      <c r="M753" s="60">
        <f t="shared" si="275"/>
        <v>0</v>
      </c>
      <c r="N753" s="60">
        <f t="shared" si="275"/>
        <v>0</v>
      </c>
      <c r="O753" s="60">
        <f t="shared" si="275"/>
        <v>0</v>
      </c>
      <c r="P753" s="60">
        <f t="shared" si="275"/>
        <v>0</v>
      </c>
      <c r="Q753" s="60">
        <f t="shared" si="275"/>
        <v>0</v>
      </c>
      <c r="R753" s="60">
        <f t="shared" si="275"/>
        <v>0</v>
      </c>
      <c r="S753" s="60">
        <f t="shared" si="275"/>
        <v>0</v>
      </c>
      <c r="T753" s="60">
        <f t="shared" si="275"/>
        <v>0</v>
      </c>
      <c r="U753" s="60">
        <f t="shared" si="275"/>
        <v>0</v>
      </c>
      <c r="V753" s="60">
        <f t="shared" si="275"/>
        <v>0</v>
      </c>
      <c r="W753" s="60">
        <f t="shared" si="275"/>
        <v>0</v>
      </c>
      <c r="X753" s="60">
        <f t="shared" si="275"/>
        <v>0</v>
      </c>
    </row>
    <row r="754" spans="2:24" hidden="1">
      <c r="B754" s="20" t="s">
        <v>345</v>
      </c>
      <c r="C754" s="20"/>
      <c r="D754" s="80"/>
      <c r="E754" s="21"/>
      <c r="F754" s="21"/>
      <c r="G754" s="21"/>
      <c r="H754" s="21"/>
      <c r="I754" s="21"/>
      <c r="J754" s="21"/>
      <c r="K754" s="61">
        <f>ROUND(SUM(K749:K753),0)</f>
        <v>0</v>
      </c>
      <c r="L754" s="61">
        <f t="shared" ref="L754:X754" si="276">ROUND(SUM(L749:L753),0)</f>
        <v>0</v>
      </c>
      <c r="M754" s="61">
        <f t="shared" si="276"/>
        <v>0</v>
      </c>
      <c r="N754" s="61">
        <f t="shared" si="276"/>
        <v>0</v>
      </c>
      <c r="O754" s="61">
        <f t="shared" si="276"/>
        <v>0</v>
      </c>
      <c r="P754" s="61">
        <f t="shared" si="276"/>
        <v>0</v>
      </c>
      <c r="Q754" s="61">
        <f t="shared" si="276"/>
        <v>0</v>
      </c>
      <c r="R754" s="61">
        <f t="shared" si="276"/>
        <v>0</v>
      </c>
      <c r="S754" s="61">
        <f t="shared" si="276"/>
        <v>0</v>
      </c>
      <c r="T754" s="61">
        <f t="shared" si="276"/>
        <v>0</v>
      </c>
      <c r="U754" s="61">
        <f t="shared" si="276"/>
        <v>0</v>
      </c>
      <c r="V754" s="61">
        <f t="shared" si="276"/>
        <v>0</v>
      </c>
      <c r="W754" s="61">
        <f t="shared" si="276"/>
        <v>0</v>
      </c>
      <c r="X754" s="61">
        <f t="shared" si="276"/>
        <v>0</v>
      </c>
    </row>
    <row r="755" spans="2:24" hidden="1">
      <c r="B755" s="21"/>
      <c r="C755" s="21"/>
      <c r="D755" s="80"/>
      <c r="E755" s="21"/>
      <c r="F755" s="21"/>
      <c r="G755" s="21"/>
      <c r="H755" s="21"/>
      <c r="I755" s="21"/>
      <c r="J755" s="21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2:24" hidden="1">
      <c r="B756" s="21"/>
      <c r="C756" s="21"/>
      <c r="D756" s="80"/>
      <c r="E756" s="21"/>
      <c r="F756" s="21"/>
      <c r="G756" s="21"/>
      <c r="H756" s="21"/>
      <c r="I756" s="21"/>
      <c r="J756" s="21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2:24" hidden="1">
      <c r="B757" s="20" t="s">
        <v>346</v>
      </c>
      <c r="C757" s="20"/>
      <c r="D757" s="80"/>
      <c r="E757" s="21"/>
      <c r="F757" s="21"/>
      <c r="G757" s="21"/>
      <c r="H757" s="21"/>
      <c r="I757" s="21"/>
      <c r="J757" s="21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2:24" hidden="1">
      <c r="B758" s="20" t="s">
        <v>321</v>
      </c>
      <c r="C758" s="20"/>
      <c r="D758" s="82" t="s">
        <v>336</v>
      </c>
      <c r="E758" s="20" t="s">
        <v>337</v>
      </c>
      <c r="F758" s="21"/>
      <c r="G758" s="21"/>
      <c r="H758" s="21"/>
      <c r="I758" s="21"/>
      <c r="J758" s="21"/>
      <c r="K758" s="61" t="s">
        <v>318</v>
      </c>
      <c r="L758" s="61" t="s">
        <v>318</v>
      </c>
      <c r="M758" s="61" t="s">
        <v>318</v>
      </c>
      <c r="N758" s="61" t="s">
        <v>318</v>
      </c>
      <c r="O758" s="61" t="s">
        <v>318</v>
      </c>
      <c r="P758" s="61" t="s">
        <v>318</v>
      </c>
      <c r="Q758" s="61" t="s">
        <v>318</v>
      </c>
      <c r="R758" s="61" t="s">
        <v>318</v>
      </c>
      <c r="S758" s="61" t="s">
        <v>318</v>
      </c>
      <c r="T758" s="61" t="s">
        <v>318</v>
      </c>
      <c r="U758" s="61" t="s">
        <v>318</v>
      </c>
      <c r="V758" s="61" t="s">
        <v>318</v>
      </c>
      <c r="W758" s="61" t="s">
        <v>318</v>
      </c>
      <c r="X758" s="61" t="s">
        <v>318</v>
      </c>
    </row>
    <row r="759" spans="2:24" hidden="1">
      <c r="B759" s="59" t="str">
        <f t="shared" ref="B759:E778" si="277">IF(ISBLANK(B223),"",B223)</f>
        <v/>
      </c>
      <c r="C759" s="59" t="str">
        <f t="shared" si="277"/>
        <v/>
      </c>
      <c r="D759" s="59" t="str">
        <f t="shared" si="277"/>
        <v/>
      </c>
      <c r="E759" s="59" t="str">
        <f t="shared" si="277"/>
        <v/>
      </c>
      <c r="F759" s="59"/>
      <c r="G759" s="59"/>
      <c r="H759" s="59"/>
      <c r="I759" s="59"/>
      <c r="J759" s="59" t="s">
        <v>733</v>
      </c>
      <c r="K759" s="60">
        <f t="shared" ref="K759:X759" si="278">IF(AND($C759="B+R",$E759="prace rozwojowe",LataProjekcji&lt;=Koniec_PR,Modul_badawczo_rozwojowy=tak),ROUND(K391,0),0)</f>
        <v>0</v>
      </c>
      <c r="L759" s="60">
        <f t="shared" si="278"/>
        <v>0</v>
      </c>
      <c r="M759" s="60">
        <f t="shared" si="278"/>
        <v>0</v>
      </c>
      <c r="N759" s="60">
        <f t="shared" si="278"/>
        <v>0</v>
      </c>
      <c r="O759" s="60">
        <f t="shared" si="278"/>
        <v>0</v>
      </c>
      <c r="P759" s="60">
        <f t="shared" si="278"/>
        <v>0</v>
      </c>
      <c r="Q759" s="60">
        <f t="shared" si="278"/>
        <v>0</v>
      </c>
      <c r="R759" s="60">
        <f t="shared" si="278"/>
        <v>0</v>
      </c>
      <c r="S759" s="60">
        <f t="shared" si="278"/>
        <v>0</v>
      </c>
      <c r="T759" s="60">
        <f t="shared" si="278"/>
        <v>0</v>
      </c>
      <c r="U759" s="60">
        <f t="shared" si="278"/>
        <v>0</v>
      </c>
      <c r="V759" s="60">
        <f t="shared" si="278"/>
        <v>0</v>
      </c>
      <c r="W759" s="60">
        <f t="shared" si="278"/>
        <v>0</v>
      </c>
      <c r="X759" s="60">
        <f t="shared" si="278"/>
        <v>0</v>
      </c>
    </row>
    <row r="760" spans="2:24" hidden="1">
      <c r="B760" s="59" t="str">
        <f t="shared" si="277"/>
        <v/>
      </c>
      <c r="C760" s="59" t="str">
        <f t="shared" si="277"/>
        <v/>
      </c>
      <c r="D760" s="59" t="str">
        <f t="shared" si="277"/>
        <v/>
      </c>
      <c r="E760" s="59" t="str">
        <f t="shared" si="277"/>
        <v/>
      </c>
      <c r="F760" s="59"/>
      <c r="G760" s="59"/>
      <c r="H760" s="59"/>
      <c r="I760" s="59"/>
      <c r="J760" s="59"/>
      <c r="K760" s="60">
        <f t="shared" ref="K760:X760" si="279">IF(AND($C760="B+R",$E760="prace rozwojowe",LataProjekcji&lt;=Koniec_PR,Modul_badawczo_rozwojowy=tak),ROUND(K392,0),0)</f>
        <v>0</v>
      </c>
      <c r="L760" s="60">
        <f t="shared" si="279"/>
        <v>0</v>
      </c>
      <c r="M760" s="60">
        <f t="shared" si="279"/>
        <v>0</v>
      </c>
      <c r="N760" s="60">
        <f t="shared" si="279"/>
        <v>0</v>
      </c>
      <c r="O760" s="60">
        <f t="shared" si="279"/>
        <v>0</v>
      </c>
      <c r="P760" s="60">
        <f t="shared" si="279"/>
        <v>0</v>
      </c>
      <c r="Q760" s="60">
        <f t="shared" si="279"/>
        <v>0</v>
      </c>
      <c r="R760" s="60">
        <f t="shared" si="279"/>
        <v>0</v>
      </c>
      <c r="S760" s="60">
        <f t="shared" si="279"/>
        <v>0</v>
      </c>
      <c r="T760" s="60">
        <f t="shared" si="279"/>
        <v>0</v>
      </c>
      <c r="U760" s="60">
        <f t="shared" si="279"/>
        <v>0</v>
      </c>
      <c r="V760" s="60">
        <f t="shared" si="279"/>
        <v>0</v>
      </c>
      <c r="W760" s="60">
        <f t="shared" si="279"/>
        <v>0</v>
      </c>
      <c r="X760" s="60">
        <f t="shared" si="279"/>
        <v>0</v>
      </c>
    </row>
    <row r="761" spans="2:24" hidden="1">
      <c r="B761" s="59" t="str">
        <f t="shared" si="277"/>
        <v/>
      </c>
      <c r="C761" s="59" t="str">
        <f t="shared" si="277"/>
        <v/>
      </c>
      <c r="D761" s="59" t="str">
        <f t="shared" si="277"/>
        <v/>
      </c>
      <c r="E761" s="59" t="str">
        <f t="shared" si="277"/>
        <v/>
      </c>
      <c r="F761" s="59"/>
      <c r="G761" s="59"/>
      <c r="H761" s="59"/>
      <c r="I761" s="59"/>
      <c r="J761" s="59"/>
      <c r="K761" s="60">
        <f t="shared" ref="K761:X761" si="280">IF(AND($C761="B+R",$E761="prace rozwojowe",LataProjekcji&lt;=Koniec_PR,Modul_badawczo_rozwojowy=tak),ROUND(K393,0),0)</f>
        <v>0</v>
      </c>
      <c r="L761" s="60">
        <f t="shared" si="280"/>
        <v>0</v>
      </c>
      <c r="M761" s="60">
        <f t="shared" si="280"/>
        <v>0</v>
      </c>
      <c r="N761" s="60">
        <f t="shared" si="280"/>
        <v>0</v>
      </c>
      <c r="O761" s="60">
        <f t="shared" si="280"/>
        <v>0</v>
      </c>
      <c r="P761" s="60">
        <f t="shared" si="280"/>
        <v>0</v>
      </c>
      <c r="Q761" s="60">
        <f t="shared" si="280"/>
        <v>0</v>
      </c>
      <c r="R761" s="60">
        <f t="shared" si="280"/>
        <v>0</v>
      </c>
      <c r="S761" s="60">
        <f t="shared" si="280"/>
        <v>0</v>
      </c>
      <c r="T761" s="60">
        <f t="shared" si="280"/>
        <v>0</v>
      </c>
      <c r="U761" s="60">
        <f t="shared" si="280"/>
        <v>0</v>
      </c>
      <c r="V761" s="60">
        <f t="shared" si="280"/>
        <v>0</v>
      </c>
      <c r="W761" s="60">
        <f t="shared" si="280"/>
        <v>0</v>
      </c>
      <c r="X761" s="60">
        <f t="shared" si="280"/>
        <v>0</v>
      </c>
    </row>
    <row r="762" spans="2:24" hidden="1">
      <c r="B762" s="59" t="str">
        <f t="shared" si="277"/>
        <v/>
      </c>
      <c r="C762" s="59" t="str">
        <f t="shared" si="277"/>
        <v/>
      </c>
      <c r="D762" s="59" t="str">
        <f t="shared" si="277"/>
        <v/>
      </c>
      <c r="E762" s="59" t="str">
        <f t="shared" si="277"/>
        <v/>
      </c>
      <c r="F762" s="59"/>
      <c r="G762" s="59"/>
      <c r="H762" s="59"/>
      <c r="I762" s="59"/>
      <c r="J762" s="59"/>
      <c r="K762" s="60">
        <f t="shared" ref="K762:X762" si="281">IF(AND($C762="B+R",$E762="prace rozwojowe",LataProjekcji&lt;=Koniec_PR,Modul_badawczo_rozwojowy=tak),ROUND(K394,0),0)</f>
        <v>0</v>
      </c>
      <c r="L762" s="60">
        <f t="shared" si="281"/>
        <v>0</v>
      </c>
      <c r="M762" s="60">
        <f t="shared" si="281"/>
        <v>0</v>
      </c>
      <c r="N762" s="60">
        <f t="shared" si="281"/>
        <v>0</v>
      </c>
      <c r="O762" s="60">
        <f t="shared" si="281"/>
        <v>0</v>
      </c>
      <c r="P762" s="60">
        <f t="shared" si="281"/>
        <v>0</v>
      </c>
      <c r="Q762" s="60">
        <f t="shared" si="281"/>
        <v>0</v>
      </c>
      <c r="R762" s="60">
        <f t="shared" si="281"/>
        <v>0</v>
      </c>
      <c r="S762" s="60">
        <f t="shared" si="281"/>
        <v>0</v>
      </c>
      <c r="T762" s="60">
        <f t="shared" si="281"/>
        <v>0</v>
      </c>
      <c r="U762" s="60">
        <f t="shared" si="281"/>
        <v>0</v>
      </c>
      <c r="V762" s="60">
        <f t="shared" si="281"/>
        <v>0</v>
      </c>
      <c r="W762" s="60">
        <f t="shared" si="281"/>
        <v>0</v>
      </c>
      <c r="X762" s="60">
        <f t="shared" si="281"/>
        <v>0</v>
      </c>
    </row>
    <row r="763" spans="2:24" hidden="1">
      <c r="B763" s="59" t="str">
        <f t="shared" si="277"/>
        <v/>
      </c>
      <c r="C763" s="59" t="str">
        <f t="shared" si="277"/>
        <v/>
      </c>
      <c r="D763" s="59" t="str">
        <f t="shared" si="277"/>
        <v/>
      </c>
      <c r="E763" s="59" t="str">
        <f t="shared" si="277"/>
        <v/>
      </c>
      <c r="F763" s="59"/>
      <c r="G763" s="59"/>
      <c r="H763" s="59"/>
      <c r="I763" s="59"/>
      <c r="J763" s="59"/>
      <c r="K763" s="60">
        <f t="shared" ref="K763:X763" si="282">IF(AND($C763="B+R",$E763="prace rozwojowe",LataProjekcji&lt;=Koniec_PR,Modul_badawczo_rozwojowy=tak),ROUND(K395,0),0)</f>
        <v>0</v>
      </c>
      <c r="L763" s="60">
        <f t="shared" si="282"/>
        <v>0</v>
      </c>
      <c r="M763" s="60">
        <f t="shared" si="282"/>
        <v>0</v>
      </c>
      <c r="N763" s="60">
        <f t="shared" si="282"/>
        <v>0</v>
      </c>
      <c r="O763" s="60">
        <f t="shared" si="282"/>
        <v>0</v>
      </c>
      <c r="P763" s="60">
        <f t="shared" si="282"/>
        <v>0</v>
      </c>
      <c r="Q763" s="60">
        <f t="shared" si="282"/>
        <v>0</v>
      </c>
      <c r="R763" s="60">
        <f t="shared" si="282"/>
        <v>0</v>
      </c>
      <c r="S763" s="60">
        <f t="shared" si="282"/>
        <v>0</v>
      </c>
      <c r="T763" s="60">
        <f t="shared" si="282"/>
        <v>0</v>
      </c>
      <c r="U763" s="60">
        <f t="shared" si="282"/>
        <v>0</v>
      </c>
      <c r="V763" s="60">
        <f t="shared" si="282"/>
        <v>0</v>
      </c>
      <c r="W763" s="60">
        <f t="shared" si="282"/>
        <v>0</v>
      </c>
      <c r="X763" s="60">
        <f t="shared" si="282"/>
        <v>0</v>
      </c>
    </row>
    <row r="764" spans="2:24" hidden="1">
      <c r="B764" s="59" t="str">
        <f t="shared" si="277"/>
        <v/>
      </c>
      <c r="C764" s="59" t="str">
        <f t="shared" si="277"/>
        <v/>
      </c>
      <c r="D764" s="59" t="str">
        <f t="shared" si="277"/>
        <v/>
      </c>
      <c r="E764" s="59" t="str">
        <f t="shared" si="277"/>
        <v/>
      </c>
      <c r="F764" s="59"/>
      <c r="G764" s="59"/>
      <c r="H764" s="59"/>
      <c r="I764" s="59"/>
      <c r="J764" s="59"/>
      <c r="K764" s="60">
        <f t="shared" ref="K764:X764" si="283">IF(AND($C764="B+R",$E764="prace rozwojowe",LataProjekcji&lt;=Koniec_PR,Modul_badawczo_rozwojowy=tak),ROUND(K396,0),0)</f>
        <v>0</v>
      </c>
      <c r="L764" s="60">
        <f t="shared" si="283"/>
        <v>0</v>
      </c>
      <c r="M764" s="60">
        <f t="shared" si="283"/>
        <v>0</v>
      </c>
      <c r="N764" s="60">
        <f t="shared" si="283"/>
        <v>0</v>
      </c>
      <c r="O764" s="60">
        <f t="shared" si="283"/>
        <v>0</v>
      </c>
      <c r="P764" s="60">
        <f t="shared" si="283"/>
        <v>0</v>
      </c>
      <c r="Q764" s="60">
        <f t="shared" si="283"/>
        <v>0</v>
      </c>
      <c r="R764" s="60">
        <f t="shared" si="283"/>
        <v>0</v>
      </c>
      <c r="S764" s="60">
        <f t="shared" si="283"/>
        <v>0</v>
      </c>
      <c r="T764" s="60">
        <f t="shared" si="283"/>
        <v>0</v>
      </c>
      <c r="U764" s="60">
        <f t="shared" si="283"/>
        <v>0</v>
      </c>
      <c r="V764" s="60">
        <f t="shared" si="283"/>
        <v>0</v>
      </c>
      <c r="W764" s="60">
        <f t="shared" si="283"/>
        <v>0</v>
      </c>
      <c r="X764" s="60">
        <f t="shared" si="283"/>
        <v>0</v>
      </c>
    </row>
    <row r="765" spans="2:24" hidden="1">
      <c r="B765" s="59" t="str">
        <f t="shared" si="277"/>
        <v/>
      </c>
      <c r="C765" s="59" t="str">
        <f t="shared" si="277"/>
        <v/>
      </c>
      <c r="D765" s="59" t="str">
        <f t="shared" si="277"/>
        <v/>
      </c>
      <c r="E765" s="59" t="str">
        <f t="shared" si="277"/>
        <v/>
      </c>
      <c r="F765" s="59"/>
      <c r="G765" s="59"/>
      <c r="H765" s="59"/>
      <c r="I765" s="59"/>
      <c r="J765" s="59"/>
      <c r="K765" s="60">
        <f t="shared" ref="K765:X765" si="284">IF(AND($C765="B+R",$E765="prace rozwojowe",LataProjekcji&lt;=Koniec_PR,Modul_badawczo_rozwojowy=tak),ROUND(K397,0),0)</f>
        <v>0</v>
      </c>
      <c r="L765" s="60">
        <f t="shared" si="284"/>
        <v>0</v>
      </c>
      <c r="M765" s="60">
        <f t="shared" si="284"/>
        <v>0</v>
      </c>
      <c r="N765" s="60">
        <f t="shared" si="284"/>
        <v>0</v>
      </c>
      <c r="O765" s="60">
        <f t="shared" si="284"/>
        <v>0</v>
      </c>
      <c r="P765" s="60">
        <f t="shared" si="284"/>
        <v>0</v>
      </c>
      <c r="Q765" s="60">
        <f t="shared" si="284"/>
        <v>0</v>
      </c>
      <c r="R765" s="60">
        <f t="shared" si="284"/>
        <v>0</v>
      </c>
      <c r="S765" s="60">
        <f t="shared" si="284"/>
        <v>0</v>
      </c>
      <c r="T765" s="60">
        <f t="shared" si="284"/>
        <v>0</v>
      </c>
      <c r="U765" s="60">
        <f t="shared" si="284"/>
        <v>0</v>
      </c>
      <c r="V765" s="60">
        <f t="shared" si="284"/>
        <v>0</v>
      </c>
      <c r="W765" s="60">
        <f t="shared" si="284"/>
        <v>0</v>
      </c>
      <c r="X765" s="60">
        <f t="shared" si="284"/>
        <v>0</v>
      </c>
    </row>
    <row r="766" spans="2:24" hidden="1">
      <c r="B766" s="59" t="str">
        <f t="shared" si="277"/>
        <v/>
      </c>
      <c r="C766" s="59" t="str">
        <f t="shared" si="277"/>
        <v/>
      </c>
      <c r="D766" s="59" t="str">
        <f t="shared" si="277"/>
        <v/>
      </c>
      <c r="E766" s="59" t="str">
        <f t="shared" si="277"/>
        <v/>
      </c>
      <c r="F766" s="59"/>
      <c r="G766" s="59"/>
      <c r="H766" s="59"/>
      <c r="I766" s="59"/>
      <c r="J766" s="59"/>
      <c r="K766" s="60">
        <f t="shared" ref="K766:X766" si="285">IF(AND($C766="B+R",$E766="prace rozwojowe",LataProjekcji&lt;=Koniec_PR,Modul_badawczo_rozwojowy=tak),ROUND(K398,0),0)</f>
        <v>0</v>
      </c>
      <c r="L766" s="60">
        <f t="shared" si="285"/>
        <v>0</v>
      </c>
      <c r="M766" s="60">
        <f t="shared" si="285"/>
        <v>0</v>
      </c>
      <c r="N766" s="60">
        <f t="shared" si="285"/>
        <v>0</v>
      </c>
      <c r="O766" s="60">
        <f t="shared" si="285"/>
        <v>0</v>
      </c>
      <c r="P766" s="60">
        <f t="shared" si="285"/>
        <v>0</v>
      </c>
      <c r="Q766" s="60">
        <f t="shared" si="285"/>
        <v>0</v>
      </c>
      <c r="R766" s="60">
        <f t="shared" si="285"/>
        <v>0</v>
      </c>
      <c r="S766" s="60">
        <f t="shared" si="285"/>
        <v>0</v>
      </c>
      <c r="T766" s="60">
        <f t="shared" si="285"/>
        <v>0</v>
      </c>
      <c r="U766" s="60">
        <f t="shared" si="285"/>
        <v>0</v>
      </c>
      <c r="V766" s="60">
        <f t="shared" si="285"/>
        <v>0</v>
      </c>
      <c r="W766" s="60">
        <f t="shared" si="285"/>
        <v>0</v>
      </c>
      <c r="X766" s="60">
        <f t="shared" si="285"/>
        <v>0</v>
      </c>
    </row>
    <row r="767" spans="2:24" hidden="1">
      <c r="B767" s="59" t="str">
        <f t="shared" si="277"/>
        <v/>
      </c>
      <c r="C767" s="59" t="str">
        <f t="shared" si="277"/>
        <v/>
      </c>
      <c r="D767" s="59" t="str">
        <f t="shared" si="277"/>
        <v/>
      </c>
      <c r="E767" s="59" t="str">
        <f t="shared" si="277"/>
        <v/>
      </c>
      <c r="F767" s="59"/>
      <c r="G767" s="59"/>
      <c r="H767" s="59"/>
      <c r="I767" s="59"/>
      <c r="J767" s="59"/>
      <c r="K767" s="60">
        <f t="shared" ref="K767:X767" si="286">IF(AND($C767="B+R",$E767="prace rozwojowe",LataProjekcji&lt;=Koniec_PR,Modul_badawczo_rozwojowy=tak),ROUND(K399,0),0)</f>
        <v>0</v>
      </c>
      <c r="L767" s="60">
        <f t="shared" si="286"/>
        <v>0</v>
      </c>
      <c r="M767" s="60">
        <f t="shared" si="286"/>
        <v>0</v>
      </c>
      <c r="N767" s="60">
        <f t="shared" si="286"/>
        <v>0</v>
      </c>
      <c r="O767" s="60">
        <f t="shared" si="286"/>
        <v>0</v>
      </c>
      <c r="P767" s="60">
        <f t="shared" si="286"/>
        <v>0</v>
      </c>
      <c r="Q767" s="60">
        <f t="shared" si="286"/>
        <v>0</v>
      </c>
      <c r="R767" s="60">
        <f t="shared" si="286"/>
        <v>0</v>
      </c>
      <c r="S767" s="60">
        <f t="shared" si="286"/>
        <v>0</v>
      </c>
      <c r="T767" s="60">
        <f t="shared" si="286"/>
        <v>0</v>
      </c>
      <c r="U767" s="60">
        <f t="shared" si="286"/>
        <v>0</v>
      </c>
      <c r="V767" s="60">
        <f t="shared" si="286"/>
        <v>0</v>
      </c>
      <c r="W767" s="60">
        <f t="shared" si="286"/>
        <v>0</v>
      </c>
      <c r="X767" s="60">
        <f t="shared" si="286"/>
        <v>0</v>
      </c>
    </row>
    <row r="768" spans="2:24" hidden="1">
      <c r="B768" s="59" t="str">
        <f t="shared" si="277"/>
        <v/>
      </c>
      <c r="C768" s="59" t="str">
        <f t="shared" si="277"/>
        <v/>
      </c>
      <c r="D768" s="59" t="str">
        <f t="shared" si="277"/>
        <v/>
      </c>
      <c r="E768" s="59" t="str">
        <f t="shared" si="277"/>
        <v/>
      </c>
      <c r="F768" s="59"/>
      <c r="G768" s="59"/>
      <c r="H768" s="59"/>
      <c r="I768" s="59"/>
      <c r="J768" s="59"/>
      <c r="K768" s="60">
        <f t="shared" ref="K768:X768" si="287">IF(AND($C768="B+R",$E768="prace rozwojowe",LataProjekcji&lt;=Koniec_PR,Modul_badawczo_rozwojowy=tak),ROUND(K400,0),0)</f>
        <v>0</v>
      </c>
      <c r="L768" s="60">
        <f t="shared" si="287"/>
        <v>0</v>
      </c>
      <c r="M768" s="60">
        <f t="shared" si="287"/>
        <v>0</v>
      </c>
      <c r="N768" s="60">
        <f t="shared" si="287"/>
        <v>0</v>
      </c>
      <c r="O768" s="60">
        <f t="shared" si="287"/>
        <v>0</v>
      </c>
      <c r="P768" s="60">
        <f t="shared" si="287"/>
        <v>0</v>
      </c>
      <c r="Q768" s="60">
        <f t="shared" si="287"/>
        <v>0</v>
      </c>
      <c r="R768" s="60">
        <f t="shared" si="287"/>
        <v>0</v>
      </c>
      <c r="S768" s="60">
        <f t="shared" si="287"/>
        <v>0</v>
      </c>
      <c r="T768" s="60">
        <f t="shared" si="287"/>
        <v>0</v>
      </c>
      <c r="U768" s="60">
        <f t="shared" si="287"/>
        <v>0</v>
      </c>
      <c r="V768" s="60">
        <f t="shared" si="287"/>
        <v>0</v>
      </c>
      <c r="W768" s="60">
        <f t="shared" si="287"/>
        <v>0</v>
      </c>
      <c r="X768" s="60">
        <f t="shared" si="287"/>
        <v>0</v>
      </c>
    </row>
    <row r="769" spans="2:24" hidden="1">
      <c r="B769" s="59" t="str">
        <f t="shared" si="277"/>
        <v/>
      </c>
      <c r="C769" s="59" t="str">
        <f t="shared" si="277"/>
        <v/>
      </c>
      <c r="D769" s="59" t="str">
        <f t="shared" si="277"/>
        <v/>
      </c>
      <c r="E769" s="59" t="str">
        <f t="shared" si="277"/>
        <v/>
      </c>
      <c r="F769" s="59"/>
      <c r="G769" s="59"/>
      <c r="H769" s="59"/>
      <c r="I769" s="59"/>
      <c r="J769" s="59"/>
      <c r="K769" s="60">
        <f t="shared" ref="K769:X769" si="288">IF(AND($C769="B+R",$E769="prace rozwojowe",LataProjekcji&lt;=Koniec_PR,Modul_badawczo_rozwojowy=tak),ROUND(K401,0),0)</f>
        <v>0</v>
      </c>
      <c r="L769" s="60">
        <f t="shared" si="288"/>
        <v>0</v>
      </c>
      <c r="M769" s="60">
        <f t="shared" si="288"/>
        <v>0</v>
      </c>
      <c r="N769" s="60">
        <f t="shared" si="288"/>
        <v>0</v>
      </c>
      <c r="O769" s="60">
        <f t="shared" si="288"/>
        <v>0</v>
      </c>
      <c r="P769" s="60">
        <f t="shared" si="288"/>
        <v>0</v>
      </c>
      <c r="Q769" s="60">
        <f t="shared" si="288"/>
        <v>0</v>
      </c>
      <c r="R769" s="60">
        <f t="shared" si="288"/>
        <v>0</v>
      </c>
      <c r="S769" s="60">
        <f t="shared" si="288"/>
        <v>0</v>
      </c>
      <c r="T769" s="60">
        <f t="shared" si="288"/>
        <v>0</v>
      </c>
      <c r="U769" s="60">
        <f t="shared" si="288"/>
        <v>0</v>
      </c>
      <c r="V769" s="60">
        <f t="shared" si="288"/>
        <v>0</v>
      </c>
      <c r="W769" s="60">
        <f t="shared" si="288"/>
        <v>0</v>
      </c>
      <c r="X769" s="60">
        <f t="shared" si="288"/>
        <v>0</v>
      </c>
    </row>
    <row r="770" spans="2:24" hidden="1">
      <c r="B770" s="59" t="str">
        <f t="shared" si="277"/>
        <v/>
      </c>
      <c r="C770" s="59" t="str">
        <f t="shared" si="277"/>
        <v/>
      </c>
      <c r="D770" s="59" t="str">
        <f t="shared" si="277"/>
        <v/>
      </c>
      <c r="E770" s="59" t="str">
        <f t="shared" si="277"/>
        <v/>
      </c>
      <c r="F770" s="59"/>
      <c r="G770" s="59"/>
      <c r="H770" s="59"/>
      <c r="I770" s="59"/>
      <c r="J770" s="59"/>
      <c r="K770" s="60">
        <f t="shared" ref="K770:X770" si="289">IF(AND($C770="B+R",$E770="prace rozwojowe",LataProjekcji&lt;=Koniec_PR,Modul_badawczo_rozwojowy=tak),ROUND(K402,0),0)</f>
        <v>0</v>
      </c>
      <c r="L770" s="60">
        <f t="shared" si="289"/>
        <v>0</v>
      </c>
      <c r="M770" s="60">
        <f t="shared" si="289"/>
        <v>0</v>
      </c>
      <c r="N770" s="60">
        <f t="shared" si="289"/>
        <v>0</v>
      </c>
      <c r="O770" s="60">
        <f t="shared" si="289"/>
        <v>0</v>
      </c>
      <c r="P770" s="60">
        <f t="shared" si="289"/>
        <v>0</v>
      </c>
      <c r="Q770" s="60">
        <f t="shared" si="289"/>
        <v>0</v>
      </c>
      <c r="R770" s="60">
        <f t="shared" si="289"/>
        <v>0</v>
      </c>
      <c r="S770" s="60">
        <f t="shared" si="289"/>
        <v>0</v>
      </c>
      <c r="T770" s="60">
        <f t="shared" si="289"/>
        <v>0</v>
      </c>
      <c r="U770" s="60">
        <f t="shared" si="289"/>
        <v>0</v>
      </c>
      <c r="V770" s="60">
        <f t="shared" si="289"/>
        <v>0</v>
      </c>
      <c r="W770" s="60">
        <f t="shared" si="289"/>
        <v>0</v>
      </c>
      <c r="X770" s="60">
        <f t="shared" si="289"/>
        <v>0</v>
      </c>
    </row>
    <row r="771" spans="2:24" hidden="1">
      <c r="B771" s="59" t="str">
        <f t="shared" si="277"/>
        <v/>
      </c>
      <c r="C771" s="59" t="str">
        <f t="shared" si="277"/>
        <v/>
      </c>
      <c r="D771" s="59" t="str">
        <f t="shared" si="277"/>
        <v/>
      </c>
      <c r="E771" s="59" t="str">
        <f t="shared" si="277"/>
        <v/>
      </c>
      <c r="F771" s="59"/>
      <c r="G771" s="59"/>
      <c r="H771" s="59"/>
      <c r="I771" s="59"/>
      <c r="J771" s="59"/>
      <c r="K771" s="60">
        <f t="shared" ref="K771:X771" si="290">IF(AND($C771="B+R",$E771="prace rozwojowe",LataProjekcji&lt;=Koniec_PR,Modul_badawczo_rozwojowy=tak),ROUND(K403,0),0)</f>
        <v>0</v>
      </c>
      <c r="L771" s="60">
        <f t="shared" si="290"/>
        <v>0</v>
      </c>
      <c r="M771" s="60">
        <f t="shared" si="290"/>
        <v>0</v>
      </c>
      <c r="N771" s="60">
        <f t="shared" si="290"/>
        <v>0</v>
      </c>
      <c r="O771" s="60">
        <f t="shared" si="290"/>
        <v>0</v>
      </c>
      <c r="P771" s="60">
        <f t="shared" si="290"/>
        <v>0</v>
      </c>
      <c r="Q771" s="60">
        <f t="shared" si="290"/>
        <v>0</v>
      </c>
      <c r="R771" s="60">
        <f t="shared" si="290"/>
        <v>0</v>
      </c>
      <c r="S771" s="60">
        <f t="shared" si="290"/>
        <v>0</v>
      </c>
      <c r="T771" s="60">
        <f t="shared" si="290"/>
        <v>0</v>
      </c>
      <c r="U771" s="60">
        <f t="shared" si="290"/>
        <v>0</v>
      </c>
      <c r="V771" s="60">
        <f t="shared" si="290"/>
        <v>0</v>
      </c>
      <c r="W771" s="60">
        <f t="shared" si="290"/>
        <v>0</v>
      </c>
      <c r="X771" s="60">
        <f t="shared" si="290"/>
        <v>0</v>
      </c>
    </row>
    <row r="772" spans="2:24" hidden="1">
      <c r="B772" s="59" t="str">
        <f t="shared" si="277"/>
        <v/>
      </c>
      <c r="C772" s="59" t="str">
        <f t="shared" si="277"/>
        <v/>
      </c>
      <c r="D772" s="59" t="str">
        <f t="shared" si="277"/>
        <v/>
      </c>
      <c r="E772" s="59" t="str">
        <f t="shared" si="277"/>
        <v/>
      </c>
      <c r="F772" s="59"/>
      <c r="G772" s="59"/>
      <c r="H772" s="59"/>
      <c r="I772" s="59"/>
      <c r="J772" s="59"/>
      <c r="K772" s="60">
        <f t="shared" ref="K772:X772" si="291">IF(AND($C772="B+R",$E772="prace rozwojowe",LataProjekcji&lt;=Koniec_PR,Modul_badawczo_rozwojowy=tak),ROUND(K404,0),0)</f>
        <v>0</v>
      </c>
      <c r="L772" s="60">
        <f t="shared" si="291"/>
        <v>0</v>
      </c>
      <c r="M772" s="60">
        <f t="shared" si="291"/>
        <v>0</v>
      </c>
      <c r="N772" s="60">
        <f t="shared" si="291"/>
        <v>0</v>
      </c>
      <c r="O772" s="60">
        <f t="shared" si="291"/>
        <v>0</v>
      </c>
      <c r="P772" s="60">
        <f t="shared" si="291"/>
        <v>0</v>
      </c>
      <c r="Q772" s="60">
        <f t="shared" si="291"/>
        <v>0</v>
      </c>
      <c r="R772" s="60">
        <f t="shared" si="291"/>
        <v>0</v>
      </c>
      <c r="S772" s="60">
        <f t="shared" si="291"/>
        <v>0</v>
      </c>
      <c r="T772" s="60">
        <f t="shared" si="291"/>
        <v>0</v>
      </c>
      <c r="U772" s="60">
        <f t="shared" si="291"/>
        <v>0</v>
      </c>
      <c r="V772" s="60">
        <f t="shared" si="291"/>
        <v>0</v>
      </c>
      <c r="W772" s="60">
        <f t="shared" si="291"/>
        <v>0</v>
      </c>
      <c r="X772" s="60">
        <f t="shared" si="291"/>
        <v>0</v>
      </c>
    </row>
    <row r="773" spans="2:24" hidden="1">
      <c r="B773" s="59" t="str">
        <f t="shared" si="277"/>
        <v/>
      </c>
      <c r="C773" s="59" t="str">
        <f t="shared" si="277"/>
        <v/>
      </c>
      <c r="D773" s="59" t="str">
        <f t="shared" si="277"/>
        <v/>
      </c>
      <c r="E773" s="59" t="str">
        <f t="shared" si="277"/>
        <v/>
      </c>
      <c r="F773" s="59"/>
      <c r="G773" s="59"/>
      <c r="H773" s="59"/>
      <c r="I773" s="59"/>
      <c r="J773" s="59"/>
      <c r="K773" s="60">
        <f t="shared" ref="K773:X773" si="292">IF(AND($C773="B+R",$E773="prace rozwojowe",LataProjekcji&lt;=Koniec_PR,Modul_badawczo_rozwojowy=tak),ROUND(K405,0),0)</f>
        <v>0</v>
      </c>
      <c r="L773" s="60">
        <f t="shared" si="292"/>
        <v>0</v>
      </c>
      <c r="M773" s="60">
        <f t="shared" si="292"/>
        <v>0</v>
      </c>
      <c r="N773" s="60">
        <f t="shared" si="292"/>
        <v>0</v>
      </c>
      <c r="O773" s="60">
        <f t="shared" si="292"/>
        <v>0</v>
      </c>
      <c r="P773" s="60">
        <f t="shared" si="292"/>
        <v>0</v>
      </c>
      <c r="Q773" s="60">
        <f t="shared" si="292"/>
        <v>0</v>
      </c>
      <c r="R773" s="60">
        <f t="shared" si="292"/>
        <v>0</v>
      </c>
      <c r="S773" s="60">
        <f t="shared" si="292"/>
        <v>0</v>
      </c>
      <c r="T773" s="60">
        <f t="shared" si="292"/>
        <v>0</v>
      </c>
      <c r="U773" s="60">
        <f t="shared" si="292"/>
        <v>0</v>
      </c>
      <c r="V773" s="60">
        <f t="shared" si="292"/>
        <v>0</v>
      </c>
      <c r="W773" s="60">
        <f t="shared" si="292"/>
        <v>0</v>
      </c>
      <c r="X773" s="60">
        <f t="shared" si="292"/>
        <v>0</v>
      </c>
    </row>
    <row r="774" spans="2:24" hidden="1">
      <c r="B774" s="59" t="str">
        <f t="shared" si="277"/>
        <v/>
      </c>
      <c r="C774" s="59" t="str">
        <f t="shared" si="277"/>
        <v/>
      </c>
      <c r="D774" s="59" t="str">
        <f t="shared" si="277"/>
        <v/>
      </c>
      <c r="E774" s="59" t="str">
        <f t="shared" si="277"/>
        <v/>
      </c>
      <c r="F774" s="59"/>
      <c r="G774" s="59"/>
      <c r="H774" s="59"/>
      <c r="I774" s="59"/>
      <c r="J774" s="59"/>
      <c r="K774" s="60">
        <f t="shared" ref="K774:X774" si="293">IF(AND($C774="B+R",$E774="prace rozwojowe",LataProjekcji&lt;=Koniec_PR,Modul_badawczo_rozwojowy=tak),ROUND(K406,0),0)</f>
        <v>0</v>
      </c>
      <c r="L774" s="60">
        <f t="shared" si="293"/>
        <v>0</v>
      </c>
      <c r="M774" s="60">
        <f t="shared" si="293"/>
        <v>0</v>
      </c>
      <c r="N774" s="60">
        <f t="shared" si="293"/>
        <v>0</v>
      </c>
      <c r="O774" s="60">
        <f t="shared" si="293"/>
        <v>0</v>
      </c>
      <c r="P774" s="60">
        <f t="shared" si="293"/>
        <v>0</v>
      </c>
      <c r="Q774" s="60">
        <f t="shared" si="293"/>
        <v>0</v>
      </c>
      <c r="R774" s="60">
        <f t="shared" si="293"/>
        <v>0</v>
      </c>
      <c r="S774" s="60">
        <f t="shared" si="293"/>
        <v>0</v>
      </c>
      <c r="T774" s="60">
        <f t="shared" si="293"/>
        <v>0</v>
      </c>
      <c r="U774" s="60">
        <f t="shared" si="293"/>
        <v>0</v>
      </c>
      <c r="V774" s="60">
        <f t="shared" si="293"/>
        <v>0</v>
      </c>
      <c r="W774" s="60">
        <f t="shared" si="293"/>
        <v>0</v>
      </c>
      <c r="X774" s="60">
        <f t="shared" si="293"/>
        <v>0</v>
      </c>
    </row>
    <row r="775" spans="2:24" hidden="1">
      <c r="B775" s="59" t="str">
        <f t="shared" si="277"/>
        <v/>
      </c>
      <c r="C775" s="59" t="str">
        <f t="shared" si="277"/>
        <v/>
      </c>
      <c r="D775" s="59" t="str">
        <f t="shared" si="277"/>
        <v/>
      </c>
      <c r="E775" s="59" t="str">
        <f t="shared" si="277"/>
        <v/>
      </c>
      <c r="F775" s="59"/>
      <c r="G775" s="59"/>
      <c r="H775" s="59"/>
      <c r="I775" s="59"/>
      <c r="J775" s="59"/>
      <c r="K775" s="60">
        <f t="shared" ref="K775:X775" si="294">IF(AND($C775="B+R",$E775="prace rozwojowe",LataProjekcji&lt;=Koniec_PR,Modul_badawczo_rozwojowy=tak),ROUND(K407,0),0)</f>
        <v>0</v>
      </c>
      <c r="L775" s="60">
        <f t="shared" si="294"/>
        <v>0</v>
      </c>
      <c r="M775" s="60">
        <f t="shared" si="294"/>
        <v>0</v>
      </c>
      <c r="N775" s="60">
        <f t="shared" si="294"/>
        <v>0</v>
      </c>
      <c r="O775" s="60">
        <f t="shared" si="294"/>
        <v>0</v>
      </c>
      <c r="P775" s="60">
        <f t="shared" si="294"/>
        <v>0</v>
      </c>
      <c r="Q775" s="60">
        <f t="shared" si="294"/>
        <v>0</v>
      </c>
      <c r="R775" s="60">
        <f t="shared" si="294"/>
        <v>0</v>
      </c>
      <c r="S775" s="60">
        <f t="shared" si="294"/>
        <v>0</v>
      </c>
      <c r="T775" s="60">
        <f t="shared" si="294"/>
        <v>0</v>
      </c>
      <c r="U775" s="60">
        <f t="shared" si="294"/>
        <v>0</v>
      </c>
      <c r="V775" s="60">
        <f t="shared" si="294"/>
        <v>0</v>
      </c>
      <c r="W775" s="60">
        <f t="shared" si="294"/>
        <v>0</v>
      </c>
      <c r="X775" s="60">
        <f t="shared" si="294"/>
        <v>0</v>
      </c>
    </row>
    <row r="776" spans="2:24" hidden="1">
      <c r="B776" s="59" t="str">
        <f t="shared" si="277"/>
        <v/>
      </c>
      <c r="C776" s="59" t="str">
        <f t="shared" si="277"/>
        <v/>
      </c>
      <c r="D776" s="59" t="str">
        <f t="shared" si="277"/>
        <v/>
      </c>
      <c r="E776" s="59" t="str">
        <f t="shared" si="277"/>
        <v/>
      </c>
      <c r="F776" s="59"/>
      <c r="G776" s="59"/>
      <c r="H776" s="59"/>
      <c r="I776" s="59"/>
      <c r="J776" s="59"/>
      <c r="K776" s="60">
        <f t="shared" ref="K776:X776" si="295">IF(AND($C776="B+R",$E776="prace rozwojowe",LataProjekcji&lt;=Koniec_PR,Modul_badawczo_rozwojowy=tak),ROUND(K408,0),0)</f>
        <v>0</v>
      </c>
      <c r="L776" s="60">
        <f t="shared" si="295"/>
        <v>0</v>
      </c>
      <c r="M776" s="60">
        <f t="shared" si="295"/>
        <v>0</v>
      </c>
      <c r="N776" s="60">
        <f t="shared" si="295"/>
        <v>0</v>
      </c>
      <c r="O776" s="60">
        <f t="shared" si="295"/>
        <v>0</v>
      </c>
      <c r="P776" s="60">
        <f t="shared" si="295"/>
        <v>0</v>
      </c>
      <c r="Q776" s="60">
        <f t="shared" si="295"/>
        <v>0</v>
      </c>
      <c r="R776" s="60">
        <f t="shared" si="295"/>
        <v>0</v>
      </c>
      <c r="S776" s="60">
        <f t="shared" si="295"/>
        <v>0</v>
      </c>
      <c r="T776" s="60">
        <f t="shared" si="295"/>
        <v>0</v>
      </c>
      <c r="U776" s="60">
        <f t="shared" si="295"/>
        <v>0</v>
      </c>
      <c r="V776" s="60">
        <f t="shared" si="295"/>
        <v>0</v>
      </c>
      <c r="W776" s="60">
        <f t="shared" si="295"/>
        <v>0</v>
      </c>
      <c r="X776" s="60">
        <f t="shared" si="295"/>
        <v>0</v>
      </c>
    </row>
    <row r="777" spans="2:24" hidden="1">
      <c r="B777" s="59" t="str">
        <f t="shared" si="277"/>
        <v/>
      </c>
      <c r="C777" s="59" t="str">
        <f t="shared" si="277"/>
        <v/>
      </c>
      <c r="D777" s="59" t="str">
        <f t="shared" si="277"/>
        <v/>
      </c>
      <c r="E777" s="59" t="str">
        <f t="shared" si="277"/>
        <v/>
      </c>
      <c r="F777" s="59"/>
      <c r="G777" s="59"/>
      <c r="H777" s="59"/>
      <c r="I777" s="59"/>
      <c r="J777" s="59"/>
      <c r="K777" s="60">
        <f t="shared" ref="K777:X777" si="296">IF(AND($C777="B+R",$E777="prace rozwojowe",LataProjekcji&lt;=Koniec_PR,Modul_badawczo_rozwojowy=tak),ROUND(K409,0),0)</f>
        <v>0</v>
      </c>
      <c r="L777" s="60">
        <f t="shared" si="296"/>
        <v>0</v>
      </c>
      <c r="M777" s="60">
        <f t="shared" si="296"/>
        <v>0</v>
      </c>
      <c r="N777" s="60">
        <f t="shared" si="296"/>
        <v>0</v>
      </c>
      <c r="O777" s="60">
        <f t="shared" si="296"/>
        <v>0</v>
      </c>
      <c r="P777" s="60">
        <f t="shared" si="296"/>
        <v>0</v>
      </c>
      <c r="Q777" s="60">
        <f t="shared" si="296"/>
        <v>0</v>
      </c>
      <c r="R777" s="60">
        <f t="shared" si="296"/>
        <v>0</v>
      </c>
      <c r="S777" s="60">
        <f t="shared" si="296"/>
        <v>0</v>
      </c>
      <c r="T777" s="60">
        <f t="shared" si="296"/>
        <v>0</v>
      </c>
      <c r="U777" s="60">
        <f t="shared" si="296"/>
        <v>0</v>
      </c>
      <c r="V777" s="60">
        <f t="shared" si="296"/>
        <v>0</v>
      </c>
      <c r="W777" s="60">
        <f t="shared" si="296"/>
        <v>0</v>
      </c>
      <c r="X777" s="60">
        <f t="shared" si="296"/>
        <v>0</v>
      </c>
    </row>
    <row r="778" spans="2:24" hidden="1">
      <c r="B778" s="59" t="str">
        <f t="shared" si="277"/>
        <v/>
      </c>
      <c r="C778" s="59" t="str">
        <f t="shared" si="277"/>
        <v/>
      </c>
      <c r="D778" s="59" t="str">
        <f t="shared" si="277"/>
        <v/>
      </c>
      <c r="E778" s="59" t="str">
        <f t="shared" si="277"/>
        <v/>
      </c>
      <c r="F778" s="59"/>
      <c r="G778" s="59"/>
      <c r="H778" s="59"/>
      <c r="I778" s="59"/>
      <c r="J778" s="59"/>
      <c r="K778" s="60">
        <f t="shared" ref="K778:X778" si="297">IF(AND($C778="B+R",$E778="prace rozwojowe",LataProjekcji&lt;=Koniec_PR,Modul_badawczo_rozwojowy=tak),ROUND(K410,0),0)</f>
        <v>0</v>
      </c>
      <c r="L778" s="60">
        <f t="shared" si="297"/>
        <v>0</v>
      </c>
      <c r="M778" s="60">
        <f t="shared" si="297"/>
        <v>0</v>
      </c>
      <c r="N778" s="60">
        <f t="shared" si="297"/>
        <v>0</v>
      </c>
      <c r="O778" s="60">
        <f t="shared" si="297"/>
        <v>0</v>
      </c>
      <c r="P778" s="60">
        <f t="shared" si="297"/>
        <v>0</v>
      </c>
      <c r="Q778" s="60">
        <f t="shared" si="297"/>
        <v>0</v>
      </c>
      <c r="R778" s="60">
        <f t="shared" si="297"/>
        <v>0</v>
      </c>
      <c r="S778" s="60">
        <f t="shared" si="297"/>
        <v>0</v>
      </c>
      <c r="T778" s="60">
        <f t="shared" si="297"/>
        <v>0</v>
      </c>
      <c r="U778" s="60">
        <f t="shared" si="297"/>
        <v>0</v>
      </c>
      <c r="V778" s="60">
        <f t="shared" si="297"/>
        <v>0</v>
      </c>
      <c r="W778" s="60">
        <f t="shared" si="297"/>
        <v>0</v>
      </c>
      <c r="X778" s="60">
        <f t="shared" si="297"/>
        <v>0</v>
      </c>
    </row>
    <row r="779" spans="2:24" hidden="1">
      <c r="B779" s="59" t="str">
        <f t="shared" ref="B779:E798" si="298">IF(ISBLANK(B243),"",B243)</f>
        <v/>
      </c>
      <c r="C779" s="59" t="str">
        <f t="shared" si="298"/>
        <v/>
      </c>
      <c r="D779" s="59" t="str">
        <f t="shared" si="298"/>
        <v/>
      </c>
      <c r="E779" s="59" t="str">
        <f t="shared" si="298"/>
        <v/>
      </c>
      <c r="F779" s="59"/>
      <c r="G779" s="59"/>
      <c r="H779" s="59"/>
      <c r="I779" s="59"/>
      <c r="J779" s="59"/>
      <c r="K779" s="60">
        <f t="shared" ref="K779:X779" si="299">IF(AND($C779="B+R",$E779="prace rozwojowe",LataProjekcji&lt;=Koniec_PR,Modul_badawczo_rozwojowy=tak),ROUND(K411,0),0)</f>
        <v>0</v>
      </c>
      <c r="L779" s="60">
        <f t="shared" si="299"/>
        <v>0</v>
      </c>
      <c r="M779" s="60">
        <f t="shared" si="299"/>
        <v>0</v>
      </c>
      <c r="N779" s="60">
        <f t="shared" si="299"/>
        <v>0</v>
      </c>
      <c r="O779" s="60">
        <f t="shared" si="299"/>
        <v>0</v>
      </c>
      <c r="P779" s="60">
        <f t="shared" si="299"/>
        <v>0</v>
      </c>
      <c r="Q779" s="60">
        <f t="shared" si="299"/>
        <v>0</v>
      </c>
      <c r="R779" s="60">
        <f t="shared" si="299"/>
        <v>0</v>
      </c>
      <c r="S779" s="60">
        <f t="shared" si="299"/>
        <v>0</v>
      </c>
      <c r="T779" s="60">
        <f t="shared" si="299"/>
        <v>0</v>
      </c>
      <c r="U779" s="60">
        <f t="shared" si="299"/>
        <v>0</v>
      </c>
      <c r="V779" s="60">
        <f t="shared" si="299"/>
        <v>0</v>
      </c>
      <c r="W779" s="60">
        <f t="shared" si="299"/>
        <v>0</v>
      </c>
      <c r="X779" s="60">
        <f t="shared" si="299"/>
        <v>0</v>
      </c>
    </row>
    <row r="780" spans="2:24" hidden="1">
      <c r="B780" s="59" t="str">
        <f t="shared" si="298"/>
        <v/>
      </c>
      <c r="C780" s="59" t="str">
        <f t="shared" si="298"/>
        <v/>
      </c>
      <c r="D780" s="59" t="str">
        <f t="shared" si="298"/>
        <v/>
      </c>
      <c r="E780" s="59" t="str">
        <f t="shared" si="298"/>
        <v/>
      </c>
      <c r="F780" s="59"/>
      <c r="G780" s="59"/>
      <c r="H780" s="59"/>
      <c r="I780" s="59"/>
      <c r="J780" s="59"/>
      <c r="K780" s="60">
        <f t="shared" ref="K780:X780" si="300">IF(AND($C780="B+R",$E780="prace rozwojowe",LataProjekcji&lt;=Koniec_PR,Modul_badawczo_rozwojowy=tak),ROUND(K412,0),0)</f>
        <v>0</v>
      </c>
      <c r="L780" s="60">
        <f t="shared" si="300"/>
        <v>0</v>
      </c>
      <c r="M780" s="60">
        <f t="shared" si="300"/>
        <v>0</v>
      </c>
      <c r="N780" s="60">
        <f t="shared" si="300"/>
        <v>0</v>
      </c>
      <c r="O780" s="60">
        <f t="shared" si="300"/>
        <v>0</v>
      </c>
      <c r="P780" s="60">
        <f t="shared" si="300"/>
        <v>0</v>
      </c>
      <c r="Q780" s="60">
        <f t="shared" si="300"/>
        <v>0</v>
      </c>
      <c r="R780" s="60">
        <f t="shared" si="300"/>
        <v>0</v>
      </c>
      <c r="S780" s="60">
        <f t="shared" si="300"/>
        <v>0</v>
      </c>
      <c r="T780" s="60">
        <f t="shared" si="300"/>
        <v>0</v>
      </c>
      <c r="U780" s="60">
        <f t="shared" si="300"/>
        <v>0</v>
      </c>
      <c r="V780" s="60">
        <f t="shared" si="300"/>
        <v>0</v>
      </c>
      <c r="W780" s="60">
        <f t="shared" si="300"/>
        <v>0</v>
      </c>
      <c r="X780" s="60">
        <f t="shared" si="300"/>
        <v>0</v>
      </c>
    </row>
    <row r="781" spans="2:24" hidden="1">
      <c r="B781" s="59" t="str">
        <f t="shared" si="298"/>
        <v/>
      </c>
      <c r="C781" s="59" t="str">
        <f t="shared" si="298"/>
        <v/>
      </c>
      <c r="D781" s="59" t="str">
        <f t="shared" si="298"/>
        <v/>
      </c>
      <c r="E781" s="59" t="str">
        <f t="shared" si="298"/>
        <v/>
      </c>
      <c r="F781" s="59"/>
      <c r="G781" s="59"/>
      <c r="H781" s="59"/>
      <c r="I781" s="59"/>
      <c r="J781" s="59"/>
      <c r="K781" s="60">
        <f t="shared" ref="K781:X781" si="301">IF(AND($C781="B+R",$E781="prace rozwojowe",LataProjekcji&lt;=Koniec_PR,Modul_badawczo_rozwojowy=tak),ROUND(K413,0),0)</f>
        <v>0</v>
      </c>
      <c r="L781" s="60">
        <f t="shared" si="301"/>
        <v>0</v>
      </c>
      <c r="M781" s="60">
        <f t="shared" si="301"/>
        <v>0</v>
      </c>
      <c r="N781" s="60">
        <f t="shared" si="301"/>
        <v>0</v>
      </c>
      <c r="O781" s="60">
        <f t="shared" si="301"/>
        <v>0</v>
      </c>
      <c r="P781" s="60">
        <f t="shared" si="301"/>
        <v>0</v>
      </c>
      <c r="Q781" s="60">
        <f t="shared" si="301"/>
        <v>0</v>
      </c>
      <c r="R781" s="60">
        <f t="shared" si="301"/>
        <v>0</v>
      </c>
      <c r="S781" s="60">
        <f t="shared" si="301"/>
        <v>0</v>
      </c>
      <c r="T781" s="60">
        <f t="shared" si="301"/>
        <v>0</v>
      </c>
      <c r="U781" s="60">
        <f t="shared" si="301"/>
        <v>0</v>
      </c>
      <c r="V781" s="60">
        <f t="shared" si="301"/>
        <v>0</v>
      </c>
      <c r="W781" s="60">
        <f t="shared" si="301"/>
        <v>0</v>
      </c>
      <c r="X781" s="60">
        <f t="shared" si="301"/>
        <v>0</v>
      </c>
    </row>
    <row r="782" spans="2:24" hidden="1">
      <c r="B782" s="59" t="str">
        <f t="shared" si="298"/>
        <v/>
      </c>
      <c r="C782" s="59" t="str">
        <f t="shared" si="298"/>
        <v/>
      </c>
      <c r="D782" s="59" t="str">
        <f t="shared" si="298"/>
        <v/>
      </c>
      <c r="E782" s="59" t="str">
        <f t="shared" si="298"/>
        <v/>
      </c>
      <c r="F782" s="59"/>
      <c r="G782" s="59"/>
      <c r="H782" s="59"/>
      <c r="I782" s="59"/>
      <c r="J782" s="59"/>
      <c r="K782" s="60">
        <f t="shared" ref="K782:X782" si="302">IF(AND($C782="B+R",$E782="prace rozwojowe",LataProjekcji&lt;=Koniec_PR,Modul_badawczo_rozwojowy=tak),ROUND(K414,0),0)</f>
        <v>0</v>
      </c>
      <c r="L782" s="60">
        <f t="shared" si="302"/>
        <v>0</v>
      </c>
      <c r="M782" s="60">
        <f t="shared" si="302"/>
        <v>0</v>
      </c>
      <c r="N782" s="60">
        <f t="shared" si="302"/>
        <v>0</v>
      </c>
      <c r="O782" s="60">
        <f t="shared" si="302"/>
        <v>0</v>
      </c>
      <c r="P782" s="60">
        <f t="shared" si="302"/>
        <v>0</v>
      </c>
      <c r="Q782" s="60">
        <f t="shared" si="302"/>
        <v>0</v>
      </c>
      <c r="R782" s="60">
        <f t="shared" si="302"/>
        <v>0</v>
      </c>
      <c r="S782" s="60">
        <f t="shared" si="302"/>
        <v>0</v>
      </c>
      <c r="T782" s="60">
        <f t="shared" si="302"/>
        <v>0</v>
      </c>
      <c r="U782" s="60">
        <f t="shared" si="302"/>
        <v>0</v>
      </c>
      <c r="V782" s="60">
        <f t="shared" si="302"/>
        <v>0</v>
      </c>
      <c r="W782" s="60">
        <f t="shared" si="302"/>
        <v>0</v>
      </c>
      <c r="X782" s="60">
        <f t="shared" si="302"/>
        <v>0</v>
      </c>
    </row>
    <row r="783" spans="2:24" hidden="1">
      <c r="B783" s="59" t="str">
        <f t="shared" si="298"/>
        <v/>
      </c>
      <c r="C783" s="59" t="str">
        <f t="shared" si="298"/>
        <v/>
      </c>
      <c r="D783" s="59" t="str">
        <f t="shared" si="298"/>
        <v/>
      </c>
      <c r="E783" s="59" t="str">
        <f t="shared" si="298"/>
        <v/>
      </c>
      <c r="F783" s="59"/>
      <c r="G783" s="59"/>
      <c r="H783" s="59"/>
      <c r="I783" s="59"/>
      <c r="J783" s="59"/>
      <c r="K783" s="60">
        <f t="shared" ref="K783:X783" si="303">IF(AND($C783="B+R",$E783="prace rozwojowe",LataProjekcji&lt;=Koniec_PR,Modul_badawczo_rozwojowy=tak),ROUND(K415,0),0)</f>
        <v>0</v>
      </c>
      <c r="L783" s="60">
        <f t="shared" si="303"/>
        <v>0</v>
      </c>
      <c r="M783" s="60">
        <f t="shared" si="303"/>
        <v>0</v>
      </c>
      <c r="N783" s="60">
        <f t="shared" si="303"/>
        <v>0</v>
      </c>
      <c r="O783" s="60">
        <f t="shared" si="303"/>
        <v>0</v>
      </c>
      <c r="P783" s="60">
        <f t="shared" si="303"/>
        <v>0</v>
      </c>
      <c r="Q783" s="60">
        <f t="shared" si="303"/>
        <v>0</v>
      </c>
      <c r="R783" s="60">
        <f t="shared" si="303"/>
        <v>0</v>
      </c>
      <c r="S783" s="60">
        <f t="shared" si="303"/>
        <v>0</v>
      </c>
      <c r="T783" s="60">
        <f t="shared" si="303"/>
        <v>0</v>
      </c>
      <c r="U783" s="60">
        <f t="shared" si="303"/>
        <v>0</v>
      </c>
      <c r="V783" s="60">
        <f t="shared" si="303"/>
        <v>0</v>
      </c>
      <c r="W783" s="60">
        <f t="shared" si="303"/>
        <v>0</v>
      </c>
      <c r="X783" s="60">
        <f t="shared" si="303"/>
        <v>0</v>
      </c>
    </row>
    <row r="784" spans="2:24" hidden="1">
      <c r="B784" s="59" t="str">
        <f t="shared" si="298"/>
        <v/>
      </c>
      <c r="C784" s="59" t="str">
        <f t="shared" si="298"/>
        <v/>
      </c>
      <c r="D784" s="59" t="str">
        <f t="shared" si="298"/>
        <v/>
      </c>
      <c r="E784" s="59" t="str">
        <f t="shared" si="298"/>
        <v/>
      </c>
      <c r="F784" s="59"/>
      <c r="G784" s="59"/>
      <c r="H784" s="59"/>
      <c r="I784" s="59"/>
      <c r="J784" s="59"/>
      <c r="K784" s="60">
        <f t="shared" ref="K784:X784" si="304">IF(AND($C784="B+R",$E784="prace rozwojowe",LataProjekcji&lt;=Koniec_PR,Modul_badawczo_rozwojowy=tak),ROUND(K416,0),0)</f>
        <v>0</v>
      </c>
      <c r="L784" s="60">
        <f t="shared" si="304"/>
        <v>0</v>
      </c>
      <c r="M784" s="60">
        <f t="shared" si="304"/>
        <v>0</v>
      </c>
      <c r="N784" s="60">
        <f t="shared" si="304"/>
        <v>0</v>
      </c>
      <c r="O784" s="60">
        <f t="shared" si="304"/>
        <v>0</v>
      </c>
      <c r="P784" s="60">
        <f t="shared" si="304"/>
        <v>0</v>
      </c>
      <c r="Q784" s="60">
        <f t="shared" si="304"/>
        <v>0</v>
      </c>
      <c r="R784" s="60">
        <f t="shared" si="304"/>
        <v>0</v>
      </c>
      <c r="S784" s="60">
        <f t="shared" si="304"/>
        <v>0</v>
      </c>
      <c r="T784" s="60">
        <f t="shared" si="304"/>
        <v>0</v>
      </c>
      <c r="U784" s="60">
        <f t="shared" si="304"/>
        <v>0</v>
      </c>
      <c r="V784" s="60">
        <f t="shared" si="304"/>
        <v>0</v>
      </c>
      <c r="W784" s="60">
        <f t="shared" si="304"/>
        <v>0</v>
      </c>
      <c r="X784" s="60">
        <f t="shared" si="304"/>
        <v>0</v>
      </c>
    </row>
    <row r="785" spans="2:24" hidden="1">
      <c r="B785" s="59" t="str">
        <f t="shared" si="298"/>
        <v/>
      </c>
      <c r="C785" s="59" t="str">
        <f t="shared" si="298"/>
        <v/>
      </c>
      <c r="D785" s="59" t="str">
        <f t="shared" si="298"/>
        <v/>
      </c>
      <c r="E785" s="59" t="str">
        <f t="shared" si="298"/>
        <v/>
      </c>
      <c r="F785" s="59"/>
      <c r="G785" s="59"/>
      <c r="H785" s="59"/>
      <c r="I785" s="59"/>
      <c r="J785" s="59"/>
      <c r="K785" s="60">
        <f t="shared" ref="K785:X785" si="305">IF(AND($C785="B+R",$E785="prace rozwojowe",LataProjekcji&lt;=Koniec_PR,Modul_badawczo_rozwojowy=tak),ROUND(K417,0),0)</f>
        <v>0</v>
      </c>
      <c r="L785" s="60">
        <f t="shared" si="305"/>
        <v>0</v>
      </c>
      <c r="M785" s="60">
        <f t="shared" si="305"/>
        <v>0</v>
      </c>
      <c r="N785" s="60">
        <f t="shared" si="305"/>
        <v>0</v>
      </c>
      <c r="O785" s="60">
        <f t="shared" si="305"/>
        <v>0</v>
      </c>
      <c r="P785" s="60">
        <f t="shared" si="305"/>
        <v>0</v>
      </c>
      <c r="Q785" s="60">
        <f t="shared" si="305"/>
        <v>0</v>
      </c>
      <c r="R785" s="60">
        <f t="shared" si="305"/>
        <v>0</v>
      </c>
      <c r="S785" s="60">
        <f t="shared" si="305"/>
        <v>0</v>
      </c>
      <c r="T785" s="60">
        <f t="shared" si="305"/>
        <v>0</v>
      </c>
      <c r="U785" s="60">
        <f t="shared" si="305"/>
        <v>0</v>
      </c>
      <c r="V785" s="60">
        <f t="shared" si="305"/>
        <v>0</v>
      </c>
      <c r="W785" s="60">
        <f t="shared" si="305"/>
        <v>0</v>
      </c>
      <c r="X785" s="60">
        <f t="shared" si="305"/>
        <v>0</v>
      </c>
    </row>
    <row r="786" spans="2:24" hidden="1">
      <c r="B786" s="59" t="str">
        <f t="shared" si="298"/>
        <v/>
      </c>
      <c r="C786" s="59" t="str">
        <f t="shared" si="298"/>
        <v/>
      </c>
      <c r="D786" s="59" t="str">
        <f t="shared" si="298"/>
        <v/>
      </c>
      <c r="E786" s="59" t="str">
        <f t="shared" si="298"/>
        <v/>
      </c>
      <c r="F786" s="59"/>
      <c r="G786" s="59"/>
      <c r="H786" s="59"/>
      <c r="I786" s="59"/>
      <c r="J786" s="59"/>
      <c r="K786" s="60">
        <f t="shared" ref="K786:X786" si="306">IF(AND($C786="B+R",$E786="prace rozwojowe",LataProjekcji&lt;=Koniec_PR,Modul_badawczo_rozwojowy=tak),ROUND(K418,0),0)</f>
        <v>0</v>
      </c>
      <c r="L786" s="60">
        <f t="shared" si="306"/>
        <v>0</v>
      </c>
      <c r="M786" s="60">
        <f t="shared" si="306"/>
        <v>0</v>
      </c>
      <c r="N786" s="60">
        <f t="shared" si="306"/>
        <v>0</v>
      </c>
      <c r="O786" s="60">
        <f t="shared" si="306"/>
        <v>0</v>
      </c>
      <c r="P786" s="60">
        <f t="shared" si="306"/>
        <v>0</v>
      </c>
      <c r="Q786" s="60">
        <f t="shared" si="306"/>
        <v>0</v>
      </c>
      <c r="R786" s="60">
        <f t="shared" si="306"/>
        <v>0</v>
      </c>
      <c r="S786" s="60">
        <f t="shared" si="306"/>
        <v>0</v>
      </c>
      <c r="T786" s="60">
        <f t="shared" si="306"/>
        <v>0</v>
      </c>
      <c r="U786" s="60">
        <f t="shared" si="306"/>
        <v>0</v>
      </c>
      <c r="V786" s="60">
        <f t="shared" si="306"/>
        <v>0</v>
      </c>
      <c r="W786" s="60">
        <f t="shared" si="306"/>
        <v>0</v>
      </c>
      <c r="X786" s="60">
        <f t="shared" si="306"/>
        <v>0</v>
      </c>
    </row>
    <row r="787" spans="2:24" hidden="1">
      <c r="B787" s="59" t="str">
        <f t="shared" si="298"/>
        <v/>
      </c>
      <c r="C787" s="59" t="str">
        <f t="shared" si="298"/>
        <v/>
      </c>
      <c r="D787" s="59" t="str">
        <f t="shared" si="298"/>
        <v/>
      </c>
      <c r="E787" s="59" t="str">
        <f t="shared" si="298"/>
        <v/>
      </c>
      <c r="F787" s="59"/>
      <c r="G787" s="59"/>
      <c r="H787" s="59"/>
      <c r="I787" s="59"/>
      <c r="J787" s="59"/>
      <c r="K787" s="60">
        <f t="shared" ref="K787:X787" si="307">IF(AND($C787="B+R",$E787="prace rozwojowe",LataProjekcji&lt;=Koniec_PR,Modul_badawczo_rozwojowy=tak),ROUND(K419,0),0)</f>
        <v>0</v>
      </c>
      <c r="L787" s="60">
        <f t="shared" si="307"/>
        <v>0</v>
      </c>
      <c r="M787" s="60">
        <f t="shared" si="307"/>
        <v>0</v>
      </c>
      <c r="N787" s="60">
        <f t="shared" si="307"/>
        <v>0</v>
      </c>
      <c r="O787" s="60">
        <f t="shared" si="307"/>
        <v>0</v>
      </c>
      <c r="P787" s="60">
        <f t="shared" si="307"/>
        <v>0</v>
      </c>
      <c r="Q787" s="60">
        <f t="shared" si="307"/>
        <v>0</v>
      </c>
      <c r="R787" s="60">
        <f t="shared" si="307"/>
        <v>0</v>
      </c>
      <c r="S787" s="60">
        <f t="shared" si="307"/>
        <v>0</v>
      </c>
      <c r="T787" s="60">
        <f t="shared" si="307"/>
        <v>0</v>
      </c>
      <c r="U787" s="60">
        <f t="shared" si="307"/>
        <v>0</v>
      </c>
      <c r="V787" s="60">
        <f t="shared" si="307"/>
        <v>0</v>
      </c>
      <c r="W787" s="60">
        <f t="shared" si="307"/>
        <v>0</v>
      </c>
      <c r="X787" s="60">
        <f t="shared" si="307"/>
        <v>0</v>
      </c>
    </row>
    <row r="788" spans="2:24" hidden="1">
      <c r="B788" s="59" t="str">
        <f t="shared" si="298"/>
        <v/>
      </c>
      <c r="C788" s="59" t="str">
        <f t="shared" si="298"/>
        <v/>
      </c>
      <c r="D788" s="59" t="str">
        <f t="shared" si="298"/>
        <v/>
      </c>
      <c r="E788" s="59" t="str">
        <f t="shared" si="298"/>
        <v/>
      </c>
      <c r="F788" s="59"/>
      <c r="G788" s="59"/>
      <c r="H788" s="59"/>
      <c r="I788" s="59"/>
      <c r="J788" s="59"/>
      <c r="K788" s="60">
        <f t="shared" ref="K788:X788" si="308">IF(AND($C788="B+R",$E788="prace rozwojowe",LataProjekcji&lt;=Koniec_PR,Modul_badawczo_rozwojowy=tak),ROUND(K420,0),0)</f>
        <v>0</v>
      </c>
      <c r="L788" s="60">
        <f t="shared" si="308"/>
        <v>0</v>
      </c>
      <c r="M788" s="60">
        <f t="shared" si="308"/>
        <v>0</v>
      </c>
      <c r="N788" s="60">
        <f t="shared" si="308"/>
        <v>0</v>
      </c>
      <c r="O788" s="60">
        <f t="shared" si="308"/>
        <v>0</v>
      </c>
      <c r="P788" s="60">
        <f t="shared" si="308"/>
        <v>0</v>
      </c>
      <c r="Q788" s="60">
        <f t="shared" si="308"/>
        <v>0</v>
      </c>
      <c r="R788" s="60">
        <f t="shared" si="308"/>
        <v>0</v>
      </c>
      <c r="S788" s="60">
        <f t="shared" si="308"/>
        <v>0</v>
      </c>
      <c r="T788" s="60">
        <f t="shared" si="308"/>
        <v>0</v>
      </c>
      <c r="U788" s="60">
        <f t="shared" si="308"/>
        <v>0</v>
      </c>
      <c r="V788" s="60">
        <f t="shared" si="308"/>
        <v>0</v>
      </c>
      <c r="W788" s="60">
        <f t="shared" si="308"/>
        <v>0</v>
      </c>
      <c r="X788" s="60">
        <f t="shared" si="308"/>
        <v>0</v>
      </c>
    </row>
    <row r="789" spans="2:24" hidden="1">
      <c r="B789" s="59" t="str">
        <f t="shared" si="298"/>
        <v/>
      </c>
      <c r="C789" s="59" t="str">
        <f t="shared" si="298"/>
        <v/>
      </c>
      <c r="D789" s="59" t="str">
        <f t="shared" si="298"/>
        <v/>
      </c>
      <c r="E789" s="59" t="str">
        <f t="shared" si="298"/>
        <v/>
      </c>
      <c r="F789" s="59"/>
      <c r="G789" s="59"/>
      <c r="H789" s="59"/>
      <c r="I789" s="59"/>
      <c r="J789" s="59"/>
      <c r="K789" s="60">
        <f t="shared" ref="K789:X789" si="309">IF(AND($C789="B+R",$E789="prace rozwojowe",LataProjekcji&lt;=Koniec_PR,Modul_badawczo_rozwojowy=tak),ROUND(K421,0),0)</f>
        <v>0</v>
      </c>
      <c r="L789" s="60">
        <f t="shared" si="309"/>
        <v>0</v>
      </c>
      <c r="M789" s="60">
        <f t="shared" si="309"/>
        <v>0</v>
      </c>
      <c r="N789" s="60">
        <f t="shared" si="309"/>
        <v>0</v>
      </c>
      <c r="O789" s="60">
        <f t="shared" si="309"/>
        <v>0</v>
      </c>
      <c r="P789" s="60">
        <f t="shared" si="309"/>
        <v>0</v>
      </c>
      <c r="Q789" s="60">
        <f t="shared" si="309"/>
        <v>0</v>
      </c>
      <c r="R789" s="60">
        <f t="shared" si="309"/>
        <v>0</v>
      </c>
      <c r="S789" s="60">
        <f t="shared" si="309"/>
        <v>0</v>
      </c>
      <c r="T789" s="60">
        <f t="shared" si="309"/>
        <v>0</v>
      </c>
      <c r="U789" s="60">
        <f t="shared" si="309"/>
        <v>0</v>
      </c>
      <c r="V789" s="60">
        <f t="shared" si="309"/>
        <v>0</v>
      </c>
      <c r="W789" s="60">
        <f t="shared" si="309"/>
        <v>0</v>
      </c>
      <c r="X789" s="60">
        <f t="shared" si="309"/>
        <v>0</v>
      </c>
    </row>
    <row r="790" spans="2:24" hidden="1">
      <c r="B790" s="59" t="str">
        <f t="shared" si="298"/>
        <v/>
      </c>
      <c r="C790" s="59" t="str">
        <f t="shared" si="298"/>
        <v/>
      </c>
      <c r="D790" s="59" t="str">
        <f t="shared" si="298"/>
        <v/>
      </c>
      <c r="E790" s="59" t="str">
        <f t="shared" si="298"/>
        <v/>
      </c>
      <c r="F790" s="59"/>
      <c r="G790" s="59"/>
      <c r="H790" s="59"/>
      <c r="I790" s="59"/>
      <c r="J790" s="59"/>
      <c r="K790" s="60">
        <f t="shared" ref="K790:X790" si="310">IF(AND($C790="B+R",$E790="prace rozwojowe",LataProjekcji&lt;=Koniec_PR,Modul_badawczo_rozwojowy=tak),ROUND(K422,0),0)</f>
        <v>0</v>
      </c>
      <c r="L790" s="60">
        <f t="shared" si="310"/>
        <v>0</v>
      </c>
      <c r="M790" s="60">
        <f t="shared" si="310"/>
        <v>0</v>
      </c>
      <c r="N790" s="60">
        <f t="shared" si="310"/>
        <v>0</v>
      </c>
      <c r="O790" s="60">
        <f t="shared" si="310"/>
        <v>0</v>
      </c>
      <c r="P790" s="60">
        <f t="shared" si="310"/>
        <v>0</v>
      </c>
      <c r="Q790" s="60">
        <f t="shared" si="310"/>
        <v>0</v>
      </c>
      <c r="R790" s="60">
        <f t="shared" si="310"/>
        <v>0</v>
      </c>
      <c r="S790" s="60">
        <f t="shared" si="310"/>
        <v>0</v>
      </c>
      <c r="T790" s="60">
        <f t="shared" si="310"/>
        <v>0</v>
      </c>
      <c r="U790" s="60">
        <f t="shared" si="310"/>
        <v>0</v>
      </c>
      <c r="V790" s="60">
        <f t="shared" si="310"/>
        <v>0</v>
      </c>
      <c r="W790" s="60">
        <f t="shared" si="310"/>
        <v>0</v>
      </c>
      <c r="X790" s="60">
        <f t="shared" si="310"/>
        <v>0</v>
      </c>
    </row>
    <row r="791" spans="2:24" hidden="1">
      <c r="B791" s="59" t="str">
        <f t="shared" si="298"/>
        <v/>
      </c>
      <c r="C791" s="59" t="str">
        <f t="shared" si="298"/>
        <v/>
      </c>
      <c r="D791" s="59" t="str">
        <f t="shared" si="298"/>
        <v/>
      </c>
      <c r="E791" s="59" t="str">
        <f t="shared" si="298"/>
        <v/>
      </c>
      <c r="F791" s="59"/>
      <c r="G791" s="59"/>
      <c r="H791" s="59"/>
      <c r="I791" s="59"/>
      <c r="J791" s="59"/>
      <c r="K791" s="60">
        <f t="shared" ref="K791:X791" si="311">IF(AND($C791="B+R",$E791="prace rozwojowe",LataProjekcji&lt;=Koniec_PR,Modul_badawczo_rozwojowy=tak),ROUND(K423,0),0)</f>
        <v>0</v>
      </c>
      <c r="L791" s="60">
        <f t="shared" si="311"/>
        <v>0</v>
      </c>
      <c r="M791" s="60">
        <f t="shared" si="311"/>
        <v>0</v>
      </c>
      <c r="N791" s="60">
        <f t="shared" si="311"/>
        <v>0</v>
      </c>
      <c r="O791" s="60">
        <f t="shared" si="311"/>
        <v>0</v>
      </c>
      <c r="P791" s="60">
        <f t="shared" si="311"/>
        <v>0</v>
      </c>
      <c r="Q791" s="60">
        <f t="shared" si="311"/>
        <v>0</v>
      </c>
      <c r="R791" s="60">
        <f t="shared" si="311"/>
        <v>0</v>
      </c>
      <c r="S791" s="60">
        <f t="shared" si="311"/>
        <v>0</v>
      </c>
      <c r="T791" s="60">
        <f t="shared" si="311"/>
        <v>0</v>
      </c>
      <c r="U791" s="60">
        <f t="shared" si="311"/>
        <v>0</v>
      </c>
      <c r="V791" s="60">
        <f t="shared" si="311"/>
        <v>0</v>
      </c>
      <c r="W791" s="60">
        <f t="shared" si="311"/>
        <v>0</v>
      </c>
      <c r="X791" s="60">
        <f t="shared" si="311"/>
        <v>0</v>
      </c>
    </row>
    <row r="792" spans="2:24" hidden="1">
      <c r="B792" s="59" t="str">
        <f t="shared" si="298"/>
        <v/>
      </c>
      <c r="C792" s="59" t="str">
        <f t="shared" si="298"/>
        <v/>
      </c>
      <c r="D792" s="59" t="str">
        <f t="shared" si="298"/>
        <v/>
      </c>
      <c r="E792" s="59" t="str">
        <f t="shared" si="298"/>
        <v/>
      </c>
      <c r="F792" s="59"/>
      <c r="G792" s="59"/>
      <c r="H792" s="59"/>
      <c r="I792" s="59"/>
      <c r="J792" s="59"/>
      <c r="K792" s="60">
        <f t="shared" ref="K792:X792" si="312">IF(AND($C792="B+R",$E792="prace rozwojowe",LataProjekcji&lt;=Koniec_PR,Modul_badawczo_rozwojowy=tak),ROUND(K424,0),0)</f>
        <v>0</v>
      </c>
      <c r="L792" s="60">
        <f t="shared" si="312"/>
        <v>0</v>
      </c>
      <c r="M792" s="60">
        <f t="shared" si="312"/>
        <v>0</v>
      </c>
      <c r="N792" s="60">
        <f t="shared" si="312"/>
        <v>0</v>
      </c>
      <c r="O792" s="60">
        <f t="shared" si="312"/>
        <v>0</v>
      </c>
      <c r="P792" s="60">
        <f t="shared" si="312"/>
        <v>0</v>
      </c>
      <c r="Q792" s="60">
        <f t="shared" si="312"/>
        <v>0</v>
      </c>
      <c r="R792" s="60">
        <f t="shared" si="312"/>
        <v>0</v>
      </c>
      <c r="S792" s="60">
        <f t="shared" si="312"/>
        <v>0</v>
      </c>
      <c r="T792" s="60">
        <f t="shared" si="312"/>
        <v>0</v>
      </c>
      <c r="U792" s="60">
        <f t="shared" si="312"/>
        <v>0</v>
      </c>
      <c r="V792" s="60">
        <f t="shared" si="312"/>
        <v>0</v>
      </c>
      <c r="W792" s="60">
        <f t="shared" si="312"/>
        <v>0</v>
      </c>
      <c r="X792" s="60">
        <f t="shared" si="312"/>
        <v>0</v>
      </c>
    </row>
    <row r="793" spans="2:24" hidden="1">
      <c r="B793" s="59" t="str">
        <f t="shared" si="298"/>
        <v/>
      </c>
      <c r="C793" s="59" t="str">
        <f t="shared" si="298"/>
        <v/>
      </c>
      <c r="D793" s="59" t="str">
        <f t="shared" si="298"/>
        <v/>
      </c>
      <c r="E793" s="59" t="str">
        <f t="shared" si="298"/>
        <v/>
      </c>
      <c r="F793" s="59"/>
      <c r="G793" s="59"/>
      <c r="H793" s="59"/>
      <c r="I793" s="59"/>
      <c r="J793" s="59"/>
      <c r="K793" s="60">
        <f t="shared" ref="K793:X793" si="313">IF(AND($C793="B+R",$E793="prace rozwojowe",LataProjekcji&lt;=Koniec_PR,Modul_badawczo_rozwojowy=tak),ROUND(K425,0),0)</f>
        <v>0</v>
      </c>
      <c r="L793" s="60">
        <f t="shared" si="313"/>
        <v>0</v>
      </c>
      <c r="M793" s="60">
        <f t="shared" si="313"/>
        <v>0</v>
      </c>
      <c r="N793" s="60">
        <f t="shared" si="313"/>
        <v>0</v>
      </c>
      <c r="O793" s="60">
        <f t="shared" si="313"/>
        <v>0</v>
      </c>
      <c r="P793" s="60">
        <f t="shared" si="313"/>
        <v>0</v>
      </c>
      <c r="Q793" s="60">
        <f t="shared" si="313"/>
        <v>0</v>
      </c>
      <c r="R793" s="60">
        <f t="shared" si="313"/>
        <v>0</v>
      </c>
      <c r="S793" s="60">
        <f t="shared" si="313"/>
        <v>0</v>
      </c>
      <c r="T793" s="60">
        <f t="shared" si="313"/>
        <v>0</v>
      </c>
      <c r="U793" s="60">
        <f t="shared" si="313"/>
        <v>0</v>
      </c>
      <c r="V793" s="60">
        <f t="shared" si="313"/>
        <v>0</v>
      </c>
      <c r="W793" s="60">
        <f t="shared" si="313"/>
        <v>0</v>
      </c>
      <c r="X793" s="60">
        <f t="shared" si="313"/>
        <v>0</v>
      </c>
    </row>
    <row r="794" spans="2:24" hidden="1">
      <c r="B794" s="59" t="str">
        <f t="shared" si="298"/>
        <v/>
      </c>
      <c r="C794" s="59" t="str">
        <f t="shared" si="298"/>
        <v/>
      </c>
      <c r="D794" s="59" t="str">
        <f t="shared" si="298"/>
        <v/>
      </c>
      <c r="E794" s="59" t="str">
        <f t="shared" si="298"/>
        <v/>
      </c>
      <c r="F794" s="59"/>
      <c r="G794" s="59"/>
      <c r="H794" s="59"/>
      <c r="I794" s="59"/>
      <c r="J794" s="59"/>
      <c r="K794" s="60">
        <f t="shared" ref="K794:X794" si="314">IF(AND($C794="B+R",$E794="prace rozwojowe",LataProjekcji&lt;=Koniec_PR,Modul_badawczo_rozwojowy=tak),ROUND(K426,0),0)</f>
        <v>0</v>
      </c>
      <c r="L794" s="60">
        <f t="shared" si="314"/>
        <v>0</v>
      </c>
      <c r="M794" s="60">
        <f t="shared" si="314"/>
        <v>0</v>
      </c>
      <c r="N794" s="60">
        <f t="shared" si="314"/>
        <v>0</v>
      </c>
      <c r="O794" s="60">
        <f t="shared" si="314"/>
        <v>0</v>
      </c>
      <c r="P794" s="60">
        <f t="shared" si="314"/>
        <v>0</v>
      </c>
      <c r="Q794" s="60">
        <f t="shared" si="314"/>
        <v>0</v>
      </c>
      <c r="R794" s="60">
        <f t="shared" si="314"/>
        <v>0</v>
      </c>
      <c r="S794" s="60">
        <f t="shared" si="314"/>
        <v>0</v>
      </c>
      <c r="T794" s="60">
        <f t="shared" si="314"/>
        <v>0</v>
      </c>
      <c r="U794" s="60">
        <f t="shared" si="314"/>
        <v>0</v>
      </c>
      <c r="V794" s="60">
        <f t="shared" si="314"/>
        <v>0</v>
      </c>
      <c r="W794" s="60">
        <f t="shared" si="314"/>
        <v>0</v>
      </c>
      <c r="X794" s="60">
        <f t="shared" si="314"/>
        <v>0</v>
      </c>
    </row>
    <row r="795" spans="2:24" hidden="1">
      <c r="B795" s="59" t="str">
        <f t="shared" si="298"/>
        <v/>
      </c>
      <c r="C795" s="59" t="str">
        <f t="shared" si="298"/>
        <v/>
      </c>
      <c r="D795" s="59" t="str">
        <f t="shared" si="298"/>
        <v/>
      </c>
      <c r="E795" s="59" t="str">
        <f t="shared" si="298"/>
        <v/>
      </c>
      <c r="F795" s="59"/>
      <c r="G795" s="59"/>
      <c r="H795" s="59"/>
      <c r="I795" s="59"/>
      <c r="J795" s="59"/>
      <c r="K795" s="60">
        <f t="shared" ref="K795:X795" si="315">IF(AND($C795="B+R",$E795="prace rozwojowe",LataProjekcji&lt;=Koniec_PR,Modul_badawczo_rozwojowy=tak),ROUND(K427,0),0)</f>
        <v>0</v>
      </c>
      <c r="L795" s="60">
        <f t="shared" si="315"/>
        <v>0</v>
      </c>
      <c r="M795" s="60">
        <f t="shared" si="315"/>
        <v>0</v>
      </c>
      <c r="N795" s="60">
        <f t="shared" si="315"/>
        <v>0</v>
      </c>
      <c r="O795" s="60">
        <f t="shared" si="315"/>
        <v>0</v>
      </c>
      <c r="P795" s="60">
        <f t="shared" si="315"/>
        <v>0</v>
      </c>
      <c r="Q795" s="60">
        <f t="shared" si="315"/>
        <v>0</v>
      </c>
      <c r="R795" s="60">
        <f t="shared" si="315"/>
        <v>0</v>
      </c>
      <c r="S795" s="60">
        <f t="shared" si="315"/>
        <v>0</v>
      </c>
      <c r="T795" s="60">
        <f t="shared" si="315"/>
        <v>0</v>
      </c>
      <c r="U795" s="60">
        <f t="shared" si="315"/>
        <v>0</v>
      </c>
      <c r="V795" s="60">
        <f t="shared" si="315"/>
        <v>0</v>
      </c>
      <c r="W795" s="60">
        <f t="shared" si="315"/>
        <v>0</v>
      </c>
      <c r="X795" s="60">
        <f t="shared" si="315"/>
        <v>0</v>
      </c>
    </row>
    <row r="796" spans="2:24" hidden="1">
      <c r="B796" s="59" t="str">
        <f t="shared" si="298"/>
        <v/>
      </c>
      <c r="C796" s="59" t="str">
        <f t="shared" si="298"/>
        <v/>
      </c>
      <c r="D796" s="59" t="str">
        <f t="shared" si="298"/>
        <v/>
      </c>
      <c r="E796" s="59" t="str">
        <f t="shared" si="298"/>
        <v/>
      </c>
      <c r="F796" s="59"/>
      <c r="G796" s="59"/>
      <c r="H796" s="59"/>
      <c r="I796" s="59"/>
      <c r="J796" s="59"/>
      <c r="K796" s="60">
        <f t="shared" ref="K796:X796" si="316">IF(AND($C796="B+R",$E796="prace rozwojowe",LataProjekcji&lt;=Koniec_PR,Modul_badawczo_rozwojowy=tak),ROUND(K428,0),0)</f>
        <v>0</v>
      </c>
      <c r="L796" s="60">
        <f t="shared" si="316"/>
        <v>0</v>
      </c>
      <c r="M796" s="60">
        <f t="shared" si="316"/>
        <v>0</v>
      </c>
      <c r="N796" s="60">
        <f t="shared" si="316"/>
        <v>0</v>
      </c>
      <c r="O796" s="60">
        <f t="shared" si="316"/>
        <v>0</v>
      </c>
      <c r="P796" s="60">
        <f t="shared" si="316"/>
        <v>0</v>
      </c>
      <c r="Q796" s="60">
        <f t="shared" si="316"/>
        <v>0</v>
      </c>
      <c r="R796" s="60">
        <f t="shared" si="316"/>
        <v>0</v>
      </c>
      <c r="S796" s="60">
        <f t="shared" si="316"/>
        <v>0</v>
      </c>
      <c r="T796" s="60">
        <f t="shared" si="316"/>
        <v>0</v>
      </c>
      <c r="U796" s="60">
        <f t="shared" si="316"/>
        <v>0</v>
      </c>
      <c r="V796" s="60">
        <f t="shared" si="316"/>
        <v>0</v>
      </c>
      <c r="W796" s="60">
        <f t="shared" si="316"/>
        <v>0</v>
      </c>
      <c r="X796" s="60">
        <f t="shared" si="316"/>
        <v>0</v>
      </c>
    </row>
    <row r="797" spans="2:24" hidden="1">
      <c r="B797" s="59" t="str">
        <f t="shared" si="298"/>
        <v/>
      </c>
      <c r="C797" s="59" t="str">
        <f t="shared" si="298"/>
        <v/>
      </c>
      <c r="D797" s="59" t="str">
        <f t="shared" si="298"/>
        <v/>
      </c>
      <c r="E797" s="59" t="str">
        <f t="shared" si="298"/>
        <v/>
      </c>
      <c r="F797" s="59"/>
      <c r="G797" s="59"/>
      <c r="H797" s="59"/>
      <c r="I797" s="59"/>
      <c r="J797" s="59"/>
      <c r="K797" s="60">
        <f t="shared" ref="K797:X797" si="317">IF(AND($C797="B+R",$E797="prace rozwojowe",LataProjekcji&lt;=Koniec_PR,Modul_badawczo_rozwojowy=tak),ROUND(K429,0),0)</f>
        <v>0</v>
      </c>
      <c r="L797" s="60">
        <f t="shared" si="317"/>
        <v>0</v>
      </c>
      <c r="M797" s="60">
        <f t="shared" si="317"/>
        <v>0</v>
      </c>
      <c r="N797" s="60">
        <f t="shared" si="317"/>
        <v>0</v>
      </c>
      <c r="O797" s="60">
        <f t="shared" si="317"/>
        <v>0</v>
      </c>
      <c r="P797" s="60">
        <f t="shared" si="317"/>
        <v>0</v>
      </c>
      <c r="Q797" s="60">
        <f t="shared" si="317"/>
        <v>0</v>
      </c>
      <c r="R797" s="60">
        <f t="shared" si="317"/>
        <v>0</v>
      </c>
      <c r="S797" s="60">
        <f t="shared" si="317"/>
        <v>0</v>
      </c>
      <c r="T797" s="60">
        <f t="shared" si="317"/>
        <v>0</v>
      </c>
      <c r="U797" s="60">
        <f t="shared" si="317"/>
        <v>0</v>
      </c>
      <c r="V797" s="60">
        <f t="shared" si="317"/>
        <v>0</v>
      </c>
      <c r="W797" s="60">
        <f t="shared" si="317"/>
        <v>0</v>
      </c>
      <c r="X797" s="60">
        <f t="shared" si="317"/>
        <v>0</v>
      </c>
    </row>
    <row r="798" spans="2:24" hidden="1">
      <c r="B798" s="59" t="str">
        <f t="shared" si="298"/>
        <v/>
      </c>
      <c r="C798" s="59" t="str">
        <f t="shared" si="298"/>
        <v/>
      </c>
      <c r="D798" s="59" t="str">
        <f t="shared" si="298"/>
        <v/>
      </c>
      <c r="E798" s="59" t="str">
        <f t="shared" si="298"/>
        <v/>
      </c>
      <c r="F798" s="59"/>
      <c r="G798" s="59"/>
      <c r="H798" s="59"/>
      <c r="I798" s="59"/>
      <c r="J798" s="59"/>
      <c r="K798" s="60">
        <f t="shared" ref="K798:X798" si="318">IF(AND($C798="B+R",$E798="prace rozwojowe",LataProjekcji&lt;=Koniec_PR,Modul_badawczo_rozwojowy=tak),ROUND(K430,0),0)</f>
        <v>0</v>
      </c>
      <c r="L798" s="60">
        <f t="shared" si="318"/>
        <v>0</v>
      </c>
      <c r="M798" s="60">
        <f t="shared" si="318"/>
        <v>0</v>
      </c>
      <c r="N798" s="60">
        <f t="shared" si="318"/>
        <v>0</v>
      </c>
      <c r="O798" s="60">
        <f t="shared" si="318"/>
        <v>0</v>
      </c>
      <c r="P798" s="60">
        <f t="shared" si="318"/>
        <v>0</v>
      </c>
      <c r="Q798" s="60">
        <f t="shared" si="318"/>
        <v>0</v>
      </c>
      <c r="R798" s="60">
        <f t="shared" si="318"/>
        <v>0</v>
      </c>
      <c r="S798" s="60">
        <f t="shared" si="318"/>
        <v>0</v>
      </c>
      <c r="T798" s="60">
        <f t="shared" si="318"/>
        <v>0</v>
      </c>
      <c r="U798" s="60">
        <f t="shared" si="318"/>
        <v>0</v>
      </c>
      <c r="V798" s="60">
        <f t="shared" si="318"/>
        <v>0</v>
      </c>
      <c r="W798" s="60">
        <f t="shared" si="318"/>
        <v>0</v>
      </c>
      <c r="X798" s="60">
        <f t="shared" si="318"/>
        <v>0</v>
      </c>
    </row>
    <row r="799" spans="2:24" hidden="1">
      <c r="B799" s="20" t="s">
        <v>319</v>
      </c>
      <c r="C799" s="20"/>
      <c r="D799" s="80"/>
      <c r="E799" s="21"/>
      <c r="F799" s="21"/>
      <c r="G799" s="21"/>
      <c r="H799" s="21"/>
      <c r="I799" s="21"/>
      <c r="J799" s="21"/>
      <c r="K799" s="61">
        <f>ROUND(SUM(K759:K798),0)</f>
        <v>0</v>
      </c>
      <c r="L799" s="61">
        <f t="shared" ref="L799:X799" si="319">ROUND(SUM(L759:L798),0)</f>
        <v>0</v>
      </c>
      <c r="M799" s="61">
        <f t="shared" si="319"/>
        <v>0</v>
      </c>
      <c r="N799" s="61">
        <f t="shared" si="319"/>
        <v>0</v>
      </c>
      <c r="O799" s="61">
        <f t="shared" si="319"/>
        <v>0</v>
      </c>
      <c r="P799" s="61">
        <f t="shared" si="319"/>
        <v>0</v>
      </c>
      <c r="Q799" s="61">
        <f t="shared" si="319"/>
        <v>0</v>
      </c>
      <c r="R799" s="61">
        <f t="shared" si="319"/>
        <v>0</v>
      </c>
      <c r="S799" s="61">
        <f t="shared" si="319"/>
        <v>0</v>
      </c>
      <c r="T799" s="61">
        <f t="shared" si="319"/>
        <v>0</v>
      </c>
      <c r="U799" s="61">
        <f t="shared" si="319"/>
        <v>0</v>
      </c>
      <c r="V799" s="61">
        <f t="shared" si="319"/>
        <v>0</v>
      </c>
      <c r="W799" s="61">
        <f t="shared" si="319"/>
        <v>0</v>
      </c>
      <c r="X799" s="61">
        <f t="shared" si="319"/>
        <v>0</v>
      </c>
    </row>
    <row r="800" spans="2:24" hidden="1">
      <c r="B800" s="21"/>
      <c r="C800" s="21"/>
      <c r="D800" s="80"/>
      <c r="E800" s="21"/>
      <c r="F800" s="21"/>
      <c r="G800" s="21"/>
      <c r="H800" s="21"/>
      <c r="I800" s="21"/>
      <c r="J800" s="21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2:24" hidden="1">
      <c r="B801" s="21"/>
      <c r="C801" s="21"/>
      <c r="D801" s="80"/>
      <c r="E801" s="21"/>
      <c r="F801" s="21"/>
      <c r="G801" s="21"/>
      <c r="H801" s="21"/>
      <c r="I801" s="21"/>
      <c r="J801" s="21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2:24" hidden="1">
      <c r="B802" s="20" t="s">
        <v>320</v>
      </c>
      <c r="C802" s="20"/>
      <c r="D802" s="80"/>
      <c r="E802" s="21"/>
      <c r="F802" s="21"/>
      <c r="G802" s="21"/>
      <c r="H802" s="21"/>
      <c r="I802" s="21"/>
      <c r="J802" s="21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2:24" hidden="1">
      <c r="B803" s="20" t="s">
        <v>321</v>
      </c>
      <c r="C803" s="20"/>
      <c r="D803" s="82" t="s">
        <v>336</v>
      </c>
      <c r="E803" s="20" t="s">
        <v>337</v>
      </c>
      <c r="F803" s="21"/>
      <c r="G803" s="21"/>
      <c r="H803" s="21"/>
      <c r="I803" s="21"/>
      <c r="J803" s="21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2:24" hidden="1">
      <c r="B804" s="59" t="str">
        <f t="shared" ref="B804:E823" si="320">IF(ISBLANK(B436),"",B436)</f>
        <v/>
      </c>
      <c r="C804" s="59" t="str">
        <f t="shared" si="320"/>
        <v/>
      </c>
      <c r="D804" s="59" t="str">
        <f t="shared" si="320"/>
        <v/>
      </c>
      <c r="E804" s="59" t="str">
        <f t="shared" si="320"/>
        <v/>
      </c>
      <c r="F804" s="59"/>
      <c r="G804" s="59"/>
      <c r="H804" s="59"/>
      <c r="I804" s="59"/>
      <c r="J804" s="59" t="s">
        <v>734</v>
      </c>
      <c r="K804" s="60">
        <f t="shared" ref="K804:X804" si="321">IF(AND($C804="B+R",$E804="prace rozwojowe",LataProjekcji&lt;=Koniec_PR,Modul_badawczo_rozwojowy=tak),ROUND(K436,0),0)</f>
        <v>0</v>
      </c>
      <c r="L804" s="60">
        <f t="shared" si="321"/>
        <v>0</v>
      </c>
      <c r="M804" s="60">
        <f t="shared" si="321"/>
        <v>0</v>
      </c>
      <c r="N804" s="60">
        <f t="shared" si="321"/>
        <v>0</v>
      </c>
      <c r="O804" s="60">
        <f t="shared" si="321"/>
        <v>0</v>
      </c>
      <c r="P804" s="60">
        <f t="shared" si="321"/>
        <v>0</v>
      </c>
      <c r="Q804" s="60">
        <f t="shared" si="321"/>
        <v>0</v>
      </c>
      <c r="R804" s="60">
        <f t="shared" si="321"/>
        <v>0</v>
      </c>
      <c r="S804" s="60">
        <f t="shared" si="321"/>
        <v>0</v>
      </c>
      <c r="T804" s="60">
        <f t="shared" si="321"/>
        <v>0</v>
      </c>
      <c r="U804" s="60">
        <f t="shared" si="321"/>
        <v>0</v>
      </c>
      <c r="V804" s="60">
        <f t="shared" si="321"/>
        <v>0</v>
      </c>
      <c r="W804" s="60">
        <f t="shared" si="321"/>
        <v>0</v>
      </c>
      <c r="X804" s="60">
        <f t="shared" si="321"/>
        <v>0</v>
      </c>
    </row>
    <row r="805" spans="2:24" hidden="1">
      <c r="B805" s="59" t="str">
        <f t="shared" si="320"/>
        <v/>
      </c>
      <c r="C805" s="59" t="str">
        <f t="shared" si="320"/>
        <v/>
      </c>
      <c r="D805" s="59" t="str">
        <f t="shared" si="320"/>
        <v/>
      </c>
      <c r="E805" s="59" t="str">
        <f t="shared" si="320"/>
        <v/>
      </c>
      <c r="F805" s="59"/>
      <c r="G805" s="59"/>
      <c r="H805" s="59"/>
      <c r="I805" s="59"/>
      <c r="J805" s="59"/>
      <c r="K805" s="60">
        <f t="shared" ref="K805:X805" si="322">IF(AND($C805="B+R",$E805="prace rozwojowe",LataProjekcji&lt;=Koniec_PR,Modul_badawczo_rozwojowy=tak),ROUND(K437,0),0)</f>
        <v>0</v>
      </c>
      <c r="L805" s="60">
        <f t="shared" si="322"/>
        <v>0</v>
      </c>
      <c r="M805" s="60">
        <f t="shared" si="322"/>
        <v>0</v>
      </c>
      <c r="N805" s="60">
        <f t="shared" si="322"/>
        <v>0</v>
      </c>
      <c r="O805" s="60">
        <f t="shared" si="322"/>
        <v>0</v>
      </c>
      <c r="P805" s="60">
        <f t="shared" si="322"/>
        <v>0</v>
      </c>
      <c r="Q805" s="60">
        <f t="shared" si="322"/>
        <v>0</v>
      </c>
      <c r="R805" s="60">
        <f t="shared" si="322"/>
        <v>0</v>
      </c>
      <c r="S805" s="60">
        <f t="shared" si="322"/>
        <v>0</v>
      </c>
      <c r="T805" s="60">
        <f t="shared" si="322"/>
        <v>0</v>
      </c>
      <c r="U805" s="60">
        <f t="shared" si="322"/>
        <v>0</v>
      </c>
      <c r="V805" s="60">
        <f t="shared" si="322"/>
        <v>0</v>
      </c>
      <c r="W805" s="60">
        <f t="shared" si="322"/>
        <v>0</v>
      </c>
      <c r="X805" s="60">
        <f t="shared" si="322"/>
        <v>0</v>
      </c>
    </row>
    <row r="806" spans="2:24" hidden="1">
      <c r="B806" s="59" t="str">
        <f t="shared" si="320"/>
        <v/>
      </c>
      <c r="C806" s="59" t="str">
        <f t="shared" si="320"/>
        <v/>
      </c>
      <c r="D806" s="59" t="str">
        <f t="shared" si="320"/>
        <v/>
      </c>
      <c r="E806" s="59" t="str">
        <f t="shared" si="320"/>
        <v/>
      </c>
      <c r="F806" s="59"/>
      <c r="G806" s="59"/>
      <c r="H806" s="59"/>
      <c r="I806" s="59"/>
      <c r="J806" s="59"/>
      <c r="K806" s="60">
        <f t="shared" ref="K806:X806" si="323">IF(AND($C806="B+R",$E806="prace rozwojowe",LataProjekcji&lt;=Koniec_PR,Modul_badawczo_rozwojowy=tak),ROUND(K438,0),0)</f>
        <v>0</v>
      </c>
      <c r="L806" s="60">
        <f t="shared" si="323"/>
        <v>0</v>
      </c>
      <c r="M806" s="60">
        <f t="shared" si="323"/>
        <v>0</v>
      </c>
      <c r="N806" s="60">
        <f t="shared" si="323"/>
        <v>0</v>
      </c>
      <c r="O806" s="60">
        <f t="shared" si="323"/>
        <v>0</v>
      </c>
      <c r="P806" s="60">
        <f t="shared" si="323"/>
        <v>0</v>
      </c>
      <c r="Q806" s="60">
        <f t="shared" si="323"/>
        <v>0</v>
      </c>
      <c r="R806" s="60">
        <f t="shared" si="323"/>
        <v>0</v>
      </c>
      <c r="S806" s="60">
        <f t="shared" si="323"/>
        <v>0</v>
      </c>
      <c r="T806" s="60">
        <f t="shared" si="323"/>
        <v>0</v>
      </c>
      <c r="U806" s="60">
        <f t="shared" si="323"/>
        <v>0</v>
      </c>
      <c r="V806" s="60">
        <f t="shared" si="323"/>
        <v>0</v>
      </c>
      <c r="W806" s="60">
        <f t="shared" si="323"/>
        <v>0</v>
      </c>
      <c r="X806" s="60">
        <f t="shared" si="323"/>
        <v>0</v>
      </c>
    </row>
    <row r="807" spans="2:24" hidden="1">
      <c r="B807" s="59" t="str">
        <f t="shared" si="320"/>
        <v/>
      </c>
      <c r="C807" s="59" t="str">
        <f t="shared" si="320"/>
        <v/>
      </c>
      <c r="D807" s="59" t="str">
        <f t="shared" si="320"/>
        <v/>
      </c>
      <c r="E807" s="59" t="str">
        <f t="shared" si="320"/>
        <v/>
      </c>
      <c r="F807" s="59"/>
      <c r="G807" s="59"/>
      <c r="H807" s="59"/>
      <c r="I807" s="59"/>
      <c r="J807" s="59"/>
      <c r="K807" s="60">
        <f t="shared" ref="K807:X807" si="324">IF(AND($C807="B+R",$E807="prace rozwojowe",LataProjekcji&lt;=Koniec_PR,Modul_badawczo_rozwojowy=tak),ROUND(K439,0),0)</f>
        <v>0</v>
      </c>
      <c r="L807" s="60">
        <f t="shared" si="324"/>
        <v>0</v>
      </c>
      <c r="M807" s="60">
        <f t="shared" si="324"/>
        <v>0</v>
      </c>
      <c r="N807" s="60">
        <f t="shared" si="324"/>
        <v>0</v>
      </c>
      <c r="O807" s="60">
        <f t="shared" si="324"/>
        <v>0</v>
      </c>
      <c r="P807" s="60">
        <f t="shared" si="324"/>
        <v>0</v>
      </c>
      <c r="Q807" s="60">
        <f t="shared" si="324"/>
        <v>0</v>
      </c>
      <c r="R807" s="60">
        <f t="shared" si="324"/>
        <v>0</v>
      </c>
      <c r="S807" s="60">
        <f t="shared" si="324"/>
        <v>0</v>
      </c>
      <c r="T807" s="60">
        <f t="shared" si="324"/>
        <v>0</v>
      </c>
      <c r="U807" s="60">
        <f t="shared" si="324"/>
        <v>0</v>
      </c>
      <c r="V807" s="60">
        <f t="shared" si="324"/>
        <v>0</v>
      </c>
      <c r="W807" s="60">
        <f t="shared" si="324"/>
        <v>0</v>
      </c>
      <c r="X807" s="60">
        <f t="shared" si="324"/>
        <v>0</v>
      </c>
    </row>
    <row r="808" spans="2:24" hidden="1">
      <c r="B808" s="59" t="str">
        <f t="shared" si="320"/>
        <v/>
      </c>
      <c r="C808" s="59" t="str">
        <f t="shared" si="320"/>
        <v/>
      </c>
      <c r="D808" s="59" t="str">
        <f t="shared" si="320"/>
        <v/>
      </c>
      <c r="E808" s="59" t="str">
        <f t="shared" si="320"/>
        <v/>
      </c>
      <c r="F808" s="59"/>
      <c r="G808" s="59"/>
      <c r="H808" s="59"/>
      <c r="I808" s="59"/>
      <c r="J808" s="59"/>
      <c r="K808" s="60">
        <f t="shared" ref="K808:X808" si="325">IF(AND($C808="B+R",$E808="prace rozwojowe",LataProjekcji&lt;=Koniec_PR,Modul_badawczo_rozwojowy=tak),ROUND(K440,0),0)</f>
        <v>0</v>
      </c>
      <c r="L808" s="60">
        <f t="shared" si="325"/>
        <v>0</v>
      </c>
      <c r="M808" s="60">
        <f t="shared" si="325"/>
        <v>0</v>
      </c>
      <c r="N808" s="60">
        <f t="shared" si="325"/>
        <v>0</v>
      </c>
      <c r="O808" s="60">
        <f t="shared" si="325"/>
        <v>0</v>
      </c>
      <c r="P808" s="60">
        <f t="shared" si="325"/>
        <v>0</v>
      </c>
      <c r="Q808" s="60">
        <f t="shared" si="325"/>
        <v>0</v>
      </c>
      <c r="R808" s="60">
        <f t="shared" si="325"/>
        <v>0</v>
      </c>
      <c r="S808" s="60">
        <f t="shared" si="325"/>
        <v>0</v>
      </c>
      <c r="T808" s="60">
        <f t="shared" si="325"/>
        <v>0</v>
      </c>
      <c r="U808" s="60">
        <f t="shared" si="325"/>
        <v>0</v>
      </c>
      <c r="V808" s="60">
        <f t="shared" si="325"/>
        <v>0</v>
      </c>
      <c r="W808" s="60">
        <f t="shared" si="325"/>
        <v>0</v>
      </c>
      <c r="X808" s="60">
        <f t="shared" si="325"/>
        <v>0</v>
      </c>
    </row>
    <row r="809" spans="2:24" hidden="1">
      <c r="B809" s="59" t="str">
        <f t="shared" si="320"/>
        <v/>
      </c>
      <c r="C809" s="59" t="str">
        <f t="shared" si="320"/>
        <v/>
      </c>
      <c r="D809" s="59" t="str">
        <f t="shared" si="320"/>
        <v/>
      </c>
      <c r="E809" s="59" t="str">
        <f t="shared" si="320"/>
        <v/>
      </c>
      <c r="F809" s="59"/>
      <c r="G809" s="59"/>
      <c r="H809" s="59"/>
      <c r="I809" s="59"/>
      <c r="J809" s="59"/>
      <c r="K809" s="60">
        <f t="shared" ref="K809:X809" si="326">IF(AND($C809="B+R",$E809="prace rozwojowe",LataProjekcji&lt;=Koniec_PR,Modul_badawczo_rozwojowy=tak),ROUND(K441,0),0)</f>
        <v>0</v>
      </c>
      <c r="L809" s="60">
        <f t="shared" si="326"/>
        <v>0</v>
      </c>
      <c r="M809" s="60">
        <f t="shared" si="326"/>
        <v>0</v>
      </c>
      <c r="N809" s="60">
        <f t="shared" si="326"/>
        <v>0</v>
      </c>
      <c r="O809" s="60">
        <f t="shared" si="326"/>
        <v>0</v>
      </c>
      <c r="P809" s="60">
        <f t="shared" si="326"/>
        <v>0</v>
      </c>
      <c r="Q809" s="60">
        <f t="shared" si="326"/>
        <v>0</v>
      </c>
      <c r="R809" s="60">
        <f t="shared" si="326"/>
        <v>0</v>
      </c>
      <c r="S809" s="60">
        <f t="shared" si="326"/>
        <v>0</v>
      </c>
      <c r="T809" s="60">
        <f t="shared" si="326"/>
        <v>0</v>
      </c>
      <c r="U809" s="60">
        <f t="shared" si="326"/>
        <v>0</v>
      </c>
      <c r="V809" s="60">
        <f t="shared" si="326"/>
        <v>0</v>
      </c>
      <c r="W809" s="60">
        <f t="shared" si="326"/>
        <v>0</v>
      </c>
      <c r="X809" s="60">
        <f t="shared" si="326"/>
        <v>0</v>
      </c>
    </row>
    <row r="810" spans="2:24" hidden="1">
      <c r="B810" s="59" t="str">
        <f t="shared" si="320"/>
        <v/>
      </c>
      <c r="C810" s="59" t="str">
        <f t="shared" si="320"/>
        <v/>
      </c>
      <c r="D810" s="59" t="str">
        <f t="shared" si="320"/>
        <v/>
      </c>
      <c r="E810" s="59" t="str">
        <f t="shared" si="320"/>
        <v/>
      </c>
      <c r="F810" s="59"/>
      <c r="G810" s="59"/>
      <c r="H810" s="59"/>
      <c r="I810" s="59"/>
      <c r="J810" s="59"/>
      <c r="K810" s="60">
        <f t="shared" ref="K810:X810" si="327">IF(AND($C810="B+R",$E810="prace rozwojowe",LataProjekcji&lt;=Koniec_PR,Modul_badawczo_rozwojowy=tak),ROUND(K442,0),0)</f>
        <v>0</v>
      </c>
      <c r="L810" s="60">
        <f t="shared" si="327"/>
        <v>0</v>
      </c>
      <c r="M810" s="60">
        <f t="shared" si="327"/>
        <v>0</v>
      </c>
      <c r="N810" s="60">
        <f t="shared" si="327"/>
        <v>0</v>
      </c>
      <c r="O810" s="60">
        <f t="shared" si="327"/>
        <v>0</v>
      </c>
      <c r="P810" s="60">
        <f t="shared" si="327"/>
        <v>0</v>
      </c>
      <c r="Q810" s="60">
        <f t="shared" si="327"/>
        <v>0</v>
      </c>
      <c r="R810" s="60">
        <f t="shared" si="327"/>
        <v>0</v>
      </c>
      <c r="S810" s="60">
        <f t="shared" si="327"/>
        <v>0</v>
      </c>
      <c r="T810" s="60">
        <f t="shared" si="327"/>
        <v>0</v>
      </c>
      <c r="U810" s="60">
        <f t="shared" si="327"/>
        <v>0</v>
      </c>
      <c r="V810" s="60">
        <f t="shared" si="327"/>
        <v>0</v>
      </c>
      <c r="W810" s="60">
        <f t="shared" si="327"/>
        <v>0</v>
      </c>
      <c r="X810" s="60">
        <f t="shared" si="327"/>
        <v>0</v>
      </c>
    </row>
    <row r="811" spans="2:24" hidden="1">
      <c r="B811" s="59" t="str">
        <f t="shared" si="320"/>
        <v/>
      </c>
      <c r="C811" s="59" t="str">
        <f t="shared" si="320"/>
        <v/>
      </c>
      <c r="D811" s="59" t="str">
        <f t="shared" si="320"/>
        <v/>
      </c>
      <c r="E811" s="59" t="str">
        <f t="shared" si="320"/>
        <v/>
      </c>
      <c r="F811" s="59"/>
      <c r="G811" s="59"/>
      <c r="H811" s="59"/>
      <c r="I811" s="59"/>
      <c r="J811" s="59"/>
      <c r="K811" s="60">
        <f t="shared" ref="K811:X811" si="328">IF(AND($C811="B+R",$E811="prace rozwojowe",LataProjekcji&lt;=Koniec_PR,Modul_badawczo_rozwojowy=tak),ROUND(K443,0),0)</f>
        <v>0</v>
      </c>
      <c r="L811" s="60">
        <f t="shared" si="328"/>
        <v>0</v>
      </c>
      <c r="M811" s="60">
        <f t="shared" si="328"/>
        <v>0</v>
      </c>
      <c r="N811" s="60">
        <f t="shared" si="328"/>
        <v>0</v>
      </c>
      <c r="O811" s="60">
        <f t="shared" si="328"/>
        <v>0</v>
      </c>
      <c r="P811" s="60">
        <f t="shared" si="328"/>
        <v>0</v>
      </c>
      <c r="Q811" s="60">
        <f t="shared" si="328"/>
        <v>0</v>
      </c>
      <c r="R811" s="60">
        <f t="shared" si="328"/>
        <v>0</v>
      </c>
      <c r="S811" s="60">
        <f t="shared" si="328"/>
        <v>0</v>
      </c>
      <c r="T811" s="60">
        <f t="shared" si="328"/>
        <v>0</v>
      </c>
      <c r="U811" s="60">
        <f t="shared" si="328"/>
        <v>0</v>
      </c>
      <c r="V811" s="60">
        <f t="shared" si="328"/>
        <v>0</v>
      </c>
      <c r="W811" s="60">
        <f t="shared" si="328"/>
        <v>0</v>
      </c>
      <c r="X811" s="60">
        <f t="shared" si="328"/>
        <v>0</v>
      </c>
    </row>
    <row r="812" spans="2:24" hidden="1">
      <c r="B812" s="59" t="str">
        <f t="shared" si="320"/>
        <v/>
      </c>
      <c r="C812" s="59" t="str">
        <f t="shared" si="320"/>
        <v/>
      </c>
      <c r="D812" s="59" t="str">
        <f t="shared" si="320"/>
        <v/>
      </c>
      <c r="E812" s="59" t="str">
        <f t="shared" si="320"/>
        <v/>
      </c>
      <c r="F812" s="59"/>
      <c r="G812" s="59"/>
      <c r="H812" s="59"/>
      <c r="I812" s="59"/>
      <c r="J812" s="59"/>
      <c r="K812" s="60">
        <f t="shared" ref="K812:X812" si="329">IF(AND($C812="B+R",$E812="prace rozwojowe",LataProjekcji&lt;=Koniec_PR,Modul_badawczo_rozwojowy=tak),ROUND(K444,0),0)</f>
        <v>0</v>
      </c>
      <c r="L812" s="60">
        <f t="shared" si="329"/>
        <v>0</v>
      </c>
      <c r="M812" s="60">
        <f t="shared" si="329"/>
        <v>0</v>
      </c>
      <c r="N812" s="60">
        <f t="shared" si="329"/>
        <v>0</v>
      </c>
      <c r="O812" s="60">
        <f t="shared" si="329"/>
        <v>0</v>
      </c>
      <c r="P812" s="60">
        <f t="shared" si="329"/>
        <v>0</v>
      </c>
      <c r="Q812" s="60">
        <f t="shared" si="329"/>
        <v>0</v>
      </c>
      <c r="R812" s="60">
        <f t="shared" si="329"/>
        <v>0</v>
      </c>
      <c r="S812" s="60">
        <f t="shared" si="329"/>
        <v>0</v>
      </c>
      <c r="T812" s="60">
        <f t="shared" si="329"/>
        <v>0</v>
      </c>
      <c r="U812" s="60">
        <f t="shared" si="329"/>
        <v>0</v>
      </c>
      <c r="V812" s="60">
        <f t="shared" si="329"/>
        <v>0</v>
      </c>
      <c r="W812" s="60">
        <f t="shared" si="329"/>
        <v>0</v>
      </c>
      <c r="X812" s="60">
        <f t="shared" si="329"/>
        <v>0</v>
      </c>
    </row>
    <row r="813" spans="2:24" hidden="1">
      <c r="B813" s="59" t="str">
        <f t="shared" si="320"/>
        <v/>
      </c>
      <c r="C813" s="59" t="str">
        <f t="shared" si="320"/>
        <v/>
      </c>
      <c r="D813" s="59" t="str">
        <f t="shared" si="320"/>
        <v/>
      </c>
      <c r="E813" s="59" t="str">
        <f t="shared" si="320"/>
        <v/>
      </c>
      <c r="F813" s="59"/>
      <c r="G813" s="59"/>
      <c r="H813" s="59"/>
      <c r="I813" s="59"/>
      <c r="J813" s="59"/>
      <c r="K813" s="60">
        <f t="shared" ref="K813:X813" si="330">IF(AND($C813="B+R",$E813="prace rozwojowe",LataProjekcji&lt;=Koniec_PR,Modul_badawczo_rozwojowy=tak),ROUND(K445,0),0)</f>
        <v>0</v>
      </c>
      <c r="L813" s="60">
        <f t="shared" si="330"/>
        <v>0</v>
      </c>
      <c r="M813" s="60">
        <f t="shared" si="330"/>
        <v>0</v>
      </c>
      <c r="N813" s="60">
        <f t="shared" si="330"/>
        <v>0</v>
      </c>
      <c r="O813" s="60">
        <f t="shared" si="330"/>
        <v>0</v>
      </c>
      <c r="P813" s="60">
        <f t="shared" si="330"/>
        <v>0</v>
      </c>
      <c r="Q813" s="60">
        <f t="shared" si="330"/>
        <v>0</v>
      </c>
      <c r="R813" s="60">
        <f t="shared" si="330"/>
        <v>0</v>
      </c>
      <c r="S813" s="60">
        <f t="shared" si="330"/>
        <v>0</v>
      </c>
      <c r="T813" s="60">
        <f t="shared" si="330"/>
        <v>0</v>
      </c>
      <c r="U813" s="60">
        <f t="shared" si="330"/>
        <v>0</v>
      </c>
      <c r="V813" s="60">
        <f t="shared" si="330"/>
        <v>0</v>
      </c>
      <c r="W813" s="60">
        <f t="shared" si="330"/>
        <v>0</v>
      </c>
      <c r="X813" s="60">
        <f t="shared" si="330"/>
        <v>0</v>
      </c>
    </row>
    <row r="814" spans="2:24" hidden="1">
      <c r="B814" s="59" t="str">
        <f t="shared" si="320"/>
        <v/>
      </c>
      <c r="C814" s="59" t="str">
        <f t="shared" si="320"/>
        <v/>
      </c>
      <c r="D814" s="59" t="str">
        <f t="shared" si="320"/>
        <v/>
      </c>
      <c r="E814" s="59" t="str">
        <f t="shared" si="320"/>
        <v/>
      </c>
      <c r="F814" s="59"/>
      <c r="G814" s="59"/>
      <c r="H814" s="59"/>
      <c r="I814" s="59"/>
      <c r="J814" s="59"/>
      <c r="K814" s="60">
        <f t="shared" ref="K814:X814" si="331">IF(AND($C814="B+R",$E814="prace rozwojowe",LataProjekcji&lt;=Koniec_PR,Modul_badawczo_rozwojowy=tak),ROUND(K446,0),0)</f>
        <v>0</v>
      </c>
      <c r="L814" s="60">
        <f t="shared" si="331"/>
        <v>0</v>
      </c>
      <c r="M814" s="60">
        <f t="shared" si="331"/>
        <v>0</v>
      </c>
      <c r="N814" s="60">
        <f t="shared" si="331"/>
        <v>0</v>
      </c>
      <c r="O814" s="60">
        <f t="shared" si="331"/>
        <v>0</v>
      </c>
      <c r="P814" s="60">
        <f t="shared" si="331"/>
        <v>0</v>
      </c>
      <c r="Q814" s="60">
        <f t="shared" si="331"/>
        <v>0</v>
      </c>
      <c r="R814" s="60">
        <f t="shared" si="331"/>
        <v>0</v>
      </c>
      <c r="S814" s="60">
        <f t="shared" si="331"/>
        <v>0</v>
      </c>
      <c r="T814" s="60">
        <f t="shared" si="331"/>
        <v>0</v>
      </c>
      <c r="U814" s="60">
        <f t="shared" si="331"/>
        <v>0</v>
      </c>
      <c r="V814" s="60">
        <f t="shared" si="331"/>
        <v>0</v>
      </c>
      <c r="W814" s="60">
        <f t="shared" si="331"/>
        <v>0</v>
      </c>
      <c r="X814" s="60">
        <f t="shared" si="331"/>
        <v>0</v>
      </c>
    </row>
    <row r="815" spans="2:24" hidden="1">
      <c r="B815" s="59" t="str">
        <f t="shared" si="320"/>
        <v/>
      </c>
      <c r="C815" s="59" t="str">
        <f t="shared" si="320"/>
        <v/>
      </c>
      <c r="D815" s="59" t="str">
        <f t="shared" si="320"/>
        <v/>
      </c>
      <c r="E815" s="59" t="str">
        <f t="shared" si="320"/>
        <v/>
      </c>
      <c r="F815" s="59"/>
      <c r="G815" s="59"/>
      <c r="H815" s="59"/>
      <c r="I815" s="59"/>
      <c r="J815" s="59"/>
      <c r="K815" s="60">
        <f t="shared" ref="K815:X815" si="332">IF(AND($C815="B+R",$E815="prace rozwojowe",LataProjekcji&lt;=Koniec_PR,Modul_badawczo_rozwojowy=tak),ROUND(K447,0),0)</f>
        <v>0</v>
      </c>
      <c r="L815" s="60">
        <f t="shared" si="332"/>
        <v>0</v>
      </c>
      <c r="M815" s="60">
        <f t="shared" si="332"/>
        <v>0</v>
      </c>
      <c r="N815" s="60">
        <f t="shared" si="332"/>
        <v>0</v>
      </c>
      <c r="O815" s="60">
        <f t="shared" si="332"/>
        <v>0</v>
      </c>
      <c r="P815" s="60">
        <f t="shared" si="332"/>
        <v>0</v>
      </c>
      <c r="Q815" s="60">
        <f t="shared" si="332"/>
        <v>0</v>
      </c>
      <c r="R815" s="60">
        <f t="shared" si="332"/>
        <v>0</v>
      </c>
      <c r="S815" s="60">
        <f t="shared" si="332"/>
        <v>0</v>
      </c>
      <c r="T815" s="60">
        <f t="shared" si="332"/>
        <v>0</v>
      </c>
      <c r="U815" s="60">
        <f t="shared" si="332"/>
        <v>0</v>
      </c>
      <c r="V815" s="60">
        <f t="shared" si="332"/>
        <v>0</v>
      </c>
      <c r="W815" s="60">
        <f t="shared" si="332"/>
        <v>0</v>
      </c>
      <c r="X815" s="60">
        <f t="shared" si="332"/>
        <v>0</v>
      </c>
    </row>
    <row r="816" spans="2:24" hidden="1">
      <c r="B816" s="59" t="str">
        <f t="shared" si="320"/>
        <v/>
      </c>
      <c r="C816" s="59" t="str">
        <f t="shared" si="320"/>
        <v/>
      </c>
      <c r="D816" s="59" t="str">
        <f t="shared" si="320"/>
        <v/>
      </c>
      <c r="E816" s="59" t="str">
        <f t="shared" si="320"/>
        <v/>
      </c>
      <c r="F816" s="59"/>
      <c r="G816" s="59"/>
      <c r="H816" s="59"/>
      <c r="I816" s="59"/>
      <c r="J816" s="59"/>
      <c r="K816" s="60">
        <f t="shared" ref="K816:X816" si="333">IF(AND($C816="B+R",$E816="prace rozwojowe",LataProjekcji&lt;=Koniec_PR,Modul_badawczo_rozwojowy=tak),ROUND(K448,0),0)</f>
        <v>0</v>
      </c>
      <c r="L816" s="60">
        <f t="shared" si="333"/>
        <v>0</v>
      </c>
      <c r="M816" s="60">
        <f t="shared" si="333"/>
        <v>0</v>
      </c>
      <c r="N816" s="60">
        <f t="shared" si="333"/>
        <v>0</v>
      </c>
      <c r="O816" s="60">
        <f t="shared" si="333"/>
        <v>0</v>
      </c>
      <c r="P816" s="60">
        <f t="shared" si="333"/>
        <v>0</v>
      </c>
      <c r="Q816" s="60">
        <f t="shared" si="333"/>
        <v>0</v>
      </c>
      <c r="R816" s="60">
        <f t="shared" si="333"/>
        <v>0</v>
      </c>
      <c r="S816" s="60">
        <f t="shared" si="333"/>
        <v>0</v>
      </c>
      <c r="T816" s="60">
        <f t="shared" si="333"/>
        <v>0</v>
      </c>
      <c r="U816" s="60">
        <f t="shared" si="333"/>
        <v>0</v>
      </c>
      <c r="V816" s="60">
        <f t="shared" si="333"/>
        <v>0</v>
      </c>
      <c r="W816" s="60">
        <f t="shared" si="333"/>
        <v>0</v>
      </c>
      <c r="X816" s="60">
        <f t="shared" si="333"/>
        <v>0</v>
      </c>
    </row>
    <row r="817" spans="2:24" hidden="1">
      <c r="B817" s="59" t="str">
        <f t="shared" si="320"/>
        <v/>
      </c>
      <c r="C817" s="59" t="str">
        <f t="shared" si="320"/>
        <v/>
      </c>
      <c r="D817" s="59" t="str">
        <f t="shared" si="320"/>
        <v/>
      </c>
      <c r="E817" s="59" t="str">
        <f t="shared" si="320"/>
        <v/>
      </c>
      <c r="F817" s="59"/>
      <c r="G817" s="59"/>
      <c r="H817" s="59"/>
      <c r="I817" s="59"/>
      <c r="J817" s="59"/>
      <c r="K817" s="60">
        <f t="shared" ref="K817:X817" si="334">IF(AND($C817="B+R",$E817="prace rozwojowe",LataProjekcji&lt;=Koniec_PR,Modul_badawczo_rozwojowy=tak),ROUND(K449,0),0)</f>
        <v>0</v>
      </c>
      <c r="L817" s="60">
        <f t="shared" si="334"/>
        <v>0</v>
      </c>
      <c r="M817" s="60">
        <f t="shared" si="334"/>
        <v>0</v>
      </c>
      <c r="N817" s="60">
        <f t="shared" si="334"/>
        <v>0</v>
      </c>
      <c r="O817" s="60">
        <f t="shared" si="334"/>
        <v>0</v>
      </c>
      <c r="P817" s="60">
        <f t="shared" si="334"/>
        <v>0</v>
      </c>
      <c r="Q817" s="60">
        <f t="shared" si="334"/>
        <v>0</v>
      </c>
      <c r="R817" s="60">
        <f t="shared" si="334"/>
        <v>0</v>
      </c>
      <c r="S817" s="60">
        <f t="shared" si="334"/>
        <v>0</v>
      </c>
      <c r="T817" s="60">
        <f t="shared" si="334"/>
        <v>0</v>
      </c>
      <c r="U817" s="60">
        <f t="shared" si="334"/>
        <v>0</v>
      </c>
      <c r="V817" s="60">
        <f t="shared" si="334"/>
        <v>0</v>
      </c>
      <c r="W817" s="60">
        <f t="shared" si="334"/>
        <v>0</v>
      </c>
      <c r="X817" s="60">
        <f t="shared" si="334"/>
        <v>0</v>
      </c>
    </row>
    <row r="818" spans="2:24" hidden="1">
      <c r="B818" s="59" t="str">
        <f t="shared" si="320"/>
        <v/>
      </c>
      <c r="C818" s="59" t="str">
        <f t="shared" si="320"/>
        <v/>
      </c>
      <c r="D818" s="59" t="str">
        <f t="shared" si="320"/>
        <v/>
      </c>
      <c r="E818" s="59" t="str">
        <f t="shared" si="320"/>
        <v/>
      </c>
      <c r="F818" s="59"/>
      <c r="G818" s="59"/>
      <c r="H818" s="59"/>
      <c r="I818" s="59"/>
      <c r="J818" s="59"/>
      <c r="K818" s="60">
        <f t="shared" ref="K818:X818" si="335">IF(AND($C818="B+R",$E818="prace rozwojowe",LataProjekcji&lt;=Koniec_PR,Modul_badawczo_rozwojowy=tak),ROUND(K450,0),0)</f>
        <v>0</v>
      </c>
      <c r="L818" s="60">
        <f t="shared" si="335"/>
        <v>0</v>
      </c>
      <c r="M818" s="60">
        <f t="shared" si="335"/>
        <v>0</v>
      </c>
      <c r="N818" s="60">
        <f t="shared" si="335"/>
        <v>0</v>
      </c>
      <c r="O818" s="60">
        <f t="shared" si="335"/>
        <v>0</v>
      </c>
      <c r="P818" s="60">
        <f t="shared" si="335"/>
        <v>0</v>
      </c>
      <c r="Q818" s="60">
        <f t="shared" si="335"/>
        <v>0</v>
      </c>
      <c r="R818" s="60">
        <f t="shared" si="335"/>
        <v>0</v>
      </c>
      <c r="S818" s="60">
        <f t="shared" si="335"/>
        <v>0</v>
      </c>
      <c r="T818" s="60">
        <f t="shared" si="335"/>
        <v>0</v>
      </c>
      <c r="U818" s="60">
        <f t="shared" si="335"/>
        <v>0</v>
      </c>
      <c r="V818" s="60">
        <f t="shared" si="335"/>
        <v>0</v>
      </c>
      <c r="W818" s="60">
        <f t="shared" si="335"/>
        <v>0</v>
      </c>
      <c r="X818" s="60">
        <f t="shared" si="335"/>
        <v>0</v>
      </c>
    </row>
    <row r="819" spans="2:24" hidden="1">
      <c r="B819" s="59" t="str">
        <f t="shared" si="320"/>
        <v/>
      </c>
      <c r="C819" s="59" t="str">
        <f t="shared" si="320"/>
        <v/>
      </c>
      <c r="D819" s="59" t="str">
        <f t="shared" si="320"/>
        <v/>
      </c>
      <c r="E819" s="59" t="str">
        <f t="shared" si="320"/>
        <v/>
      </c>
      <c r="F819" s="59"/>
      <c r="G819" s="59"/>
      <c r="H819" s="59"/>
      <c r="I819" s="59"/>
      <c r="J819" s="59"/>
      <c r="K819" s="60">
        <f t="shared" ref="K819:X819" si="336">IF(AND($C819="B+R",$E819="prace rozwojowe",LataProjekcji&lt;=Koniec_PR,Modul_badawczo_rozwojowy=tak),ROUND(K451,0),0)</f>
        <v>0</v>
      </c>
      <c r="L819" s="60">
        <f t="shared" si="336"/>
        <v>0</v>
      </c>
      <c r="M819" s="60">
        <f t="shared" si="336"/>
        <v>0</v>
      </c>
      <c r="N819" s="60">
        <f t="shared" si="336"/>
        <v>0</v>
      </c>
      <c r="O819" s="60">
        <f t="shared" si="336"/>
        <v>0</v>
      </c>
      <c r="P819" s="60">
        <f t="shared" si="336"/>
        <v>0</v>
      </c>
      <c r="Q819" s="60">
        <f t="shared" si="336"/>
        <v>0</v>
      </c>
      <c r="R819" s="60">
        <f t="shared" si="336"/>
        <v>0</v>
      </c>
      <c r="S819" s="60">
        <f t="shared" si="336"/>
        <v>0</v>
      </c>
      <c r="T819" s="60">
        <f t="shared" si="336"/>
        <v>0</v>
      </c>
      <c r="U819" s="60">
        <f t="shared" si="336"/>
        <v>0</v>
      </c>
      <c r="V819" s="60">
        <f t="shared" si="336"/>
        <v>0</v>
      </c>
      <c r="W819" s="60">
        <f t="shared" si="336"/>
        <v>0</v>
      </c>
      <c r="X819" s="60">
        <f t="shared" si="336"/>
        <v>0</v>
      </c>
    </row>
    <row r="820" spans="2:24" hidden="1">
      <c r="B820" s="59" t="str">
        <f t="shared" si="320"/>
        <v/>
      </c>
      <c r="C820" s="59" t="str">
        <f t="shared" si="320"/>
        <v/>
      </c>
      <c r="D820" s="59" t="str">
        <f t="shared" si="320"/>
        <v/>
      </c>
      <c r="E820" s="59" t="str">
        <f t="shared" si="320"/>
        <v/>
      </c>
      <c r="F820" s="59"/>
      <c r="G820" s="59"/>
      <c r="H820" s="59"/>
      <c r="I820" s="59"/>
      <c r="J820" s="59"/>
      <c r="K820" s="60">
        <f t="shared" ref="K820:X820" si="337">IF(AND($C820="B+R",$E820="prace rozwojowe",LataProjekcji&lt;=Koniec_PR,Modul_badawczo_rozwojowy=tak),ROUND(K452,0),0)</f>
        <v>0</v>
      </c>
      <c r="L820" s="60">
        <f t="shared" si="337"/>
        <v>0</v>
      </c>
      <c r="M820" s="60">
        <f t="shared" si="337"/>
        <v>0</v>
      </c>
      <c r="N820" s="60">
        <f t="shared" si="337"/>
        <v>0</v>
      </c>
      <c r="O820" s="60">
        <f t="shared" si="337"/>
        <v>0</v>
      </c>
      <c r="P820" s="60">
        <f t="shared" si="337"/>
        <v>0</v>
      </c>
      <c r="Q820" s="60">
        <f t="shared" si="337"/>
        <v>0</v>
      </c>
      <c r="R820" s="60">
        <f t="shared" si="337"/>
        <v>0</v>
      </c>
      <c r="S820" s="60">
        <f t="shared" si="337"/>
        <v>0</v>
      </c>
      <c r="T820" s="60">
        <f t="shared" si="337"/>
        <v>0</v>
      </c>
      <c r="U820" s="60">
        <f t="shared" si="337"/>
        <v>0</v>
      </c>
      <c r="V820" s="60">
        <f t="shared" si="337"/>
        <v>0</v>
      </c>
      <c r="W820" s="60">
        <f t="shared" si="337"/>
        <v>0</v>
      </c>
      <c r="X820" s="60">
        <f t="shared" si="337"/>
        <v>0</v>
      </c>
    </row>
    <row r="821" spans="2:24" hidden="1">
      <c r="B821" s="59" t="str">
        <f t="shared" si="320"/>
        <v/>
      </c>
      <c r="C821" s="59" t="str">
        <f t="shared" si="320"/>
        <v/>
      </c>
      <c r="D821" s="59" t="str">
        <f t="shared" si="320"/>
        <v/>
      </c>
      <c r="E821" s="59" t="str">
        <f t="shared" si="320"/>
        <v/>
      </c>
      <c r="F821" s="59"/>
      <c r="G821" s="59"/>
      <c r="H821" s="59"/>
      <c r="I821" s="59"/>
      <c r="J821" s="59"/>
      <c r="K821" s="60">
        <f t="shared" ref="K821:X821" si="338">IF(AND($C821="B+R",$E821="prace rozwojowe",LataProjekcji&lt;=Koniec_PR,Modul_badawczo_rozwojowy=tak),ROUND(K453,0),0)</f>
        <v>0</v>
      </c>
      <c r="L821" s="60">
        <f t="shared" si="338"/>
        <v>0</v>
      </c>
      <c r="M821" s="60">
        <f t="shared" si="338"/>
        <v>0</v>
      </c>
      <c r="N821" s="60">
        <f t="shared" si="338"/>
        <v>0</v>
      </c>
      <c r="O821" s="60">
        <f t="shared" si="338"/>
        <v>0</v>
      </c>
      <c r="P821" s="60">
        <f t="shared" si="338"/>
        <v>0</v>
      </c>
      <c r="Q821" s="60">
        <f t="shared" si="338"/>
        <v>0</v>
      </c>
      <c r="R821" s="60">
        <f t="shared" si="338"/>
        <v>0</v>
      </c>
      <c r="S821" s="60">
        <f t="shared" si="338"/>
        <v>0</v>
      </c>
      <c r="T821" s="60">
        <f t="shared" si="338"/>
        <v>0</v>
      </c>
      <c r="U821" s="60">
        <f t="shared" si="338"/>
        <v>0</v>
      </c>
      <c r="V821" s="60">
        <f t="shared" si="338"/>
        <v>0</v>
      </c>
      <c r="W821" s="60">
        <f t="shared" si="338"/>
        <v>0</v>
      </c>
      <c r="X821" s="60">
        <f t="shared" si="338"/>
        <v>0</v>
      </c>
    </row>
    <row r="822" spans="2:24" hidden="1">
      <c r="B822" s="59" t="str">
        <f t="shared" si="320"/>
        <v/>
      </c>
      <c r="C822" s="59" t="str">
        <f t="shared" si="320"/>
        <v/>
      </c>
      <c r="D822" s="59" t="str">
        <f t="shared" si="320"/>
        <v/>
      </c>
      <c r="E822" s="59" t="str">
        <f t="shared" si="320"/>
        <v/>
      </c>
      <c r="F822" s="59"/>
      <c r="G822" s="59"/>
      <c r="H822" s="59"/>
      <c r="I822" s="59"/>
      <c r="J822" s="59"/>
      <c r="K822" s="60">
        <f t="shared" ref="K822:X822" si="339">IF(AND($C822="B+R",$E822="prace rozwojowe",LataProjekcji&lt;=Koniec_PR,Modul_badawczo_rozwojowy=tak),ROUND(K454,0),0)</f>
        <v>0</v>
      </c>
      <c r="L822" s="60">
        <f t="shared" si="339"/>
        <v>0</v>
      </c>
      <c r="M822" s="60">
        <f t="shared" si="339"/>
        <v>0</v>
      </c>
      <c r="N822" s="60">
        <f t="shared" si="339"/>
        <v>0</v>
      </c>
      <c r="O822" s="60">
        <f t="shared" si="339"/>
        <v>0</v>
      </c>
      <c r="P822" s="60">
        <f t="shared" si="339"/>
        <v>0</v>
      </c>
      <c r="Q822" s="60">
        <f t="shared" si="339"/>
        <v>0</v>
      </c>
      <c r="R822" s="60">
        <f t="shared" si="339"/>
        <v>0</v>
      </c>
      <c r="S822" s="60">
        <f t="shared" si="339"/>
        <v>0</v>
      </c>
      <c r="T822" s="60">
        <f t="shared" si="339"/>
        <v>0</v>
      </c>
      <c r="U822" s="60">
        <f t="shared" si="339"/>
        <v>0</v>
      </c>
      <c r="V822" s="60">
        <f t="shared" si="339"/>
        <v>0</v>
      </c>
      <c r="W822" s="60">
        <f t="shared" si="339"/>
        <v>0</v>
      </c>
      <c r="X822" s="60">
        <f t="shared" si="339"/>
        <v>0</v>
      </c>
    </row>
    <row r="823" spans="2:24" hidden="1">
      <c r="B823" s="59" t="str">
        <f t="shared" si="320"/>
        <v/>
      </c>
      <c r="C823" s="59" t="str">
        <f t="shared" si="320"/>
        <v/>
      </c>
      <c r="D823" s="59" t="str">
        <f t="shared" si="320"/>
        <v/>
      </c>
      <c r="E823" s="59" t="str">
        <f t="shared" si="320"/>
        <v/>
      </c>
      <c r="F823" s="59"/>
      <c r="G823" s="59"/>
      <c r="H823" s="59"/>
      <c r="I823" s="59"/>
      <c r="J823" s="59"/>
      <c r="K823" s="60">
        <f t="shared" ref="K823:X823" si="340">IF(AND($C823="B+R",$E823="prace rozwojowe",LataProjekcji&lt;=Koniec_PR,Modul_badawczo_rozwojowy=tak),ROUND(K455,0),0)</f>
        <v>0</v>
      </c>
      <c r="L823" s="60">
        <f t="shared" si="340"/>
        <v>0</v>
      </c>
      <c r="M823" s="60">
        <f t="shared" si="340"/>
        <v>0</v>
      </c>
      <c r="N823" s="60">
        <f t="shared" si="340"/>
        <v>0</v>
      </c>
      <c r="O823" s="60">
        <f t="shared" si="340"/>
        <v>0</v>
      </c>
      <c r="P823" s="60">
        <f t="shared" si="340"/>
        <v>0</v>
      </c>
      <c r="Q823" s="60">
        <f t="shared" si="340"/>
        <v>0</v>
      </c>
      <c r="R823" s="60">
        <f t="shared" si="340"/>
        <v>0</v>
      </c>
      <c r="S823" s="60">
        <f t="shared" si="340"/>
        <v>0</v>
      </c>
      <c r="T823" s="60">
        <f t="shared" si="340"/>
        <v>0</v>
      </c>
      <c r="U823" s="60">
        <f t="shared" si="340"/>
        <v>0</v>
      </c>
      <c r="V823" s="60">
        <f t="shared" si="340"/>
        <v>0</v>
      </c>
      <c r="W823" s="60">
        <f t="shared" si="340"/>
        <v>0</v>
      </c>
      <c r="X823" s="60">
        <f t="shared" si="340"/>
        <v>0</v>
      </c>
    </row>
    <row r="824" spans="2:24" hidden="1">
      <c r="B824" s="59" t="str">
        <f t="shared" ref="B824:E843" si="341">IF(ISBLANK(B456),"",B456)</f>
        <v/>
      </c>
      <c r="C824" s="59" t="str">
        <f t="shared" si="341"/>
        <v/>
      </c>
      <c r="D824" s="59" t="str">
        <f t="shared" si="341"/>
        <v/>
      </c>
      <c r="E824" s="59" t="str">
        <f t="shared" si="341"/>
        <v/>
      </c>
      <c r="F824" s="59"/>
      <c r="G824" s="59"/>
      <c r="H824" s="59"/>
      <c r="I824" s="59"/>
      <c r="J824" s="59"/>
      <c r="K824" s="60">
        <f t="shared" ref="K824:X824" si="342">IF(AND($C824="B+R",$E824="prace rozwojowe",LataProjekcji&lt;=Koniec_PR,Modul_badawczo_rozwojowy=tak),ROUND(K456,0),0)</f>
        <v>0</v>
      </c>
      <c r="L824" s="60">
        <f t="shared" si="342"/>
        <v>0</v>
      </c>
      <c r="M824" s="60">
        <f t="shared" si="342"/>
        <v>0</v>
      </c>
      <c r="N824" s="60">
        <f t="shared" si="342"/>
        <v>0</v>
      </c>
      <c r="O824" s="60">
        <f t="shared" si="342"/>
        <v>0</v>
      </c>
      <c r="P824" s="60">
        <f t="shared" si="342"/>
        <v>0</v>
      </c>
      <c r="Q824" s="60">
        <f t="shared" si="342"/>
        <v>0</v>
      </c>
      <c r="R824" s="60">
        <f t="shared" si="342"/>
        <v>0</v>
      </c>
      <c r="S824" s="60">
        <f t="shared" si="342"/>
        <v>0</v>
      </c>
      <c r="T824" s="60">
        <f t="shared" si="342"/>
        <v>0</v>
      </c>
      <c r="U824" s="60">
        <f t="shared" si="342"/>
        <v>0</v>
      </c>
      <c r="V824" s="60">
        <f t="shared" si="342"/>
        <v>0</v>
      </c>
      <c r="W824" s="60">
        <f t="shared" si="342"/>
        <v>0</v>
      </c>
      <c r="X824" s="60">
        <f t="shared" si="342"/>
        <v>0</v>
      </c>
    </row>
    <row r="825" spans="2:24" hidden="1">
      <c r="B825" s="59" t="str">
        <f t="shared" si="341"/>
        <v/>
      </c>
      <c r="C825" s="59" t="str">
        <f t="shared" si="341"/>
        <v/>
      </c>
      <c r="D825" s="59" t="str">
        <f t="shared" si="341"/>
        <v/>
      </c>
      <c r="E825" s="59" t="str">
        <f t="shared" si="341"/>
        <v/>
      </c>
      <c r="F825" s="59"/>
      <c r="G825" s="59"/>
      <c r="H825" s="59"/>
      <c r="I825" s="59"/>
      <c r="J825" s="59"/>
      <c r="K825" s="60">
        <f t="shared" ref="K825:X825" si="343">IF(AND($C825="B+R",$E825="prace rozwojowe",LataProjekcji&lt;=Koniec_PR,Modul_badawczo_rozwojowy=tak),ROUND(K457,0),0)</f>
        <v>0</v>
      </c>
      <c r="L825" s="60">
        <f t="shared" si="343"/>
        <v>0</v>
      </c>
      <c r="M825" s="60">
        <f t="shared" si="343"/>
        <v>0</v>
      </c>
      <c r="N825" s="60">
        <f t="shared" si="343"/>
        <v>0</v>
      </c>
      <c r="O825" s="60">
        <f t="shared" si="343"/>
        <v>0</v>
      </c>
      <c r="P825" s="60">
        <f t="shared" si="343"/>
        <v>0</v>
      </c>
      <c r="Q825" s="60">
        <f t="shared" si="343"/>
        <v>0</v>
      </c>
      <c r="R825" s="60">
        <f t="shared" si="343"/>
        <v>0</v>
      </c>
      <c r="S825" s="60">
        <f t="shared" si="343"/>
        <v>0</v>
      </c>
      <c r="T825" s="60">
        <f t="shared" si="343"/>
        <v>0</v>
      </c>
      <c r="U825" s="60">
        <f t="shared" si="343"/>
        <v>0</v>
      </c>
      <c r="V825" s="60">
        <f t="shared" si="343"/>
        <v>0</v>
      </c>
      <c r="W825" s="60">
        <f t="shared" si="343"/>
        <v>0</v>
      </c>
      <c r="X825" s="60">
        <f t="shared" si="343"/>
        <v>0</v>
      </c>
    </row>
    <row r="826" spans="2:24" hidden="1">
      <c r="B826" s="59" t="str">
        <f t="shared" si="341"/>
        <v/>
      </c>
      <c r="C826" s="59" t="str">
        <f t="shared" si="341"/>
        <v/>
      </c>
      <c r="D826" s="59" t="str">
        <f t="shared" si="341"/>
        <v/>
      </c>
      <c r="E826" s="59" t="str">
        <f t="shared" si="341"/>
        <v/>
      </c>
      <c r="F826" s="59"/>
      <c r="G826" s="59"/>
      <c r="H826" s="59"/>
      <c r="I826" s="59"/>
      <c r="J826" s="59"/>
      <c r="K826" s="60">
        <f t="shared" ref="K826:X826" si="344">IF(AND($C826="B+R",$E826="prace rozwojowe",LataProjekcji&lt;=Koniec_PR,Modul_badawczo_rozwojowy=tak),ROUND(K458,0),0)</f>
        <v>0</v>
      </c>
      <c r="L826" s="60">
        <f t="shared" si="344"/>
        <v>0</v>
      </c>
      <c r="M826" s="60">
        <f t="shared" si="344"/>
        <v>0</v>
      </c>
      <c r="N826" s="60">
        <f t="shared" si="344"/>
        <v>0</v>
      </c>
      <c r="O826" s="60">
        <f t="shared" si="344"/>
        <v>0</v>
      </c>
      <c r="P826" s="60">
        <f t="shared" si="344"/>
        <v>0</v>
      </c>
      <c r="Q826" s="60">
        <f t="shared" si="344"/>
        <v>0</v>
      </c>
      <c r="R826" s="60">
        <f t="shared" si="344"/>
        <v>0</v>
      </c>
      <c r="S826" s="60">
        <f t="shared" si="344"/>
        <v>0</v>
      </c>
      <c r="T826" s="60">
        <f t="shared" si="344"/>
        <v>0</v>
      </c>
      <c r="U826" s="60">
        <f t="shared" si="344"/>
        <v>0</v>
      </c>
      <c r="V826" s="60">
        <f t="shared" si="344"/>
        <v>0</v>
      </c>
      <c r="W826" s="60">
        <f t="shared" si="344"/>
        <v>0</v>
      </c>
      <c r="X826" s="60">
        <f t="shared" si="344"/>
        <v>0</v>
      </c>
    </row>
    <row r="827" spans="2:24" hidden="1">
      <c r="B827" s="59" t="str">
        <f t="shared" si="341"/>
        <v/>
      </c>
      <c r="C827" s="59" t="str">
        <f t="shared" si="341"/>
        <v/>
      </c>
      <c r="D827" s="59" t="str">
        <f t="shared" si="341"/>
        <v/>
      </c>
      <c r="E827" s="59" t="str">
        <f t="shared" si="341"/>
        <v/>
      </c>
      <c r="F827" s="59"/>
      <c r="G827" s="59"/>
      <c r="H827" s="59"/>
      <c r="I827" s="59"/>
      <c r="J827" s="59"/>
      <c r="K827" s="60">
        <f t="shared" ref="K827:X827" si="345">IF(AND($C827="B+R",$E827="prace rozwojowe",LataProjekcji&lt;=Koniec_PR,Modul_badawczo_rozwojowy=tak),ROUND(K459,0),0)</f>
        <v>0</v>
      </c>
      <c r="L827" s="60">
        <f t="shared" si="345"/>
        <v>0</v>
      </c>
      <c r="M827" s="60">
        <f t="shared" si="345"/>
        <v>0</v>
      </c>
      <c r="N827" s="60">
        <f t="shared" si="345"/>
        <v>0</v>
      </c>
      <c r="O827" s="60">
        <f t="shared" si="345"/>
        <v>0</v>
      </c>
      <c r="P827" s="60">
        <f t="shared" si="345"/>
        <v>0</v>
      </c>
      <c r="Q827" s="60">
        <f t="shared" si="345"/>
        <v>0</v>
      </c>
      <c r="R827" s="60">
        <f t="shared" si="345"/>
        <v>0</v>
      </c>
      <c r="S827" s="60">
        <f t="shared" si="345"/>
        <v>0</v>
      </c>
      <c r="T827" s="60">
        <f t="shared" si="345"/>
        <v>0</v>
      </c>
      <c r="U827" s="60">
        <f t="shared" si="345"/>
        <v>0</v>
      </c>
      <c r="V827" s="60">
        <f t="shared" si="345"/>
        <v>0</v>
      </c>
      <c r="W827" s="60">
        <f t="shared" si="345"/>
        <v>0</v>
      </c>
      <c r="X827" s="60">
        <f t="shared" si="345"/>
        <v>0</v>
      </c>
    </row>
    <row r="828" spans="2:24" hidden="1">
      <c r="B828" s="59" t="str">
        <f t="shared" si="341"/>
        <v/>
      </c>
      <c r="C828" s="59" t="str">
        <f t="shared" si="341"/>
        <v/>
      </c>
      <c r="D828" s="59" t="str">
        <f t="shared" si="341"/>
        <v/>
      </c>
      <c r="E828" s="59" t="str">
        <f t="shared" si="341"/>
        <v/>
      </c>
      <c r="F828" s="59"/>
      <c r="G828" s="59"/>
      <c r="H828" s="59"/>
      <c r="I828" s="59"/>
      <c r="J828" s="59"/>
      <c r="K828" s="60">
        <f t="shared" ref="K828:X828" si="346">IF(AND($C828="B+R",$E828="prace rozwojowe",LataProjekcji&lt;=Koniec_PR,Modul_badawczo_rozwojowy=tak),ROUND(K460,0),0)</f>
        <v>0</v>
      </c>
      <c r="L828" s="60">
        <f t="shared" si="346"/>
        <v>0</v>
      </c>
      <c r="M828" s="60">
        <f t="shared" si="346"/>
        <v>0</v>
      </c>
      <c r="N828" s="60">
        <f t="shared" si="346"/>
        <v>0</v>
      </c>
      <c r="O828" s="60">
        <f t="shared" si="346"/>
        <v>0</v>
      </c>
      <c r="P828" s="60">
        <f t="shared" si="346"/>
        <v>0</v>
      </c>
      <c r="Q828" s="60">
        <f t="shared" si="346"/>
        <v>0</v>
      </c>
      <c r="R828" s="60">
        <f t="shared" si="346"/>
        <v>0</v>
      </c>
      <c r="S828" s="60">
        <f t="shared" si="346"/>
        <v>0</v>
      </c>
      <c r="T828" s="60">
        <f t="shared" si="346"/>
        <v>0</v>
      </c>
      <c r="U828" s="60">
        <f t="shared" si="346"/>
        <v>0</v>
      </c>
      <c r="V828" s="60">
        <f t="shared" si="346"/>
        <v>0</v>
      </c>
      <c r="W828" s="60">
        <f t="shared" si="346"/>
        <v>0</v>
      </c>
      <c r="X828" s="60">
        <f t="shared" si="346"/>
        <v>0</v>
      </c>
    </row>
    <row r="829" spans="2:24" hidden="1">
      <c r="B829" s="59" t="str">
        <f t="shared" si="341"/>
        <v/>
      </c>
      <c r="C829" s="59" t="str">
        <f t="shared" si="341"/>
        <v/>
      </c>
      <c r="D829" s="59" t="str">
        <f t="shared" si="341"/>
        <v/>
      </c>
      <c r="E829" s="59" t="str">
        <f t="shared" si="341"/>
        <v/>
      </c>
      <c r="F829" s="59"/>
      <c r="G829" s="59"/>
      <c r="H829" s="59"/>
      <c r="I829" s="59"/>
      <c r="J829" s="59"/>
      <c r="K829" s="60">
        <f t="shared" ref="K829:X829" si="347">IF(AND($C829="B+R",$E829="prace rozwojowe",LataProjekcji&lt;=Koniec_PR,Modul_badawczo_rozwojowy=tak),ROUND(K461,0),0)</f>
        <v>0</v>
      </c>
      <c r="L829" s="60">
        <f t="shared" si="347"/>
        <v>0</v>
      </c>
      <c r="M829" s="60">
        <f t="shared" si="347"/>
        <v>0</v>
      </c>
      <c r="N829" s="60">
        <f t="shared" si="347"/>
        <v>0</v>
      </c>
      <c r="O829" s="60">
        <f t="shared" si="347"/>
        <v>0</v>
      </c>
      <c r="P829" s="60">
        <f t="shared" si="347"/>
        <v>0</v>
      </c>
      <c r="Q829" s="60">
        <f t="shared" si="347"/>
        <v>0</v>
      </c>
      <c r="R829" s="60">
        <f t="shared" si="347"/>
        <v>0</v>
      </c>
      <c r="S829" s="60">
        <f t="shared" si="347"/>
        <v>0</v>
      </c>
      <c r="T829" s="60">
        <f t="shared" si="347"/>
        <v>0</v>
      </c>
      <c r="U829" s="60">
        <f t="shared" si="347"/>
        <v>0</v>
      </c>
      <c r="V829" s="60">
        <f t="shared" si="347"/>
        <v>0</v>
      </c>
      <c r="W829" s="60">
        <f t="shared" si="347"/>
        <v>0</v>
      </c>
      <c r="X829" s="60">
        <f t="shared" si="347"/>
        <v>0</v>
      </c>
    </row>
    <row r="830" spans="2:24" hidden="1">
      <c r="B830" s="59" t="str">
        <f t="shared" si="341"/>
        <v/>
      </c>
      <c r="C830" s="59" t="str">
        <f t="shared" si="341"/>
        <v/>
      </c>
      <c r="D830" s="59" t="str">
        <f t="shared" si="341"/>
        <v/>
      </c>
      <c r="E830" s="59" t="str">
        <f t="shared" si="341"/>
        <v/>
      </c>
      <c r="F830" s="59"/>
      <c r="G830" s="59"/>
      <c r="H830" s="59"/>
      <c r="I830" s="59"/>
      <c r="J830" s="59"/>
      <c r="K830" s="60">
        <f t="shared" ref="K830:X830" si="348">IF(AND($C830="B+R",$E830="prace rozwojowe",LataProjekcji&lt;=Koniec_PR,Modul_badawczo_rozwojowy=tak),ROUND(K462,0),0)</f>
        <v>0</v>
      </c>
      <c r="L830" s="60">
        <f t="shared" si="348"/>
        <v>0</v>
      </c>
      <c r="M830" s="60">
        <f t="shared" si="348"/>
        <v>0</v>
      </c>
      <c r="N830" s="60">
        <f t="shared" si="348"/>
        <v>0</v>
      </c>
      <c r="O830" s="60">
        <f t="shared" si="348"/>
        <v>0</v>
      </c>
      <c r="P830" s="60">
        <f t="shared" si="348"/>
        <v>0</v>
      </c>
      <c r="Q830" s="60">
        <f t="shared" si="348"/>
        <v>0</v>
      </c>
      <c r="R830" s="60">
        <f t="shared" si="348"/>
        <v>0</v>
      </c>
      <c r="S830" s="60">
        <f t="shared" si="348"/>
        <v>0</v>
      </c>
      <c r="T830" s="60">
        <f t="shared" si="348"/>
        <v>0</v>
      </c>
      <c r="U830" s="60">
        <f t="shared" si="348"/>
        <v>0</v>
      </c>
      <c r="V830" s="60">
        <f t="shared" si="348"/>
        <v>0</v>
      </c>
      <c r="W830" s="60">
        <f t="shared" si="348"/>
        <v>0</v>
      </c>
      <c r="X830" s="60">
        <f t="shared" si="348"/>
        <v>0</v>
      </c>
    </row>
    <row r="831" spans="2:24" hidden="1">
      <c r="B831" s="59" t="str">
        <f t="shared" si="341"/>
        <v/>
      </c>
      <c r="C831" s="59" t="str">
        <f t="shared" si="341"/>
        <v/>
      </c>
      <c r="D831" s="59" t="str">
        <f t="shared" si="341"/>
        <v/>
      </c>
      <c r="E831" s="59" t="str">
        <f t="shared" si="341"/>
        <v/>
      </c>
      <c r="F831" s="59"/>
      <c r="G831" s="59"/>
      <c r="H831" s="59"/>
      <c r="I831" s="59"/>
      <c r="J831" s="59"/>
      <c r="K831" s="60">
        <f t="shared" ref="K831:X831" si="349">IF(AND($C831="B+R",$E831="prace rozwojowe",LataProjekcji&lt;=Koniec_PR,Modul_badawczo_rozwojowy=tak),ROUND(K463,0),0)</f>
        <v>0</v>
      </c>
      <c r="L831" s="60">
        <f t="shared" si="349"/>
        <v>0</v>
      </c>
      <c r="M831" s="60">
        <f t="shared" si="349"/>
        <v>0</v>
      </c>
      <c r="N831" s="60">
        <f t="shared" si="349"/>
        <v>0</v>
      </c>
      <c r="O831" s="60">
        <f t="shared" si="349"/>
        <v>0</v>
      </c>
      <c r="P831" s="60">
        <f t="shared" si="349"/>
        <v>0</v>
      </c>
      <c r="Q831" s="60">
        <f t="shared" si="349"/>
        <v>0</v>
      </c>
      <c r="R831" s="60">
        <f t="shared" si="349"/>
        <v>0</v>
      </c>
      <c r="S831" s="60">
        <f t="shared" si="349"/>
        <v>0</v>
      </c>
      <c r="T831" s="60">
        <f t="shared" si="349"/>
        <v>0</v>
      </c>
      <c r="U831" s="60">
        <f t="shared" si="349"/>
        <v>0</v>
      </c>
      <c r="V831" s="60">
        <f t="shared" si="349"/>
        <v>0</v>
      </c>
      <c r="W831" s="60">
        <f t="shared" si="349"/>
        <v>0</v>
      </c>
      <c r="X831" s="60">
        <f t="shared" si="349"/>
        <v>0</v>
      </c>
    </row>
    <row r="832" spans="2:24" hidden="1">
      <c r="B832" s="59" t="str">
        <f t="shared" si="341"/>
        <v/>
      </c>
      <c r="C832" s="59" t="str">
        <f t="shared" si="341"/>
        <v/>
      </c>
      <c r="D832" s="59" t="str">
        <f t="shared" si="341"/>
        <v/>
      </c>
      <c r="E832" s="59" t="str">
        <f t="shared" si="341"/>
        <v/>
      </c>
      <c r="F832" s="59"/>
      <c r="G832" s="59"/>
      <c r="H832" s="59"/>
      <c r="I832" s="59"/>
      <c r="J832" s="59"/>
      <c r="K832" s="60">
        <f t="shared" ref="K832:X832" si="350">IF(AND($C832="B+R",$E832="prace rozwojowe",LataProjekcji&lt;=Koniec_PR,Modul_badawczo_rozwojowy=tak),ROUND(K464,0),0)</f>
        <v>0</v>
      </c>
      <c r="L832" s="60">
        <f t="shared" si="350"/>
        <v>0</v>
      </c>
      <c r="M832" s="60">
        <f t="shared" si="350"/>
        <v>0</v>
      </c>
      <c r="N832" s="60">
        <f t="shared" si="350"/>
        <v>0</v>
      </c>
      <c r="O832" s="60">
        <f t="shared" si="350"/>
        <v>0</v>
      </c>
      <c r="P832" s="60">
        <f t="shared" si="350"/>
        <v>0</v>
      </c>
      <c r="Q832" s="60">
        <f t="shared" si="350"/>
        <v>0</v>
      </c>
      <c r="R832" s="60">
        <f t="shared" si="350"/>
        <v>0</v>
      </c>
      <c r="S832" s="60">
        <f t="shared" si="350"/>
        <v>0</v>
      </c>
      <c r="T832" s="60">
        <f t="shared" si="350"/>
        <v>0</v>
      </c>
      <c r="U832" s="60">
        <f t="shared" si="350"/>
        <v>0</v>
      </c>
      <c r="V832" s="60">
        <f t="shared" si="350"/>
        <v>0</v>
      </c>
      <c r="W832" s="60">
        <f t="shared" si="350"/>
        <v>0</v>
      </c>
      <c r="X832" s="60">
        <f t="shared" si="350"/>
        <v>0</v>
      </c>
    </row>
    <row r="833" spans="2:24" hidden="1">
      <c r="B833" s="59" t="str">
        <f t="shared" si="341"/>
        <v/>
      </c>
      <c r="C833" s="59" t="str">
        <f t="shared" si="341"/>
        <v/>
      </c>
      <c r="D833" s="59" t="str">
        <f t="shared" si="341"/>
        <v/>
      </c>
      <c r="E833" s="59" t="str">
        <f t="shared" si="341"/>
        <v/>
      </c>
      <c r="F833" s="59"/>
      <c r="G833" s="59"/>
      <c r="H833" s="59"/>
      <c r="I833" s="59"/>
      <c r="J833" s="59"/>
      <c r="K833" s="60">
        <f t="shared" ref="K833:X833" si="351">IF(AND($C833="B+R",$E833="prace rozwojowe",LataProjekcji&lt;=Koniec_PR,Modul_badawczo_rozwojowy=tak),ROUND(K465,0),0)</f>
        <v>0</v>
      </c>
      <c r="L833" s="60">
        <f t="shared" si="351"/>
        <v>0</v>
      </c>
      <c r="M833" s="60">
        <f t="shared" si="351"/>
        <v>0</v>
      </c>
      <c r="N833" s="60">
        <f t="shared" si="351"/>
        <v>0</v>
      </c>
      <c r="O833" s="60">
        <f t="shared" si="351"/>
        <v>0</v>
      </c>
      <c r="P833" s="60">
        <f t="shared" si="351"/>
        <v>0</v>
      </c>
      <c r="Q833" s="60">
        <f t="shared" si="351"/>
        <v>0</v>
      </c>
      <c r="R833" s="60">
        <f t="shared" si="351"/>
        <v>0</v>
      </c>
      <c r="S833" s="60">
        <f t="shared" si="351"/>
        <v>0</v>
      </c>
      <c r="T833" s="60">
        <f t="shared" si="351"/>
        <v>0</v>
      </c>
      <c r="U833" s="60">
        <f t="shared" si="351"/>
        <v>0</v>
      </c>
      <c r="V833" s="60">
        <f t="shared" si="351"/>
        <v>0</v>
      </c>
      <c r="W833" s="60">
        <f t="shared" si="351"/>
        <v>0</v>
      </c>
      <c r="X833" s="60">
        <f t="shared" si="351"/>
        <v>0</v>
      </c>
    </row>
    <row r="834" spans="2:24" hidden="1">
      <c r="B834" s="59" t="str">
        <f t="shared" si="341"/>
        <v/>
      </c>
      <c r="C834" s="59" t="str">
        <f t="shared" si="341"/>
        <v/>
      </c>
      <c r="D834" s="59" t="str">
        <f t="shared" si="341"/>
        <v/>
      </c>
      <c r="E834" s="59" t="str">
        <f t="shared" si="341"/>
        <v/>
      </c>
      <c r="F834" s="59"/>
      <c r="G834" s="59"/>
      <c r="H834" s="59"/>
      <c r="I834" s="59"/>
      <c r="J834" s="59"/>
      <c r="K834" s="60">
        <f t="shared" ref="K834:X834" si="352">IF(AND($C834="B+R",$E834="prace rozwojowe",LataProjekcji&lt;=Koniec_PR,Modul_badawczo_rozwojowy=tak),ROUND(K466,0),0)</f>
        <v>0</v>
      </c>
      <c r="L834" s="60">
        <f t="shared" si="352"/>
        <v>0</v>
      </c>
      <c r="M834" s="60">
        <f t="shared" si="352"/>
        <v>0</v>
      </c>
      <c r="N834" s="60">
        <f t="shared" si="352"/>
        <v>0</v>
      </c>
      <c r="O834" s="60">
        <f t="shared" si="352"/>
        <v>0</v>
      </c>
      <c r="P834" s="60">
        <f t="shared" si="352"/>
        <v>0</v>
      </c>
      <c r="Q834" s="60">
        <f t="shared" si="352"/>
        <v>0</v>
      </c>
      <c r="R834" s="60">
        <f t="shared" si="352"/>
        <v>0</v>
      </c>
      <c r="S834" s="60">
        <f t="shared" si="352"/>
        <v>0</v>
      </c>
      <c r="T834" s="60">
        <f t="shared" si="352"/>
        <v>0</v>
      </c>
      <c r="U834" s="60">
        <f t="shared" si="352"/>
        <v>0</v>
      </c>
      <c r="V834" s="60">
        <f t="shared" si="352"/>
        <v>0</v>
      </c>
      <c r="W834" s="60">
        <f t="shared" si="352"/>
        <v>0</v>
      </c>
      <c r="X834" s="60">
        <f t="shared" si="352"/>
        <v>0</v>
      </c>
    </row>
    <row r="835" spans="2:24" hidden="1">
      <c r="B835" s="59" t="str">
        <f t="shared" si="341"/>
        <v/>
      </c>
      <c r="C835" s="59" t="str">
        <f t="shared" si="341"/>
        <v/>
      </c>
      <c r="D835" s="59" t="str">
        <f t="shared" si="341"/>
        <v/>
      </c>
      <c r="E835" s="59" t="str">
        <f t="shared" si="341"/>
        <v/>
      </c>
      <c r="F835" s="59"/>
      <c r="G835" s="59"/>
      <c r="H835" s="59"/>
      <c r="I835" s="59"/>
      <c r="J835" s="59"/>
      <c r="K835" s="60">
        <f t="shared" ref="K835:X835" si="353">IF(AND($C835="B+R",$E835="prace rozwojowe",LataProjekcji&lt;=Koniec_PR,Modul_badawczo_rozwojowy=tak),ROUND(K467,0),0)</f>
        <v>0</v>
      </c>
      <c r="L835" s="60">
        <f t="shared" si="353"/>
        <v>0</v>
      </c>
      <c r="M835" s="60">
        <f t="shared" si="353"/>
        <v>0</v>
      </c>
      <c r="N835" s="60">
        <f t="shared" si="353"/>
        <v>0</v>
      </c>
      <c r="O835" s="60">
        <f t="shared" si="353"/>
        <v>0</v>
      </c>
      <c r="P835" s="60">
        <f t="shared" si="353"/>
        <v>0</v>
      </c>
      <c r="Q835" s="60">
        <f t="shared" si="353"/>
        <v>0</v>
      </c>
      <c r="R835" s="60">
        <f t="shared" si="353"/>
        <v>0</v>
      </c>
      <c r="S835" s="60">
        <f t="shared" si="353"/>
        <v>0</v>
      </c>
      <c r="T835" s="60">
        <f t="shared" si="353"/>
        <v>0</v>
      </c>
      <c r="U835" s="60">
        <f t="shared" si="353"/>
        <v>0</v>
      </c>
      <c r="V835" s="60">
        <f t="shared" si="353"/>
        <v>0</v>
      </c>
      <c r="W835" s="60">
        <f t="shared" si="353"/>
        <v>0</v>
      </c>
      <c r="X835" s="60">
        <f t="shared" si="353"/>
        <v>0</v>
      </c>
    </row>
    <row r="836" spans="2:24" hidden="1">
      <c r="B836" s="59" t="str">
        <f t="shared" si="341"/>
        <v/>
      </c>
      <c r="C836" s="59" t="str">
        <f t="shared" si="341"/>
        <v/>
      </c>
      <c r="D836" s="59" t="str">
        <f t="shared" si="341"/>
        <v/>
      </c>
      <c r="E836" s="59" t="str">
        <f t="shared" si="341"/>
        <v/>
      </c>
      <c r="F836" s="59"/>
      <c r="G836" s="59"/>
      <c r="H836" s="59"/>
      <c r="I836" s="59"/>
      <c r="J836" s="59"/>
      <c r="K836" s="60">
        <f t="shared" ref="K836:X836" si="354">IF(AND($C836="B+R",$E836="prace rozwojowe",LataProjekcji&lt;=Koniec_PR,Modul_badawczo_rozwojowy=tak),ROUND(K468,0),0)</f>
        <v>0</v>
      </c>
      <c r="L836" s="60">
        <f t="shared" si="354"/>
        <v>0</v>
      </c>
      <c r="M836" s="60">
        <f t="shared" si="354"/>
        <v>0</v>
      </c>
      <c r="N836" s="60">
        <f t="shared" si="354"/>
        <v>0</v>
      </c>
      <c r="O836" s="60">
        <f t="shared" si="354"/>
        <v>0</v>
      </c>
      <c r="P836" s="60">
        <f t="shared" si="354"/>
        <v>0</v>
      </c>
      <c r="Q836" s="60">
        <f t="shared" si="354"/>
        <v>0</v>
      </c>
      <c r="R836" s="60">
        <f t="shared" si="354"/>
        <v>0</v>
      </c>
      <c r="S836" s="60">
        <f t="shared" si="354"/>
        <v>0</v>
      </c>
      <c r="T836" s="60">
        <f t="shared" si="354"/>
        <v>0</v>
      </c>
      <c r="U836" s="60">
        <f t="shared" si="354"/>
        <v>0</v>
      </c>
      <c r="V836" s="60">
        <f t="shared" si="354"/>
        <v>0</v>
      </c>
      <c r="W836" s="60">
        <f t="shared" si="354"/>
        <v>0</v>
      </c>
      <c r="X836" s="60">
        <f t="shared" si="354"/>
        <v>0</v>
      </c>
    </row>
    <row r="837" spans="2:24" hidden="1">
      <c r="B837" s="59" t="str">
        <f t="shared" si="341"/>
        <v/>
      </c>
      <c r="C837" s="59" t="str">
        <f t="shared" si="341"/>
        <v/>
      </c>
      <c r="D837" s="59" t="str">
        <f t="shared" si="341"/>
        <v/>
      </c>
      <c r="E837" s="59" t="str">
        <f t="shared" si="341"/>
        <v/>
      </c>
      <c r="F837" s="59"/>
      <c r="G837" s="59"/>
      <c r="H837" s="59"/>
      <c r="I837" s="59"/>
      <c r="J837" s="59"/>
      <c r="K837" s="60">
        <f t="shared" ref="K837:X837" si="355">IF(AND($C837="B+R",$E837="prace rozwojowe",LataProjekcji&lt;=Koniec_PR,Modul_badawczo_rozwojowy=tak),ROUND(K469,0),0)</f>
        <v>0</v>
      </c>
      <c r="L837" s="60">
        <f t="shared" si="355"/>
        <v>0</v>
      </c>
      <c r="M837" s="60">
        <f t="shared" si="355"/>
        <v>0</v>
      </c>
      <c r="N837" s="60">
        <f t="shared" si="355"/>
        <v>0</v>
      </c>
      <c r="O837" s="60">
        <f t="shared" si="355"/>
        <v>0</v>
      </c>
      <c r="P837" s="60">
        <f t="shared" si="355"/>
        <v>0</v>
      </c>
      <c r="Q837" s="60">
        <f t="shared" si="355"/>
        <v>0</v>
      </c>
      <c r="R837" s="60">
        <f t="shared" si="355"/>
        <v>0</v>
      </c>
      <c r="S837" s="60">
        <f t="shared" si="355"/>
        <v>0</v>
      </c>
      <c r="T837" s="60">
        <f t="shared" si="355"/>
        <v>0</v>
      </c>
      <c r="U837" s="60">
        <f t="shared" si="355"/>
        <v>0</v>
      </c>
      <c r="V837" s="60">
        <f t="shared" si="355"/>
        <v>0</v>
      </c>
      <c r="W837" s="60">
        <f t="shared" si="355"/>
        <v>0</v>
      </c>
      <c r="X837" s="60">
        <f t="shared" si="355"/>
        <v>0</v>
      </c>
    </row>
    <row r="838" spans="2:24" hidden="1">
      <c r="B838" s="59" t="str">
        <f t="shared" si="341"/>
        <v/>
      </c>
      <c r="C838" s="59" t="str">
        <f t="shared" si="341"/>
        <v/>
      </c>
      <c r="D838" s="59" t="str">
        <f t="shared" si="341"/>
        <v/>
      </c>
      <c r="E838" s="59" t="str">
        <f t="shared" si="341"/>
        <v/>
      </c>
      <c r="F838" s="59"/>
      <c r="G838" s="59"/>
      <c r="H838" s="59"/>
      <c r="I838" s="59"/>
      <c r="J838" s="59"/>
      <c r="K838" s="60">
        <f t="shared" ref="K838:X838" si="356">IF(AND($C838="B+R",$E838="prace rozwojowe",LataProjekcji&lt;=Koniec_PR,Modul_badawczo_rozwojowy=tak),ROUND(K470,0),0)</f>
        <v>0</v>
      </c>
      <c r="L838" s="60">
        <f t="shared" si="356"/>
        <v>0</v>
      </c>
      <c r="M838" s="60">
        <f t="shared" si="356"/>
        <v>0</v>
      </c>
      <c r="N838" s="60">
        <f t="shared" si="356"/>
        <v>0</v>
      </c>
      <c r="O838" s="60">
        <f t="shared" si="356"/>
        <v>0</v>
      </c>
      <c r="P838" s="60">
        <f t="shared" si="356"/>
        <v>0</v>
      </c>
      <c r="Q838" s="60">
        <f t="shared" si="356"/>
        <v>0</v>
      </c>
      <c r="R838" s="60">
        <f t="shared" si="356"/>
        <v>0</v>
      </c>
      <c r="S838" s="60">
        <f t="shared" si="356"/>
        <v>0</v>
      </c>
      <c r="T838" s="60">
        <f t="shared" si="356"/>
        <v>0</v>
      </c>
      <c r="U838" s="60">
        <f t="shared" si="356"/>
        <v>0</v>
      </c>
      <c r="V838" s="60">
        <f t="shared" si="356"/>
        <v>0</v>
      </c>
      <c r="W838" s="60">
        <f t="shared" si="356"/>
        <v>0</v>
      </c>
      <c r="X838" s="60">
        <f t="shared" si="356"/>
        <v>0</v>
      </c>
    </row>
    <row r="839" spans="2:24" hidden="1">
      <c r="B839" s="59" t="str">
        <f t="shared" si="341"/>
        <v/>
      </c>
      <c r="C839" s="59" t="str">
        <f t="shared" si="341"/>
        <v/>
      </c>
      <c r="D839" s="59" t="str">
        <f t="shared" si="341"/>
        <v/>
      </c>
      <c r="E839" s="59" t="str">
        <f t="shared" si="341"/>
        <v/>
      </c>
      <c r="F839" s="59"/>
      <c r="G839" s="59"/>
      <c r="H839" s="59"/>
      <c r="I839" s="59"/>
      <c r="J839" s="59"/>
      <c r="K839" s="60">
        <f t="shared" ref="K839:X839" si="357">IF(AND($C839="B+R",$E839="prace rozwojowe",LataProjekcji&lt;=Koniec_PR,Modul_badawczo_rozwojowy=tak),ROUND(K471,0),0)</f>
        <v>0</v>
      </c>
      <c r="L839" s="60">
        <f t="shared" si="357"/>
        <v>0</v>
      </c>
      <c r="M839" s="60">
        <f t="shared" si="357"/>
        <v>0</v>
      </c>
      <c r="N839" s="60">
        <f t="shared" si="357"/>
        <v>0</v>
      </c>
      <c r="O839" s="60">
        <f t="shared" si="357"/>
        <v>0</v>
      </c>
      <c r="P839" s="60">
        <f t="shared" si="357"/>
        <v>0</v>
      </c>
      <c r="Q839" s="60">
        <f t="shared" si="357"/>
        <v>0</v>
      </c>
      <c r="R839" s="60">
        <f t="shared" si="357"/>
        <v>0</v>
      </c>
      <c r="S839" s="60">
        <f t="shared" si="357"/>
        <v>0</v>
      </c>
      <c r="T839" s="60">
        <f t="shared" si="357"/>
        <v>0</v>
      </c>
      <c r="U839" s="60">
        <f t="shared" si="357"/>
        <v>0</v>
      </c>
      <c r="V839" s="60">
        <f t="shared" si="357"/>
        <v>0</v>
      </c>
      <c r="W839" s="60">
        <f t="shared" si="357"/>
        <v>0</v>
      </c>
      <c r="X839" s="60">
        <f t="shared" si="357"/>
        <v>0</v>
      </c>
    </row>
    <row r="840" spans="2:24" hidden="1">
      <c r="B840" s="59" t="str">
        <f t="shared" si="341"/>
        <v/>
      </c>
      <c r="C840" s="59" t="str">
        <f t="shared" si="341"/>
        <v/>
      </c>
      <c r="D840" s="59" t="str">
        <f t="shared" si="341"/>
        <v/>
      </c>
      <c r="E840" s="59" t="str">
        <f t="shared" si="341"/>
        <v/>
      </c>
      <c r="F840" s="59"/>
      <c r="G840" s="59"/>
      <c r="H840" s="59"/>
      <c r="I840" s="59"/>
      <c r="J840" s="59"/>
      <c r="K840" s="60">
        <f t="shared" ref="K840:X840" si="358">IF(AND($C840="B+R",$E840="prace rozwojowe",LataProjekcji&lt;=Koniec_PR,Modul_badawczo_rozwojowy=tak),ROUND(K472,0),0)</f>
        <v>0</v>
      </c>
      <c r="L840" s="60">
        <f t="shared" si="358"/>
        <v>0</v>
      </c>
      <c r="M840" s="60">
        <f t="shared" si="358"/>
        <v>0</v>
      </c>
      <c r="N840" s="60">
        <f t="shared" si="358"/>
        <v>0</v>
      </c>
      <c r="O840" s="60">
        <f t="shared" si="358"/>
        <v>0</v>
      </c>
      <c r="P840" s="60">
        <f t="shared" si="358"/>
        <v>0</v>
      </c>
      <c r="Q840" s="60">
        <f t="shared" si="358"/>
        <v>0</v>
      </c>
      <c r="R840" s="60">
        <f t="shared" si="358"/>
        <v>0</v>
      </c>
      <c r="S840" s="60">
        <f t="shared" si="358"/>
        <v>0</v>
      </c>
      <c r="T840" s="60">
        <f t="shared" si="358"/>
        <v>0</v>
      </c>
      <c r="U840" s="60">
        <f t="shared" si="358"/>
        <v>0</v>
      </c>
      <c r="V840" s="60">
        <f t="shared" si="358"/>
        <v>0</v>
      </c>
      <c r="W840" s="60">
        <f t="shared" si="358"/>
        <v>0</v>
      </c>
      <c r="X840" s="60">
        <f t="shared" si="358"/>
        <v>0</v>
      </c>
    </row>
    <row r="841" spans="2:24" hidden="1">
      <c r="B841" s="59" t="str">
        <f t="shared" si="341"/>
        <v/>
      </c>
      <c r="C841" s="59" t="str">
        <f t="shared" si="341"/>
        <v/>
      </c>
      <c r="D841" s="59" t="str">
        <f t="shared" si="341"/>
        <v/>
      </c>
      <c r="E841" s="59" t="str">
        <f t="shared" si="341"/>
        <v/>
      </c>
      <c r="F841" s="59"/>
      <c r="G841" s="59"/>
      <c r="H841" s="59"/>
      <c r="I841" s="59"/>
      <c r="J841" s="59"/>
      <c r="K841" s="60">
        <f t="shared" ref="K841:X841" si="359">IF(AND($C841="B+R",$E841="prace rozwojowe",LataProjekcji&lt;=Koniec_PR,Modul_badawczo_rozwojowy=tak),ROUND(K473,0),0)</f>
        <v>0</v>
      </c>
      <c r="L841" s="60">
        <f t="shared" si="359"/>
        <v>0</v>
      </c>
      <c r="M841" s="60">
        <f t="shared" si="359"/>
        <v>0</v>
      </c>
      <c r="N841" s="60">
        <f t="shared" si="359"/>
        <v>0</v>
      </c>
      <c r="O841" s="60">
        <f t="shared" si="359"/>
        <v>0</v>
      </c>
      <c r="P841" s="60">
        <f t="shared" si="359"/>
        <v>0</v>
      </c>
      <c r="Q841" s="60">
        <f t="shared" si="359"/>
        <v>0</v>
      </c>
      <c r="R841" s="60">
        <f t="shared" si="359"/>
        <v>0</v>
      </c>
      <c r="S841" s="60">
        <f t="shared" si="359"/>
        <v>0</v>
      </c>
      <c r="T841" s="60">
        <f t="shared" si="359"/>
        <v>0</v>
      </c>
      <c r="U841" s="60">
        <f t="shared" si="359"/>
        <v>0</v>
      </c>
      <c r="V841" s="60">
        <f t="shared" si="359"/>
        <v>0</v>
      </c>
      <c r="W841" s="60">
        <f t="shared" si="359"/>
        <v>0</v>
      </c>
      <c r="X841" s="60">
        <f t="shared" si="359"/>
        <v>0</v>
      </c>
    </row>
    <row r="842" spans="2:24" hidden="1">
      <c r="B842" s="59" t="str">
        <f t="shared" si="341"/>
        <v/>
      </c>
      <c r="C842" s="59" t="str">
        <f t="shared" si="341"/>
        <v/>
      </c>
      <c r="D842" s="59" t="str">
        <f t="shared" si="341"/>
        <v/>
      </c>
      <c r="E842" s="59" t="str">
        <f t="shared" si="341"/>
        <v/>
      </c>
      <c r="F842" s="59"/>
      <c r="G842" s="59"/>
      <c r="H842" s="59"/>
      <c r="I842" s="59"/>
      <c r="J842" s="59"/>
      <c r="K842" s="60">
        <f t="shared" ref="K842:X842" si="360">IF(AND($C842="B+R",$E842="prace rozwojowe",LataProjekcji&lt;=Koniec_PR,Modul_badawczo_rozwojowy=tak),ROUND(K474,0),0)</f>
        <v>0</v>
      </c>
      <c r="L842" s="60">
        <f t="shared" si="360"/>
        <v>0</v>
      </c>
      <c r="M842" s="60">
        <f t="shared" si="360"/>
        <v>0</v>
      </c>
      <c r="N842" s="60">
        <f t="shared" si="360"/>
        <v>0</v>
      </c>
      <c r="O842" s="60">
        <f t="shared" si="360"/>
        <v>0</v>
      </c>
      <c r="P842" s="60">
        <f t="shared" si="360"/>
        <v>0</v>
      </c>
      <c r="Q842" s="60">
        <f t="shared" si="360"/>
        <v>0</v>
      </c>
      <c r="R842" s="60">
        <f t="shared" si="360"/>
        <v>0</v>
      </c>
      <c r="S842" s="60">
        <f t="shared" si="360"/>
        <v>0</v>
      </c>
      <c r="T842" s="60">
        <f t="shared" si="360"/>
        <v>0</v>
      </c>
      <c r="U842" s="60">
        <f t="shared" si="360"/>
        <v>0</v>
      </c>
      <c r="V842" s="60">
        <f t="shared" si="360"/>
        <v>0</v>
      </c>
      <c r="W842" s="60">
        <f t="shared" si="360"/>
        <v>0</v>
      </c>
      <c r="X842" s="60">
        <f t="shared" si="360"/>
        <v>0</v>
      </c>
    </row>
    <row r="843" spans="2:24" hidden="1">
      <c r="B843" s="59" t="str">
        <f t="shared" si="341"/>
        <v/>
      </c>
      <c r="C843" s="59" t="str">
        <f t="shared" si="341"/>
        <v/>
      </c>
      <c r="D843" s="59" t="str">
        <f t="shared" si="341"/>
        <v/>
      </c>
      <c r="E843" s="59" t="str">
        <f t="shared" si="341"/>
        <v/>
      </c>
      <c r="F843" s="59"/>
      <c r="G843" s="59"/>
      <c r="H843" s="59"/>
      <c r="I843" s="59"/>
      <c r="J843" s="59"/>
      <c r="K843" s="60">
        <f t="shared" ref="K843:X843" si="361">IF(AND($C843="B+R",$E843="prace rozwojowe",LataProjekcji&lt;=Koniec_PR,Modul_badawczo_rozwojowy=tak),ROUND(K475,0),0)</f>
        <v>0</v>
      </c>
      <c r="L843" s="60">
        <f t="shared" si="361"/>
        <v>0</v>
      </c>
      <c r="M843" s="60">
        <f t="shared" si="361"/>
        <v>0</v>
      </c>
      <c r="N843" s="60">
        <f t="shared" si="361"/>
        <v>0</v>
      </c>
      <c r="O843" s="60">
        <f t="shared" si="361"/>
        <v>0</v>
      </c>
      <c r="P843" s="60">
        <f t="shared" si="361"/>
        <v>0</v>
      </c>
      <c r="Q843" s="60">
        <f t="shared" si="361"/>
        <v>0</v>
      </c>
      <c r="R843" s="60">
        <f t="shared" si="361"/>
        <v>0</v>
      </c>
      <c r="S843" s="60">
        <f t="shared" si="361"/>
        <v>0</v>
      </c>
      <c r="T843" s="60">
        <f t="shared" si="361"/>
        <v>0</v>
      </c>
      <c r="U843" s="60">
        <f t="shared" si="361"/>
        <v>0</v>
      </c>
      <c r="V843" s="60">
        <f t="shared" si="361"/>
        <v>0</v>
      </c>
      <c r="W843" s="60">
        <f t="shared" si="361"/>
        <v>0</v>
      </c>
      <c r="X843" s="60">
        <f t="shared" si="361"/>
        <v>0</v>
      </c>
    </row>
    <row r="844" spans="2:24" hidden="1">
      <c r="B844" s="20" t="s">
        <v>322</v>
      </c>
      <c r="C844" s="20"/>
      <c r="D844" s="80"/>
      <c r="E844" s="21"/>
      <c r="F844" s="21"/>
      <c r="G844" s="21"/>
      <c r="H844" s="21"/>
      <c r="I844" s="21"/>
      <c r="J844" s="21"/>
      <c r="K844" s="61">
        <f>ROUND(SUM(K804:K843),0)</f>
        <v>0</v>
      </c>
      <c r="L844" s="61">
        <f t="shared" ref="L844:X844" si="362">ROUND(SUM(L804:L843),0)</f>
        <v>0</v>
      </c>
      <c r="M844" s="61">
        <f t="shared" si="362"/>
        <v>0</v>
      </c>
      <c r="N844" s="61">
        <f t="shared" si="362"/>
        <v>0</v>
      </c>
      <c r="O844" s="61">
        <f t="shared" si="362"/>
        <v>0</v>
      </c>
      <c r="P844" s="61">
        <f t="shared" si="362"/>
        <v>0</v>
      </c>
      <c r="Q844" s="61">
        <f t="shared" si="362"/>
        <v>0</v>
      </c>
      <c r="R844" s="61">
        <f t="shared" si="362"/>
        <v>0</v>
      </c>
      <c r="S844" s="61">
        <f t="shared" si="362"/>
        <v>0</v>
      </c>
      <c r="T844" s="61">
        <f t="shared" si="362"/>
        <v>0</v>
      </c>
      <c r="U844" s="61">
        <f t="shared" si="362"/>
        <v>0</v>
      </c>
      <c r="V844" s="61">
        <f t="shared" si="362"/>
        <v>0</v>
      </c>
      <c r="W844" s="61">
        <f t="shared" si="362"/>
        <v>0</v>
      </c>
      <c r="X844" s="61">
        <f t="shared" si="362"/>
        <v>0</v>
      </c>
    </row>
    <row r="845" spans="2:24" hidden="1">
      <c r="B845" s="21"/>
      <c r="C845" s="21"/>
      <c r="D845" s="80"/>
      <c r="E845" s="21"/>
      <c r="F845" s="21"/>
      <c r="G845" s="21"/>
      <c r="H845" s="21"/>
      <c r="I845" s="21"/>
      <c r="J845" s="21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2:24" hidden="1">
      <c r="B846" s="21"/>
      <c r="C846" s="21"/>
      <c r="D846" s="80"/>
      <c r="E846" s="21"/>
      <c r="F846" s="21"/>
      <c r="G846" s="21"/>
      <c r="H846" s="21"/>
      <c r="I846" s="21"/>
      <c r="J846" s="21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2:24" hidden="1">
      <c r="B847" s="20" t="s">
        <v>323</v>
      </c>
      <c r="C847" s="20"/>
      <c r="D847" s="82" t="s">
        <v>336</v>
      </c>
      <c r="E847" s="20" t="s">
        <v>337</v>
      </c>
      <c r="F847" s="21"/>
      <c r="G847" s="21"/>
      <c r="H847" s="21"/>
      <c r="I847" s="21"/>
      <c r="J847" s="21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2:24" hidden="1">
      <c r="B848" s="59" t="str">
        <f t="shared" ref="B848:E877" si="363">IF(ISBLANK(B521),"",B521)</f>
        <v/>
      </c>
      <c r="C848" s="59" t="str">
        <f t="shared" si="363"/>
        <v/>
      </c>
      <c r="D848" s="59" t="str">
        <f t="shared" si="363"/>
        <v/>
      </c>
      <c r="E848" s="59" t="str">
        <f t="shared" si="363"/>
        <v/>
      </c>
      <c r="F848" s="59"/>
      <c r="G848" s="59"/>
      <c r="H848" s="59"/>
      <c r="I848" s="59"/>
      <c r="J848" s="60" t="s">
        <v>735</v>
      </c>
      <c r="K848" s="60">
        <f t="shared" ref="K848:X848" si="364">IF(AND($C848="B+R",$E848="prace rozwojowe",LataProjekcji&lt;=Koniec_PR,Modul_badawczo_rozwojowy=tak),ROUND(K521,0),0)</f>
        <v>0</v>
      </c>
      <c r="L848" s="60">
        <f t="shared" si="364"/>
        <v>0</v>
      </c>
      <c r="M848" s="60">
        <f t="shared" si="364"/>
        <v>0</v>
      </c>
      <c r="N848" s="60">
        <f t="shared" si="364"/>
        <v>0</v>
      </c>
      <c r="O848" s="60">
        <f t="shared" si="364"/>
        <v>0</v>
      </c>
      <c r="P848" s="60">
        <f t="shared" si="364"/>
        <v>0</v>
      </c>
      <c r="Q848" s="60">
        <f t="shared" si="364"/>
        <v>0</v>
      </c>
      <c r="R848" s="60">
        <f t="shared" si="364"/>
        <v>0</v>
      </c>
      <c r="S848" s="60">
        <f t="shared" si="364"/>
        <v>0</v>
      </c>
      <c r="T848" s="60">
        <f t="shared" si="364"/>
        <v>0</v>
      </c>
      <c r="U848" s="60">
        <f t="shared" si="364"/>
        <v>0</v>
      </c>
      <c r="V848" s="60">
        <f t="shared" si="364"/>
        <v>0</v>
      </c>
      <c r="W848" s="60">
        <f t="shared" si="364"/>
        <v>0</v>
      </c>
      <c r="X848" s="60">
        <f t="shared" si="364"/>
        <v>0</v>
      </c>
    </row>
    <row r="849" spans="2:24" hidden="1">
      <c r="B849" s="59" t="str">
        <f t="shared" si="363"/>
        <v/>
      </c>
      <c r="C849" s="59" t="str">
        <f t="shared" si="363"/>
        <v/>
      </c>
      <c r="D849" s="59" t="str">
        <f t="shared" si="363"/>
        <v/>
      </c>
      <c r="E849" s="59" t="str">
        <f t="shared" si="363"/>
        <v/>
      </c>
      <c r="F849" s="59"/>
      <c r="G849" s="59"/>
      <c r="H849" s="59"/>
      <c r="I849" s="59"/>
      <c r="J849" s="59"/>
      <c r="K849" s="60">
        <f t="shared" ref="K849:X849" si="365">IF(AND($C849="B+R",$E849="prace rozwojowe",LataProjekcji&lt;=Koniec_PR,Modul_badawczo_rozwojowy=tak),ROUND(K522,0),0)</f>
        <v>0</v>
      </c>
      <c r="L849" s="60">
        <f t="shared" si="365"/>
        <v>0</v>
      </c>
      <c r="M849" s="60">
        <f t="shared" si="365"/>
        <v>0</v>
      </c>
      <c r="N849" s="60">
        <f t="shared" si="365"/>
        <v>0</v>
      </c>
      <c r="O849" s="60">
        <f t="shared" si="365"/>
        <v>0</v>
      </c>
      <c r="P849" s="60">
        <f t="shared" si="365"/>
        <v>0</v>
      </c>
      <c r="Q849" s="60">
        <f t="shared" si="365"/>
        <v>0</v>
      </c>
      <c r="R849" s="60">
        <f t="shared" si="365"/>
        <v>0</v>
      </c>
      <c r="S849" s="60">
        <f t="shared" si="365"/>
        <v>0</v>
      </c>
      <c r="T849" s="60">
        <f t="shared" si="365"/>
        <v>0</v>
      </c>
      <c r="U849" s="60">
        <f t="shared" si="365"/>
        <v>0</v>
      </c>
      <c r="V849" s="60">
        <f t="shared" si="365"/>
        <v>0</v>
      </c>
      <c r="W849" s="60">
        <f t="shared" si="365"/>
        <v>0</v>
      </c>
      <c r="X849" s="60">
        <f t="shared" si="365"/>
        <v>0</v>
      </c>
    </row>
    <row r="850" spans="2:24" hidden="1">
      <c r="B850" s="59" t="str">
        <f t="shared" si="363"/>
        <v/>
      </c>
      <c r="C850" s="59" t="str">
        <f t="shared" si="363"/>
        <v/>
      </c>
      <c r="D850" s="59" t="str">
        <f t="shared" si="363"/>
        <v/>
      </c>
      <c r="E850" s="59" t="str">
        <f t="shared" si="363"/>
        <v/>
      </c>
      <c r="F850" s="59"/>
      <c r="G850" s="59"/>
      <c r="H850" s="59"/>
      <c r="I850" s="59"/>
      <c r="J850" s="59"/>
      <c r="K850" s="60">
        <f t="shared" ref="K850:X850" si="366">IF(AND($C850="B+R",$E850="prace rozwojowe",LataProjekcji&lt;=Koniec_PR,Modul_badawczo_rozwojowy=tak),ROUND(K523,0),0)</f>
        <v>0</v>
      </c>
      <c r="L850" s="60">
        <f t="shared" si="366"/>
        <v>0</v>
      </c>
      <c r="M850" s="60">
        <f t="shared" si="366"/>
        <v>0</v>
      </c>
      <c r="N850" s="60">
        <f t="shared" si="366"/>
        <v>0</v>
      </c>
      <c r="O850" s="60">
        <f t="shared" si="366"/>
        <v>0</v>
      </c>
      <c r="P850" s="60">
        <f t="shared" si="366"/>
        <v>0</v>
      </c>
      <c r="Q850" s="60">
        <f t="shared" si="366"/>
        <v>0</v>
      </c>
      <c r="R850" s="60">
        <f t="shared" si="366"/>
        <v>0</v>
      </c>
      <c r="S850" s="60">
        <f t="shared" si="366"/>
        <v>0</v>
      </c>
      <c r="T850" s="60">
        <f t="shared" si="366"/>
        <v>0</v>
      </c>
      <c r="U850" s="60">
        <f t="shared" si="366"/>
        <v>0</v>
      </c>
      <c r="V850" s="60">
        <f t="shared" si="366"/>
        <v>0</v>
      </c>
      <c r="W850" s="60">
        <f t="shared" si="366"/>
        <v>0</v>
      </c>
      <c r="X850" s="60">
        <f t="shared" si="366"/>
        <v>0</v>
      </c>
    </row>
    <row r="851" spans="2:24" hidden="1">
      <c r="B851" s="59" t="str">
        <f t="shared" si="363"/>
        <v/>
      </c>
      <c r="C851" s="59" t="str">
        <f t="shared" si="363"/>
        <v/>
      </c>
      <c r="D851" s="59" t="str">
        <f t="shared" si="363"/>
        <v/>
      </c>
      <c r="E851" s="59" t="str">
        <f t="shared" si="363"/>
        <v/>
      </c>
      <c r="F851" s="59"/>
      <c r="G851" s="59"/>
      <c r="H851" s="59"/>
      <c r="I851" s="59"/>
      <c r="J851" s="59"/>
      <c r="K851" s="60">
        <f t="shared" ref="K851:X851" si="367">IF(AND($C851="B+R",$E851="prace rozwojowe",LataProjekcji&lt;=Koniec_PR,Modul_badawczo_rozwojowy=tak),ROUND(K524,0),0)</f>
        <v>0</v>
      </c>
      <c r="L851" s="60">
        <f t="shared" si="367"/>
        <v>0</v>
      </c>
      <c r="M851" s="60">
        <f t="shared" si="367"/>
        <v>0</v>
      </c>
      <c r="N851" s="60">
        <f t="shared" si="367"/>
        <v>0</v>
      </c>
      <c r="O851" s="60">
        <f t="shared" si="367"/>
        <v>0</v>
      </c>
      <c r="P851" s="60">
        <f t="shared" si="367"/>
        <v>0</v>
      </c>
      <c r="Q851" s="60">
        <f t="shared" si="367"/>
        <v>0</v>
      </c>
      <c r="R851" s="60">
        <f t="shared" si="367"/>
        <v>0</v>
      </c>
      <c r="S851" s="60">
        <f t="shared" si="367"/>
        <v>0</v>
      </c>
      <c r="T851" s="60">
        <f t="shared" si="367"/>
        <v>0</v>
      </c>
      <c r="U851" s="60">
        <f t="shared" si="367"/>
        <v>0</v>
      </c>
      <c r="V851" s="60">
        <f t="shared" si="367"/>
        <v>0</v>
      </c>
      <c r="W851" s="60">
        <f t="shared" si="367"/>
        <v>0</v>
      </c>
      <c r="X851" s="60">
        <f t="shared" si="367"/>
        <v>0</v>
      </c>
    </row>
    <row r="852" spans="2:24" hidden="1">
      <c r="B852" s="59" t="str">
        <f t="shared" si="363"/>
        <v/>
      </c>
      <c r="C852" s="59" t="str">
        <f t="shared" si="363"/>
        <v/>
      </c>
      <c r="D852" s="59" t="str">
        <f t="shared" si="363"/>
        <v/>
      </c>
      <c r="E852" s="59" t="str">
        <f t="shared" si="363"/>
        <v/>
      </c>
      <c r="F852" s="59"/>
      <c r="G852" s="59"/>
      <c r="H852" s="59"/>
      <c r="I852" s="59"/>
      <c r="J852" s="59"/>
      <c r="K852" s="60">
        <f t="shared" ref="K852:X852" si="368">IF(AND($C852="B+R",$E852="prace rozwojowe",LataProjekcji&lt;=Koniec_PR,Modul_badawczo_rozwojowy=tak),ROUND(K525,0),0)</f>
        <v>0</v>
      </c>
      <c r="L852" s="60">
        <f t="shared" si="368"/>
        <v>0</v>
      </c>
      <c r="M852" s="60">
        <f t="shared" si="368"/>
        <v>0</v>
      </c>
      <c r="N852" s="60">
        <f t="shared" si="368"/>
        <v>0</v>
      </c>
      <c r="O852" s="60">
        <f t="shared" si="368"/>
        <v>0</v>
      </c>
      <c r="P852" s="60">
        <f t="shared" si="368"/>
        <v>0</v>
      </c>
      <c r="Q852" s="60">
        <f t="shared" si="368"/>
        <v>0</v>
      </c>
      <c r="R852" s="60">
        <f t="shared" si="368"/>
        <v>0</v>
      </c>
      <c r="S852" s="60">
        <f t="shared" si="368"/>
        <v>0</v>
      </c>
      <c r="T852" s="60">
        <f t="shared" si="368"/>
        <v>0</v>
      </c>
      <c r="U852" s="60">
        <f t="shared" si="368"/>
        <v>0</v>
      </c>
      <c r="V852" s="60">
        <f t="shared" si="368"/>
        <v>0</v>
      </c>
      <c r="W852" s="60">
        <f t="shared" si="368"/>
        <v>0</v>
      </c>
      <c r="X852" s="60">
        <f t="shared" si="368"/>
        <v>0</v>
      </c>
    </row>
    <row r="853" spans="2:24" hidden="1">
      <c r="B853" s="59" t="str">
        <f t="shared" si="363"/>
        <v/>
      </c>
      <c r="C853" s="59" t="str">
        <f t="shared" si="363"/>
        <v/>
      </c>
      <c r="D853" s="59" t="str">
        <f t="shared" si="363"/>
        <v/>
      </c>
      <c r="E853" s="59" t="str">
        <f t="shared" si="363"/>
        <v/>
      </c>
      <c r="F853" s="59"/>
      <c r="G853" s="59"/>
      <c r="H853" s="59"/>
      <c r="I853" s="59"/>
      <c r="J853" s="59"/>
      <c r="K853" s="60">
        <f t="shared" ref="K853:X853" si="369">IF(AND($C853="B+R",$E853="prace rozwojowe",LataProjekcji&lt;=Koniec_PR,Modul_badawczo_rozwojowy=tak),ROUND(K526,0),0)</f>
        <v>0</v>
      </c>
      <c r="L853" s="60">
        <f t="shared" si="369"/>
        <v>0</v>
      </c>
      <c r="M853" s="60">
        <f t="shared" si="369"/>
        <v>0</v>
      </c>
      <c r="N853" s="60">
        <f t="shared" si="369"/>
        <v>0</v>
      </c>
      <c r="O853" s="60">
        <f t="shared" si="369"/>
        <v>0</v>
      </c>
      <c r="P853" s="60">
        <f t="shared" si="369"/>
        <v>0</v>
      </c>
      <c r="Q853" s="60">
        <f t="shared" si="369"/>
        <v>0</v>
      </c>
      <c r="R853" s="60">
        <f t="shared" si="369"/>
        <v>0</v>
      </c>
      <c r="S853" s="60">
        <f t="shared" si="369"/>
        <v>0</v>
      </c>
      <c r="T853" s="60">
        <f t="shared" si="369"/>
        <v>0</v>
      </c>
      <c r="U853" s="60">
        <f t="shared" si="369"/>
        <v>0</v>
      </c>
      <c r="V853" s="60">
        <f t="shared" si="369"/>
        <v>0</v>
      </c>
      <c r="W853" s="60">
        <f t="shared" si="369"/>
        <v>0</v>
      </c>
      <c r="X853" s="60">
        <f t="shared" si="369"/>
        <v>0</v>
      </c>
    </row>
    <row r="854" spans="2:24" hidden="1">
      <c r="B854" s="59" t="str">
        <f t="shared" si="363"/>
        <v/>
      </c>
      <c r="C854" s="59" t="str">
        <f t="shared" si="363"/>
        <v/>
      </c>
      <c r="D854" s="59" t="str">
        <f t="shared" si="363"/>
        <v/>
      </c>
      <c r="E854" s="59" t="str">
        <f t="shared" si="363"/>
        <v/>
      </c>
      <c r="F854" s="59"/>
      <c r="G854" s="59"/>
      <c r="H854" s="59"/>
      <c r="I854" s="59"/>
      <c r="J854" s="59"/>
      <c r="K854" s="60">
        <f t="shared" ref="K854:X854" si="370">IF(AND($C854="B+R",$E854="prace rozwojowe",LataProjekcji&lt;=Koniec_PR,Modul_badawczo_rozwojowy=tak),ROUND(K527,0),0)</f>
        <v>0</v>
      </c>
      <c r="L854" s="60">
        <f t="shared" si="370"/>
        <v>0</v>
      </c>
      <c r="M854" s="60">
        <f t="shared" si="370"/>
        <v>0</v>
      </c>
      <c r="N854" s="60">
        <f t="shared" si="370"/>
        <v>0</v>
      </c>
      <c r="O854" s="60">
        <f t="shared" si="370"/>
        <v>0</v>
      </c>
      <c r="P854" s="60">
        <f t="shared" si="370"/>
        <v>0</v>
      </c>
      <c r="Q854" s="60">
        <f t="shared" si="370"/>
        <v>0</v>
      </c>
      <c r="R854" s="60">
        <f t="shared" si="370"/>
        <v>0</v>
      </c>
      <c r="S854" s="60">
        <f t="shared" si="370"/>
        <v>0</v>
      </c>
      <c r="T854" s="60">
        <f t="shared" si="370"/>
        <v>0</v>
      </c>
      <c r="U854" s="60">
        <f t="shared" si="370"/>
        <v>0</v>
      </c>
      <c r="V854" s="60">
        <f t="shared" si="370"/>
        <v>0</v>
      </c>
      <c r="W854" s="60">
        <f t="shared" si="370"/>
        <v>0</v>
      </c>
      <c r="X854" s="60">
        <f t="shared" si="370"/>
        <v>0</v>
      </c>
    </row>
    <row r="855" spans="2:24" hidden="1">
      <c r="B855" s="59" t="str">
        <f t="shared" si="363"/>
        <v/>
      </c>
      <c r="C855" s="59" t="str">
        <f t="shared" si="363"/>
        <v/>
      </c>
      <c r="D855" s="59" t="str">
        <f t="shared" si="363"/>
        <v/>
      </c>
      <c r="E855" s="59" t="str">
        <f t="shared" si="363"/>
        <v/>
      </c>
      <c r="F855" s="59"/>
      <c r="G855" s="59"/>
      <c r="H855" s="59"/>
      <c r="I855" s="59"/>
      <c r="J855" s="59"/>
      <c r="K855" s="60">
        <f t="shared" ref="K855:X855" si="371">IF(AND($C855="B+R",$E855="prace rozwojowe",LataProjekcji&lt;=Koniec_PR,Modul_badawczo_rozwojowy=tak),ROUND(K528,0),0)</f>
        <v>0</v>
      </c>
      <c r="L855" s="60">
        <f t="shared" si="371"/>
        <v>0</v>
      </c>
      <c r="M855" s="60">
        <f t="shared" si="371"/>
        <v>0</v>
      </c>
      <c r="N855" s="60">
        <f t="shared" si="371"/>
        <v>0</v>
      </c>
      <c r="O855" s="60">
        <f t="shared" si="371"/>
        <v>0</v>
      </c>
      <c r="P855" s="60">
        <f t="shared" si="371"/>
        <v>0</v>
      </c>
      <c r="Q855" s="60">
        <f t="shared" si="371"/>
        <v>0</v>
      </c>
      <c r="R855" s="60">
        <f t="shared" si="371"/>
        <v>0</v>
      </c>
      <c r="S855" s="60">
        <f t="shared" si="371"/>
        <v>0</v>
      </c>
      <c r="T855" s="60">
        <f t="shared" si="371"/>
        <v>0</v>
      </c>
      <c r="U855" s="60">
        <f t="shared" si="371"/>
        <v>0</v>
      </c>
      <c r="V855" s="60">
        <f t="shared" si="371"/>
        <v>0</v>
      </c>
      <c r="W855" s="60">
        <f t="shared" si="371"/>
        <v>0</v>
      </c>
      <c r="X855" s="60">
        <f t="shared" si="371"/>
        <v>0</v>
      </c>
    </row>
    <row r="856" spans="2:24" hidden="1">
      <c r="B856" s="59" t="str">
        <f t="shared" si="363"/>
        <v/>
      </c>
      <c r="C856" s="59" t="str">
        <f t="shared" si="363"/>
        <v/>
      </c>
      <c r="D856" s="59" t="str">
        <f t="shared" si="363"/>
        <v/>
      </c>
      <c r="E856" s="59" t="str">
        <f t="shared" si="363"/>
        <v/>
      </c>
      <c r="F856" s="59"/>
      <c r="G856" s="59"/>
      <c r="H856" s="59"/>
      <c r="I856" s="59"/>
      <c r="J856" s="59"/>
      <c r="K856" s="60">
        <f t="shared" ref="K856:X856" si="372">IF(AND($C856="B+R",$E856="prace rozwojowe",LataProjekcji&lt;=Koniec_PR,Modul_badawczo_rozwojowy=tak),ROUND(K529,0),0)</f>
        <v>0</v>
      </c>
      <c r="L856" s="60">
        <f t="shared" si="372"/>
        <v>0</v>
      </c>
      <c r="M856" s="60">
        <f t="shared" si="372"/>
        <v>0</v>
      </c>
      <c r="N856" s="60">
        <f t="shared" si="372"/>
        <v>0</v>
      </c>
      <c r="O856" s="60">
        <f t="shared" si="372"/>
        <v>0</v>
      </c>
      <c r="P856" s="60">
        <f t="shared" si="372"/>
        <v>0</v>
      </c>
      <c r="Q856" s="60">
        <f t="shared" si="372"/>
        <v>0</v>
      </c>
      <c r="R856" s="60">
        <f t="shared" si="372"/>
        <v>0</v>
      </c>
      <c r="S856" s="60">
        <f t="shared" si="372"/>
        <v>0</v>
      </c>
      <c r="T856" s="60">
        <f t="shared" si="372"/>
        <v>0</v>
      </c>
      <c r="U856" s="60">
        <f t="shared" si="372"/>
        <v>0</v>
      </c>
      <c r="V856" s="60">
        <f t="shared" si="372"/>
        <v>0</v>
      </c>
      <c r="W856" s="60">
        <f t="shared" si="372"/>
        <v>0</v>
      </c>
      <c r="X856" s="60">
        <f t="shared" si="372"/>
        <v>0</v>
      </c>
    </row>
    <row r="857" spans="2:24" hidden="1">
      <c r="B857" s="59" t="str">
        <f t="shared" si="363"/>
        <v/>
      </c>
      <c r="C857" s="59" t="str">
        <f t="shared" si="363"/>
        <v/>
      </c>
      <c r="D857" s="59" t="str">
        <f t="shared" si="363"/>
        <v/>
      </c>
      <c r="E857" s="59" t="str">
        <f t="shared" si="363"/>
        <v/>
      </c>
      <c r="F857" s="59"/>
      <c r="G857" s="59"/>
      <c r="H857" s="59"/>
      <c r="I857" s="59"/>
      <c r="J857" s="59"/>
      <c r="K857" s="60">
        <f t="shared" ref="K857:X857" si="373">IF(AND($C857="B+R",$E857="prace rozwojowe",LataProjekcji&lt;=Koniec_PR,Modul_badawczo_rozwojowy=tak),ROUND(K530,0),0)</f>
        <v>0</v>
      </c>
      <c r="L857" s="60">
        <f t="shared" si="373"/>
        <v>0</v>
      </c>
      <c r="M857" s="60">
        <f t="shared" si="373"/>
        <v>0</v>
      </c>
      <c r="N857" s="60">
        <f t="shared" si="373"/>
        <v>0</v>
      </c>
      <c r="O857" s="60">
        <f t="shared" si="373"/>
        <v>0</v>
      </c>
      <c r="P857" s="60">
        <f t="shared" si="373"/>
        <v>0</v>
      </c>
      <c r="Q857" s="60">
        <f t="shared" si="373"/>
        <v>0</v>
      </c>
      <c r="R857" s="60">
        <f t="shared" si="373"/>
        <v>0</v>
      </c>
      <c r="S857" s="60">
        <f t="shared" si="373"/>
        <v>0</v>
      </c>
      <c r="T857" s="60">
        <f t="shared" si="373"/>
        <v>0</v>
      </c>
      <c r="U857" s="60">
        <f t="shared" si="373"/>
        <v>0</v>
      </c>
      <c r="V857" s="60">
        <f t="shared" si="373"/>
        <v>0</v>
      </c>
      <c r="W857" s="60">
        <f t="shared" si="373"/>
        <v>0</v>
      </c>
      <c r="X857" s="60">
        <f t="shared" si="373"/>
        <v>0</v>
      </c>
    </row>
    <row r="858" spans="2:24" hidden="1">
      <c r="B858" s="59" t="str">
        <f t="shared" si="363"/>
        <v/>
      </c>
      <c r="C858" s="59" t="str">
        <f t="shared" si="363"/>
        <v/>
      </c>
      <c r="D858" s="59" t="str">
        <f t="shared" si="363"/>
        <v/>
      </c>
      <c r="E858" s="59" t="str">
        <f t="shared" si="363"/>
        <v/>
      </c>
      <c r="F858" s="59"/>
      <c r="G858" s="59"/>
      <c r="H858" s="59"/>
      <c r="I858" s="59"/>
      <c r="J858" s="59"/>
      <c r="K858" s="60">
        <f t="shared" ref="K858:X858" si="374">IF(AND($C858="B+R",$E858="prace rozwojowe",LataProjekcji&lt;=Koniec_PR,Modul_badawczo_rozwojowy=tak),ROUND(K531,0),0)</f>
        <v>0</v>
      </c>
      <c r="L858" s="60">
        <f t="shared" si="374"/>
        <v>0</v>
      </c>
      <c r="M858" s="60">
        <f t="shared" si="374"/>
        <v>0</v>
      </c>
      <c r="N858" s="60">
        <f t="shared" si="374"/>
        <v>0</v>
      </c>
      <c r="O858" s="60">
        <f t="shared" si="374"/>
        <v>0</v>
      </c>
      <c r="P858" s="60">
        <f t="shared" si="374"/>
        <v>0</v>
      </c>
      <c r="Q858" s="60">
        <f t="shared" si="374"/>
        <v>0</v>
      </c>
      <c r="R858" s="60">
        <f t="shared" si="374"/>
        <v>0</v>
      </c>
      <c r="S858" s="60">
        <f t="shared" si="374"/>
        <v>0</v>
      </c>
      <c r="T858" s="60">
        <f t="shared" si="374"/>
        <v>0</v>
      </c>
      <c r="U858" s="60">
        <f t="shared" si="374"/>
        <v>0</v>
      </c>
      <c r="V858" s="60">
        <f t="shared" si="374"/>
        <v>0</v>
      </c>
      <c r="W858" s="60">
        <f t="shared" si="374"/>
        <v>0</v>
      </c>
      <c r="X858" s="60">
        <f t="shared" si="374"/>
        <v>0</v>
      </c>
    </row>
    <row r="859" spans="2:24" hidden="1">
      <c r="B859" s="59" t="str">
        <f t="shared" si="363"/>
        <v/>
      </c>
      <c r="C859" s="59" t="str">
        <f t="shared" si="363"/>
        <v/>
      </c>
      <c r="D859" s="59" t="str">
        <f t="shared" si="363"/>
        <v/>
      </c>
      <c r="E859" s="59" t="str">
        <f t="shared" si="363"/>
        <v/>
      </c>
      <c r="F859" s="59"/>
      <c r="G859" s="59"/>
      <c r="H859" s="59"/>
      <c r="I859" s="59"/>
      <c r="J859" s="59"/>
      <c r="K859" s="60">
        <f t="shared" ref="K859:X859" si="375">IF(AND($C859="B+R",$E859="prace rozwojowe",LataProjekcji&lt;=Koniec_PR,Modul_badawczo_rozwojowy=tak),ROUND(K532,0),0)</f>
        <v>0</v>
      </c>
      <c r="L859" s="60">
        <f t="shared" si="375"/>
        <v>0</v>
      </c>
      <c r="M859" s="60">
        <f t="shared" si="375"/>
        <v>0</v>
      </c>
      <c r="N859" s="60">
        <f t="shared" si="375"/>
        <v>0</v>
      </c>
      <c r="O859" s="60">
        <f t="shared" si="375"/>
        <v>0</v>
      </c>
      <c r="P859" s="60">
        <f t="shared" si="375"/>
        <v>0</v>
      </c>
      <c r="Q859" s="60">
        <f t="shared" si="375"/>
        <v>0</v>
      </c>
      <c r="R859" s="60">
        <f t="shared" si="375"/>
        <v>0</v>
      </c>
      <c r="S859" s="60">
        <f t="shared" si="375"/>
        <v>0</v>
      </c>
      <c r="T859" s="60">
        <f t="shared" si="375"/>
        <v>0</v>
      </c>
      <c r="U859" s="60">
        <f t="shared" si="375"/>
        <v>0</v>
      </c>
      <c r="V859" s="60">
        <f t="shared" si="375"/>
        <v>0</v>
      </c>
      <c r="W859" s="60">
        <f t="shared" si="375"/>
        <v>0</v>
      </c>
      <c r="X859" s="60">
        <f t="shared" si="375"/>
        <v>0</v>
      </c>
    </row>
    <row r="860" spans="2:24" hidden="1">
      <c r="B860" s="59" t="str">
        <f t="shared" si="363"/>
        <v/>
      </c>
      <c r="C860" s="59" t="str">
        <f t="shared" si="363"/>
        <v/>
      </c>
      <c r="D860" s="59" t="str">
        <f t="shared" si="363"/>
        <v/>
      </c>
      <c r="E860" s="59" t="str">
        <f t="shared" si="363"/>
        <v/>
      </c>
      <c r="F860" s="59"/>
      <c r="G860" s="59"/>
      <c r="H860" s="59"/>
      <c r="I860" s="59"/>
      <c r="J860" s="59"/>
      <c r="K860" s="60">
        <f t="shared" ref="K860:X860" si="376">IF(AND($C860="B+R",$E860="prace rozwojowe",LataProjekcji&lt;=Koniec_PR,Modul_badawczo_rozwojowy=tak),ROUND(K533,0),0)</f>
        <v>0</v>
      </c>
      <c r="L860" s="60">
        <f t="shared" si="376"/>
        <v>0</v>
      </c>
      <c r="M860" s="60">
        <f t="shared" si="376"/>
        <v>0</v>
      </c>
      <c r="N860" s="60">
        <f t="shared" si="376"/>
        <v>0</v>
      </c>
      <c r="O860" s="60">
        <f t="shared" si="376"/>
        <v>0</v>
      </c>
      <c r="P860" s="60">
        <f t="shared" si="376"/>
        <v>0</v>
      </c>
      <c r="Q860" s="60">
        <f t="shared" si="376"/>
        <v>0</v>
      </c>
      <c r="R860" s="60">
        <f t="shared" si="376"/>
        <v>0</v>
      </c>
      <c r="S860" s="60">
        <f t="shared" si="376"/>
        <v>0</v>
      </c>
      <c r="T860" s="60">
        <f t="shared" si="376"/>
        <v>0</v>
      </c>
      <c r="U860" s="60">
        <f t="shared" si="376"/>
        <v>0</v>
      </c>
      <c r="V860" s="60">
        <f t="shared" si="376"/>
        <v>0</v>
      </c>
      <c r="W860" s="60">
        <f t="shared" si="376"/>
        <v>0</v>
      </c>
      <c r="X860" s="60">
        <f t="shared" si="376"/>
        <v>0</v>
      </c>
    </row>
    <row r="861" spans="2:24" hidden="1">
      <c r="B861" s="59" t="str">
        <f t="shared" si="363"/>
        <v/>
      </c>
      <c r="C861" s="59" t="str">
        <f t="shared" si="363"/>
        <v/>
      </c>
      <c r="D861" s="59" t="str">
        <f t="shared" si="363"/>
        <v/>
      </c>
      <c r="E861" s="59" t="str">
        <f t="shared" si="363"/>
        <v/>
      </c>
      <c r="F861" s="59"/>
      <c r="G861" s="59"/>
      <c r="H861" s="59"/>
      <c r="I861" s="59"/>
      <c r="J861" s="59"/>
      <c r="K861" s="60">
        <f t="shared" ref="K861:X861" si="377">IF(AND($C861="B+R",$E861="prace rozwojowe",LataProjekcji&lt;=Koniec_PR,Modul_badawczo_rozwojowy=tak),ROUND(K534,0),0)</f>
        <v>0</v>
      </c>
      <c r="L861" s="60">
        <f t="shared" si="377"/>
        <v>0</v>
      </c>
      <c r="M861" s="60">
        <f t="shared" si="377"/>
        <v>0</v>
      </c>
      <c r="N861" s="60">
        <f t="shared" si="377"/>
        <v>0</v>
      </c>
      <c r="O861" s="60">
        <f t="shared" si="377"/>
        <v>0</v>
      </c>
      <c r="P861" s="60">
        <f t="shared" si="377"/>
        <v>0</v>
      </c>
      <c r="Q861" s="60">
        <f t="shared" si="377"/>
        <v>0</v>
      </c>
      <c r="R861" s="60">
        <f t="shared" si="377"/>
        <v>0</v>
      </c>
      <c r="S861" s="60">
        <f t="shared" si="377"/>
        <v>0</v>
      </c>
      <c r="T861" s="60">
        <f t="shared" si="377"/>
        <v>0</v>
      </c>
      <c r="U861" s="60">
        <f t="shared" si="377"/>
        <v>0</v>
      </c>
      <c r="V861" s="60">
        <f t="shared" si="377"/>
        <v>0</v>
      </c>
      <c r="W861" s="60">
        <f t="shared" si="377"/>
        <v>0</v>
      </c>
      <c r="X861" s="60">
        <f t="shared" si="377"/>
        <v>0</v>
      </c>
    </row>
    <row r="862" spans="2:24" hidden="1">
      <c r="B862" s="59" t="str">
        <f t="shared" si="363"/>
        <v/>
      </c>
      <c r="C862" s="59" t="str">
        <f t="shared" si="363"/>
        <v/>
      </c>
      <c r="D862" s="59" t="str">
        <f t="shared" si="363"/>
        <v/>
      </c>
      <c r="E862" s="59" t="str">
        <f t="shared" si="363"/>
        <v/>
      </c>
      <c r="F862" s="59"/>
      <c r="G862" s="59"/>
      <c r="H862" s="59"/>
      <c r="I862" s="59"/>
      <c r="J862" s="59"/>
      <c r="K862" s="60">
        <f t="shared" ref="K862:X862" si="378">IF(AND($C862="B+R",$E862="prace rozwojowe",LataProjekcji&lt;=Koniec_PR,Modul_badawczo_rozwojowy=tak),ROUND(K535,0),0)</f>
        <v>0</v>
      </c>
      <c r="L862" s="60">
        <f t="shared" si="378"/>
        <v>0</v>
      </c>
      <c r="M862" s="60">
        <f t="shared" si="378"/>
        <v>0</v>
      </c>
      <c r="N862" s="60">
        <f t="shared" si="378"/>
        <v>0</v>
      </c>
      <c r="O862" s="60">
        <f t="shared" si="378"/>
        <v>0</v>
      </c>
      <c r="P862" s="60">
        <f t="shared" si="378"/>
        <v>0</v>
      </c>
      <c r="Q862" s="60">
        <f t="shared" si="378"/>
        <v>0</v>
      </c>
      <c r="R862" s="60">
        <f t="shared" si="378"/>
        <v>0</v>
      </c>
      <c r="S862" s="60">
        <f t="shared" si="378"/>
        <v>0</v>
      </c>
      <c r="T862" s="60">
        <f t="shared" si="378"/>
        <v>0</v>
      </c>
      <c r="U862" s="60">
        <f t="shared" si="378"/>
        <v>0</v>
      </c>
      <c r="V862" s="60">
        <f t="shared" si="378"/>
        <v>0</v>
      </c>
      <c r="W862" s="60">
        <f t="shared" si="378"/>
        <v>0</v>
      </c>
      <c r="X862" s="60">
        <f t="shared" si="378"/>
        <v>0</v>
      </c>
    </row>
    <row r="863" spans="2:24" hidden="1">
      <c r="B863" s="59" t="str">
        <f t="shared" si="363"/>
        <v/>
      </c>
      <c r="C863" s="59" t="str">
        <f t="shared" si="363"/>
        <v/>
      </c>
      <c r="D863" s="59" t="str">
        <f t="shared" si="363"/>
        <v/>
      </c>
      <c r="E863" s="59" t="str">
        <f t="shared" si="363"/>
        <v/>
      </c>
      <c r="F863" s="59"/>
      <c r="G863" s="59"/>
      <c r="H863" s="59"/>
      <c r="I863" s="59"/>
      <c r="J863" s="59"/>
      <c r="K863" s="60">
        <f t="shared" ref="K863:X863" si="379">IF(AND($C863="B+R",$E863="prace rozwojowe",LataProjekcji&lt;=Koniec_PR,Modul_badawczo_rozwojowy=tak),ROUND(K536,0),0)</f>
        <v>0</v>
      </c>
      <c r="L863" s="60">
        <f t="shared" si="379"/>
        <v>0</v>
      </c>
      <c r="M863" s="60">
        <f t="shared" si="379"/>
        <v>0</v>
      </c>
      <c r="N863" s="60">
        <f t="shared" si="379"/>
        <v>0</v>
      </c>
      <c r="O863" s="60">
        <f t="shared" si="379"/>
        <v>0</v>
      </c>
      <c r="P863" s="60">
        <f t="shared" si="379"/>
        <v>0</v>
      </c>
      <c r="Q863" s="60">
        <f t="shared" si="379"/>
        <v>0</v>
      </c>
      <c r="R863" s="60">
        <f t="shared" si="379"/>
        <v>0</v>
      </c>
      <c r="S863" s="60">
        <f t="shared" si="379"/>
        <v>0</v>
      </c>
      <c r="T863" s="60">
        <f t="shared" si="379"/>
        <v>0</v>
      </c>
      <c r="U863" s="60">
        <f t="shared" si="379"/>
        <v>0</v>
      </c>
      <c r="V863" s="60">
        <f t="shared" si="379"/>
        <v>0</v>
      </c>
      <c r="W863" s="60">
        <f t="shared" si="379"/>
        <v>0</v>
      </c>
      <c r="X863" s="60">
        <f t="shared" si="379"/>
        <v>0</v>
      </c>
    </row>
    <row r="864" spans="2:24" hidden="1">
      <c r="B864" s="59" t="str">
        <f t="shared" si="363"/>
        <v/>
      </c>
      <c r="C864" s="59" t="str">
        <f t="shared" si="363"/>
        <v/>
      </c>
      <c r="D864" s="59" t="str">
        <f t="shared" si="363"/>
        <v/>
      </c>
      <c r="E864" s="59" t="str">
        <f t="shared" si="363"/>
        <v/>
      </c>
      <c r="F864" s="59"/>
      <c r="G864" s="59"/>
      <c r="H864" s="59"/>
      <c r="I864" s="59"/>
      <c r="J864" s="59"/>
      <c r="K864" s="60">
        <f t="shared" ref="K864:X864" si="380">IF(AND($C864="B+R",$E864="prace rozwojowe",LataProjekcji&lt;=Koniec_PR,Modul_badawczo_rozwojowy=tak),ROUND(K537,0),0)</f>
        <v>0</v>
      </c>
      <c r="L864" s="60">
        <f t="shared" si="380"/>
        <v>0</v>
      </c>
      <c r="M864" s="60">
        <f t="shared" si="380"/>
        <v>0</v>
      </c>
      <c r="N864" s="60">
        <f t="shared" si="380"/>
        <v>0</v>
      </c>
      <c r="O864" s="60">
        <f t="shared" si="380"/>
        <v>0</v>
      </c>
      <c r="P864" s="60">
        <f t="shared" si="380"/>
        <v>0</v>
      </c>
      <c r="Q864" s="60">
        <f t="shared" si="380"/>
        <v>0</v>
      </c>
      <c r="R864" s="60">
        <f t="shared" si="380"/>
        <v>0</v>
      </c>
      <c r="S864" s="60">
        <f t="shared" si="380"/>
        <v>0</v>
      </c>
      <c r="T864" s="60">
        <f t="shared" si="380"/>
        <v>0</v>
      </c>
      <c r="U864" s="60">
        <f t="shared" si="380"/>
        <v>0</v>
      </c>
      <c r="V864" s="60">
        <f t="shared" si="380"/>
        <v>0</v>
      </c>
      <c r="W864" s="60">
        <f t="shared" si="380"/>
        <v>0</v>
      </c>
      <c r="X864" s="60">
        <f t="shared" si="380"/>
        <v>0</v>
      </c>
    </row>
    <row r="865" spans="2:24" hidden="1">
      <c r="B865" s="59" t="str">
        <f t="shared" si="363"/>
        <v/>
      </c>
      <c r="C865" s="59" t="str">
        <f t="shared" si="363"/>
        <v/>
      </c>
      <c r="D865" s="59" t="str">
        <f t="shared" si="363"/>
        <v/>
      </c>
      <c r="E865" s="59" t="str">
        <f t="shared" si="363"/>
        <v/>
      </c>
      <c r="F865" s="59"/>
      <c r="G865" s="59"/>
      <c r="H865" s="59"/>
      <c r="I865" s="59"/>
      <c r="J865" s="59"/>
      <c r="K865" s="60">
        <f t="shared" ref="K865:X865" si="381">IF(AND($C865="B+R",$E865="prace rozwojowe",LataProjekcji&lt;=Koniec_PR,Modul_badawczo_rozwojowy=tak),ROUND(K538,0),0)</f>
        <v>0</v>
      </c>
      <c r="L865" s="60">
        <f t="shared" si="381"/>
        <v>0</v>
      </c>
      <c r="M865" s="60">
        <f t="shared" si="381"/>
        <v>0</v>
      </c>
      <c r="N865" s="60">
        <f t="shared" si="381"/>
        <v>0</v>
      </c>
      <c r="O865" s="60">
        <f t="shared" si="381"/>
        <v>0</v>
      </c>
      <c r="P865" s="60">
        <f t="shared" si="381"/>
        <v>0</v>
      </c>
      <c r="Q865" s="60">
        <f t="shared" si="381"/>
        <v>0</v>
      </c>
      <c r="R865" s="60">
        <f t="shared" si="381"/>
        <v>0</v>
      </c>
      <c r="S865" s="60">
        <f t="shared" si="381"/>
        <v>0</v>
      </c>
      <c r="T865" s="60">
        <f t="shared" si="381"/>
        <v>0</v>
      </c>
      <c r="U865" s="60">
        <f t="shared" si="381"/>
        <v>0</v>
      </c>
      <c r="V865" s="60">
        <f t="shared" si="381"/>
        <v>0</v>
      </c>
      <c r="W865" s="60">
        <f t="shared" si="381"/>
        <v>0</v>
      </c>
      <c r="X865" s="60">
        <f t="shared" si="381"/>
        <v>0</v>
      </c>
    </row>
    <row r="866" spans="2:24" hidden="1">
      <c r="B866" s="59" t="str">
        <f t="shared" si="363"/>
        <v/>
      </c>
      <c r="C866" s="59" t="str">
        <f t="shared" si="363"/>
        <v/>
      </c>
      <c r="D866" s="59" t="str">
        <f t="shared" si="363"/>
        <v/>
      </c>
      <c r="E866" s="59" t="str">
        <f t="shared" si="363"/>
        <v/>
      </c>
      <c r="F866" s="59"/>
      <c r="G866" s="59"/>
      <c r="H866" s="59"/>
      <c r="I866" s="59"/>
      <c r="J866" s="59"/>
      <c r="K866" s="60">
        <f t="shared" ref="K866:X866" si="382">IF(AND($C866="B+R",$E866="prace rozwojowe",LataProjekcji&lt;=Koniec_PR,Modul_badawczo_rozwojowy=tak),ROUND(K539,0),0)</f>
        <v>0</v>
      </c>
      <c r="L866" s="60">
        <f t="shared" si="382"/>
        <v>0</v>
      </c>
      <c r="M866" s="60">
        <f t="shared" si="382"/>
        <v>0</v>
      </c>
      <c r="N866" s="60">
        <f t="shared" si="382"/>
        <v>0</v>
      </c>
      <c r="O866" s="60">
        <f t="shared" si="382"/>
        <v>0</v>
      </c>
      <c r="P866" s="60">
        <f t="shared" si="382"/>
        <v>0</v>
      </c>
      <c r="Q866" s="60">
        <f t="shared" si="382"/>
        <v>0</v>
      </c>
      <c r="R866" s="60">
        <f t="shared" si="382"/>
        <v>0</v>
      </c>
      <c r="S866" s="60">
        <f t="shared" si="382"/>
        <v>0</v>
      </c>
      <c r="T866" s="60">
        <f t="shared" si="382"/>
        <v>0</v>
      </c>
      <c r="U866" s="60">
        <f t="shared" si="382"/>
        <v>0</v>
      </c>
      <c r="V866" s="60">
        <f t="shared" si="382"/>
        <v>0</v>
      </c>
      <c r="W866" s="60">
        <f t="shared" si="382"/>
        <v>0</v>
      </c>
      <c r="X866" s="60">
        <f t="shared" si="382"/>
        <v>0</v>
      </c>
    </row>
    <row r="867" spans="2:24" hidden="1">
      <c r="B867" s="59" t="str">
        <f t="shared" si="363"/>
        <v/>
      </c>
      <c r="C867" s="59" t="str">
        <f t="shared" si="363"/>
        <v/>
      </c>
      <c r="D867" s="59" t="str">
        <f t="shared" si="363"/>
        <v/>
      </c>
      <c r="E867" s="59" t="str">
        <f t="shared" si="363"/>
        <v/>
      </c>
      <c r="F867" s="59"/>
      <c r="G867" s="59"/>
      <c r="H867" s="59"/>
      <c r="I867" s="59"/>
      <c r="J867" s="59"/>
      <c r="K867" s="60">
        <f t="shared" ref="K867:X867" si="383">IF(AND($C867="B+R",$E867="prace rozwojowe",LataProjekcji&lt;=Koniec_PR,Modul_badawczo_rozwojowy=tak),ROUND(K540,0),0)</f>
        <v>0</v>
      </c>
      <c r="L867" s="60">
        <f t="shared" si="383"/>
        <v>0</v>
      </c>
      <c r="M867" s="60">
        <f t="shared" si="383"/>
        <v>0</v>
      </c>
      <c r="N867" s="60">
        <f t="shared" si="383"/>
        <v>0</v>
      </c>
      <c r="O867" s="60">
        <f t="shared" si="383"/>
        <v>0</v>
      </c>
      <c r="P867" s="60">
        <f t="shared" si="383"/>
        <v>0</v>
      </c>
      <c r="Q867" s="60">
        <f t="shared" si="383"/>
        <v>0</v>
      </c>
      <c r="R867" s="60">
        <f t="shared" si="383"/>
        <v>0</v>
      </c>
      <c r="S867" s="60">
        <f t="shared" si="383"/>
        <v>0</v>
      </c>
      <c r="T867" s="60">
        <f t="shared" si="383"/>
        <v>0</v>
      </c>
      <c r="U867" s="60">
        <f t="shared" si="383"/>
        <v>0</v>
      </c>
      <c r="V867" s="60">
        <f t="shared" si="383"/>
        <v>0</v>
      </c>
      <c r="W867" s="60">
        <f t="shared" si="383"/>
        <v>0</v>
      </c>
      <c r="X867" s="60">
        <f t="shared" si="383"/>
        <v>0</v>
      </c>
    </row>
    <row r="868" spans="2:24" hidden="1">
      <c r="B868" s="59" t="str">
        <f t="shared" si="363"/>
        <v/>
      </c>
      <c r="C868" s="59" t="str">
        <f t="shared" si="363"/>
        <v/>
      </c>
      <c r="D868" s="59" t="str">
        <f t="shared" si="363"/>
        <v/>
      </c>
      <c r="E868" s="59" t="str">
        <f t="shared" si="363"/>
        <v/>
      </c>
      <c r="F868" s="59"/>
      <c r="G868" s="59"/>
      <c r="H868" s="59"/>
      <c r="I868" s="59"/>
      <c r="J868" s="59"/>
      <c r="K868" s="60">
        <f t="shared" ref="K868:X868" si="384">IF(AND($C868="B+R",$E868="prace rozwojowe",LataProjekcji&lt;=Koniec_PR,Modul_badawczo_rozwojowy=tak),ROUND(K541,0),0)</f>
        <v>0</v>
      </c>
      <c r="L868" s="60">
        <f t="shared" si="384"/>
        <v>0</v>
      </c>
      <c r="M868" s="60">
        <f t="shared" si="384"/>
        <v>0</v>
      </c>
      <c r="N868" s="60">
        <f t="shared" si="384"/>
        <v>0</v>
      </c>
      <c r="O868" s="60">
        <f t="shared" si="384"/>
        <v>0</v>
      </c>
      <c r="P868" s="60">
        <f t="shared" si="384"/>
        <v>0</v>
      </c>
      <c r="Q868" s="60">
        <f t="shared" si="384"/>
        <v>0</v>
      </c>
      <c r="R868" s="60">
        <f t="shared" si="384"/>
        <v>0</v>
      </c>
      <c r="S868" s="60">
        <f t="shared" si="384"/>
        <v>0</v>
      </c>
      <c r="T868" s="60">
        <f t="shared" si="384"/>
        <v>0</v>
      </c>
      <c r="U868" s="60">
        <f t="shared" si="384"/>
        <v>0</v>
      </c>
      <c r="V868" s="60">
        <f t="shared" si="384"/>
        <v>0</v>
      </c>
      <c r="W868" s="60">
        <f t="shared" si="384"/>
        <v>0</v>
      </c>
      <c r="X868" s="60">
        <f t="shared" si="384"/>
        <v>0</v>
      </c>
    </row>
    <row r="869" spans="2:24" hidden="1">
      <c r="B869" s="59" t="str">
        <f t="shared" si="363"/>
        <v/>
      </c>
      <c r="C869" s="59" t="str">
        <f t="shared" si="363"/>
        <v/>
      </c>
      <c r="D869" s="59" t="str">
        <f t="shared" si="363"/>
        <v/>
      </c>
      <c r="E869" s="59" t="str">
        <f t="shared" si="363"/>
        <v/>
      </c>
      <c r="F869" s="59"/>
      <c r="G869" s="59"/>
      <c r="H869" s="59"/>
      <c r="I869" s="59"/>
      <c r="J869" s="59"/>
      <c r="K869" s="60">
        <f t="shared" ref="K869:X869" si="385">IF(AND($C869="B+R",$E869="prace rozwojowe",LataProjekcji&lt;=Koniec_PR,Modul_badawczo_rozwojowy=tak),ROUND(K542,0),0)</f>
        <v>0</v>
      </c>
      <c r="L869" s="60">
        <f t="shared" si="385"/>
        <v>0</v>
      </c>
      <c r="M869" s="60">
        <f t="shared" si="385"/>
        <v>0</v>
      </c>
      <c r="N869" s="60">
        <f t="shared" si="385"/>
        <v>0</v>
      </c>
      <c r="O869" s="60">
        <f t="shared" si="385"/>
        <v>0</v>
      </c>
      <c r="P869" s="60">
        <f t="shared" si="385"/>
        <v>0</v>
      </c>
      <c r="Q869" s="60">
        <f t="shared" si="385"/>
        <v>0</v>
      </c>
      <c r="R869" s="60">
        <f t="shared" si="385"/>
        <v>0</v>
      </c>
      <c r="S869" s="60">
        <f t="shared" si="385"/>
        <v>0</v>
      </c>
      <c r="T869" s="60">
        <f t="shared" si="385"/>
        <v>0</v>
      </c>
      <c r="U869" s="60">
        <f t="shared" si="385"/>
        <v>0</v>
      </c>
      <c r="V869" s="60">
        <f t="shared" si="385"/>
        <v>0</v>
      </c>
      <c r="W869" s="60">
        <f t="shared" si="385"/>
        <v>0</v>
      </c>
      <c r="X869" s="60">
        <f t="shared" si="385"/>
        <v>0</v>
      </c>
    </row>
    <row r="870" spans="2:24" hidden="1">
      <c r="B870" s="59" t="str">
        <f t="shared" si="363"/>
        <v/>
      </c>
      <c r="C870" s="59" t="str">
        <f t="shared" si="363"/>
        <v/>
      </c>
      <c r="D870" s="59" t="str">
        <f t="shared" si="363"/>
        <v/>
      </c>
      <c r="E870" s="59" t="str">
        <f t="shared" si="363"/>
        <v/>
      </c>
      <c r="F870" s="59"/>
      <c r="G870" s="59"/>
      <c r="H870" s="59"/>
      <c r="I870" s="59"/>
      <c r="J870" s="59"/>
      <c r="K870" s="60">
        <f t="shared" ref="K870:X870" si="386">IF(AND($C870="B+R",$E870="prace rozwojowe",LataProjekcji&lt;=Koniec_PR,Modul_badawczo_rozwojowy=tak),ROUND(K543,0),0)</f>
        <v>0</v>
      </c>
      <c r="L870" s="60">
        <f t="shared" si="386"/>
        <v>0</v>
      </c>
      <c r="M870" s="60">
        <f t="shared" si="386"/>
        <v>0</v>
      </c>
      <c r="N870" s="60">
        <f t="shared" si="386"/>
        <v>0</v>
      </c>
      <c r="O870" s="60">
        <f t="shared" si="386"/>
        <v>0</v>
      </c>
      <c r="P870" s="60">
        <f t="shared" si="386"/>
        <v>0</v>
      </c>
      <c r="Q870" s="60">
        <f t="shared" si="386"/>
        <v>0</v>
      </c>
      <c r="R870" s="60">
        <f t="shared" si="386"/>
        <v>0</v>
      </c>
      <c r="S870" s="60">
        <f t="shared" si="386"/>
        <v>0</v>
      </c>
      <c r="T870" s="60">
        <f t="shared" si="386"/>
        <v>0</v>
      </c>
      <c r="U870" s="60">
        <f t="shared" si="386"/>
        <v>0</v>
      </c>
      <c r="V870" s="60">
        <f t="shared" si="386"/>
        <v>0</v>
      </c>
      <c r="W870" s="60">
        <f t="shared" si="386"/>
        <v>0</v>
      </c>
      <c r="X870" s="60">
        <f t="shared" si="386"/>
        <v>0</v>
      </c>
    </row>
    <row r="871" spans="2:24" hidden="1">
      <c r="B871" s="59" t="str">
        <f t="shared" si="363"/>
        <v/>
      </c>
      <c r="C871" s="59" t="str">
        <f t="shared" si="363"/>
        <v/>
      </c>
      <c r="D871" s="59" t="str">
        <f t="shared" si="363"/>
        <v/>
      </c>
      <c r="E871" s="59" t="str">
        <f t="shared" si="363"/>
        <v/>
      </c>
      <c r="F871" s="59"/>
      <c r="G871" s="59"/>
      <c r="H871" s="59"/>
      <c r="I871" s="59"/>
      <c r="J871" s="59"/>
      <c r="K871" s="60">
        <f t="shared" ref="K871:X871" si="387">IF(AND($C871="B+R",$E871="prace rozwojowe",LataProjekcji&lt;=Koniec_PR,Modul_badawczo_rozwojowy=tak),ROUND(K544,0),0)</f>
        <v>0</v>
      </c>
      <c r="L871" s="60">
        <f t="shared" si="387"/>
        <v>0</v>
      </c>
      <c r="M871" s="60">
        <f t="shared" si="387"/>
        <v>0</v>
      </c>
      <c r="N871" s="60">
        <f t="shared" si="387"/>
        <v>0</v>
      </c>
      <c r="O871" s="60">
        <f t="shared" si="387"/>
        <v>0</v>
      </c>
      <c r="P871" s="60">
        <f t="shared" si="387"/>
        <v>0</v>
      </c>
      <c r="Q871" s="60">
        <f t="shared" si="387"/>
        <v>0</v>
      </c>
      <c r="R871" s="60">
        <f t="shared" si="387"/>
        <v>0</v>
      </c>
      <c r="S871" s="60">
        <f t="shared" si="387"/>
        <v>0</v>
      </c>
      <c r="T871" s="60">
        <f t="shared" si="387"/>
        <v>0</v>
      </c>
      <c r="U871" s="60">
        <f t="shared" si="387"/>
        <v>0</v>
      </c>
      <c r="V871" s="60">
        <f t="shared" si="387"/>
        <v>0</v>
      </c>
      <c r="W871" s="60">
        <f t="shared" si="387"/>
        <v>0</v>
      </c>
      <c r="X871" s="60">
        <f t="shared" si="387"/>
        <v>0</v>
      </c>
    </row>
    <row r="872" spans="2:24" hidden="1">
      <c r="B872" s="59" t="str">
        <f t="shared" si="363"/>
        <v/>
      </c>
      <c r="C872" s="59" t="str">
        <f t="shared" si="363"/>
        <v/>
      </c>
      <c r="D872" s="59" t="str">
        <f t="shared" si="363"/>
        <v/>
      </c>
      <c r="E872" s="59" t="str">
        <f t="shared" si="363"/>
        <v/>
      </c>
      <c r="F872" s="59"/>
      <c r="G872" s="59"/>
      <c r="H872" s="59"/>
      <c r="I872" s="59"/>
      <c r="J872" s="59"/>
      <c r="K872" s="60">
        <f t="shared" ref="K872:X872" si="388">IF(AND($C872="B+R",$E872="prace rozwojowe",LataProjekcji&lt;=Koniec_PR,Modul_badawczo_rozwojowy=tak),ROUND(K545,0),0)</f>
        <v>0</v>
      </c>
      <c r="L872" s="60">
        <f t="shared" si="388"/>
        <v>0</v>
      </c>
      <c r="M872" s="60">
        <f t="shared" si="388"/>
        <v>0</v>
      </c>
      <c r="N872" s="60">
        <f t="shared" si="388"/>
        <v>0</v>
      </c>
      <c r="O872" s="60">
        <f t="shared" si="388"/>
        <v>0</v>
      </c>
      <c r="P872" s="60">
        <f t="shared" si="388"/>
        <v>0</v>
      </c>
      <c r="Q872" s="60">
        <f t="shared" si="388"/>
        <v>0</v>
      </c>
      <c r="R872" s="60">
        <f t="shared" si="388"/>
        <v>0</v>
      </c>
      <c r="S872" s="60">
        <f t="shared" si="388"/>
        <v>0</v>
      </c>
      <c r="T872" s="60">
        <f t="shared" si="388"/>
        <v>0</v>
      </c>
      <c r="U872" s="60">
        <f t="shared" si="388"/>
        <v>0</v>
      </c>
      <c r="V872" s="60">
        <f t="shared" si="388"/>
        <v>0</v>
      </c>
      <c r="W872" s="60">
        <f t="shared" si="388"/>
        <v>0</v>
      </c>
      <c r="X872" s="60">
        <f t="shared" si="388"/>
        <v>0</v>
      </c>
    </row>
    <row r="873" spans="2:24" hidden="1">
      <c r="B873" s="59" t="str">
        <f t="shared" si="363"/>
        <v/>
      </c>
      <c r="C873" s="59" t="str">
        <f t="shared" si="363"/>
        <v/>
      </c>
      <c r="D873" s="59" t="str">
        <f t="shared" si="363"/>
        <v/>
      </c>
      <c r="E873" s="59" t="str">
        <f t="shared" si="363"/>
        <v/>
      </c>
      <c r="F873" s="59"/>
      <c r="G873" s="59"/>
      <c r="H873" s="59"/>
      <c r="I873" s="59"/>
      <c r="J873" s="59"/>
      <c r="K873" s="60">
        <f t="shared" ref="K873:X873" si="389">IF(AND($C873="B+R",$E873="prace rozwojowe",LataProjekcji&lt;=Koniec_PR,Modul_badawczo_rozwojowy=tak),ROUND(K546,0),0)</f>
        <v>0</v>
      </c>
      <c r="L873" s="60">
        <f t="shared" si="389"/>
        <v>0</v>
      </c>
      <c r="M873" s="60">
        <f t="shared" si="389"/>
        <v>0</v>
      </c>
      <c r="N873" s="60">
        <f t="shared" si="389"/>
        <v>0</v>
      </c>
      <c r="O873" s="60">
        <f t="shared" si="389"/>
        <v>0</v>
      </c>
      <c r="P873" s="60">
        <f t="shared" si="389"/>
        <v>0</v>
      </c>
      <c r="Q873" s="60">
        <f t="shared" si="389"/>
        <v>0</v>
      </c>
      <c r="R873" s="60">
        <f t="shared" si="389"/>
        <v>0</v>
      </c>
      <c r="S873" s="60">
        <f t="shared" si="389"/>
        <v>0</v>
      </c>
      <c r="T873" s="60">
        <f t="shared" si="389"/>
        <v>0</v>
      </c>
      <c r="U873" s="60">
        <f t="shared" si="389"/>
        <v>0</v>
      </c>
      <c r="V873" s="60">
        <f t="shared" si="389"/>
        <v>0</v>
      </c>
      <c r="W873" s="60">
        <f t="shared" si="389"/>
        <v>0</v>
      </c>
      <c r="X873" s="60">
        <f t="shared" si="389"/>
        <v>0</v>
      </c>
    </row>
    <row r="874" spans="2:24" hidden="1">
      <c r="B874" s="59" t="str">
        <f t="shared" si="363"/>
        <v/>
      </c>
      <c r="C874" s="59" t="str">
        <f t="shared" si="363"/>
        <v/>
      </c>
      <c r="D874" s="59" t="str">
        <f t="shared" si="363"/>
        <v/>
      </c>
      <c r="E874" s="59" t="str">
        <f t="shared" si="363"/>
        <v/>
      </c>
      <c r="F874" s="59"/>
      <c r="G874" s="59"/>
      <c r="H874" s="59"/>
      <c r="I874" s="59"/>
      <c r="J874" s="59"/>
      <c r="K874" s="60">
        <f t="shared" ref="K874:X874" si="390">IF(AND($C874="B+R",$E874="prace rozwojowe",LataProjekcji&lt;=Koniec_PR,Modul_badawczo_rozwojowy=tak),ROUND(K547,0),0)</f>
        <v>0</v>
      </c>
      <c r="L874" s="60">
        <f t="shared" si="390"/>
        <v>0</v>
      </c>
      <c r="M874" s="60">
        <f t="shared" si="390"/>
        <v>0</v>
      </c>
      <c r="N874" s="60">
        <f t="shared" si="390"/>
        <v>0</v>
      </c>
      <c r="O874" s="60">
        <f t="shared" si="390"/>
        <v>0</v>
      </c>
      <c r="P874" s="60">
        <f t="shared" si="390"/>
        <v>0</v>
      </c>
      <c r="Q874" s="60">
        <f t="shared" si="390"/>
        <v>0</v>
      </c>
      <c r="R874" s="60">
        <f t="shared" si="390"/>
        <v>0</v>
      </c>
      <c r="S874" s="60">
        <f t="shared" si="390"/>
        <v>0</v>
      </c>
      <c r="T874" s="60">
        <f t="shared" si="390"/>
        <v>0</v>
      </c>
      <c r="U874" s="60">
        <f t="shared" si="390"/>
        <v>0</v>
      </c>
      <c r="V874" s="60">
        <f t="shared" si="390"/>
        <v>0</v>
      </c>
      <c r="W874" s="60">
        <f t="shared" si="390"/>
        <v>0</v>
      </c>
      <c r="X874" s="60">
        <f t="shared" si="390"/>
        <v>0</v>
      </c>
    </row>
    <row r="875" spans="2:24" hidden="1">
      <c r="B875" s="59" t="str">
        <f t="shared" si="363"/>
        <v/>
      </c>
      <c r="C875" s="59" t="str">
        <f t="shared" si="363"/>
        <v/>
      </c>
      <c r="D875" s="59" t="str">
        <f t="shared" si="363"/>
        <v/>
      </c>
      <c r="E875" s="59" t="str">
        <f t="shared" si="363"/>
        <v/>
      </c>
      <c r="F875" s="59"/>
      <c r="G875" s="59"/>
      <c r="H875" s="59"/>
      <c r="I875" s="59"/>
      <c r="J875" s="59"/>
      <c r="K875" s="60">
        <f t="shared" ref="K875:X875" si="391">IF(AND($C875="B+R",$E875="prace rozwojowe",LataProjekcji&lt;=Koniec_PR,Modul_badawczo_rozwojowy=tak),ROUND(K548,0),0)</f>
        <v>0</v>
      </c>
      <c r="L875" s="60">
        <f t="shared" si="391"/>
        <v>0</v>
      </c>
      <c r="M875" s="60">
        <f t="shared" si="391"/>
        <v>0</v>
      </c>
      <c r="N875" s="60">
        <f t="shared" si="391"/>
        <v>0</v>
      </c>
      <c r="O875" s="60">
        <f t="shared" si="391"/>
        <v>0</v>
      </c>
      <c r="P875" s="60">
        <f t="shared" si="391"/>
        <v>0</v>
      </c>
      <c r="Q875" s="60">
        <f t="shared" si="391"/>
        <v>0</v>
      </c>
      <c r="R875" s="60">
        <f t="shared" si="391"/>
        <v>0</v>
      </c>
      <c r="S875" s="60">
        <f t="shared" si="391"/>
        <v>0</v>
      </c>
      <c r="T875" s="60">
        <f t="shared" si="391"/>
        <v>0</v>
      </c>
      <c r="U875" s="60">
        <f t="shared" si="391"/>
        <v>0</v>
      </c>
      <c r="V875" s="60">
        <f t="shared" si="391"/>
        <v>0</v>
      </c>
      <c r="W875" s="60">
        <f t="shared" si="391"/>
        <v>0</v>
      </c>
      <c r="X875" s="60">
        <f t="shared" si="391"/>
        <v>0</v>
      </c>
    </row>
    <row r="876" spans="2:24" hidden="1">
      <c r="B876" s="59" t="str">
        <f t="shared" si="363"/>
        <v/>
      </c>
      <c r="C876" s="59" t="str">
        <f t="shared" si="363"/>
        <v/>
      </c>
      <c r="D876" s="59" t="str">
        <f t="shared" si="363"/>
        <v/>
      </c>
      <c r="E876" s="59" t="str">
        <f t="shared" si="363"/>
        <v/>
      </c>
      <c r="F876" s="59"/>
      <c r="G876" s="59"/>
      <c r="H876" s="59"/>
      <c r="I876" s="59"/>
      <c r="J876" s="59"/>
      <c r="K876" s="60">
        <f t="shared" ref="K876:X876" si="392">IF(AND($C876="B+R",$E876="prace rozwojowe",LataProjekcji&lt;=Koniec_PR,Modul_badawczo_rozwojowy=tak),ROUND(K549,0),0)</f>
        <v>0</v>
      </c>
      <c r="L876" s="60">
        <f t="shared" si="392"/>
        <v>0</v>
      </c>
      <c r="M876" s="60">
        <f t="shared" si="392"/>
        <v>0</v>
      </c>
      <c r="N876" s="60">
        <f t="shared" si="392"/>
        <v>0</v>
      </c>
      <c r="O876" s="60">
        <f t="shared" si="392"/>
        <v>0</v>
      </c>
      <c r="P876" s="60">
        <f t="shared" si="392"/>
        <v>0</v>
      </c>
      <c r="Q876" s="60">
        <f t="shared" si="392"/>
        <v>0</v>
      </c>
      <c r="R876" s="60">
        <f t="shared" si="392"/>
        <v>0</v>
      </c>
      <c r="S876" s="60">
        <f t="shared" si="392"/>
        <v>0</v>
      </c>
      <c r="T876" s="60">
        <f t="shared" si="392"/>
        <v>0</v>
      </c>
      <c r="U876" s="60">
        <f t="shared" si="392"/>
        <v>0</v>
      </c>
      <c r="V876" s="60">
        <f t="shared" si="392"/>
        <v>0</v>
      </c>
      <c r="W876" s="60">
        <f t="shared" si="392"/>
        <v>0</v>
      </c>
      <c r="X876" s="60">
        <f t="shared" si="392"/>
        <v>0</v>
      </c>
    </row>
    <row r="877" spans="2:24" hidden="1">
      <c r="B877" s="59" t="str">
        <f t="shared" si="363"/>
        <v/>
      </c>
      <c r="C877" s="59" t="str">
        <f t="shared" si="363"/>
        <v/>
      </c>
      <c r="D877" s="59" t="str">
        <f t="shared" si="363"/>
        <v/>
      </c>
      <c r="E877" s="59" t="str">
        <f t="shared" si="363"/>
        <v/>
      </c>
      <c r="F877" s="59"/>
      <c r="G877" s="59"/>
      <c r="H877" s="59"/>
      <c r="I877" s="59"/>
      <c r="J877" s="59"/>
      <c r="K877" s="60">
        <f t="shared" ref="K877:X877" si="393">IF(AND($C877="B+R",$E877="prace rozwojowe",LataProjekcji&lt;=Koniec_PR,Modul_badawczo_rozwojowy=tak),ROUND(K550,0),0)</f>
        <v>0</v>
      </c>
      <c r="L877" s="60">
        <f t="shared" si="393"/>
        <v>0</v>
      </c>
      <c r="M877" s="60">
        <f t="shared" si="393"/>
        <v>0</v>
      </c>
      <c r="N877" s="60">
        <f t="shared" si="393"/>
        <v>0</v>
      </c>
      <c r="O877" s="60">
        <f t="shared" si="393"/>
        <v>0</v>
      </c>
      <c r="P877" s="60">
        <f t="shared" si="393"/>
        <v>0</v>
      </c>
      <c r="Q877" s="60">
        <f t="shared" si="393"/>
        <v>0</v>
      </c>
      <c r="R877" s="60">
        <f t="shared" si="393"/>
        <v>0</v>
      </c>
      <c r="S877" s="60">
        <f t="shared" si="393"/>
        <v>0</v>
      </c>
      <c r="T877" s="60">
        <f t="shared" si="393"/>
        <v>0</v>
      </c>
      <c r="U877" s="60">
        <f t="shared" si="393"/>
        <v>0</v>
      </c>
      <c r="V877" s="60">
        <f t="shared" si="393"/>
        <v>0</v>
      </c>
      <c r="W877" s="60">
        <f t="shared" si="393"/>
        <v>0</v>
      </c>
      <c r="X877" s="60">
        <f t="shared" si="393"/>
        <v>0</v>
      </c>
    </row>
    <row r="878" spans="2:24" hidden="1">
      <c r="B878" s="20" t="s">
        <v>350</v>
      </c>
      <c r="C878" s="20"/>
      <c r="D878" s="80"/>
      <c r="E878" s="21"/>
      <c r="F878" s="21"/>
      <c r="G878" s="21"/>
      <c r="H878" s="21"/>
      <c r="I878" s="21"/>
      <c r="J878" s="21"/>
      <c r="K878" s="61">
        <f>ROUND(SUM(K848:K877),0)</f>
        <v>0</v>
      </c>
      <c r="L878" s="61">
        <f t="shared" ref="L878:X878" si="394">ROUND(SUM(L848:L877),0)</f>
        <v>0</v>
      </c>
      <c r="M878" s="61">
        <f t="shared" si="394"/>
        <v>0</v>
      </c>
      <c r="N878" s="61">
        <f t="shared" si="394"/>
        <v>0</v>
      </c>
      <c r="O878" s="61">
        <f t="shared" si="394"/>
        <v>0</v>
      </c>
      <c r="P878" s="61">
        <f t="shared" si="394"/>
        <v>0</v>
      </c>
      <c r="Q878" s="61">
        <f t="shared" si="394"/>
        <v>0</v>
      </c>
      <c r="R878" s="61">
        <f t="shared" si="394"/>
        <v>0</v>
      </c>
      <c r="S878" s="61">
        <f t="shared" si="394"/>
        <v>0</v>
      </c>
      <c r="T878" s="61">
        <f t="shared" si="394"/>
        <v>0</v>
      </c>
      <c r="U878" s="61">
        <f t="shared" si="394"/>
        <v>0</v>
      </c>
      <c r="V878" s="61">
        <f t="shared" si="394"/>
        <v>0</v>
      </c>
      <c r="W878" s="61">
        <f t="shared" si="394"/>
        <v>0</v>
      </c>
      <c r="X878" s="61">
        <f t="shared" si="394"/>
        <v>0</v>
      </c>
    </row>
    <row r="879" spans="2:24" hidden="1">
      <c r="B879" s="21"/>
      <c r="C879" s="21"/>
      <c r="D879" s="80"/>
      <c r="E879" s="21"/>
      <c r="F879" s="21"/>
      <c r="G879" s="21"/>
      <c r="H879" s="21"/>
      <c r="I879" s="21"/>
      <c r="J879" s="21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2:24" hidden="1">
      <c r="B880" s="21"/>
      <c r="C880" s="21"/>
      <c r="D880" s="80"/>
      <c r="E880" s="21"/>
      <c r="F880" s="21"/>
      <c r="G880" s="21"/>
      <c r="H880" s="21"/>
      <c r="I880" s="21"/>
      <c r="J880" s="21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2:24" hidden="1">
      <c r="B881" s="20" t="s">
        <v>334</v>
      </c>
      <c r="C881" s="20"/>
      <c r="D881" s="82" t="s">
        <v>336</v>
      </c>
      <c r="E881" s="20" t="s">
        <v>337</v>
      </c>
      <c r="F881" s="21"/>
      <c r="G881" s="21"/>
      <c r="H881" s="21"/>
      <c r="I881" s="21"/>
      <c r="J881" s="21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2:24" hidden="1">
      <c r="B882" s="59" t="str">
        <f>IF(ISBLANK(Przychody!B202),"",Przychody!B202)</f>
        <v/>
      </c>
      <c r="C882" s="59"/>
      <c r="D882" s="81"/>
      <c r="E882" s="59"/>
      <c r="F882" s="59"/>
      <c r="G882" s="59"/>
      <c r="H882" s="59"/>
      <c r="I882" s="59"/>
      <c r="J882" s="59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</row>
    <row r="883" spans="2:24" hidden="1">
      <c r="B883" s="59" t="str">
        <f>IF(ISBLANK(Przychody!B203),"",Przychody!B203)</f>
        <v/>
      </c>
      <c r="C883" s="59"/>
      <c r="D883" s="81"/>
      <c r="E883" s="59"/>
      <c r="F883" s="59"/>
      <c r="G883" s="59"/>
      <c r="H883" s="59"/>
      <c r="I883" s="59"/>
      <c r="J883" s="59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</row>
    <row r="884" spans="2:24" hidden="1">
      <c r="B884" s="59" t="str">
        <f>IF(ISBLANK(Przychody!B204),"",Przychody!B204)</f>
        <v/>
      </c>
      <c r="C884" s="59"/>
      <c r="D884" s="81"/>
      <c r="E884" s="59"/>
      <c r="F884" s="59"/>
      <c r="G884" s="59"/>
      <c r="H884" s="59"/>
      <c r="I884" s="59"/>
      <c r="J884" s="59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</row>
    <row r="885" spans="2:24" hidden="1">
      <c r="B885" s="59" t="str">
        <f>IF(ISBLANK(Przychody!B205),"",Przychody!B205)</f>
        <v/>
      </c>
      <c r="C885" s="59"/>
      <c r="D885" s="81"/>
      <c r="E885" s="59"/>
      <c r="F885" s="59"/>
      <c r="G885" s="59"/>
      <c r="H885" s="59"/>
      <c r="I885" s="59"/>
      <c r="J885" s="59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</row>
    <row r="886" spans="2:24" hidden="1">
      <c r="B886" s="59" t="str">
        <f>IF(ISBLANK(Przychody!B206),"",Przychody!B206)</f>
        <v/>
      </c>
      <c r="C886" s="59"/>
      <c r="D886" s="81"/>
      <c r="E886" s="59"/>
      <c r="F886" s="59"/>
      <c r="G886" s="59"/>
      <c r="H886" s="59"/>
      <c r="I886" s="59"/>
      <c r="J886" s="59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</row>
    <row r="887" spans="2:24" hidden="1">
      <c r="B887" s="20" t="s">
        <v>280</v>
      </c>
      <c r="C887" s="20"/>
      <c r="D887" s="80"/>
      <c r="E887" s="21"/>
      <c r="F887" s="21"/>
      <c r="G887" s="21"/>
      <c r="H887" s="21"/>
      <c r="I887" s="21"/>
      <c r="J887" s="21"/>
      <c r="K887" s="61">
        <f>ROUND(SUM(K882:K886),0)</f>
        <v>0</v>
      </c>
      <c r="L887" s="61">
        <f t="shared" ref="L887:X887" si="395">ROUND(SUM(L882:L886),0)</f>
        <v>0</v>
      </c>
      <c r="M887" s="61">
        <f t="shared" si="395"/>
        <v>0</v>
      </c>
      <c r="N887" s="61">
        <f t="shared" si="395"/>
        <v>0</v>
      </c>
      <c r="O887" s="61">
        <f t="shared" si="395"/>
        <v>0</v>
      </c>
      <c r="P887" s="61">
        <f t="shared" si="395"/>
        <v>0</v>
      </c>
      <c r="Q887" s="61">
        <f t="shared" si="395"/>
        <v>0</v>
      </c>
      <c r="R887" s="61">
        <f t="shared" si="395"/>
        <v>0</v>
      </c>
      <c r="S887" s="61">
        <f t="shared" si="395"/>
        <v>0</v>
      </c>
      <c r="T887" s="61">
        <f t="shared" si="395"/>
        <v>0</v>
      </c>
      <c r="U887" s="61">
        <f t="shared" si="395"/>
        <v>0</v>
      </c>
      <c r="V887" s="61">
        <f t="shared" si="395"/>
        <v>0</v>
      </c>
      <c r="W887" s="61">
        <f t="shared" si="395"/>
        <v>0</v>
      </c>
      <c r="X887" s="61">
        <f t="shared" si="395"/>
        <v>0</v>
      </c>
    </row>
    <row r="888" spans="2:24" hidden="1">
      <c r="B888" s="21"/>
      <c r="C888" s="21"/>
      <c r="D888" s="80"/>
      <c r="E888" s="21"/>
      <c r="F888" s="21"/>
      <c r="G888" s="21"/>
      <c r="H888" s="21"/>
      <c r="I888" s="21"/>
      <c r="J888" s="21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2:24" hidden="1">
      <c r="B889" s="21"/>
      <c r="C889" s="21"/>
      <c r="D889" s="80"/>
      <c r="E889" s="21"/>
      <c r="F889" s="21"/>
      <c r="G889" s="21"/>
      <c r="H889" s="21"/>
      <c r="I889" s="21"/>
      <c r="J889" s="21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2:24" hidden="1">
      <c r="B890" s="20" t="s">
        <v>325</v>
      </c>
      <c r="C890" s="20"/>
      <c r="D890" s="82" t="s">
        <v>336</v>
      </c>
      <c r="E890" s="20" t="s">
        <v>337</v>
      </c>
      <c r="F890" s="21"/>
      <c r="G890" s="21"/>
      <c r="H890" s="21"/>
      <c r="I890" s="21"/>
      <c r="J890" s="21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2:24" hidden="1">
      <c r="B891" s="59" t="str">
        <f t="shared" ref="B891:E895" si="396">IF(ISBLANK(B586),"",B586)</f>
        <v/>
      </c>
      <c r="C891" s="59" t="str">
        <f t="shared" si="396"/>
        <v/>
      </c>
      <c r="D891" s="59" t="str">
        <f t="shared" si="396"/>
        <v/>
      </c>
      <c r="E891" s="59" t="str">
        <f t="shared" si="396"/>
        <v/>
      </c>
      <c r="F891" s="59"/>
      <c r="G891" s="59"/>
      <c r="H891" s="59"/>
      <c r="I891" s="59"/>
      <c r="J891" s="59" t="s">
        <v>736</v>
      </c>
      <c r="K891" s="60">
        <f t="shared" ref="K891:X891" si="397">IF(AND($C891="B+R",$E891="prace rozwojowe",LataProjekcji&lt;=Koniec_PR,Modul_badawczo_rozwojowy=tak),ROUND(K586,0),0)</f>
        <v>0</v>
      </c>
      <c r="L891" s="60">
        <f t="shared" si="397"/>
        <v>0</v>
      </c>
      <c r="M891" s="60">
        <f t="shared" si="397"/>
        <v>0</v>
      </c>
      <c r="N891" s="60">
        <f t="shared" si="397"/>
        <v>0</v>
      </c>
      <c r="O891" s="60">
        <f t="shared" si="397"/>
        <v>0</v>
      </c>
      <c r="P891" s="60">
        <f t="shared" si="397"/>
        <v>0</v>
      </c>
      <c r="Q891" s="60">
        <f t="shared" si="397"/>
        <v>0</v>
      </c>
      <c r="R891" s="60">
        <f t="shared" si="397"/>
        <v>0</v>
      </c>
      <c r="S891" s="60">
        <f t="shared" si="397"/>
        <v>0</v>
      </c>
      <c r="T891" s="60">
        <f t="shared" si="397"/>
        <v>0</v>
      </c>
      <c r="U891" s="60">
        <f t="shared" si="397"/>
        <v>0</v>
      </c>
      <c r="V891" s="60">
        <f t="shared" si="397"/>
        <v>0</v>
      </c>
      <c r="W891" s="60">
        <f t="shared" si="397"/>
        <v>0</v>
      </c>
      <c r="X891" s="60">
        <f t="shared" si="397"/>
        <v>0</v>
      </c>
    </row>
    <row r="892" spans="2:24" hidden="1">
      <c r="B892" s="59" t="str">
        <f t="shared" si="396"/>
        <v/>
      </c>
      <c r="C892" s="59" t="str">
        <f t="shared" si="396"/>
        <v/>
      </c>
      <c r="D892" s="59" t="str">
        <f t="shared" si="396"/>
        <v/>
      </c>
      <c r="E892" s="59" t="str">
        <f t="shared" si="396"/>
        <v/>
      </c>
      <c r="F892" s="59"/>
      <c r="G892" s="59"/>
      <c r="H892" s="59"/>
      <c r="I892" s="59"/>
      <c r="J892" s="59"/>
      <c r="K892" s="60">
        <f t="shared" ref="K892:X892" si="398">IF(AND($C892="B+R",$E892="prace rozwojowe",LataProjekcji&lt;=Koniec_PR,Modul_badawczo_rozwojowy=tak),ROUND(K587,0),0)</f>
        <v>0</v>
      </c>
      <c r="L892" s="60">
        <f t="shared" si="398"/>
        <v>0</v>
      </c>
      <c r="M892" s="60">
        <f t="shared" si="398"/>
        <v>0</v>
      </c>
      <c r="N892" s="60">
        <f t="shared" si="398"/>
        <v>0</v>
      </c>
      <c r="O892" s="60">
        <f t="shared" si="398"/>
        <v>0</v>
      </c>
      <c r="P892" s="60">
        <f t="shared" si="398"/>
        <v>0</v>
      </c>
      <c r="Q892" s="60">
        <f t="shared" si="398"/>
        <v>0</v>
      </c>
      <c r="R892" s="60">
        <f t="shared" si="398"/>
        <v>0</v>
      </c>
      <c r="S892" s="60">
        <f t="shared" si="398"/>
        <v>0</v>
      </c>
      <c r="T892" s="60">
        <f t="shared" si="398"/>
        <v>0</v>
      </c>
      <c r="U892" s="60">
        <f t="shared" si="398"/>
        <v>0</v>
      </c>
      <c r="V892" s="60">
        <f t="shared" si="398"/>
        <v>0</v>
      </c>
      <c r="W892" s="60">
        <f t="shared" si="398"/>
        <v>0</v>
      </c>
      <c r="X892" s="60">
        <f t="shared" si="398"/>
        <v>0</v>
      </c>
    </row>
    <row r="893" spans="2:24" hidden="1">
      <c r="B893" s="59" t="str">
        <f t="shared" si="396"/>
        <v/>
      </c>
      <c r="C893" s="59" t="str">
        <f t="shared" si="396"/>
        <v/>
      </c>
      <c r="D893" s="59" t="str">
        <f t="shared" si="396"/>
        <v/>
      </c>
      <c r="E893" s="59" t="str">
        <f t="shared" si="396"/>
        <v/>
      </c>
      <c r="F893" s="59"/>
      <c r="G893" s="59"/>
      <c r="H893" s="59"/>
      <c r="I893" s="59"/>
      <c r="J893" s="59"/>
      <c r="K893" s="60">
        <f t="shared" ref="K893:X893" si="399">IF(AND($C893="B+R",$E893="prace rozwojowe",LataProjekcji&lt;=Koniec_PR,Modul_badawczo_rozwojowy=tak),ROUND(K588,0),0)</f>
        <v>0</v>
      </c>
      <c r="L893" s="60">
        <f t="shared" si="399"/>
        <v>0</v>
      </c>
      <c r="M893" s="60">
        <f t="shared" si="399"/>
        <v>0</v>
      </c>
      <c r="N893" s="60">
        <f t="shared" si="399"/>
        <v>0</v>
      </c>
      <c r="O893" s="60">
        <f t="shared" si="399"/>
        <v>0</v>
      </c>
      <c r="P893" s="60">
        <f t="shared" si="399"/>
        <v>0</v>
      </c>
      <c r="Q893" s="60">
        <f t="shared" si="399"/>
        <v>0</v>
      </c>
      <c r="R893" s="60">
        <f t="shared" si="399"/>
        <v>0</v>
      </c>
      <c r="S893" s="60">
        <f t="shared" si="399"/>
        <v>0</v>
      </c>
      <c r="T893" s="60">
        <f t="shared" si="399"/>
        <v>0</v>
      </c>
      <c r="U893" s="60">
        <f t="shared" si="399"/>
        <v>0</v>
      </c>
      <c r="V893" s="60">
        <f t="shared" si="399"/>
        <v>0</v>
      </c>
      <c r="W893" s="60">
        <f t="shared" si="399"/>
        <v>0</v>
      </c>
      <c r="X893" s="60">
        <f t="shared" si="399"/>
        <v>0</v>
      </c>
    </row>
    <row r="894" spans="2:24" hidden="1">
      <c r="B894" s="59" t="str">
        <f t="shared" si="396"/>
        <v/>
      </c>
      <c r="C894" s="59" t="str">
        <f t="shared" si="396"/>
        <v/>
      </c>
      <c r="D894" s="59" t="str">
        <f t="shared" si="396"/>
        <v/>
      </c>
      <c r="E894" s="59" t="str">
        <f t="shared" si="396"/>
        <v/>
      </c>
      <c r="F894" s="59"/>
      <c r="G894" s="59"/>
      <c r="H894" s="59"/>
      <c r="I894" s="59"/>
      <c r="J894" s="59"/>
      <c r="K894" s="60">
        <f t="shared" ref="K894:X894" si="400">IF(AND($C894="B+R",$E894="prace rozwojowe",LataProjekcji&lt;=Koniec_PR,Modul_badawczo_rozwojowy=tak),ROUND(K589,0),0)</f>
        <v>0</v>
      </c>
      <c r="L894" s="60">
        <f t="shared" si="400"/>
        <v>0</v>
      </c>
      <c r="M894" s="60">
        <f t="shared" si="400"/>
        <v>0</v>
      </c>
      <c r="N894" s="60">
        <f t="shared" si="400"/>
        <v>0</v>
      </c>
      <c r="O894" s="60">
        <f t="shared" si="400"/>
        <v>0</v>
      </c>
      <c r="P894" s="60">
        <f t="shared" si="400"/>
        <v>0</v>
      </c>
      <c r="Q894" s="60">
        <f t="shared" si="400"/>
        <v>0</v>
      </c>
      <c r="R894" s="60">
        <f t="shared" si="400"/>
        <v>0</v>
      </c>
      <c r="S894" s="60">
        <f t="shared" si="400"/>
        <v>0</v>
      </c>
      <c r="T894" s="60">
        <f t="shared" si="400"/>
        <v>0</v>
      </c>
      <c r="U894" s="60">
        <f t="shared" si="400"/>
        <v>0</v>
      </c>
      <c r="V894" s="60">
        <f t="shared" si="400"/>
        <v>0</v>
      </c>
      <c r="W894" s="60">
        <f t="shared" si="400"/>
        <v>0</v>
      </c>
      <c r="X894" s="60">
        <f t="shared" si="400"/>
        <v>0</v>
      </c>
    </row>
    <row r="895" spans="2:24" hidden="1">
      <c r="B895" s="59" t="str">
        <f t="shared" si="396"/>
        <v/>
      </c>
      <c r="C895" s="59" t="str">
        <f t="shared" si="396"/>
        <v/>
      </c>
      <c r="D895" s="59" t="str">
        <f t="shared" si="396"/>
        <v/>
      </c>
      <c r="E895" s="59" t="str">
        <f t="shared" si="396"/>
        <v/>
      </c>
      <c r="F895" s="59"/>
      <c r="G895" s="59"/>
      <c r="H895" s="59"/>
      <c r="I895" s="59"/>
      <c r="J895" s="59"/>
      <c r="K895" s="60">
        <f t="shared" ref="K895:X895" si="401">IF(AND($C895="B+R",$E895="prace rozwojowe",LataProjekcji&lt;=Koniec_PR,Modul_badawczo_rozwojowy=tak),ROUND(K590,0),0)</f>
        <v>0</v>
      </c>
      <c r="L895" s="60">
        <f t="shared" si="401"/>
        <v>0</v>
      </c>
      <c r="M895" s="60">
        <f t="shared" si="401"/>
        <v>0</v>
      </c>
      <c r="N895" s="60">
        <f t="shared" si="401"/>
        <v>0</v>
      </c>
      <c r="O895" s="60">
        <f t="shared" si="401"/>
        <v>0</v>
      </c>
      <c r="P895" s="60">
        <f t="shared" si="401"/>
        <v>0</v>
      </c>
      <c r="Q895" s="60">
        <f t="shared" si="401"/>
        <v>0</v>
      </c>
      <c r="R895" s="60">
        <f t="shared" si="401"/>
        <v>0</v>
      </c>
      <c r="S895" s="60">
        <f t="shared" si="401"/>
        <v>0</v>
      </c>
      <c r="T895" s="60">
        <f t="shared" si="401"/>
        <v>0</v>
      </c>
      <c r="U895" s="60">
        <f t="shared" si="401"/>
        <v>0</v>
      </c>
      <c r="V895" s="60">
        <f t="shared" si="401"/>
        <v>0</v>
      </c>
      <c r="W895" s="60">
        <f t="shared" si="401"/>
        <v>0</v>
      </c>
      <c r="X895" s="60">
        <f t="shared" si="401"/>
        <v>0</v>
      </c>
    </row>
    <row r="896" spans="2:24" hidden="1">
      <c r="B896" s="20" t="s">
        <v>326</v>
      </c>
      <c r="C896" s="20"/>
      <c r="D896" s="80"/>
      <c r="E896" s="21"/>
      <c r="F896" s="21"/>
      <c r="G896" s="21"/>
      <c r="H896" s="21"/>
      <c r="I896" s="21"/>
      <c r="J896" s="21"/>
      <c r="K896" s="61">
        <f>ROUND(SUM(K891:K895),0)</f>
        <v>0</v>
      </c>
      <c r="L896" s="61">
        <f t="shared" ref="L896:X896" si="402">ROUND(SUM(L891:L895),0)</f>
        <v>0</v>
      </c>
      <c r="M896" s="61">
        <f t="shared" si="402"/>
        <v>0</v>
      </c>
      <c r="N896" s="61">
        <f t="shared" si="402"/>
        <v>0</v>
      </c>
      <c r="O896" s="61">
        <f t="shared" si="402"/>
        <v>0</v>
      </c>
      <c r="P896" s="61">
        <f t="shared" si="402"/>
        <v>0</v>
      </c>
      <c r="Q896" s="61">
        <f t="shared" si="402"/>
        <v>0</v>
      </c>
      <c r="R896" s="61">
        <f t="shared" si="402"/>
        <v>0</v>
      </c>
      <c r="S896" s="61">
        <f t="shared" si="402"/>
        <v>0</v>
      </c>
      <c r="T896" s="61">
        <f t="shared" si="402"/>
        <v>0</v>
      </c>
      <c r="U896" s="61">
        <f t="shared" si="402"/>
        <v>0</v>
      </c>
      <c r="V896" s="61">
        <f t="shared" si="402"/>
        <v>0</v>
      </c>
      <c r="W896" s="61">
        <f t="shared" si="402"/>
        <v>0</v>
      </c>
      <c r="X896" s="61">
        <f t="shared" si="402"/>
        <v>0</v>
      </c>
    </row>
    <row r="897" spans="2:24" hidden="1">
      <c r="B897" s="21"/>
      <c r="C897" s="21"/>
      <c r="D897" s="80"/>
      <c r="E897" s="21"/>
      <c r="F897" s="21"/>
      <c r="G897" s="21"/>
      <c r="H897" s="21"/>
      <c r="I897" s="21"/>
      <c r="J897" s="21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2:24" hidden="1">
      <c r="B898" s="21"/>
      <c r="C898" s="21"/>
      <c r="D898" s="80"/>
      <c r="E898" s="21"/>
      <c r="F898" s="21"/>
      <c r="G898" s="21"/>
      <c r="H898" s="21"/>
      <c r="I898" s="21"/>
      <c r="J898" s="21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2:24" hidden="1">
      <c r="B899" s="20" t="s">
        <v>327</v>
      </c>
      <c r="C899" s="20"/>
      <c r="D899" s="82" t="s">
        <v>336</v>
      </c>
      <c r="E899" s="20" t="s">
        <v>337</v>
      </c>
      <c r="F899" s="21"/>
      <c r="G899" s="21"/>
      <c r="H899" s="21"/>
      <c r="I899" s="21"/>
      <c r="J899" s="21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2:24" hidden="1">
      <c r="B900" s="59" t="str">
        <f t="shared" ref="B900:E904" si="403">IF(ISBLANK(B595),"",B595)</f>
        <v>Koszty z tytułu oprocentowania kredytów i pożyczek</v>
      </c>
      <c r="C900" s="59" t="str">
        <f t="shared" si="403"/>
        <v/>
      </c>
      <c r="D900" s="59" t="str">
        <f t="shared" si="403"/>
        <v/>
      </c>
      <c r="E900" s="59" t="str">
        <f t="shared" si="403"/>
        <v/>
      </c>
      <c r="F900" s="59"/>
      <c r="G900" s="59"/>
      <c r="H900" s="59"/>
      <c r="I900" s="59"/>
      <c r="J900" s="59" t="s">
        <v>737</v>
      </c>
      <c r="K900" s="60">
        <f t="shared" ref="K900:X900" si="404">IF(AND($C900="B+R",$E900="prace rozwojowe",LataProjekcji&lt;=Koniec_PR,Modul_badawczo_rozwojowy=tak),ROUND(K595,0),0)</f>
        <v>0</v>
      </c>
      <c r="L900" s="60">
        <f t="shared" si="404"/>
        <v>0</v>
      </c>
      <c r="M900" s="60">
        <f t="shared" si="404"/>
        <v>0</v>
      </c>
      <c r="N900" s="60">
        <f t="shared" si="404"/>
        <v>0</v>
      </c>
      <c r="O900" s="60">
        <f t="shared" si="404"/>
        <v>0</v>
      </c>
      <c r="P900" s="60">
        <f t="shared" si="404"/>
        <v>0</v>
      </c>
      <c r="Q900" s="60">
        <f t="shared" si="404"/>
        <v>0</v>
      </c>
      <c r="R900" s="60">
        <f t="shared" si="404"/>
        <v>0</v>
      </c>
      <c r="S900" s="60">
        <f t="shared" si="404"/>
        <v>0</v>
      </c>
      <c r="T900" s="60">
        <f t="shared" si="404"/>
        <v>0</v>
      </c>
      <c r="U900" s="60">
        <f t="shared" si="404"/>
        <v>0</v>
      </c>
      <c r="V900" s="60">
        <f t="shared" si="404"/>
        <v>0</v>
      </c>
      <c r="W900" s="60">
        <f t="shared" si="404"/>
        <v>0</v>
      </c>
      <c r="X900" s="60">
        <f t="shared" si="404"/>
        <v>0</v>
      </c>
    </row>
    <row r="901" spans="2:24" hidden="1">
      <c r="B901" s="59" t="str">
        <f t="shared" si="403"/>
        <v/>
      </c>
      <c r="C901" s="59" t="str">
        <f t="shared" si="403"/>
        <v/>
      </c>
      <c r="D901" s="59" t="str">
        <f t="shared" si="403"/>
        <v/>
      </c>
      <c r="E901" s="59" t="str">
        <f t="shared" si="403"/>
        <v/>
      </c>
      <c r="F901" s="59"/>
      <c r="G901" s="59"/>
      <c r="H901" s="59"/>
      <c r="I901" s="59"/>
      <c r="J901" s="59"/>
      <c r="K901" s="60">
        <f t="shared" ref="K901:X901" si="405">IF(AND($C901="B+R",$E901="prace rozwojowe",LataProjekcji&lt;=Koniec_PR,Modul_badawczo_rozwojowy=tak),ROUND(K596,0),0)</f>
        <v>0</v>
      </c>
      <c r="L901" s="60">
        <f t="shared" si="405"/>
        <v>0</v>
      </c>
      <c r="M901" s="60">
        <f t="shared" si="405"/>
        <v>0</v>
      </c>
      <c r="N901" s="60">
        <f t="shared" si="405"/>
        <v>0</v>
      </c>
      <c r="O901" s="60">
        <f t="shared" si="405"/>
        <v>0</v>
      </c>
      <c r="P901" s="60">
        <f t="shared" si="405"/>
        <v>0</v>
      </c>
      <c r="Q901" s="60">
        <f t="shared" si="405"/>
        <v>0</v>
      </c>
      <c r="R901" s="60">
        <f t="shared" si="405"/>
        <v>0</v>
      </c>
      <c r="S901" s="60">
        <f t="shared" si="405"/>
        <v>0</v>
      </c>
      <c r="T901" s="60">
        <f t="shared" si="405"/>
        <v>0</v>
      </c>
      <c r="U901" s="60">
        <f t="shared" si="405"/>
        <v>0</v>
      </c>
      <c r="V901" s="60">
        <f t="shared" si="405"/>
        <v>0</v>
      </c>
      <c r="W901" s="60">
        <f t="shared" si="405"/>
        <v>0</v>
      </c>
      <c r="X901" s="60">
        <f t="shared" si="405"/>
        <v>0</v>
      </c>
    </row>
    <row r="902" spans="2:24" hidden="1">
      <c r="B902" s="59" t="str">
        <f t="shared" si="403"/>
        <v/>
      </c>
      <c r="C902" s="59" t="str">
        <f t="shared" si="403"/>
        <v/>
      </c>
      <c r="D902" s="59" t="str">
        <f t="shared" si="403"/>
        <v/>
      </c>
      <c r="E902" s="59" t="str">
        <f t="shared" si="403"/>
        <v/>
      </c>
      <c r="F902" s="59"/>
      <c r="G902" s="59"/>
      <c r="H902" s="59"/>
      <c r="I902" s="59"/>
      <c r="J902" s="59"/>
      <c r="K902" s="60">
        <f t="shared" ref="K902:X902" si="406">IF(AND($C902="B+R",$E902="prace rozwojowe",LataProjekcji&lt;=Koniec_PR,Modul_badawczo_rozwojowy=tak),ROUND(K597,0),0)</f>
        <v>0</v>
      </c>
      <c r="L902" s="60">
        <f t="shared" si="406"/>
        <v>0</v>
      </c>
      <c r="M902" s="60">
        <f t="shared" si="406"/>
        <v>0</v>
      </c>
      <c r="N902" s="60">
        <f t="shared" si="406"/>
        <v>0</v>
      </c>
      <c r="O902" s="60">
        <f t="shared" si="406"/>
        <v>0</v>
      </c>
      <c r="P902" s="60">
        <f t="shared" si="406"/>
        <v>0</v>
      </c>
      <c r="Q902" s="60">
        <f t="shared" si="406"/>
        <v>0</v>
      </c>
      <c r="R902" s="60">
        <f t="shared" si="406"/>
        <v>0</v>
      </c>
      <c r="S902" s="60">
        <f t="shared" si="406"/>
        <v>0</v>
      </c>
      <c r="T902" s="60">
        <f t="shared" si="406"/>
        <v>0</v>
      </c>
      <c r="U902" s="60">
        <f t="shared" si="406"/>
        <v>0</v>
      </c>
      <c r="V902" s="60">
        <f t="shared" si="406"/>
        <v>0</v>
      </c>
      <c r="W902" s="60">
        <f t="shared" si="406"/>
        <v>0</v>
      </c>
      <c r="X902" s="60">
        <f t="shared" si="406"/>
        <v>0</v>
      </c>
    </row>
    <row r="903" spans="2:24" hidden="1">
      <c r="B903" s="59" t="str">
        <f t="shared" si="403"/>
        <v/>
      </c>
      <c r="C903" s="59" t="str">
        <f t="shared" si="403"/>
        <v/>
      </c>
      <c r="D903" s="59" t="str">
        <f t="shared" si="403"/>
        <v/>
      </c>
      <c r="E903" s="59" t="str">
        <f t="shared" si="403"/>
        <v/>
      </c>
      <c r="F903" s="59"/>
      <c r="G903" s="59"/>
      <c r="H903" s="59"/>
      <c r="I903" s="59"/>
      <c r="J903" s="59"/>
      <c r="K903" s="60">
        <f t="shared" ref="K903:X903" si="407">IF(AND($C903="B+R",$E903="prace rozwojowe",LataProjekcji&lt;=Koniec_PR,Modul_badawczo_rozwojowy=tak),ROUND(K598,0),0)</f>
        <v>0</v>
      </c>
      <c r="L903" s="60">
        <f t="shared" si="407"/>
        <v>0</v>
      </c>
      <c r="M903" s="60">
        <f t="shared" si="407"/>
        <v>0</v>
      </c>
      <c r="N903" s="60">
        <f t="shared" si="407"/>
        <v>0</v>
      </c>
      <c r="O903" s="60">
        <f t="shared" si="407"/>
        <v>0</v>
      </c>
      <c r="P903" s="60">
        <f t="shared" si="407"/>
        <v>0</v>
      </c>
      <c r="Q903" s="60">
        <f t="shared" si="407"/>
        <v>0</v>
      </c>
      <c r="R903" s="60">
        <f t="shared" si="407"/>
        <v>0</v>
      </c>
      <c r="S903" s="60">
        <f t="shared" si="407"/>
        <v>0</v>
      </c>
      <c r="T903" s="60">
        <f t="shared" si="407"/>
        <v>0</v>
      </c>
      <c r="U903" s="60">
        <f t="shared" si="407"/>
        <v>0</v>
      </c>
      <c r="V903" s="60">
        <f t="shared" si="407"/>
        <v>0</v>
      </c>
      <c r="W903" s="60">
        <f t="shared" si="407"/>
        <v>0</v>
      </c>
      <c r="X903" s="60">
        <f t="shared" si="407"/>
        <v>0</v>
      </c>
    </row>
    <row r="904" spans="2:24" hidden="1">
      <c r="B904" s="59" t="str">
        <f t="shared" si="403"/>
        <v/>
      </c>
      <c r="C904" s="59" t="str">
        <f t="shared" si="403"/>
        <v/>
      </c>
      <c r="D904" s="59" t="str">
        <f t="shared" si="403"/>
        <v/>
      </c>
      <c r="E904" s="59" t="str">
        <f t="shared" si="403"/>
        <v/>
      </c>
      <c r="F904" s="59"/>
      <c r="G904" s="59"/>
      <c r="H904" s="59"/>
      <c r="I904" s="59"/>
      <c r="J904" s="59"/>
      <c r="K904" s="60">
        <f t="shared" ref="K904:X904" si="408">IF(AND($C904="B+R",$E904="prace rozwojowe",LataProjekcji&lt;=Koniec_PR,Modul_badawczo_rozwojowy=tak),ROUND(K599,0),0)</f>
        <v>0</v>
      </c>
      <c r="L904" s="60">
        <f t="shared" si="408"/>
        <v>0</v>
      </c>
      <c r="M904" s="60">
        <f t="shared" si="408"/>
        <v>0</v>
      </c>
      <c r="N904" s="60">
        <f t="shared" si="408"/>
        <v>0</v>
      </c>
      <c r="O904" s="60">
        <f t="shared" si="408"/>
        <v>0</v>
      </c>
      <c r="P904" s="60">
        <f t="shared" si="408"/>
        <v>0</v>
      </c>
      <c r="Q904" s="60">
        <f t="shared" si="408"/>
        <v>0</v>
      </c>
      <c r="R904" s="60">
        <f t="shared" si="408"/>
        <v>0</v>
      </c>
      <c r="S904" s="60">
        <f t="shared" si="408"/>
        <v>0</v>
      </c>
      <c r="T904" s="60">
        <f t="shared" si="408"/>
        <v>0</v>
      </c>
      <c r="U904" s="60">
        <f t="shared" si="408"/>
        <v>0</v>
      </c>
      <c r="V904" s="60">
        <f t="shared" si="408"/>
        <v>0</v>
      </c>
      <c r="W904" s="60">
        <f t="shared" si="408"/>
        <v>0</v>
      </c>
      <c r="X904" s="60">
        <f t="shared" si="408"/>
        <v>0</v>
      </c>
    </row>
    <row r="905" spans="2:24" hidden="1">
      <c r="B905" s="20" t="s">
        <v>329</v>
      </c>
      <c r="C905" s="20"/>
      <c r="D905" s="80"/>
      <c r="E905" s="21"/>
      <c r="F905" s="21"/>
      <c r="G905" s="21"/>
      <c r="H905" s="21"/>
      <c r="I905" s="21"/>
      <c r="J905" s="21"/>
      <c r="K905" s="61">
        <f>ROUND(SUM(K900:K904),0)</f>
        <v>0</v>
      </c>
      <c r="L905" s="61">
        <f t="shared" ref="L905:X905" si="409">ROUND(SUM(L900:L904),0)</f>
        <v>0</v>
      </c>
      <c r="M905" s="61">
        <f t="shared" si="409"/>
        <v>0</v>
      </c>
      <c r="N905" s="61">
        <f t="shared" si="409"/>
        <v>0</v>
      </c>
      <c r="O905" s="61">
        <f t="shared" si="409"/>
        <v>0</v>
      </c>
      <c r="P905" s="61">
        <f t="shared" si="409"/>
        <v>0</v>
      </c>
      <c r="Q905" s="61">
        <f t="shared" si="409"/>
        <v>0</v>
      </c>
      <c r="R905" s="61">
        <f t="shared" si="409"/>
        <v>0</v>
      </c>
      <c r="S905" s="61">
        <f t="shared" si="409"/>
        <v>0</v>
      </c>
      <c r="T905" s="61">
        <f t="shared" si="409"/>
        <v>0</v>
      </c>
      <c r="U905" s="61">
        <f t="shared" si="409"/>
        <v>0</v>
      </c>
      <c r="V905" s="61">
        <f t="shared" si="409"/>
        <v>0</v>
      </c>
      <c r="W905" s="61">
        <f t="shared" si="409"/>
        <v>0</v>
      </c>
      <c r="X905" s="61">
        <f t="shared" si="409"/>
        <v>0</v>
      </c>
    </row>
    <row r="906" spans="2:24" hidden="1">
      <c r="B906" s="20"/>
      <c r="C906" s="20"/>
      <c r="D906" s="80"/>
      <c r="E906" s="21"/>
      <c r="F906" s="21"/>
      <c r="G906" s="21"/>
      <c r="H906" s="21"/>
      <c r="I906" s="21"/>
      <c r="J906" s="2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</row>
    <row r="907" spans="2:24" hidden="1">
      <c r="B907" s="20"/>
      <c r="C907" s="20"/>
      <c r="D907" s="80"/>
      <c r="E907" s="21"/>
      <c r="F907" s="21"/>
      <c r="G907" s="21"/>
      <c r="H907" s="21"/>
      <c r="I907" s="21"/>
      <c r="J907" s="2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</row>
    <row r="908" spans="2:24" hidden="1">
      <c r="B908" s="20" t="s">
        <v>352</v>
      </c>
      <c r="C908" s="20"/>
      <c r="D908" s="80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2:24" hidden="1">
      <c r="B909" s="21" t="s">
        <v>332</v>
      </c>
      <c r="C909" s="21"/>
      <c r="D909" s="80"/>
      <c r="E909" s="21"/>
      <c r="F909" s="21"/>
      <c r="G909" s="21"/>
      <c r="H909" s="21"/>
      <c r="I909" s="21"/>
      <c r="J909" s="21"/>
      <c r="K909" s="22">
        <f t="shared" ref="K909:X909" si="410">IF(AND(Modul_badawczo_rozwojowy=nie,LataProjekcji&lt;=Koniec_Projekt),ROUND(K721,0),IF(AND(Modul_badawczo_rozwojowy=tak,LataProjekcji&lt;=Koniec_PR),ROUND(K721,0),0))</f>
        <v>0</v>
      </c>
      <c r="L909" s="22">
        <f t="shared" si="410"/>
        <v>0</v>
      </c>
      <c r="M909" s="22">
        <f t="shared" si="410"/>
        <v>0</v>
      </c>
      <c r="N909" s="22">
        <f t="shared" si="410"/>
        <v>0</v>
      </c>
      <c r="O909" s="22">
        <f t="shared" si="410"/>
        <v>0</v>
      </c>
      <c r="P909" s="22">
        <f t="shared" si="410"/>
        <v>0</v>
      </c>
      <c r="Q909" s="22">
        <f t="shared" si="410"/>
        <v>0</v>
      </c>
      <c r="R909" s="22">
        <f t="shared" si="410"/>
        <v>0</v>
      </c>
      <c r="S909" s="22">
        <f t="shared" si="410"/>
        <v>0</v>
      </c>
      <c r="T909" s="22">
        <f t="shared" si="410"/>
        <v>0</v>
      </c>
      <c r="U909" s="22">
        <f t="shared" si="410"/>
        <v>0</v>
      </c>
      <c r="V909" s="22">
        <f t="shared" si="410"/>
        <v>0</v>
      </c>
      <c r="W909" s="22">
        <f t="shared" si="410"/>
        <v>0</v>
      </c>
      <c r="X909" s="22">
        <f t="shared" si="410"/>
        <v>0</v>
      </c>
    </row>
    <row r="910" spans="2:24" hidden="1">
      <c r="B910" s="21" t="s">
        <v>312</v>
      </c>
      <c r="C910" s="21"/>
      <c r="D910" s="80"/>
      <c r="E910" s="21"/>
      <c r="F910" s="21"/>
      <c r="G910" s="21"/>
      <c r="H910" s="21"/>
      <c r="I910" s="21"/>
      <c r="J910" s="21"/>
      <c r="K910" s="22">
        <f t="shared" ref="K910:X910" si="411">IF(AND(Modul_badawczo_rozwojowy=nie,LataProjekcji&lt;=Koniec_Projekt),ROUND(K745,0),IF(AND(Modul_badawczo_rozwojowy=tak,LataProjekcji&lt;=Koniec_PR),ROUND(K745,0),0))</f>
        <v>0</v>
      </c>
      <c r="L910" s="22">
        <f t="shared" si="411"/>
        <v>0</v>
      </c>
      <c r="M910" s="22">
        <f t="shared" si="411"/>
        <v>0</v>
      </c>
      <c r="N910" s="22">
        <f t="shared" si="411"/>
        <v>0</v>
      </c>
      <c r="O910" s="22">
        <f t="shared" si="411"/>
        <v>0</v>
      </c>
      <c r="P910" s="22">
        <f t="shared" si="411"/>
        <v>0</v>
      </c>
      <c r="Q910" s="22">
        <f t="shared" si="411"/>
        <v>0</v>
      </c>
      <c r="R910" s="22">
        <f t="shared" si="411"/>
        <v>0</v>
      </c>
      <c r="S910" s="22">
        <f t="shared" si="411"/>
        <v>0</v>
      </c>
      <c r="T910" s="22">
        <f t="shared" si="411"/>
        <v>0</v>
      </c>
      <c r="U910" s="22">
        <f t="shared" si="411"/>
        <v>0</v>
      </c>
      <c r="V910" s="22">
        <f t="shared" si="411"/>
        <v>0</v>
      </c>
      <c r="W910" s="22">
        <f t="shared" si="411"/>
        <v>0</v>
      </c>
      <c r="X910" s="22">
        <f t="shared" si="411"/>
        <v>0</v>
      </c>
    </row>
    <row r="911" spans="2:24" hidden="1">
      <c r="B911" s="21" t="s">
        <v>314</v>
      </c>
      <c r="C911" s="21"/>
      <c r="D911" s="80"/>
      <c r="E911" s="21"/>
      <c r="F911" s="21"/>
      <c r="G911" s="21"/>
      <c r="H911" s="21"/>
      <c r="I911" s="21"/>
      <c r="J911" s="21"/>
      <c r="K911" s="22">
        <f t="shared" ref="K911:X911" si="412">IF(AND(Modul_badawczo_rozwojowy=nie,LataProjekcji&lt;=Koniec_Projekt),ROUND(K754,0),IF(AND(Modul_badawczo_rozwojowy=tak,LataProjekcji&lt;=Koniec_PR),ROUND(K754,0),0))</f>
        <v>0</v>
      </c>
      <c r="L911" s="22">
        <f t="shared" si="412"/>
        <v>0</v>
      </c>
      <c r="M911" s="22">
        <f t="shared" si="412"/>
        <v>0</v>
      </c>
      <c r="N911" s="22">
        <f t="shared" si="412"/>
        <v>0</v>
      </c>
      <c r="O911" s="22">
        <f t="shared" si="412"/>
        <v>0</v>
      </c>
      <c r="P911" s="22">
        <f t="shared" si="412"/>
        <v>0</v>
      </c>
      <c r="Q911" s="22">
        <f t="shared" si="412"/>
        <v>0</v>
      </c>
      <c r="R911" s="22">
        <f t="shared" si="412"/>
        <v>0</v>
      </c>
      <c r="S911" s="22">
        <f t="shared" si="412"/>
        <v>0</v>
      </c>
      <c r="T911" s="22">
        <f t="shared" si="412"/>
        <v>0</v>
      </c>
      <c r="U911" s="22">
        <f t="shared" si="412"/>
        <v>0</v>
      </c>
      <c r="V911" s="22">
        <f t="shared" si="412"/>
        <v>0</v>
      </c>
      <c r="W911" s="22">
        <f t="shared" si="412"/>
        <v>0</v>
      </c>
      <c r="X911" s="22">
        <f t="shared" si="412"/>
        <v>0</v>
      </c>
    </row>
    <row r="912" spans="2:24" hidden="1">
      <c r="B912" s="21" t="s">
        <v>333</v>
      </c>
      <c r="C912" s="21"/>
      <c r="D912" s="80"/>
      <c r="E912" s="21"/>
      <c r="F912" s="21"/>
      <c r="G912" s="21"/>
      <c r="H912" s="21"/>
      <c r="I912" s="21"/>
      <c r="J912" s="21"/>
      <c r="K912" s="22">
        <f t="shared" ref="K912:X912" si="413">IF(AND(Modul_badawczo_rozwojowy=nie,LataProjekcji&lt;=Koniec_Projekt),ROUND(K799,0),IF(AND(Modul_badawczo_rozwojowy=tak,LataProjekcji&lt;=Koniec_PR),ROUND(K799,0),0))</f>
        <v>0</v>
      </c>
      <c r="L912" s="22">
        <f t="shared" si="413"/>
        <v>0</v>
      </c>
      <c r="M912" s="22">
        <f t="shared" si="413"/>
        <v>0</v>
      </c>
      <c r="N912" s="22">
        <f t="shared" si="413"/>
        <v>0</v>
      </c>
      <c r="O912" s="22">
        <f t="shared" si="413"/>
        <v>0</v>
      </c>
      <c r="P912" s="22">
        <f t="shared" si="413"/>
        <v>0</v>
      </c>
      <c r="Q912" s="22">
        <f t="shared" si="413"/>
        <v>0</v>
      </c>
      <c r="R912" s="22">
        <f t="shared" si="413"/>
        <v>0</v>
      </c>
      <c r="S912" s="22">
        <f t="shared" si="413"/>
        <v>0</v>
      </c>
      <c r="T912" s="22">
        <f t="shared" si="413"/>
        <v>0</v>
      </c>
      <c r="U912" s="22">
        <f t="shared" si="413"/>
        <v>0</v>
      </c>
      <c r="V912" s="22">
        <f t="shared" si="413"/>
        <v>0</v>
      </c>
      <c r="W912" s="22">
        <f t="shared" si="413"/>
        <v>0</v>
      </c>
      <c r="X912" s="22">
        <f t="shared" si="413"/>
        <v>0</v>
      </c>
    </row>
    <row r="913" spans="1:24" hidden="1">
      <c r="B913" s="21" t="s">
        <v>320</v>
      </c>
      <c r="C913" s="21"/>
      <c r="D913" s="80"/>
      <c r="E913" s="21"/>
      <c r="F913" s="21"/>
      <c r="G913" s="21"/>
      <c r="H913" s="21"/>
      <c r="I913" s="21"/>
      <c r="J913" s="21"/>
      <c r="K913" s="22">
        <f t="shared" ref="K913:X913" si="414">IF(AND(Modul_badawczo_rozwojowy=nie,LataProjekcji&lt;=Koniec_Projekt),ROUND(K844,0),IF(AND(Modul_badawczo_rozwojowy=tak,LataProjekcji&lt;=Koniec_PR),ROUND(K844,0),0))</f>
        <v>0</v>
      </c>
      <c r="L913" s="22">
        <f t="shared" si="414"/>
        <v>0</v>
      </c>
      <c r="M913" s="22">
        <f t="shared" si="414"/>
        <v>0</v>
      </c>
      <c r="N913" s="22">
        <f t="shared" si="414"/>
        <v>0</v>
      </c>
      <c r="O913" s="22">
        <f t="shared" si="414"/>
        <v>0</v>
      </c>
      <c r="P913" s="22">
        <f t="shared" si="414"/>
        <v>0</v>
      </c>
      <c r="Q913" s="22">
        <f t="shared" si="414"/>
        <v>0</v>
      </c>
      <c r="R913" s="22">
        <f t="shared" si="414"/>
        <v>0</v>
      </c>
      <c r="S913" s="22">
        <f t="shared" si="414"/>
        <v>0</v>
      </c>
      <c r="T913" s="22">
        <f t="shared" si="414"/>
        <v>0</v>
      </c>
      <c r="U913" s="22">
        <f t="shared" si="414"/>
        <v>0</v>
      </c>
      <c r="V913" s="22">
        <f t="shared" si="414"/>
        <v>0</v>
      </c>
      <c r="W913" s="22">
        <f t="shared" si="414"/>
        <v>0</v>
      </c>
      <c r="X913" s="22">
        <f t="shared" si="414"/>
        <v>0</v>
      </c>
    </row>
    <row r="914" spans="1:24" hidden="1">
      <c r="B914" s="21" t="s">
        <v>323</v>
      </c>
      <c r="C914" s="21"/>
      <c r="D914" s="80"/>
      <c r="E914" s="21"/>
      <c r="F914" s="21"/>
      <c r="G914" s="21"/>
      <c r="H914" s="21"/>
      <c r="I914" s="21"/>
      <c r="J914" s="21"/>
      <c r="K914" s="22">
        <f t="shared" ref="K914:X914" si="415">IF(AND(Modul_badawczo_rozwojowy=nie,LataProjekcji&lt;=Koniec_Projekt),ROUND(K878,0),IF(AND(Modul_badawczo_rozwojowy=tak,LataProjekcji&lt;=Koniec_PR),ROUND(K878,0),0))</f>
        <v>0</v>
      </c>
      <c r="L914" s="22">
        <f t="shared" si="415"/>
        <v>0</v>
      </c>
      <c r="M914" s="22">
        <f t="shared" si="415"/>
        <v>0</v>
      </c>
      <c r="N914" s="22">
        <f t="shared" si="415"/>
        <v>0</v>
      </c>
      <c r="O914" s="22">
        <f t="shared" si="415"/>
        <v>0</v>
      </c>
      <c r="P914" s="22">
        <f t="shared" si="415"/>
        <v>0</v>
      </c>
      <c r="Q914" s="22">
        <f t="shared" si="415"/>
        <v>0</v>
      </c>
      <c r="R914" s="22">
        <f t="shared" si="415"/>
        <v>0</v>
      </c>
      <c r="S914" s="22">
        <f t="shared" si="415"/>
        <v>0</v>
      </c>
      <c r="T914" s="22">
        <f t="shared" si="415"/>
        <v>0</v>
      </c>
      <c r="U914" s="22">
        <f t="shared" si="415"/>
        <v>0</v>
      </c>
      <c r="V914" s="22">
        <f t="shared" si="415"/>
        <v>0</v>
      </c>
      <c r="W914" s="22">
        <f t="shared" si="415"/>
        <v>0</v>
      </c>
      <c r="X914" s="22">
        <f t="shared" si="415"/>
        <v>0</v>
      </c>
    </row>
    <row r="915" spans="1:24" hidden="1">
      <c r="B915" s="21" t="s">
        <v>334</v>
      </c>
      <c r="C915" s="21"/>
      <c r="D915" s="80"/>
      <c r="E915" s="21"/>
      <c r="F915" s="21"/>
      <c r="G915" s="21"/>
      <c r="H915" s="21"/>
      <c r="I915" s="21"/>
      <c r="J915" s="21"/>
      <c r="K915" s="22">
        <f t="shared" ref="K915:X915" si="416">IF(AND(Modul_badawczo_rozwojowy=nie,LataProjekcji&lt;=Koniec_Projekt),ROUND(K887,0),IF(AND(Modul_badawczo_rozwojowy=tak,LataProjekcji&lt;=Koniec_PR),ROUND(K887,0),0))</f>
        <v>0</v>
      </c>
      <c r="L915" s="22">
        <f t="shared" si="416"/>
        <v>0</v>
      </c>
      <c r="M915" s="22">
        <f t="shared" si="416"/>
        <v>0</v>
      </c>
      <c r="N915" s="22">
        <f t="shared" si="416"/>
        <v>0</v>
      </c>
      <c r="O915" s="22">
        <f t="shared" si="416"/>
        <v>0</v>
      </c>
      <c r="P915" s="22">
        <f t="shared" si="416"/>
        <v>0</v>
      </c>
      <c r="Q915" s="22">
        <f t="shared" si="416"/>
        <v>0</v>
      </c>
      <c r="R915" s="22">
        <f t="shared" si="416"/>
        <v>0</v>
      </c>
      <c r="S915" s="22">
        <f t="shared" si="416"/>
        <v>0</v>
      </c>
      <c r="T915" s="22">
        <f t="shared" si="416"/>
        <v>0</v>
      </c>
      <c r="U915" s="22">
        <f t="shared" si="416"/>
        <v>0</v>
      </c>
      <c r="V915" s="22">
        <f t="shared" si="416"/>
        <v>0</v>
      </c>
      <c r="W915" s="22">
        <f t="shared" si="416"/>
        <v>0</v>
      </c>
      <c r="X915" s="22">
        <f t="shared" si="416"/>
        <v>0</v>
      </c>
    </row>
    <row r="916" spans="1:24" hidden="1">
      <c r="B916" s="21" t="s">
        <v>325</v>
      </c>
      <c r="C916" s="21"/>
      <c r="D916" s="80"/>
      <c r="E916" s="21"/>
      <c r="F916" s="21"/>
      <c r="G916" s="21"/>
      <c r="H916" s="21"/>
      <c r="I916" s="21"/>
      <c r="J916" s="21"/>
      <c r="K916" s="22">
        <f t="shared" ref="K916:X916" si="417">IF(AND(Modul_badawczo_rozwojowy=nie,LataProjekcji&lt;=Koniec_Projekt),ROUND(K896,0),IF(AND(Modul_badawczo_rozwojowy=tak,LataProjekcji&lt;=Koniec_PR),ROUND(K896,0),0))</f>
        <v>0</v>
      </c>
      <c r="L916" s="22">
        <f t="shared" si="417"/>
        <v>0</v>
      </c>
      <c r="M916" s="22">
        <f t="shared" si="417"/>
        <v>0</v>
      </c>
      <c r="N916" s="22">
        <f t="shared" si="417"/>
        <v>0</v>
      </c>
      <c r="O916" s="22">
        <f t="shared" si="417"/>
        <v>0</v>
      </c>
      <c r="P916" s="22">
        <f t="shared" si="417"/>
        <v>0</v>
      </c>
      <c r="Q916" s="22">
        <f t="shared" si="417"/>
        <v>0</v>
      </c>
      <c r="R916" s="22">
        <f t="shared" si="417"/>
        <v>0</v>
      </c>
      <c r="S916" s="22">
        <f t="shared" si="417"/>
        <v>0</v>
      </c>
      <c r="T916" s="22">
        <f t="shared" si="417"/>
        <v>0</v>
      </c>
      <c r="U916" s="22">
        <f t="shared" si="417"/>
        <v>0</v>
      </c>
      <c r="V916" s="22">
        <f t="shared" si="417"/>
        <v>0</v>
      </c>
      <c r="W916" s="22">
        <f t="shared" si="417"/>
        <v>0</v>
      </c>
      <c r="X916" s="22">
        <f t="shared" si="417"/>
        <v>0</v>
      </c>
    </row>
    <row r="917" spans="1:24" hidden="1">
      <c r="B917" s="21" t="s">
        <v>327</v>
      </c>
      <c r="C917" s="21"/>
      <c r="D917" s="80"/>
      <c r="E917" s="21"/>
      <c r="F917" s="21"/>
      <c r="G917" s="21"/>
      <c r="H917" s="21"/>
      <c r="I917" s="21"/>
      <c r="J917" s="21"/>
      <c r="K917" s="22">
        <f t="shared" ref="K917:X917" si="418">IF(AND(Modul_badawczo_rozwojowy=nie,LataProjekcji&lt;=Koniec_Projekt),ROUND(K905,0),IF(AND(Modul_badawczo_rozwojowy=tak,LataProjekcji&lt;=Koniec_PR),ROUND(K905,0),0))</f>
        <v>0</v>
      </c>
      <c r="L917" s="22">
        <f t="shared" si="418"/>
        <v>0</v>
      </c>
      <c r="M917" s="22">
        <f t="shared" si="418"/>
        <v>0</v>
      </c>
      <c r="N917" s="22">
        <f t="shared" si="418"/>
        <v>0</v>
      </c>
      <c r="O917" s="22">
        <f t="shared" si="418"/>
        <v>0</v>
      </c>
      <c r="P917" s="22">
        <f t="shared" si="418"/>
        <v>0</v>
      </c>
      <c r="Q917" s="22">
        <f t="shared" si="418"/>
        <v>0</v>
      </c>
      <c r="R917" s="22">
        <f t="shared" si="418"/>
        <v>0</v>
      </c>
      <c r="S917" s="22">
        <f t="shared" si="418"/>
        <v>0</v>
      </c>
      <c r="T917" s="22">
        <f t="shared" si="418"/>
        <v>0</v>
      </c>
      <c r="U917" s="22">
        <f t="shared" si="418"/>
        <v>0</v>
      </c>
      <c r="V917" s="22">
        <f t="shared" si="418"/>
        <v>0</v>
      </c>
      <c r="W917" s="22">
        <f t="shared" si="418"/>
        <v>0</v>
      </c>
      <c r="X917" s="22">
        <f t="shared" si="418"/>
        <v>0</v>
      </c>
    </row>
    <row r="918" spans="1:24" hidden="1">
      <c r="B918" s="65" t="s">
        <v>335</v>
      </c>
      <c r="C918" s="65"/>
      <c r="D918" s="83"/>
      <c r="E918" s="58"/>
      <c r="F918" s="58"/>
      <c r="G918" s="58"/>
      <c r="H918" s="58"/>
      <c r="I918" s="58"/>
      <c r="J918" s="58"/>
      <c r="K918" s="66">
        <f>ROUND(SUM(K909:K917),0)</f>
        <v>0</v>
      </c>
      <c r="L918" s="66">
        <f t="shared" ref="L918:X918" si="419">ROUND(SUM(L909:L917),0)</f>
        <v>0</v>
      </c>
      <c r="M918" s="66">
        <f t="shared" si="419"/>
        <v>0</v>
      </c>
      <c r="N918" s="66">
        <f t="shared" si="419"/>
        <v>0</v>
      </c>
      <c r="O918" s="66">
        <f t="shared" si="419"/>
        <v>0</v>
      </c>
      <c r="P918" s="66">
        <f t="shared" si="419"/>
        <v>0</v>
      </c>
      <c r="Q918" s="66">
        <f t="shared" si="419"/>
        <v>0</v>
      </c>
      <c r="R918" s="66">
        <f t="shared" si="419"/>
        <v>0</v>
      </c>
      <c r="S918" s="66">
        <f t="shared" si="419"/>
        <v>0</v>
      </c>
      <c r="T918" s="66">
        <f t="shared" si="419"/>
        <v>0</v>
      </c>
      <c r="U918" s="66">
        <f t="shared" si="419"/>
        <v>0</v>
      </c>
      <c r="V918" s="66">
        <f t="shared" si="419"/>
        <v>0</v>
      </c>
      <c r="W918" s="66">
        <f t="shared" si="419"/>
        <v>0</v>
      </c>
      <c r="X918" s="66">
        <f t="shared" si="419"/>
        <v>0</v>
      </c>
    </row>
    <row r="919" spans="1:24" hidden="1">
      <c r="B919" s="58"/>
      <c r="C919" s="58"/>
      <c r="D919" s="83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</row>
    <row r="920" spans="1:24" hidden="1">
      <c r="B920" s="67"/>
      <c r="C920" s="67"/>
      <c r="D920" s="84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</row>
    <row r="921" spans="1:24" hidden="1">
      <c r="B921" s="67"/>
      <c r="C921" s="67"/>
      <c r="D921" s="84"/>
      <c r="E921" s="67"/>
      <c r="F921" s="67"/>
      <c r="G921" s="67"/>
      <c r="H921" s="67"/>
      <c r="I921" s="67"/>
      <c r="J921" s="67"/>
      <c r="K921" s="64" t="str">
        <f t="shared" ref="K921:X921" si="420">LataProjekcji</f>
        <v>Uzupełnij dane</v>
      </c>
      <c r="L921" s="64" t="str">
        <f t="shared" si="420"/>
        <v/>
      </c>
      <c r="M921" s="64" t="str">
        <f t="shared" si="420"/>
        <v/>
      </c>
      <c r="N921" s="64" t="str">
        <f t="shared" si="420"/>
        <v/>
      </c>
      <c r="O921" s="64" t="str">
        <f t="shared" si="420"/>
        <v/>
      </c>
      <c r="P921" s="64" t="str">
        <f t="shared" si="420"/>
        <v/>
      </c>
      <c r="Q921" s="64" t="str">
        <f t="shared" si="420"/>
        <v/>
      </c>
      <c r="R921" s="64" t="str">
        <f t="shared" si="420"/>
        <v/>
      </c>
      <c r="S921" s="64" t="str">
        <f t="shared" si="420"/>
        <v/>
      </c>
      <c r="T921" s="64" t="str">
        <f t="shared" si="420"/>
        <v/>
      </c>
      <c r="U921" s="64" t="str">
        <f t="shared" si="420"/>
        <v/>
      </c>
      <c r="V921" s="64" t="str">
        <f t="shared" si="420"/>
        <v/>
      </c>
      <c r="W921" s="64" t="str">
        <f t="shared" si="420"/>
        <v/>
      </c>
      <c r="X921" s="64" t="str">
        <f t="shared" si="420"/>
        <v/>
      </c>
    </row>
    <row r="922" spans="1:24" hidden="1">
      <c r="B922" s="67"/>
      <c r="C922" s="67"/>
      <c r="D922" s="84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</row>
    <row r="923" spans="1:24" hidden="1">
      <c r="B923" s="68" t="s">
        <v>353</v>
      </c>
      <c r="C923" s="68"/>
      <c r="D923" s="84"/>
      <c r="E923" s="67"/>
      <c r="F923" s="67"/>
      <c r="G923" s="67"/>
      <c r="H923" s="67"/>
      <c r="I923" s="67"/>
      <c r="J923" s="67"/>
      <c r="K923" s="66">
        <f>ROUND(K918,0)</f>
        <v>0</v>
      </c>
      <c r="L923" s="66">
        <f>ROUND(K923+L918,0)</f>
        <v>0</v>
      </c>
      <c r="M923" s="66">
        <f t="shared" ref="M923:X923" si="421">ROUND(L923+M918,0)</f>
        <v>0</v>
      </c>
      <c r="N923" s="66">
        <f t="shared" si="421"/>
        <v>0</v>
      </c>
      <c r="O923" s="66">
        <f t="shared" si="421"/>
        <v>0</v>
      </c>
      <c r="P923" s="66">
        <f t="shared" si="421"/>
        <v>0</v>
      </c>
      <c r="Q923" s="66">
        <f t="shared" si="421"/>
        <v>0</v>
      </c>
      <c r="R923" s="66">
        <f t="shared" si="421"/>
        <v>0</v>
      </c>
      <c r="S923" s="66">
        <f t="shared" si="421"/>
        <v>0</v>
      </c>
      <c r="T923" s="66">
        <f t="shared" si="421"/>
        <v>0</v>
      </c>
      <c r="U923" s="66">
        <f t="shared" si="421"/>
        <v>0</v>
      </c>
      <c r="V923" s="66">
        <f t="shared" si="421"/>
        <v>0</v>
      </c>
      <c r="W923" s="66">
        <f t="shared" si="421"/>
        <v>0</v>
      </c>
      <c r="X923" s="66">
        <f t="shared" si="421"/>
        <v>0</v>
      </c>
    </row>
    <row r="924" spans="1:24" hidden="1">
      <c r="B924" s="67"/>
      <c r="C924" s="67"/>
      <c r="D924" s="84"/>
      <c r="E924" s="67" t="s">
        <v>354</v>
      </c>
      <c r="F924" s="67" t="s">
        <v>355</v>
      </c>
      <c r="G924" s="67" t="s">
        <v>356</v>
      </c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</row>
    <row r="925" spans="1:24" hidden="1">
      <c r="B925" s="67" t="s">
        <v>357</v>
      </c>
      <c r="C925" s="67"/>
      <c r="D925" s="84">
        <f>Poczatek</f>
        <v>0</v>
      </c>
      <c r="E925" s="67" t="e">
        <f>MATCH($D925,$A$921:$X$921,0)</f>
        <v>#N/A</v>
      </c>
      <c r="F925" s="67">
        <f>ROW($K$918)</f>
        <v>918</v>
      </c>
      <c r="G925" s="67" t="e">
        <f>ADDRESS(F925,E925)</f>
        <v>#N/A</v>
      </c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</row>
    <row r="926" spans="1:24" hidden="1">
      <c r="A926" s="259"/>
      <c r="B926" s="494" t="s">
        <v>777</v>
      </c>
      <c r="C926" s="67"/>
      <c r="D926" s="493">
        <f>Koniec_PR</f>
        <v>0</v>
      </c>
      <c r="E926" s="67" t="e">
        <f>MATCH($D926,$A$921:$X$921,0)</f>
        <v>#N/A</v>
      </c>
      <c r="F926" s="67">
        <f>ROW($K$918)</f>
        <v>918</v>
      </c>
      <c r="G926" s="67" t="e">
        <f>ADDRESS(F926,E926)</f>
        <v>#N/A</v>
      </c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</row>
    <row r="927" spans="1:24" hidden="1">
      <c r="B927" s="67"/>
      <c r="C927" s="67"/>
      <c r="D927" s="84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</row>
    <row r="928" spans="1:24" hidden="1">
      <c r="B928" s="67" t="s">
        <v>359</v>
      </c>
      <c r="C928" s="67"/>
      <c r="D928" s="84"/>
      <c r="E928" s="67"/>
      <c r="F928" s="67"/>
      <c r="G928" s="67"/>
      <c r="H928" s="67"/>
      <c r="I928" s="67"/>
      <c r="J928" s="67"/>
      <c r="K928" s="69">
        <f t="shared" ref="K928:X928" si="422">IF(AND(LataProjekcji&lt;=Koniec_PR,Modul_badawczo_rozwojowy=tak),K918,0)</f>
        <v>0</v>
      </c>
      <c r="L928" s="69">
        <f t="shared" si="422"/>
        <v>0</v>
      </c>
      <c r="M928" s="69">
        <f t="shared" si="422"/>
        <v>0</v>
      </c>
      <c r="N928" s="69">
        <f t="shared" si="422"/>
        <v>0</v>
      </c>
      <c r="O928" s="69">
        <f t="shared" si="422"/>
        <v>0</v>
      </c>
      <c r="P928" s="69">
        <f t="shared" si="422"/>
        <v>0</v>
      </c>
      <c r="Q928" s="69">
        <f t="shared" si="422"/>
        <v>0</v>
      </c>
      <c r="R928" s="69">
        <f t="shared" si="422"/>
        <v>0</v>
      </c>
      <c r="S928" s="69">
        <f t="shared" si="422"/>
        <v>0</v>
      </c>
      <c r="T928" s="69">
        <f t="shared" si="422"/>
        <v>0</v>
      </c>
      <c r="U928" s="69">
        <f t="shared" si="422"/>
        <v>0</v>
      </c>
      <c r="V928" s="69">
        <f t="shared" si="422"/>
        <v>0</v>
      </c>
      <c r="W928" s="69">
        <f t="shared" si="422"/>
        <v>0</v>
      </c>
      <c r="X928" s="69">
        <f t="shared" si="422"/>
        <v>0</v>
      </c>
    </row>
    <row r="929" spans="1:24" hidden="1">
      <c r="A929" s="259"/>
      <c r="B929" s="70" t="s">
        <v>727</v>
      </c>
      <c r="C929" s="70"/>
      <c r="D929" s="85"/>
      <c r="E929" s="70"/>
      <c r="F929" s="70"/>
      <c r="G929" s="70"/>
      <c r="H929" s="70"/>
      <c r="I929" s="70"/>
      <c r="J929" s="70"/>
      <c r="K929" s="71">
        <f t="shared" ref="K929:X929" si="423">IF(AND(LataProjekcji&lt;(Koniec_PR-1),Modul_badawczo_rozwojowy=tak),(K928+J929),0)</f>
        <v>0</v>
      </c>
      <c r="L929" s="71">
        <f t="shared" si="423"/>
        <v>0</v>
      </c>
      <c r="M929" s="71">
        <f t="shared" si="423"/>
        <v>0</v>
      </c>
      <c r="N929" s="71">
        <f t="shared" si="423"/>
        <v>0</v>
      </c>
      <c r="O929" s="71">
        <f t="shared" si="423"/>
        <v>0</v>
      </c>
      <c r="P929" s="71">
        <f t="shared" si="423"/>
        <v>0</v>
      </c>
      <c r="Q929" s="71">
        <f t="shared" si="423"/>
        <v>0</v>
      </c>
      <c r="R929" s="71">
        <f t="shared" si="423"/>
        <v>0</v>
      </c>
      <c r="S929" s="71">
        <f t="shared" si="423"/>
        <v>0</v>
      </c>
      <c r="T929" s="71">
        <f t="shared" si="423"/>
        <v>0</v>
      </c>
      <c r="U929" s="71">
        <f t="shared" si="423"/>
        <v>0</v>
      </c>
      <c r="V929" s="71">
        <f t="shared" si="423"/>
        <v>0</v>
      </c>
      <c r="W929" s="71">
        <f t="shared" si="423"/>
        <v>0</v>
      </c>
      <c r="X929" s="71">
        <f t="shared" si="423"/>
        <v>0</v>
      </c>
    </row>
    <row r="930" spans="1:24" hidden="1">
      <c r="A930" s="259"/>
      <c r="B930" s="448" t="s">
        <v>728</v>
      </c>
      <c r="C930" s="448"/>
      <c r="D930" s="449"/>
      <c r="E930" s="448"/>
      <c r="F930" s="448"/>
      <c r="G930" s="448"/>
      <c r="H930" s="448"/>
      <c r="I930" s="448"/>
      <c r="J930" s="448"/>
      <c r="K930" s="450">
        <f t="shared" ref="K930:X930" si="424">IF(AND(Modul_badawczo_rozwojowy=tak,K921=(Koniec_PR-1)),K923,0)</f>
        <v>0</v>
      </c>
      <c r="L930" s="450">
        <f t="shared" si="424"/>
        <v>0</v>
      </c>
      <c r="M930" s="450">
        <f t="shared" si="424"/>
        <v>0</v>
      </c>
      <c r="N930" s="450">
        <f t="shared" si="424"/>
        <v>0</v>
      </c>
      <c r="O930" s="450">
        <f t="shared" si="424"/>
        <v>0</v>
      </c>
      <c r="P930" s="450">
        <f t="shared" si="424"/>
        <v>0</v>
      </c>
      <c r="Q930" s="450">
        <f t="shared" si="424"/>
        <v>0</v>
      </c>
      <c r="R930" s="450">
        <f t="shared" si="424"/>
        <v>0</v>
      </c>
      <c r="S930" s="450">
        <f t="shared" si="424"/>
        <v>0</v>
      </c>
      <c r="T930" s="450">
        <f t="shared" si="424"/>
        <v>0</v>
      </c>
      <c r="U930" s="450">
        <f t="shared" si="424"/>
        <v>0</v>
      </c>
      <c r="V930" s="450">
        <f t="shared" si="424"/>
        <v>0</v>
      </c>
      <c r="W930" s="450">
        <f t="shared" si="424"/>
        <v>0</v>
      </c>
      <c r="X930" s="450">
        <f t="shared" si="424"/>
        <v>0</v>
      </c>
    </row>
    <row r="931" spans="1:24" hidden="1">
      <c r="A931" s="259"/>
      <c r="B931" s="70" t="s">
        <v>361</v>
      </c>
      <c r="C931" s="70"/>
      <c r="D931" s="85"/>
      <c r="E931" s="70"/>
      <c r="F931" s="70"/>
      <c r="G931" s="70"/>
      <c r="H931" s="70"/>
      <c r="I931" s="70"/>
      <c r="J931" s="70"/>
      <c r="K931" s="71">
        <f t="shared" ref="K931:X931" si="425">IF(AND(Modul_badawczo_rozwojowy=tak,K921=Koniec_PR),K923,0)</f>
        <v>0</v>
      </c>
      <c r="L931" s="71">
        <f t="shared" si="425"/>
        <v>0</v>
      </c>
      <c r="M931" s="71">
        <f t="shared" si="425"/>
        <v>0</v>
      </c>
      <c r="N931" s="71">
        <f t="shared" si="425"/>
        <v>0</v>
      </c>
      <c r="O931" s="71">
        <f t="shared" si="425"/>
        <v>0</v>
      </c>
      <c r="P931" s="71">
        <f t="shared" si="425"/>
        <v>0</v>
      </c>
      <c r="Q931" s="71">
        <f t="shared" si="425"/>
        <v>0</v>
      </c>
      <c r="R931" s="71">
        <f t="shared" si="425"/>
        <v>0</v>
      </c>
      <c r="S931" s="71">
        <f t="shared" si="425"/>
        <v>0</v>
      </c>
      <c r="T931" s="71">
        <f t="shared" si="425"/>
        <v>0</v>
      </c>
      <c r="U931" s="71">
        <f t="shared" si="425"/>
        <v>0</v>
      </c>
      <c r="V931" s="71">
        <f t="shared" si="425"/>
        <v>0</v>
      </c>
      <c r="W931" s="71">
        <f t="shared" si="425"/>
        <v>0</v>
      </c>
      <c r="X931" s="71">
        <f t="shared" si="425"/>
        <v>0</v>
      </c>
    </row>
    <row r="932" spans="1:24" hidden="1">
      <c r="B932" s="62"/>
      <c r="C932" s="62"/>
      <c r="D932" s="86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</row>
    <row r="933" spans="1:24" hidden="1">
      <c r="B933" s="62"/>
      <c r="C933" s="62"/>
      <c r="D933" s="86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</row>
    <row r="934" spans="1:24" hidden="1">
      <c r="B934" s="62"/>
      <c r="C934" s="62"/>
      <c r="D934" s="86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</row>
    <row r="935" spans="1:24" hidden="1">
      <c r="B935" s="62"/>
      <c r="C935" s="62"/>
      <c r="D935" s="86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</row>
    <row r="936" spans="1:24" hidden="1">
      <c r="B936" s="62" t="e">
        <f ca="1">_xlfn.FORMULATEXT(K701)</f>
        <v>#N/A</v>
      </c>
      <c r="C936" s="62"/>
      <c r="D936" s="86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</row>
    <row r="937" spans="1:24" hidden="1">
      <c r="B937" s="62"/>
      <c r="C937" s="62"/>
      <c r="D937" s="86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</row>
    <row r="938" spans="1:24" hidden="1">
      <c r="B938" s="62"/>
      <c r="C938" s="62"/>
      <c r="D938" s="86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</row>
    <row r="939" spans="1:24" hidden="1">
      <c r="B939" s="62"/>
      <c r="C939" s="62"/>
      <c r="D939" s="86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</row>
    <row r="940" spans="1:24" hidden="1">
      <c r="B940" s="127" t="s">
        <v>676</v>
      </c>
      <c r="C940" s="127"/>
      <c r="D940" s="138" t="s">
        <v>336</v>
      </c>
      <c r="E940" s="127" t="s">
        <v>337</v>
      </c>
      <c r="F940" s="129"/>
      <c r="G940" s="129"/>
      <c r="H940" s="129"/>
      <c r="I940" s="129"/>
      <c r="J940" s="129"/>
      <c r="K940" s="130" t="str">
        <f t="shared" ref="K940:X940" si="426">LataProjekcji</f>
        <v>Uzupełnij dane</v>
      </c>
      <c r="L940" s="130" t="str">
        <f t="shared" si="426"/>
        <v/>
      </c>
      <c r="M940" s="130" t="str">
        <f t="shared" si="426"/>
        <v/>
      </c>
      <c r="N940" s="130" t="str">
        <f t="shared" si="426"/>
        <v/>
      </c>
      <c r="O940" s="130" t="str">
        <f t="shared" si="426"/>
        <v/>
      </c>
      <c r="P940" s="130" t="str">
        <f t="shared" si="426"/>
        <v/>
      </c>
      <c r="Q940" s="130" t="str">
        <f t="shared" si="426"/>
        <v/>
      </c>
      <c r="R940" s="130" t="str">
        <f t="shared" si="426"/>
        <v/>
      </c>
      <c r="S940" s="130" t="str">
        <f t="shared" si="426"/>
        <v/>
      </c>
      <c r="T940" s="130" t="str">
        <f t="shared" si="426"/>
        <v/>
      </c>
      <c r="U940" s="130" t="str">
        <f t="shared" si="426"/>
        <v/>
      </c>
      <c r="V940" s="130" t="str">
        <f t="shared" si="426"/>
        <v/>
      </c>
      <c r="W940" s="130" t="str">
        <f t="shared" si="426"/>
        <v/>
      </c>
      <c r="X940" s="130" t="str">
        <f t="shared" si="426"/>
        <v/>
      </c>
    </row>
    <row r="941" spans="1:24" hidden="1">
      <c r="B941" s="131"/>
      <c r="C941" s="131"/>
      <c r="D941" s="132"/>
      <c r="E941" s="131"/>
      <c r="F941" s="131"/>
      <c r="G941" s="131"/>
      <c r="H941" s="131"/>
      <c r="I941" s="131"/>
      <c r="J941" s="131"/>
      <c r="K941" s="131"/>
      <c r="L941" s="131"/>
      <c r="M941" s="131"/>
      <c r="N941" s="131"/>
      <c r="O941" s="131"/>
      <c r="P941" s="131"/>
      <c r="Q941" s="131"/>
      <c r="R941" s="131"/>
      <c r="S941" s="131"/>
      <c r="T941" s="131"/>
      <c r="U941" s="131"/>
      <c r="V941" s="131"/>
      <c r="W941" s="131"/>
      <c r="X941" s="131"/>
    </row>
    <row r="942" spans="1:24" hidden="1">
      <c r="B942" s="127" t="s">
        <v>338</v>
      </c>
      <c r="C942" s="127"/>
      <c r="D942" s="128"/>
      <c r="E942" s="129"/>
      <c r="F942" s="129"/>
      <c r="G942" s="129"/>
      <c r="H942" s="129"/>
      <c r="I942" s="129"/>
      <c r="J942" s="129"/>
      <c r="K942" s="129"/>
      <c r="L942" s="129"/>
      <c r="M942" s="129"/>
      <c r="N942" s="129"/>
      <c r="O942" s="129"/>
      <c r="P942" s="129"/>
      <c r="Q942" s="129"/>
      <c r="R942" s="129"/>
      <c r="S942" s="129"/>
      <c r="T942" s="129"/>
      <c r="U942" s="129"/>
      <c r="V942" s="129"/>
      <c r="W942" s="129"/>
      <c r="X942" s="129"/>
    </row>
    <row r="943" spans="1:24" hidden="1">
      <c r="A943" s="259"/>
      <c r="B943" s="133">
        <f t="shared" ref="B943:E962" si="427">B117</f>
        <v>0</v>
      </c>
      <c r="C943" s="133">
        <f t="shared" si="427"/>
        <v>0</v>
      </c>
      <c r="D943" s="133">
        <f t="shared" si="427"/>
        <v>0</v>
      </c>
      <c r="E943" s="133">
        <f t="shared" si="427"/>
        <v>0</v>
      </c>
      <c r="F943" s="133"/>
      <c r="G943" s="133"/>
      <c r="H943" s="133"/>
      <c r="I943" s="133"/>
      <c r="J943" s="133"/>
      <c r="K943" s="135">
        <f t="shared" ref="K943:X943" si="428">IF(AND($C943="B+R",$D943="nie",$E943="prace rozwojowe",LataProjekcji&lt;=Koniec_PR,Modul_badawczo_rozwojowy=tak),ROUND(K117,0),0)</f>
        <v>0</v>
      </c>
      <c r="L943" s="135">
        <f t="shared" si="428"/>
        <v>0</v>
      </c>
      <c r="M943" s="135">
        <f t="shared" si="428"/>
        <v>0</v>
      </c>
      <c r="N943" s="135">
        <f t="shared" si="428"/>
        <v>0</v>
      </c>
      <c r="O943" s="135">
        <f t="shared" si="428"/>
        <v>0</v>
      </c>
      <c r="P943" s="135">
        <f t="shared" si="428"/>
        <v>0</v>
      </c>
      <c r="Q943" s="135">
        <f t="shared" si="428"/>
        <v>0</v>
      </c>
      <c r="R943" s="135">
        <f t="shared" si="428"/>
        <v>0</v>
      </c>
      <c r="S943" s="135">
        <f t="shared" si="428"/>
        <v>0</v>
      </c>
      <c r="T943" s="135">
        <f t="shared" si="428"/>
        <v>0</v>
      </c>
      <c r="U943" s="135">
        <f t="shared" si="428"/>
        <v>0</v>
      </c>
      <c r="V943" s="135">
        <f t="shared" si="428"/>
        <v>0</v>
      </c>
      <c r="W943" s="135">
        <f t="shared" si="428"/>
        <v>0</v>
      </c>
      <c r="X943" s="135">
        <f t="shared" si="428"/>
        <v>0</v>
      </c>
    </row>
    <row r="944" spans="1:24" hidden="1">
      <c r="A944" s="259"/>
      <c r="B944" s="133">
        <f t="shared" si="427"/>
        <v>0</v>
      </c>
      <c r="C944" s="133">
        <f t="shared" si="427"/>
        <v>0</v>
      </c>
      <c r="D944" s="133">
        <f t="shared" si="427"/>
        <v>0</v>
      </c>
      <c r="E944" s="133">
        <f t="shared" si="427"/>
        <v>0</v>
      </c>
      <c r="F944" s="133"/>
      <c r="G944" s="133"/>
      <c r="H944" s="133"/>
      <c r="I944" s="133"/>
      <c r="J944" s="133"/>
      <c r="K944" s="135">
        <f t="shared" ref="K944:X944" si="429">IF(AND($C944="B+R",$D944="nie",$E944="prace rozwojowe",LataProjekcji&lt;=Koniec_PR,Modul_badawczo_rozwojowy=tak),ROUND(K118,0),0)</f>
        <v>0</v>
      </c>
      <c r="L944" s="135">
        <f t="shared" si="429"/>
        <v>0</v>
      </c>
      <c r="M944" s="135">
        <f t="shared" si="429"/>
        <v>0</v>
      </c>
      <c r="N944" s="135">
        <f t="shared" si="429"/>
        <v>0</v>
      </c>
      <c r="O944" s="135">
        <f t="shared" si="429"/>
        <v>0</v>
      </c>
      <c r="P944" s="135">
        <f t="shared" si="429"/>
        <v>0</v>
      </c>
      <c r="Q944" s="135">
        <f t="shared" si="429"/>
        <v>0</v>
      </c>
      <c r="R944" s="135">
        <f t="shared" si="429"/>
        <v>0</v>
      </c>
      <c r="S944" s="135">
        <f t="shared" si="429"/>
        <v>0</v>
      </c>
      <c r="T944" s="135">
        <f t="shared" si="429"/>
        <v>0</v>
      </c>
      <c r="U944" s="135">
        <f t="shared" si="429"/>
        <v>0</v>
      </c>
      <c r="V944" s="135">
        <f t="shared" si="429"/>
        <v>0</v>
      </c>
      <c r="W944" s="135">
        <f t="shared" si="429"/>
        <v>0</v>
      </c>
      <c r="X944" s="135">
        <f t="shared" si="429"/>
        <v>0</v>
      </c>
    </row>
    <row r="945" spans="1:24" hidden="1">
      <c r="A945" s="259"/>
      <c r="B945" s="133">
        <f t="shared" si="427"/>
        <v>0</v>
      </c>
      <c r="C945" s="133">
        <f t="shared" si="427"/>
        <v>0</v>
      </c>
      <c r="D945" s="133">
        <f t="shared" si="427"/>
        <v>0</v>
      </c>
      <c r="E945" s="133">
        <f t="shared" si="427"/>
        <v>0</v>
      </c>
      <c r="F945" s="133"/>
      <c r="G945" s="133"/>
      <c r="H945" s="133"/>
      <c r="I945" s="133"/>
      <c r="J945" s="133"/>
      <c r="K945" s="135">
        <f t="shared" ref="K945:X945" si="430">IF(AND($C945="B+R",$D945="nie",$E945="prace rozwojowe",LataProjekcji&lt;=Koniec_PR,Modul_badawczo_rozwojowy=tak),ROUND(K119,0),0)</f>
        <v>0</v>
      </c>
      <c r="L945" s="135">
        <f t="shared" si="430"/>
        <v>0</v>
      </c>
      <c r="M945" s="135">
        <f t="shared" si="430"/>
        <v>0</v>
      </c>
      <c r="N945" s="135">
        <f t="shared" si="430"/>
        <v>0</v>
      </c>
      <c r="O945" s="135">
        <f t="shared" si="430"/>
        <v>0</v>
      </c>
      <c r="P945" s="135">
        <f t="shared" si="430"/>
        <v>0</v>
      </c>
      <c r="Q945" s="135">
        <f t="shared" si="430"/>
        <v>0</v>
      </c>
      <c r="R945" s="135">
        <f t="shared" si="430"/>
        <v>0</v>
      </c>
      <c r="S945" s="135">
        <f t="shared" si="430"/>
        <v>0</v>
      </c>
      <c r="T945" s="135">
        <f t="shared" si="430"/>
        <v>0</v>
      </c>
      <c r="U945" s="135">
        <f t="shared" si="430"/>
        <v>0</v>
      </c>
      <c r="V945" s="135">
        <f t="shared" si="430"/>
        <v>0</v>
      </c>
      <c r="W945" s="135">
        <f t="shared" si="430"/>
        <v>0</v>
      </c>
      <c r="X945" s="135">
        <f t="shared" si="430"/>
        <v>0</v>
      </c>
    </row>
    <row r="946" spans="1:24" hidden="1">
      <c r="A946" s="259"/>
      <c r="B946" s="133">
        <f t="shared" si="427"/>
        <v>0</v>
      </c>
      <c r="C946" s="133">
        <f t="shared" si="427"/>
        <v>0</v>
      </c>
      <c r="D946" s="133">
        <f t="shared" si="427"/>
        <v>0</v>
      </c>
      <c r="E946" s="133">
        <f t="shared" si="427"/>
        <v>0</v>
      </c>
      <c r="F946" s="133"/>
      <c r="G946" s="133"/>
      <c r="H946" s="133"/>
      <c r="I946" s="133"/>
      <c r="J946" s="133"/>
      <c r="K946" s="135">
        <f t="shared" ref="K946:X946" si="431">IF(AND($C946="B+R",$D946="nie",$E946="prace rozwojowe",LataProjekcji&lt;=Koniec_PR,Modul_badawczo_rozwojowy=tak),ROUND(K120,0),0)</f>
        <v>0</v>
      </c>
      <c r="L946" s="135">
        <f t="shared" si="431"/>
        <v>0</v>
      </c>
      <c r="M946" s="135">
        <f t="shared" si="431"/>
        <v>0</v>
      </c>
      <c r="N946" s="135">
        <f t="shared" si="431"/>
        <v>0</v>
      </c>
      <c r="O946" s="135">
        <f t="shared" si="431"/>
        <v>0</v>
      </c>
      <c r="P946" s="135">
        <f t="shared" si="431"/>
        <v>0</v>
      </c>
      <c r="Q946" s="135">
        <f t="shared" si="431"/>
        <v>0</v>
      </c>
      <c r="R946" s="135">
        <f t="shared" si="431"/>
        <v>0</v>
      </c>
      <c r="S946" s="135">
        <f t="shared" si="431"/>
        <v>0</v>
      </c>
      <c r="T946" s="135">
        <f t="shared" si="431"/>
        <v>0</v>
      </c>
      <c r="U946" s="135">
        <f t="shared" si="431"/>
        <v>0</v>
      </c>
      <c r="V946" s="135">
        <f t="shared" si="431"/>
        <v>0</v>
      </c>
      <c r="W946" s="135">
        <f t="shared" si="431"/>
        <v>0</v>
      </c>
      <c r="X946" s="135">
        <f t="shared" si="431"/>
        <v>0</v>
      </c>
    </row>
    <row r="947" spans="1:24" hidden="1">
      <c r="A947" s="259"/>
      <c r="B947" s="133">
        <f t="shared" si="427"/>
        <v>0</v>
      </c>
      <c r="C947" s="133">
        <f t="shared" si="427"/>
        <v>0</v>
      </c>
      <c r="D947" s="133">
        <f t="shared" si="427"/>
        <v>0</v>
      </c>
      <c r="E947" s="133">
        <f t="shared" si="427"/>
        <v>0</v>
      </c>
      <c r="F947" s="133"/>
      <c r="G947" s="133"/>
      <c r="H947" s="133"/>
      <c r="I947" s="133"/>
      <c r="J947" s="133"/>
      <c r="K947" s="135">
        <f t="shared" ref="K947:X947" si="432">IF(AND($C947="B+R",$D947="nie",$E947="prace rozwojowe",LataProjekcji&lt;=Koniec_PR,Modul_badawczo_rozwojowy=tak),ROUND(K121,0),0)</f>
        <v>0</v>
      </c>
      <c r="L947" s="135">
        <f t="shared" si="432"/>
        <v>0</v>
      </c>
      <c r="M947" s="135">
        <f t="shared" si="432"/>
        <v>0</v>
      </c>
      <c r="N947" s="135">
        <f t="shared" si="432"/>
        <v>0</v>
      </c>
      <c r="O947" s="135">
        <f t="shared" si="432"/>
        <v>0</v>
      </c>
      <c r="P947" s="135">
        <f t="shared" si="432"/>
        <v>0</v>
      </c>
      <c r="Q947" s="135">
        <f t="shared" si="432"/>
        <v>0</v>
      </c>
      <c r="R947" s="135">
        <f t="shared" si="432"/>
        <v>0</v>
      </c>
      <c r="S947" s="135">
        <f t="shared" si="432"/>
        <v>0</v>
      </c>
      <c r="T947" s="135">
        <f t="shared" si="432"/>
        <v>0</v>
      </c>
      <c r="U947" s="135">
        <f t="shared" si="432"/>
        <v>0</v>
      </c>
      <c r="V947" s="135">
        <f t="shared" si="432"/>
        <v>0</v>
      </c>
      <c r="W947" s="135">
        <f t="shared" si="432"/>
        <v>0</v>
      </c>
      <c r="X947" s="135">
        <f t="shared" si="432"/>
        <v>0</v>
      </c>
    </row>
    <row r="948" spans="1:24" hidden="1">
      <c r="A948" s="259"/>
      <c r="B948" s="133">
        <f t="shared" si="427"/>
        <v>0</v>
      </c>
      <c r="C948" s="133">
        <f t="shared" si="427"/>
        <v>0</v>
      </c>
      <c r="D948" s="133">
        <f t="shared" si="427"/>
        <v>0</v>
      </c>
      <c r="E948" s="133">
        <f t="shared" si="427"/>
        <v>0</v>
      </c>
      <c r="F948" s="133"/>
      <c r="G948" s="133"/>
      <c r="H948" s="133"/>
      <c r="I948" s="133"/>
      <c r="J948" s="133"/>
      <c r="K948" s="135">
        <f t="shared" ref="K948:X948" si="433">IF(AND($C948="B+R",$D948="nie",$E948="prace rozwojowe",LataProjekcji&lt;=Koniec_PR,Modul_badawczo_rozwojowy=tak),ROUND(K122,0),0)</f>
        <v>0</v>
      </c>
      <c r="L948" s="135">
        <f t="shared" si="433"/>
        <v>0</v>
      </c>
      <c r="M948" s="135">
        <f t="shared" si="433"/>
        <v>0</v>
      </c>
      <c r="N948" s="135">
        <f t="shared" si="433"/>
        <v>0</v>
      </c>
      <c r="O948" s="135">
        <f t="shared" si="433"/>
        <v>0</v>
      </c>
      <c r="P948" s="135">
        <f t="shared" si="433"/>
        <v>0</v>
      </c>
      <c r="Q948" s="135">
        <f t="shared" si="433"/>
        <v>0</v>
      </c>
      <c r="R948" s="135">
        <f t="shared" si="433"/>
        <v>0</v>
      </c>
      <c r="S948" s="135">
        <f t="shared" si="433"/>
        <v>0</v>
      </c>
      <c r="T948" s="135">
        <f t="shared" si="433"/>
        <v>0</v>
      </c>
      <c r="U948" s="135">
        <f t="shared" si="433"/>
        <v>0</v>
      </c>
      <c r="V948" s="135">
        <f t="shared" si="433"/>
        <v>0</v>
      </c>
      <c r="W948" s="135">
        <f t="shared" si="433"/>
        <v>0</v>
      </c>
      <c r="X948" s="135">
        <f t="shared" si="433"/>
        <v>0</v>
      </c>
    </row>
    <row r="949" spans="1:24" hidden="1">
      <c r="A949" s="259"/>
      <c r="B949" s="133">
        <f t="shared" si="427"/>
        <v>0</v>
      </c>
      <c r="C949" s="133">
        <f t="shared" si="427"/>
        <v>0</v>
      </c>
      <c r="D949" s="133">
        <f t="shared" si="427"/>
        <v>0</v>
      </c>
      <c r="E949" s="133">
        <f t="shared" si="427"/>
        <v>0</v>
      </c>
      <c r="F949" s="133"/>
      <c r="G949" s="133"/>
      <c r="H949" s="133"/>
      <c r="I949" s="133"/>
      <c r="J949" s="133"/>
      <c r="K949" s="135">
        <f t="shared" ref="K949:X949" si="434">IF(AND($C949="B+R",$D949="nie",$E949="prace rozwojowe",LataProjekcji&lt;=Koniec_PR,Modul_badawczo_rozwojowy=tak),ROUND(K123,0),0)</f>
        <v>0</v>
      </c>
      <c r="L949" s="135">
        <f t="shared" si="434"/>
        <v>0</v>
      </c>
      <c r="M949" s="135">
        <f t="shared" si="434"/>
        <v>0</v>
      </c>
      <c r="N949" s="135">
        <f t="shared" si="434"/>
        <v>0</v>
      </c>
      <c r="O949" s="135">
        <f t="shared" si="434"/>
        <v>0</v>
      </c>
      <c r="P949" s="135">
        <f t="shared" si="434"/>
        <v>0</v>
      </c>
      <c r="Q949" s="135">
        <f t="shared" si="434"/>
        <v>0</v>
      </c>
      <c r="R949" s="135">
        <f t="shared" si="434"/>
        <v>0</v>
      </c>
      <c r="S949" s="135">
        <f t="shared" si="434"/>
        <v>0</v>
      </c>
      <c r="T949" s="135">
        <f t="shared" si="434"/>
        <v>0</v>
      </c>
      <c r="U949" s="135">
        <f t="shared" si="434"/>
        <v>0</v>
      </c>
      <c r="V949" s="135">
        <f t="shared" si="434"/>
        <v>0</v>
      </c>
      <c r="W949" s="135">
        <f t="shared" si="434"/>
        <v>0</v>
      </c>
      <c r="X949" s="135">
        <f t="shared" si="434"/>
        <v>0</v>
      </c>
    </row>
    <row r="950" spans="1:24" hidden="1">
      <c r="A950" s="259"/>
      <c r="B950" s="133">
        <f t="shared" si="427"/>
        <v>0</v>
      </c>
      <c r="C950" s="133">
        <f t="shared" si="427"/>
        <v>0</v>
      </c>
      <c r="D950" s="133">
        <f t="shared" si="427"/>
        <v>0</v>
      </c>
      <c r="E950" s="133">
        <f t="shared" si="427"/>
        <v>0</v>
      </c>
      <c r="F950" s="133"/>
      <c r="G950" s="133"/>
      <c r="H950" s="133"/>
      <c r="I950" s="133"/>
      <c r="J950" s="133"/>
      <c r="K950" s="135">
        <f t="shared" ref="K950:X950" si="435">IF(AND($C950="B+R",$D950="nie",$E950="prace rozwojowe",LataProjekcji&lt;=Koniec_PR,Modul_badawczo_rozwojowy=tak),ROUND(K124,0),0)</f>
        <v>0</v>
      </c>
      <c r="L950" s="135">
        <f t="shared" si="435"/>
        <v>0</v>
      </c>
      <c r="M950" s="135">
        <f t="shared" si="435"/>
        <v>0</v>
      </c>
      <c r="N950" s="135">
        <f t="shared" si="435"/>
        <v>0</v>
      </c>
      <c r="O950" s="135">
        <f t="shared" si="435"/>
        <v>0</v>
      </c>
      <c r="P950" s="135">
        <f t="shared" si="435"/>
        <v>0</v>
      </c>
      <c r="Q950" s="135">
        <f t="shared" si="435"/>
        <v>0</v>
      </c>
      <c r="R950" s="135">
        <f t="shared" si="435"/>
        <v>0</v>
      </c>
      <c r="S950" s="135">
        <f t="shared" si="435"/>
        <v>0</v>
      </c>
      <c r="T950" s="135">
        <f t="shared" si="435"/>
        <v>0</v>
      </c>
      <c r="U950" s="135">
        <f t="shared" si="435"/>
        <v>0</v>
      </c>
      <c r="V950" s="135">
        <f t="shared" si="435"/>
        <v>0</v>
      </c>
      <c r="W950" s="135">
        <f t="shared" si="435"/>
        <v>0</v>
      </c>
      <c r="X950" s="135">
        <f t="shared" si="435"/>
        <v>0</v>
      </c>
    </row>
    <row r="951" spans="1:24" hidden="1">
      <c r="A951" s="259"/>
      <c r="B951" s="133">
        <f t="shared" si="427"/>
        <v>0</v>
      </c>
      <c r="C951" s="133">
        <f t="shared" si="427"/>
        <v>0</v>
      </c>
      <c r="D951" s="133">
        <f t="shared" si="427"/>
        <v>0</v>
      </c>
      <c r="E951" s="133">
        <f t="shared" si="427"/>
        <v>0</v>
      </c>
      <c r="F951" s="133"/>
      <c r="G951" s="133"/>
      <c r="H951" s="133"/>
      <c r="I951" s="133"/>
      <c r="J951" s="133"/>
      <c r="K951" s="135">
        <f t="shared" ref="K951:X951" si="436">IF(AND($C951="B+R",$D951="nie",$E951="prace rozwojowe",LataProjekcji&lt;=Koniec_PR,Modul_badawczo_rozwojowy=tak),ROUND(K125,0),0)</f>
        <v>0</v>
      </c>
      <c r="L951" s="135">
        <f t="shared" si="436"/>
        <v>0</v>
      </c>
      <c r="M951" s="135">
        <f t="shared" si="436"/>
        <v>0</v>
      </c>
      <c r="N951" s="135">
        <f t="shared" si="436"/>
        <v>0</v>
      </c>
      <c r="O951" s="135">
        <f t="shared" si="436"/>
        <v>0</v>
      </c>
      <c r="P951" s="135">
        <f t="shared" si="436"/>
        <v>0</v>
      </c>
      <c r="Q951" s="135">
        <f t="shared" si="436"/>
        <v>0</v>
      </c>
      <c r="R951" s="135">
        <f t="shared" si="436"/>
        <v>0</v>
      </c>
      <c r="S951" s="135">
        <f t="shared" si="436"/>
        <v>0</v>
      </c>
      <c r="T951" s="135">
        <f t="shared" si="436"/>
        <v>0</v>
      </c>
      <c r="U951" s="135">
        <f t="shared" si="436"/>
        <v>0</v>
      </c>
      <c r="V951" s="135">
        <f t="shared" si="436"/>
        <v>0</v>
      </c>
      <c r="W951" s="135">
        <f t="shared" si="436"/>
        <v>0</v>
      </c>
      <c r="X951" s="135">
        <f t="shared" si="436"/>
        <v>0</v>
      </c>
    </row>
    <row r="952" spans="1:24" hidden="1">
      <c r="A952" s="259"/>
      <c r="B952" s="133">
        <f t="shared" si="427"/>
        <v>0</v>
      </c>
      <c r="C952" s="133">
        <f t="shared" si="427"/>
        <v>0</v>
      </c>
      <c r="D952" s="133">
        <f t="shared" si="427"/>
        <v>0</v>
      </c>
      <c r="E952" s="133">
        <f t="shared" si="427"/>
        <v>0</v>
      </c>
      <c r="F952" s="133"/>
      <c r="G952" s="133"/>
      <c r="H952" s="133"/>
      <c r="I952" s="133"/>
      <c r="J952" s="133"/>
      <c r="K952" s="135">
        <f t="shared" ref="K952:X952" si="437">IF(AND($C952="B+R",$D952="nie",$E952="prace rozwojowe",LataProjekcji&lt;=Koniec_PR,Modul_badawczo_rozwojowy=tak),ROUND(K126,0),0)</f>
        <v>0</v>
      </c>
      <c r="L952" s="135">
        <f t="shared" si="437"/>
        <v>0</v>
      </c>
      <c r="M952" s="135">
        <f t="shared" si="437"/>
        <v>0</v>
      </c>
      <c r="N952" s="135">
        <f t="shared" si="437"/>
        <v>0</v>
      </c>
      <c r="O952" s="135">
        <f t="shared" si="437"/>
        <v>0</v>
      </c>
      <c r="P952" s="135">
        <f t="shared" si="437"/>
        <v>0</v>
      </c>
      <c r="Q952" s="135">
        <f t="shared" si="437"/>
        <v>0</v>
      </c>
      <c r="R952" s="135">
        <f t="shared" si="437"/>
        <v>0</v>
      </c>
      <c r="S952" s="135">
        <f t="shared" si="437"/>
        <v>0</v>
      </c>
      <c r="T952" s="135">
        <f t="shared" si="437"/>
        <v>0</v>
      </c>
      <c r="U952" s="135">
        <f t="shared" si="437"/>
        <v>0</v>
      </c>
      <c r="V952" s="135">
        <f t="shared" si="437"/>
        <v>0</v>
      </c>
      <c r="W952" s="135">
        <f t="shared" si="437"/>
        <v>0</v>
      </c>
      <c r="X952" s="135">
        <f t="shared" si="437"/>
        <v>0</v>
      </c>
    </row>
    <row r="953" spans="1:24" hidden="1">
      <c r="A953" s="259"/>
      <c r="B953" s="133">
        <f t="shared" si="427"/>
        <v>0</v>
      </c>
      <c r="C953" s="133">
        <f t="shared" si="427"/>
        <v>0</v>
      </c>
      <c r="D953" s="133">
        <f t="shared" si="427"/>
        <v>0</v>
      </c>
      <c r="E953" s="133">
        <f t="shared" si="427"/>
        <v>0</v>
      </c>
      <c r="F953" s="133"/>
      <c r="G953" s="133"/>
      <c r="H953" s="133"/>
      <c r="I953" s="133"/>
      <c r="J953" s="133"/>
      <c r="K953" s="135">
        <f t="shared" ref="K953:X953" si="438">IF(AND($C953="B+R",$D953="nie",$E953="prace rozwojowe",LataProjekcji&lt;=Koniec_PR,Modul_badawczo_rozwojowy=tak),ROUND(K127,0),0)</f>
        <v>0</v>
      </c>
      <c r="L953" s="135">
        <f t="shared" si="438"/>
        <v>0</v>
      </c>
      <c r="M953" s="135">
        <f t="shared" si="438"/>
        <v>0</v>
      </c>
      <c r="N953" s="135">
        <f t="shared" si="438"/>
        <v>0</v>
      </c>
      <c r="O953" s="135">
        <f t="shared" si="438"/>
        <v>0</v>
      </c>
      <c r="P953" s="135">
        <f t="shared" si="438"/>
        <v>0</v>
      </c>
      <c r="Q953" s="135">
        <f t="shared" si="438"/>
        <v>0</v>
      </c>
      <c r="R953" s="135">
        <f t="shared" si="438"/>
        <v>0</v>
      </c>
      <c r="S953" s="135">
        <f t="shared" si="438"/>
        <v>0</v>
      </c>
      <c r="T953" s="135">
        <f t="shared" si="438"/>
        <v>0</v>
      </c>
      <c r="U953" s="135">
        <f t="shared" si="438"/>
        <v>0</v>
      </c>
      <c r="V953" s="135">
        <f t="shared" si="438"/>
        <v>0</v>
      </c>
      <c r="W953" s="135">
        <f t="shared" si="438"/>
        <v>0</v>
      </c>
      <c r="X953" s="135">
        <f t="shared" si="438"/>
        <v>0</v>
      </c>
    </row>
    <row r="954" spans="1:24" hidden="1">
      <c r="A954" s="259"/>
      <c r="B954" s="133">
        <f t="shared" si="427"/>
        <v>0</v>
      </c>
      <c r="C954" s="133">
        <f t="shared" si="427"/>
        <v>0</v>
      </c>
      <c r="D954" s="133">
        <f t="shared" si="427"/>
        <v>0</v>
      </c>
      <c r="E954" s="133">
        <f t="shared" si="427"/>
        <v>0</v>
      </c>
      <c r="F954" s="133"/>
      <c r="G954" s="133"/>
      <c r="H954" s="133"/>
      <c r="I954" s="133"/>
      <c r="J954" s="133"/>
      <c r="K954" s="135">
        <f t="shared" ref="K954:X954" si="439">IF(AND($C954="B+R",$D954="nie",$E954="prace rozwojowe",LataProjekcji&lt;=Koniec_PR,Modul_badawczo_rozwojowy=tak),ROUND(K128,0),0)</f>
        <v>0</v>
      </c>
      <c r="L954" s="135">
        <f t="shared" si="439"/>
        <v>0</v>
      </c>
      <c r="M954" s="135">
        <f t="shared" si="439"/>
        <v>0</v>
      </c>
      <c r="N954" s="135">
        <f t="shared" si="439"/>
        <v>0</v>
      </c>
      <c r="O954" s="135">
        <f t="shared" si="439"/>
        <v>0</v>
      </c>
      <c r="P954" s="135">
        <f t="shared" si="439"/>
        <v>0</v>
      </c>
      <c r="Q954" s="135">
        <f t="shared" si="439"/>
        <v>0</v>
      </c>
      <c r="R954" s="135">
        <f t="shared" si="439"/>
        <v>0</v>
      </c>
      <c r="S954" s="135">
        <f t="shared" si="439"/>
        <v>0</v>
      </c>
      <c r="T954" s="135">
        <f t="shared" si="439"/>
        <v>0</v>
      </c>
      <c r="U954" s="135">
        <f t="shared" si="439"/>
        <v>0</v>
      </c>
      <c r="V954" s="135">
        <f t="shared" si="439"/>
        <v>0</v>
      </c>
      <c r="W954" s="135">
        <f t="shared" si="439"/>
        <v>0</v>
      </c>
      <c r="X954" s="135">
        <f t="shared" si="439"/>
        <v>0</v>
      </c>
    </row>
    <row r="955" spans="1:24" hidden="1">
      <c r="A955" s="259"/>
      <c r="B955" s="133">
        <f t="shared" si="427"/>
        <v>0</v>
      </c>
      <c r="C955" s="133">
        <f t="shared" si="427"/>
        <v>0</v>
      </c>
      <c r="D955" s="133">
        <f t="shared" si="427"/>
        <v>0</v>
      </c>
      <c r="E955" s="133">
        <f t="shared" si="427"/>
        <v>0</v>
      </c>
      <c r="F955" s="133"/>
      <c r="G955" s="133"/>
      <c r="H955" s="133"/>
      <c r="I955" s="133"/>
      <c r="J955" s="133"/>
      <c r="K955" s="135">
        <f t="shared" ref="K955:X955" si="440">IF(AND($C955="B+R",$D955="nie",$E955="prace rozwojowe",LataProjekcji&lt;=Koniec_PR,Modul_badawczo_rozwojowy=tak),ROUND(K129,0),0)</f>
        <v>0</v>
      </c>
      <c r="L955" s="135">
        <f t="shared" si="440"/>
        <v>0</v>
      </c>
      <c r="M955" s="135">
        <f t="shared" si="440"/>
        <v>0</v>
      </c>
      <c r="N955" s="135">
        <f t="shared" si="440"/>
        <v>0</v>
      </c>
      <c r="O955" s="135">
        <f t="shared" si="440"/>
        <v>0</v>
      </c>
      <c r="P955" s="135">
        <f t="shared" si="440"/>
        <v>0</v>
      </c>
      <c r="Q955" s="135">
        <f t="shared" si="440"/>
        <v>0</v>
      </c>
      <c r="R955" s="135">
        <f t="shared" si="440"/>
        <v>0</v>
      </c>
      <c r="S955" s="135">
        <f t="shared" si="440"/>
        <v>0</v>
      </c>
      <c r="T955" s="135">
        <f t="shared" si="440"/>
        <v>0</v>
      </c>
      <c r="U955" s="135">
        <f t="shared" si="440"/>
        <v>0</v>
      </c>
      <c r="V955" s="135">
        <f t="shared" si="440"/>
        <v>0</v>
      </c>
      <c r="W955" s="135">
        <f t="shared" si="440"/>
        <v>0</v>
      </c>
      <c r="X955" s="135">
        <f t="shared" si="440"/>
        <v>0</v>
      </c>
    </row>
    <row r="956" spans="1:24" hidden="1">
      <c r="A956" s="259"/>
      <c r="B956" s="133">
        <f t="shared" si="427"/>
        <v>0</v>
      </c>
      <c r="C956" s="133">
        <f t="shared" si="427"/>
        <v>0</v>
      </c>
      <c r="D956" s="133">
        <f t="shared" si="427"/>
        <v>0</v>
      </c>
      <c r="E956" s="133">
        <f t="shared" si="427"/>
        <v>0</v>
      </c>
      <c r="F956" s="133"/>
      <c r="G956" s="133"/>
      <c r="H956" s="133"/>
      <c r="I956" s="133"/>
      <c r="J956" s="133"/>
      <c r="K956" s="135">
        <f t="shared" ref="K956:X956" si="441">IF(AND($C956="B+R",$D956="nie",$E956="prace rozwojowe",LataProjekcji&lt;=Koniec_PR,Modul_badawczo_rozwojowy=tak),ROUND(K130,0),0)</f>
        <v>0</v>
      </c>
      <c r="L956" s="135">
        <f t="shared" si="441"/>
        <v>0</v>
      </c>
      <c r="M956" s="135">
        <f t="shared" si="441"/>
        <v>0</v>
      </c>
      <c r="N956" s="135">
        <f t="shared" si="441"/>
        <v>0</v>
      </c>
      <c r="O956" s="135">
        <f t="shared" si="441"/>
        <v>0</v>
      </c>
      <c r="P956" s="135">
        <f t="shared" si="441"/>
        <v>0</v>
      </c>
      <c r="Q956" s="135">
        <f t="shared" si="441"/>
        <v>0</v>
      </c>
      <c r="R956" s="135">
        <f t="shared" si="441"/>
        <v>0</v>
      </c>
      <c r="S956" s="135">
        <f t="shared" si="441"/>
        <v>0</v>
      </c>
      <c r="T956" s="135">
        <f t="shared" si="441"/>
        <v>0</v>
      </c>
      <c r="U956" s="135">
        <f t="shared" si="441"/>
        <v>0</v>
      </c>
      <c r="V956" s="135">
        <f t="shared" si="441"/>
        <v>0</v>
      </c>
      <c r="W956" s="135">
        <f t="shared" si="441"/>
        <v>0</v>
      </c>
      <c r="X956" s="135">
        <f t="shared" si="441"/>
        <v>0</v>
      </c>
    </row>
    <row r="957" spans="1:24" hidden="1">
      <c r="A957" s="259"/>
      <c r="B957" s="133">
        <f t="shared" si="427"/>
        <v>0</v>
      </c>
      <c r="C957" s="133">
        <f t="shared" si="427"/>
        <v>0</v>
      </c>
      <c r="D957" s="133">
        <f t="shared" si="427"/>
        <v>0</v>
      </c>
      <c r="E957" s="133">
        <f t="shared" si="427"/>
        <v>0</v>
      </c>
      <c r="F957" s="133"/>
      <c r="G957" s="133"/>
      <c r="H957" s="133"/>
      <c r="I957" s="133"/>
      <c r="J957" s="133"/>
      <c r="K957" s="135">
        <f t="shared" ref="K957:X957" si="442">IF(AND($C957="B+R",$D957="nie",$E957="prace rozwojowe",LataProjekcji&lt;=Koniec_PR,Modul_badawczo_rozwojowy=tak),ROUND(K131,0),0)</f>
        <v>0</v>
      </c>
      <c r="L957" s="135">
        <f t="shared" si="442"/>
        <v>0</v>
      </c>
      <c r="M957" s="135">
        <f t="shared" si="442"/>
        <v>0</v>
      </c>
      <c r="N957" s="135">
        <f t="shared" si="442"/>
        <v>0</v>
      </c>
      <c r="O957" s="135">
        <f t="shared" si="442"/>
        <v>0</v>
      </c>
      <c r="P957" s="135">
        <f t="shared" si="442"/>
        <v>0</v>
      </c>
      <c r="Q957" s="135">
        <f t="shared" si="442"/>
        <v>0</v>
      </c>
      <c r="R957" s="135">
        <f t="shared" si="442"/>
        <v>0</v>
      </c>
      <c r="S957" s="135">
        <f t="shared" si="442"/>
        <v>0</v>
      </c>
      <c r="T957" s="135">
        <f t="shared" si="442"/>
        <v>0</v>
      </c>
      <c r="U957" s="135">
        <f t="shared" si="442"/>
        <v>0</v>
      </c>
      <c r="V957" s="135">
        <f t="shared" si="442"/>
        <v>0</v>
      </c>
      <c r="W957" s="135">
        <f t="shared" si="442"/>
        <v>0</v>
      </c>
      <c r="X957" s="135">
        <f t="shared" si="442"/>
        <v>0</v>
      </c>
    </row>
    <row r="958" spans="1:24" hidden="1">
      <c r="A958" s="259"/>
      <c r="B958" s="133">
        <f t="shared" si="427"/>
        <v>0</v>
      </c>
      <c r="C958" s="133">
        <f t="shared" si="427"/>
        <v>0</v>
      </c>
      <c r="D958" s="133">
        <f t="shared" si="427"/>
        <v>0</v>
      </c>
      <c r="E958" s="133">
        <f t="shared" si="427"/>
        <v>0</v>
      </c>
      <c r="F958" s="133"/>
      <c r="G958" s="133"/>
      <c r="H958" s="133"/>
      <c r="I958" s="133"/>
      <c r="J958" s="133"/>
      <c r="K958" s="135">
        <f t="shared" ref="K958:X958" si="443">IF(AND($C958="B+R",$D958="nie",$E958="prace rozwojowe",LataProjekcji&lt;=Koniec_PR,Modul_badawczo_rozwojowy=tak),ROUND(K132,0),0)</f>
        <v>0</v>
      </c>
      <c r="L958" s="135">
        <f t="shared" si="443"/>
        <v>0</v>
      </c>
      <c r="M958" s="135">
        <f t="shared" si="443"/>
        <v>0</v>
      </c>
      <c r="N958" s="135">
        <f t="shared" si="443"/>
        <v>0</v>
      </c>
      <c r="O958" s="135">
        <f t="shared" si="443"/>
        <v>0</v>
      </c>
      <c r="P958" s="135">
        <f t="shared" si="443"/>
        <v>0</v>
      </c>
      <c r="Q958" s="135">
        <f t="shared" si="443"/>
        <v>0</v>
      </c>
      <c r="R958" s="135">
        <f t="shared" si="443"/>
        <v>0</v>
      </c>
      <c r="S958" s="135">
        <f t="shared" si="443"/>
        <v>0</v>
      </c>
      <c r="T958" s="135">
        <f t="shared" si="443"/>
        <v>0</v>
      </c>
      <c r="U958" s="135">
        <f t="shared" si="443"/>
        <v>0</v>
      </c>
      <c r="V958" s="135">
        <f t="shared" si="443"/>
        <v>0</v>
      </c>
      <c r="W958" s="135">
        <f t="shared" si="443"/>
        <v>0</v>
      </c>
      <c r="X958" s="135">
        <f t="shared" si="443"/>
        <v>0</v>
      </c>
    </row>
    <row r="959" spans="1:24" hidden="1">
      <c r="A959" s="259"/>
      <c r="B959" s="133">
        <f t="shared" si="427"/>
        <v>0</v>
      </c>
      <c r="C959" s="133">
        <f t="shared" si="427"/>
        <v>0</v>
      </c>
      <c r="D959" s="133">
        <f t="shared" si="427"/>
        <v>0</v>
      </c>
      <c r="E959" s="133">
        <f t="shared" si="427"/>
        <v>0</v>
      </c>
      <c r="F959" s="133"/>
      <c r="G959" s="133"/>
      <c r="H959" s="133"/>
      <c r="I959" s="133"/>
      <c r="J959" s="133"/>
      <c r="K959" s="135">
        <f t="shared" ref="K959:X959" si="444">IF(AND($C959="B+R",$D959="nie",$E959="prace rozwojowe",LataProjekcji&lt;=Koniec_PR,Modul_badawczo_rozwojowy=tak),ROUND(K133,0),0)</f>
        <v>0</v>
      </c>
      <c r="L959" s="135">
        <f t="shared" si="444"/>
        <v>0</v>
      </c>
      <c r="M959" s="135">
        <f t="shared" si="444"/>
        <v>0</v>
      </c>
      <c r="N959" s="135">
        <f t="shared" si="444"/>
        <v>0</v>
      </c>
      <c r="O959" s="135">
        <f t="shared" si="444"/>
        <v>0</v>
      </c>
      <c r="P959" s="135">
        <f t="shared" si="444"/>
        <v>0</v>
      </c>
      <c r="Q959" s="135">
        <f t="shared" si="444"/>
        <v>0</v>
      </c>
      <c r="R959" s="135">
        <f t="shared" si="444"/>
        <v>0</v>
      </c>
      <c r="S959" s="135">
        <f t="shared" si="444"/>
        <v>0</v>
      </c>
      <c r="T959" s="135">
        <f t="shared" si="444"/>
        <v>0</v>
      </c>
      <c r="U959" s="135">
        <f t="shared" si="444"/>
        <v>0</v>
      </c>
      <c r="V959" s="135">
        <f t="shared" si="444"/>
        <v>0</v>
      </c>
      <c r="W959" s="135">
        <f t="shared" si="444"/>
        <v>0</v>
      </c>
      <c r="X959" s="135">
        <f t="shared" si="444"/>
        <v>0</v>
      </c>
    </row>
    <row r="960" spans="1:24" hidden="1">
      <c r="A960" s="259"/>
      <c r="B960" s="133">
        <f t="shared" si="427"/>
        <v>0</v>
      </c>
      <c r="C960" s="133">
        <f t="shared" si="427"/>
        <v>0</v>
      </c>
      <c r="D960" s="133">
        <f t="shared" si="427"/>
        <v>0</v>
      </c>
      <c r="E960" s="133">
        <f t="shared" si="427"/>
        <v>0</v>
      </c>
      <c r="F960" s="133"/>
      <c r="G960" s="133"/>
      <c r="H960" s="133"/>
      <c r="I960" s="133"/>
      <c r="J960" s="133"/>
      <c r="K960" s="135">
        <f t="shared" ref="K960:X960" si="445">IF(AND($C960="B+R",$D960="nie",$E960="prace rozwojowe",LataProjekcji&lt;=Koniec_PR,Modul_badawczo_rozwojowy=tak),ROUND(K134,0),0)</f>
        <v>0</v>
      </c>
      <c r="L960" s="135">
        <f t="shared" si="445"/>
        <v>0</v>
      </c>
      <c r="M960" s="135">
        <f t="shared" si="445"/>
        <v>0</v>
      </c>
      <c r="N960" s="135">
        <f t="shared" si="445"/>
        <v>0</v>
      </c>
      <c r="O960" s="135">
        <f t="shared" si="445"/>
        <v>0</v>
      </c>
      <c r="P960" s="135">
        <f t="shared" si="445"/>
        <v>0</v>
      </c>
      <c r="Q960" s="135">
        <f t="shared" si="445"/>
        <v>0</v>
      </c>
      <c r="R960" s="135">
        <f t="shared" si="445"/>
        <v>0</v>
      </c>
      <c r="S960" s="135">
        <f t="shared" si="445"/>
        <v>0</v>
      </c>
      <c r="T960" s="135">
        <f t="shared" si="445"/>
        <v>0</v>
      </c>
      <c r="U960" s="135">
        <f t="shared" si="445"/>
        <v>0</v>
      </c>
      <c r="V960" s="135">
        <f t="shared" si="445"/>
        <v>0</v>
      </c>
      <c r="W960" s="135">
        <f t="shared" si="445"/>
        <v>0</v>
      </c>
      <c r="X960" s="135">
        <f t="shared" si="445"/>
        <v>0</v>
      </c>
    </row>
    <row r="961" spans="1:24" hidden="1">
      <c r="A961" s="259"/>
      <c r="B961" s="133">
        <f t="shared" si="427"/>
        <v>0</v>
      </c>
      <c r="C961" s="133">
        <f t="shared" si="427"/>
        <v>0</v>
      </c>
      <c r="D961" s="133">
        <f t="shared" si="427"/>
        <v>0</v>
      </c>
      <c r="E961" s="133">
        <f t="shared" si="427"/>
        <v>0</v>
      </c>
      <c r="F961" s="133"/>
      <c r="G961" s="133"/>
      <c r="H961" s="133"/>
      <c r="I961" s="133"/>
      <c r="J961" s="133"/>
      <c r="K961" s="135">
        <f t="shared" ref="K961:X961" si="446">IF(AND($C961="B+R",$D961="nie",$E961="prace rozwojowe",LataProjekcji&lt;=Koniec_PR,Modul_badawczo_rozwojowy=tak),ROUND(K135,0),0)</f>
        <v>0</v>
      </c>
      <c r="L961" s="135">
        <f t="shared" si="446"/>
        <v>0</v>
      </c>
      <c r="M961" s="135">
        <f t="shared" si="446"/>
        <v>0</v>
      </c>
      <c r="N961" s="135">
        <f t="shared" si="446"/>
        <v>0</v>
      </c>
      <c r="O961" s="135">
        <f t="shared" si="446"/>
        <v>0</v>
      </c>
      <c r="P961" s="135">
        <f t="shared" si="446"/>
        <v>0</v>
      </c>
      <c r="Q961" s="135">
        <f t="shared" si="446"/>
        <v>0</v>
      </c>
      <c r="R961" s="135">
        <f t="shared" si="446"/>
        <v>0</v>
      </c>
      <c r="S961" s="135">
        <f t="shared" si="446"/>
        <v>0</v>
      </c>
      <c r="T961" s="135">
        <f t="shared" si="446"/>
        <v>0</v>
      </c>
      <c r="U961" s="135">
        <f t="shared" si="446"/>
        <v>0</v>
      </c>
      <c r="V961" s="135">
        <f t="shared" si="446"/>
        <v>0</v>
      </c>
      <c r="W961" s="135">
        <f t="shared" si="446"/>
        <v>0</v>
      </c>
      <c r="X961" s="135">
        <f t="shared" si="446"/>
        <v>0</v>
      </c>
    </row>
    <row r="962" spans="1:24" hidden="1">
      <c r="A962" s="259"/>
      <c r="B962" s="133">
        <f t="shared" si="427"/>
        <v>0</v>
      </c>
      <c r="C962" s="133">
        <f t="shared" si="427"/>
        <v>0</v>
      </c>
      <c r="D962" s="133">
        <f t="shared" si="427"/>
        <v>0</v>
      </c>
      <c r="E962" s="133">
        <f t="shared" si="427"/>
        <v>0</v>
      </c>
      <c r="F962" s="133"/>
      <c r="G962" s="133"/>
      <c r="H962" s="133"/>
      <c r="I962" s="133"/>
      <c r="J962" s="133"/>
      <c r="K962" s="135">
        <f t="shared" ref="K962:X962" si="447">IF(AND($C962="B+R",$D962="nie",$E962="prace rozwojowe",LataProjekcji&lt;=Koniec_PR,Modul_badawczo_rozwojowy=tak),ROUND(K136,0),0)</f>
        <v>0</v>
      </c>
      <c r="L962" s="135">
        <f t="shared" si="447"/>
        <v>0</v>
      </c>
      <c r="M962" s="135">
        <f t="shared" si="447"/>
        <v>0</v>
      </c>
      <c r="N962" s="135">
        <f t="shared" si="447"/>
        <v>0</v>
      </c>
      <c r="O962" s="135">
        <f t="shared" si="447"/>
        <v>0</v>
      </c>
      <c r="P962" s="135">
        <f t="shared" si="447"/>
        <v>0</v>
      </c>
      <c r="Q962" s="135">
        <f t="shared" si="447"/>
        <v>0</v>
      </c>
      <c r="R962" s="135">
        <f t="shared" si="447"/>
        <v>0</v>
      </c>
      <c r="S962" s="135">
        <f t="shared" si="447"/>
        <v>0</v>
      </c>
      <c r="T962" s="135">
        <f t="shared" si="447"/>
        <v>0</v>
      </c>
      <c r="U962" s="135">
        <f t="shared" si="447"/>
        <v>0</v>
      </c>
      <c r="V962" s="135">
        <f t="shared" si="447"/>
        <v>0</v>
      </c>
      <c r="W962" s="135">
        <f t="shared" si="447"/>
        <v>0</v>
      </c>
      <c r="X962" s="135">
        <f t="shared" si="447"/>
        <v>0</v>
      </c>
    </row>
    <row r="963" spans="1:24" hidden="1">
      <c r="B963" s="127" t="s">
        <v>339</v>
      </c>
      <c r="C963" s="127"/>
      <c r="D963" s="128"/>
      <c r="E963" s="129"/>
      <c r="F963" s="129"/>
      <c r="G963" s="129"/>
      <c r="H963" s="129"/>
      <c r="I963" s="129"/>
      <c r="J963" s="129"/>
      <c r="K963" s="136">
        <f t="shared" ref="K963:X963" si="448">ROUND(SUM(K943:K962),0)</f>
        <v>0</v>
      </c>
      <c r="L963" s="136">
        <f t="shared" si="448"/>
        <v>0</v>
      </c>
      <c r="M963" s="136">
        <f t="shared" si="448"/>
        <v>0</v>
      </c>
      <c r="N963" s="136">
        <f t="shared" si="448"/>
        <v>0</v>
      </c>
      <c r="O963" s="136">
        <f t="shared" si="448"/>
        <v>0</v>
      </c>
      <c r="P963" s="136">
        <f t="shared" si="448"/>
        <v>0</v>
      </c>
      <c r="Q963" s="136">
        <f t="shared" si="448"/>
        <v>0</v>
      </c>
      <c r="R963" s="136">
        <f t="shared" si="448"/>
        <v>0</v>
      </c>
      <c r="S963" s="136">
        <f t="shared" si="448"/>
        <v>0</v>
      </c>
      <c r="T963" s="136">
        <f t="shared" si="448"/>
        <v>0</v>
      </c>
      <c r="U963" s="136">
        <f t="shared" si="448"/>
        <v>0</v>
      </c>
      <c r="V963" s="136">
        <f t="shared" si="448"/>
        <v>0</v>
      </c>
      <c r="W963" s="136">
        <f t="shared" si="448"/>
        <v>0</v>
      </c>
      <c r="X963" s="136">
        <f t="shared" si="448"/>
        <v>0</v>
      </c>
    </row>
    <row r="964" spans="1:24" hidden="1">
      <c r="B964" s="129"/>
      <c r="C964" s="129"/>
      <c r="D964" s="128"/>
      <c r="E964" s="129"/>
      <c r="F964" s="129"/>
      <c r="G964" s="129"/>
      <c r="H964" s="129"/>
      <c r="I964" s="129"/>
      <c r="J964" s="129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</row>
    <row r="965" spans="1:24" hidden="1">
      <c r="B965" s="129"/>
      <c r="C965" s="129"/>
      <c r="D965" s="128"/>
      <c r="E965" s="129"/>
      <c r="F965" s="129"/>
      <c r="G965" s="129"/>
      <c r="H965" s="129"/>
      <c r="I965" s="129"/>
      <c r="J965" s="129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</row>
    <row r="966" spans="1:24" hidden="1">
      <c r="B966" s="127" t="s">
        <v>342</v>
      </c>
      <c r="C966" s="127"/>
      <c r="D966" s="138" t="s">
        <v>336</v>
      </c>
      <c r="E966" s="127" t="s">
        <v>337</v>
      </c>
      <c r="F966" s="129"/>
      <c r="G966" s="129"/>
      <c r="H966" s="129"/>
      <c r="I966" s="129"/>
      <c r="J966" s="129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</row>
    <row r="967" spans="1:24" hidden="1">
      <c r="B967" s="133">
        <f t="shared" ref="B967:E986" si="449">B162</f>
        <v>0</v>
      </c>
      <c r="C967" s="133">
        <f t="shared" si="449"/>
        <v>0</v>
      </c>
      <c r="D967" s="133">
        <f t="shared" si="449"/>
        <v>0</v>
      </c>
      <c r="E967" s="133">
        <f t="shared" si="449"/>
        <v>0</v>
      </c>
      <c r="F967" s="133"/>
      <c r="G967" s="133"/>
      <c r="H967" s="133"/>
      <c r="I967" s="133"/>
      <c r="J967" s="133"/>
      <c r="K967" s="135">
        <f t="shared" ref="K967:X967" si="450">IF(AND($C967="B+R",$D967="nie",$E967="prace rozwojowe",LataProjekcji&lt;=Koniec_PR,Modul_badawczo_rozwojowy=tak),ROUND(K162,0),0)</f>
        <v>0</v>
      </c>
      <c r="L967" s="135">
        <f t="shared" si="450"/>
        <v>0</v>
      </c>
      <c r="M967" s="135">
        <f t="shared" si="450"/>
        <v>0</v>
      </c>
      <c r="N967" s="135">
        <f t="shared" si="450"/>
        <v>0</v>
      </c>
      <c r="O967" s="135">
        <f t="shared" si="450"/>
        <v>0</v>
      </c>
      <c r="P967" s="135">
        <f t="shared" si="450"/>
        <v>0</v>
      </c>
      <c r="Q967" s="135">
        <f t="shared" si="450"/>
        <v>0</v>
      </c>
      <c r="R967" s="135">
        <f t="shared" si="450"/>
        <v>0</v>
      </c>
      <c r="S967" s="135">
        <f t="shared" si="450"/>
        <v>0</v>
      </c>
      <c r="T967" s="135">
        <f t="shared" si="450"/>
        <v>0</v>
      </c>
      <c r="U967" s="135">
        <f t="shared" si="450"/>
        <v>0</v>
      </c>
      <c r="V967" s="135">
        <f t="shared" si="450"/>
        <v>0</v>
      </c>
      <c r="W967" s="135">
        <f t="shared" si="450"/>
        <v>0</v>
      </c>
      <c r="X967" s="135">
        <f t="shared" si="450"/>
        <v>0</v>
      </c>
    </row>
    <row r="968" spans="1:24" hidden="1">
      <c r="B968" s="133">
        <f t="shared" si="449"/>
        <v>0</v>
      </c>
      <c r="C968" s="133">
        <f t="shared" si="449"/>
        <v>0</v>
      </c>
      <c r="D968" s="133">
        <f t="shared" si="449"/>
        <v>0</v>
      </c>
      <c r="E968" s="133">
        <f t="shared" si="449"/>
        <v>0</v>
      </c>
      <c r="F968" s="133"/>
      <c r="G968" s="133"/>
      <c r="H968" s="133"/>
      <c r="I968" s="133"/>
      <c r="J968" s="133"/>
      <c r="K968" s="135">
        <f t="shared" ref="K968:X968" si="451">IF(AND($C968="B+R",$D968="nie",$E968="prace rozwojowe",LataProjekcji&lt;=Koniec_PR,Modul_badawczo_rozwojowy=tak),ROUND(K163,0),0)</f>
        <v>0</v>
      </c>
      <c r="L968" s="135">
        <f t="shared" si="451"/>
        <v>0</v>
      </c>
      <c r="M968" s="135">
        <f t="shared" si="451"/>
        <v>0</v>
      </c>
      <c r="N968" s="135">
        <f t="shared" si="451"/>
        <v>0</v>
      </c>
      <c r="O968" s="135">
        <f t="shared" si="451"/>
        <v>0</v>
      </c>
      <c r="P968" s="135">
        <f t="shared" si="451"/>
        <v>0</v>
      </c>
      <c r="Q968" s="135">
        <f t="shared" si="451"/>
        <v>0</v>
      </c>
      <c r="R968" s="135">
        <f t="shared" si="451"/>
        <v>0</v>
      </c>
      <c r="S968" s="135">
        <f t="shared" si="451"/>
        <v>0</v>
      </c>
      <c r="T968" s="135">
        <f t="shared" si="451"/>
        <v>0</v>
      </c>
      <c r="U968" s="135">
        <f t="shared" si="451"/>
        <v>0</v>
      </c>
      <c r="V968" s="135">
        <f t="shared" si="451"/>
        <v>0</v>
      </c>
      <c r="W968" s="135">
        <f t="shared" si="451"/>
        <v>0</v>
      </c>
      <c r="X968" s="135">
        <f t="shared" si="451"/>
        <v>0</v>
      </c>
    </row>
    <row r="969" spans="1:24" hidden="1">
      <c r="B969" s="133">
        <f t="shared" si="449"/>
        <v>0</v>
      </c>
      <c r="C969" s="133">
        <f t="shared" si="449"/>
        <v>0</v>
      </c>
      <c r="D969" s="133">
        <f t="shared" si="449"/>
        <v>0</v>
      </c>
      <c r="E969" s="133">
        <f t="shared" si="449"/>
        <v>0</v>
      </c>
      <c r="F969" s="133"/>
      <c r="G969" s="133"/>
      <c r="H969" s="133"/>
      <c r="I969" s="133"/>
      <c r="J969" s="133"/>
      <c r="K969" s="135">
        <f t="shared" ref="K969:X969" si="452">IF(AND($C969="B+R",$D969="nie",$E969="prace rozwojowe",LataProjekcji&lt;=Koniec_PR,Modul_badawczo_rozwojowy=tak),ROUND(K164,0),0)</f>
        <v>0</v>
      </c>
      <c r="L969" s="135">
        <f t="shared" si="452"/>
        <v>0</v>
      </c>
      <c r="M969" s="135">
        <f t="shared" si="452"/>
        <v>0</v>
      </c>
      <c r="N969" s="135">
        <f t="shared" si="452"/>
        <v>0</v>
      </c>
      <c r="O969" s="135">
        <f t="shared" si="452"/>
        <v>0</v>
      </c>
      <c r="P969" s="135">
        <f t="shared" si="452"/>
        <v>0</v>
      </c>
      <c r="Q969" s="135">
        <f t="shared" si="452"/>
        <v>0</v>
      </c>
      <c r="R969" s="135">
        <f t="shared" si="452"/>
        <v>0</v>
      </c>
      <c r="S969" s="135">
        <f t="shared" si="452"/>
        <v>0</v>
      </c>
      <c r="T969" s="135">
        <f t="shared" si="452"/>
        <v>0</v>
      </c>
      <c r="U969" s="135">
        <f t="shared" si="452"/>
        <v>0</v>
      </c>
      <c r="V969" s="135">
        <f t="shared" si="452"/>
        <v>0</v>
      </c>
      <c r="W969" s="135">
        <f t="shared" si="452"/>
        <v>0</v>
      </c>
      <c r="X969" s="135">
        <f t="shared" si="452"/>
        <v>0</v>
      </c>
    </row>
    <row r="970" spans="1:24" hidden="1">
      <c r="B970" s="133">
        <f t="shared" si="449"/>
        <v>0</v>
      </c>
      <c r="C970" s="133">
        <f t="shared" si="449"/>
        <v>0</v>
      </c>
      <c r="D970" s="133">
        <f t="shared" si="449"/>
        <v>0</v>
      </c>
      <c r="E970" s="133">
        <f t="shared" si="449"/>
        <v>0</v>
      </c>
      <c r="F970" s="133"/>
      <c r="G970" s="133"/>
      <c r="H970" s="133"/>
      <c r="I970" s="133"/>
      <c r="J970" s="133"/>
      <c r="K970" s="135">
        <f t="shared" ref="K970:X970" si="453">IF(AND($C970="B+R",$D970="nie",$E970="prace rozwojowe",LataProjekcji&lt;=Koniec_PR,Modul_badawczo_rozwojowy=tak),ROUND(K165,0),0)</f>
        <v>0</v>
      </c>
      <c r="L970" s="135">
        <f t="shared" si="453"/>
        <v>0</v>
      </c>
      <c r="M970" s="135">
        <f t="shared" si="453"/>
        <v>0</v>
      </c>
      <c r="N970" s="135">
        <f t="shared" si="453"/>
        <v>0</v>
      </c>
      <c r="O970" s="135">
        <f t="shared" si="453"/>
        <v>0</v>
      </c>
      <c r="P970" s="135">
        <f t="shared" si="453"/>
        <v>0</v>
      </c>
      <c r="Q970" s="135">
        <f t="shared" si="453"/>
        <v>0</v>
      </c>
      <c r="R970" s="135">
        <f t="shared" si="453"/>
        <v>0</v>
      </c>
      <c r="S970" s="135">
        <f t="shared" si="453"/>
        <v>0</v>
      </c>
      <c r="T970" s="135">
        <f t="shared" si="453"/>
        <v>0</v>
      </c>
      <c r="U970" s="135">
        <f t="shared" si="453"/>
        <v>0</v>
      </c>
      <c r="V970" s="135">
        <f t="shared" si="453"/>
        <v>0</v>
      </c>
      <c r="W970" s="135">
        <f t="shared" si="453"/>
        <v>0</v>
      </c>
      <c r="X970" s="135">
        <f t="shared" si="453"/>
        <v>0</v>
      </c>
    </row>
    <row r="971" spans="1:24" hidden="1">
      <c r="B971" s="133">
        <f t="shared" si="449"/>
        <v>0</v>
      </c>
      <c r="C971" s="133">
        <f t="shared" si="449"/>
        <v>0</v>
      </c>
      <c r="D971" s="133">
        <f t="shared" si="449"/>
        <v>0</v>
      </c>
      <c r="E971" s="133">
        <f t="shared" si="449"/>
        <v>0</v>
      </c>
      <c r="F971" s="133"/>
      <c r="G971" s="133"/>
      <c r="H971" s="133"/>
      <c r="I971" s="133"/>
      <c r="J971" s="133"/>
      <c r="K971" s="135">
        <f t="shared" ref="K971:X971" si="454">IF(AND($C971="B+R",$D971="nie",$E971="prace rozwojowe",LataProjekcji&lt;=Koniec_PR,Modul_badawczo_rozwojowy=tak),ROUND(K166,0),0)</f>
        <v>0</v>
      </c>
      <c r="L971" s="135">
        <f t="shared" si="454"/>
        <v>0</v>
      </c>
      <c r="M971" s="135">
        <f t="shared" si="454"/>
        <v>0</v>
      </c>
      <c r="N971" s="135">
        <f t="shared" si="454"/>
        <v>0</v>
      </c>
      <c r="O971" s="135">
        <f t="shared" si="454"/>
        <v>0</v>
      </c>
      <c r="P971" s="135">
        <f t="shared" si="454"/>
        <v>0</v>
      </c>
      <c r="Q971" s="135">
        <f t="shared" si="454"/>
        <v>0</v>
      </c>
      <c r="R971" s="135">
        <f t="shared" si="454"/>
        <v>0</v>
      </c>
      <c r="S971" s="135">
        <f t="shared" si="454"/>
        <v>0</v>
      </c>
      <c r="T971" s="135">
        <f t="shared" si="454"/>
        <v>0</v>
      </c>
      <c r="U971" s="135">
        <f t="shared" si="454"/>
        <v>0</v>
      </c>
      <c r="V971" s="135">
        <f t="shared" si="454"/>
        <v>0</v>
      </c>
      <c r="W971" s="135">
        <f t="shared" si="454"/>
        <v>0</v>
      </c>
      <c r="X971" s="135">
        <f t="shared" si="454"/>
        <v>0</v>
      </c>
    </row>
    <row r="972" spans="1:24" hidden="1">
      <c r="B972" s="133">
        <f t="shared" si="449"/>
        <v>0</v>
      </c>
      <c r="C972" s="133">
        <f t="shared" si="449"/>
        <v>0</v>
      </c>
      <c r="D972" s="133">
        <f t="shared" si="449"/>
        <v>0</v>
      </c>
      <c r="E972" s="133">
        <f t="shared" si="449"/>
        <v>0</v>
      </c>
      <c r="F972" s="133"/>
      <c r="G972" s="133"/>
      <c r="H972" s="133"/>
      <c r="I972" s="133"/>
      <c r="J972" s="133"/>
      <c r="K972" s="135">
        <f t="shared" ref="K972:X972" si="455">IF(AND($C972="B+R",$D972="nie",$E972="prace rozwojowe",LataProjekcji&lt;=Koniec_PR,Modul_badawczo_rozwojowy=tak),ROUND(K167,0),0)</f>
        <v>0</v>
      </c>
      <c r="L972" s="135">
        <f t="shared" si="455"/>
        <v>0</v>
      </c>
      <c r="M972" s="135">
        <f t="shared" si="455"/>
        <v>0</v>
      </c>
      <c r="N972" s="135">
        <f t="shared" si="455"/>
        <v>0</v>
      </c>
      <c r="O972" s="135">
        <f t="shared" si="455"/>
        <v>0</v>
      </c>
      <c r="P972" s="135">
        <f t="shared" si="455"/>
        <v>0</v>
      </c>
      <c r="Q972" s="135">
        <f t="shared" si="455"/>
        <v>0</v>
      </c>
      <c r="R972" s="135">
        <f t="shared" si="455"/>
        <v>0</v>
      </c>
      <c r="S972" s="135">
        <f t="shared" si="455"/>
        <v>0</v>
      </c>
      <c r="T972" s="135">
        <f t="shared" si="455"/>
        <v>0</v>
      </c>
      <c r="U972" s="135">
        <f t="shared" si="455"/>
        <v>0</v>
      </c>
      <c r="V972" s="135">
        <f t="shared" si="455"/>
        <v>0</v>
      </c>
      <c r="W972" s="135">
        <f t="shared" si="455"/>
        <v>0</v>
      </c>
      <c r="X972" s="135">
        <f t="shared" si="455"/>
        <v>0</v>
      </c>
    </row>
    <row r="973" spans="1:24" hidden="1">
      <c r="B973" s="133">
        <f t="shared" si="449"/>
        <v>0</v>
      </c>
      <c r="C973" s="133">
        <f t="shared" si="449"/>
        <v>0</v>
      </c>
      <c r="D973" s="133">
        <f t="shared" si="449"/>
        <v>0</v>
      </c>
      <c r="E973" s="133">
        <f t="shared" si="449"/>
        <v>0</v>
      </c>
      <c r="F973" s="133"/>
      <c r="G973" s="133"/>
      <c r="H973" s="133"/>
      <c r="I973" s="133"/>
      <c r="J973" s="133"/>
      <c r="K973" s="135">
        <f t="shared" ref="K973:X973" si="456">IF(AND($C973="B+R",$D973="nie",$E973="prace rozwojowe",LataProjekcji&lt;=Koniec_PR,Modul_badawczo_rozwojowy=tak),ROUND(K168,0),0)</f>
        <v>0</v>
      </c>
      <c r="L973" s="135">
        <f t="shared" si="456"/>
        <v>0</v>
      </c>
      <c r="M973" s="135">
        <f t="shared" si="456"/>
        <v>0</v>
      </c>
      <c r="N973" s="135">
        <f t="shared" si="456"/>
        <v>0</v>
      </c>
      <c r="O973" s="135">
        <f t="shared" si="456"/>
        <v>0</v>
      </c>
      <c r="P973" s="135">
        <f t="shared" si="456"/>
        <v>0</v>
      </c>
      <c r="Q973" s="135">
        <f t="shared" si="456"/>
        <v>0</v>
      </c>
      <c r="R973" s="135">
        <f t="shared" si="456"/>
        <v>0</v>
      </c>
      <c r="S973" s="135">
        <f t="shared" si="456"/>
        <v>0</v>
      </c>
      <c r="T973" s="135">
        <f t="shared" si="456"/>
        <v>0</v>
      </c>
      <c r="U973" s="135">
        <f t="shared" si="456"/>
        <v>0</v>
      </c>
      <c r="V973" s="135">
        <f t="shared" si="456"/>
        <v>0</v>
      </c>
      <c r="W973" s="135">
        <f t="shared" si="456"/>
        <v>0</v>
      </c>
      <c r="X973" s="135">
        <f t="shared" si="456"/>
        <v>0</v>
      </c>
    </row>
    <row r="974" spans="1:24" hidden="1">
      <c r="B974" s="133">
        <f t="shared" si="449"/>
        <v>0</v>
      </c>
      <c r="C974" s="133">
        <f t="shared" si="449"/>
        <v>0</v>
      </c>
      <c r="D974" s="133">
        <f t="shared" si="449"/>
        <v>0</v>
      </c>
      <c r="E974" s="133">
        <f t="shared" si="449"/>
        <v>0</v>
      </c>
      <c r="F974" s="133"/>
      <c r="G974" s="133"/>
      <c r="H974" s="133"/>
      <c r="I974" s="133"/>
      <c r="J974" s="133"/>
      <c r="K974" s="135">
        <f t="shared" ref="K974:X974" si="457">IF(AND($C974="B+R",$D974="nie",$E974="prace rozwojowe",LataProjekcji&lt;=Koniec_PR,Modul_badawczo_rozwojowy=tak),ROUND(K169,0),0)</f>
        <v>0</v>
      </c>
      <c r="L974" s="135">
        <f t="shared" si="457"/>
        <v>0</v>
      </c>
      <c r="M974" s="135">
        <f t="shared" si="457"/>
        <v>0</v>
      </c>
      <c r="N974" s="135">
        <f t="shared" si="457"/>
        <v>0</v>
      </c>
      <c r="O974" s="135">
        <f t="shared" si="457"/>
        <v>0</v>
      </c>
      <c r="P974" s="135">
        <f t="shared" si="457"/>
        <v>0</v>
      </c>
      <c r="Q974" s="135">
        <f t="shared" si="457"/>
        <v>0</v>
      </c>
      <c r="R974" s="135">
        <f t="shared" si="457"/>
        <v>0</v>
      </c>
      <c r="S974" s="135">
        <f t="shared" si="457"/>
        <v>0</v>
      </c>
      <c r="T974" s="135">
        <f t="shared" si="457"/>
        <v>0</v>
      </c>
      <c r="U974" s="135">
        <f t="shared" si="457"/>
        <v>0</v>
      </c>
      <c r="V974" s="135">
        <f t="shared" si="457"/>
        <v>0</v>
      </c>
      <c r="W974" s="135">
        <f t="shared" si="457"/>
        <v>0</v>
      </c>
      <c r="X974" s="135">
        <f t="shared" si="457"/>
        <v>0</v>
      </c>
    </row>
    <row r="975" spans="1:24" hidden="1">
      <c r="B975" s="133">
        <f t="shared" si="449"/>
        <v>0</v>
      </c>
      <c r="C975" s="133">
        <f t="shared" si="449"/>
        <v>0</v>
      </c>
      <c r="D975" s="133">
        <f t="shared" si="449"/>
        <v>0</v>
      </c>
      <c r="E975" s="133">
        <f t="shared" si="449"/>
        <v>0</v>
      </c>
      <c r="F975" s="133"/>
      <c r="G975" s="133"/>
      <c r="H975" s="133"/>
      <c r="I975" s="133"/>
      <c r="J975" s="133"/>
      <c r="K975" s="135">
        <f t="shared" ref="K975:X975" si="458">IF(AND($C975="B+R",$D975="nie",$E975="prace rozwojowe",LataProjekcji&lt;=Koniec_PR,Modul_badawczo_rozwojowy=tak),ROUND(K170,0),0)</f>
        <v>0</v>
      </c>
      <c r="L975" s="135">
        <f t="shared" si="458"/>
        <v>0</v>
      </c>
      <c r="M975" s="135">
        <f t="shared" si="458"/>
        <v>0</v>
      </c>
      <c r="N975" s="135">
        <f t="shared" si="458"/>
        <v>0</v>
      </c>
      <c r="O975" s="135">
        <f t="shared" si="458"/>
        <v>0</v>
      </c>
      <c r="P975" s="135">
        <f t="shared" si="458"/>
        <v>0</v>
      </c>
      <c r="Q975" s="135">
        <f t="shared" si="458"/>
        <v>0</v>
      </c>
      <c r="R975" s="135">
        <f t="shared" si="458"/>
        <v>0</v>
      </c>
      <c r="S975" s="135">
        <f t="shared" si="458"/>
        <v>0</v>
      </c>
      <c r="T975" s="135">
        <f t="shared" si="458"/>
        <v>0</v>
      </c>
      <c r="U975" s="135">
        <f t="shared" si="458"/>
        <v>0</v>
      </c>
      <c r="V975" s="135">
        <f t="shared" si="458"/>
        <v>0</v>
      </c>
      <c r="W975" s="135">
        <f t="shared" si="458"/>
        <v>0</v>
      </c>
      <c r="X975" s="135">
        <f t="shared" si="458"/>
        <v>0</v>
      </c>
    </row>
    <row r="976" spans="1:24" hidden="1">
      <c r="B976" s="133">
        <f t="shared" si="449"/>
        <v>0</v>
      </c>
      <c r="C976" s="133">
        <f t="shared" si="449"/>
        <v>0</v>
      </c>
      <c r="D976" s="133">
        <f t="shared" si="449"/>
        <v>0</v>
      </c>
      <c r="E976" s="133">
        <f t="shared" si="449"/>
        <v>0</v>
      </c>
      <c r="F976" s="133"/>
      <c r="G976" s="133"/>
      <c r="H976" s="133"/>
      <c r="I976" s="133"/>
      <c r="J976" s="133"/>
      <c r="K976" s="135">
        <f t="shared" ref="K976:X976" si="459">IF(AND($C976="B+R",$D976="nie",$E976="prace rozwojowe",LataProjekcji&lt;=Koniec_PR,Modul_badawczo_rozwojowy=tak),ROUND(K171,0),0)</f>
        <v>0</v>
      </c>
      <c r="L976" s="135">
        <f t="shared" si="459"/>
        <v>0</v>
      </c>
      <c r="M976" s="135">
        <f t="shared" si="459"/>
        <v>0</v>
      </c>
      <c r="N976" s="135">
        <f t="shared" si="459"/>
        <v>0</v>
      </c>
      <c r="O976" s="135">
        <f t="shared" si="459"/>
        <v>0</v>
      </c>
      <c r="P976" s="135">
        <f t="shared" si="459"/>
        <v>0</v>
      </c>
      <c r="Q976" s="135">
        <f t="shared" si="459"/>
        <v>0</v>
      </c>
      <c r="R976" s="135">
        <f t="shared" si="459"/>
        <v>0</v>
      </c>
      <c r="S976" s="135">
        <f t="shared" si="459"/>
        <v>0</v>
      </c>
      <c r="T976" s="135">
        <f t="shared" si="459"/>
        <v>0</v>
      </c>
      <c r="U976" s="135">
        <f t="shared" si="459"/>
        <v>0</v>
      </c>
      <c r="V976" s="135">
        <f t="shared" si="459"/>
        <v>0</v>
      </c>
      <c r="W976" s="135">
        <f t="shared" si="459"/>
        <v>0</v>
      </c>
      <c r="X976" s="135">
        <f t="shared" si="459"/>
        <v>0</v>
      </c>
    </row>
    <row r="977" spans="2:24" hidden="1">
      <c r="B977" s="133">
        <f t="shared" si="449"/>
        <v>0</v>
      </c>
      <c r="C977" s="133">
        <f t="shared" si="449"/>
        <v>0</v>
      </c>
      <c r="D977" s="133">
        <f t="shared" si="449"/>
        <v>0</v>
      </c>
      <c r="E977" s="133">
        <f t="shared" si="449"/>
        <v>0</v>
      </c>
      <c r="F977" s="133"/>
      <c r="G977" s="133"/>
      <c r="H977" s="133"/>
      <c r="I977" s="133"/>
      <c r="J977" s="133"/>
      <c r="K977" s="135">
        <f t="shared" ref="K977:X977" si="460">IF(AND($C977="B+R",$D977="nie",$E977="prace rozwojowe",LataProjekcji&lt;=Koniec_PR,Modul_badawczo_rozwojowy=tak),ROUND(K172,0),0)</f>
        <v>0</v>
      </c>
      <c r="L977" s="135">
        <f t="shared" si="460"/>
        <v>0</v>
      </c>
      <c r="M977" s="135">
        <f t="shared" si="460"/>
        <v>0</v>
      </c>
      <c r="N977" s="135">
        <f t="shared" si="460"/>
        <v>0</v>
      </c>
      <c r="O977" s="135">
        <f t="shared" si="460"/>
        <v>0</v>
      </c>
      <c r="P977" s="135">
        <f t="shared" si="460"/>
        <v>0</v>
      </c>
      <c r="Q977" s="135">
        <f t="shared" si="460"/>
        <v>0</v>
      </c>
      <c r="R977" s="135">
        <f t="shared" si="460"/>
        <v>0</v>
      </c>
      <c r="S977" s="135">
        <f t="shared" si="460"/>
        <v>0</v>
      </c>
      <c r="T977" s="135">
        <f t="shared" si="460"/>
        <v>0</v>
      </c>
      <c r="U977" s="135">
        <f t="shared" si="460"/>
        <v>0</v>
      </c>
      <c r="V977" s="135">
        <f t="shared" si="460"/>
        <v>0</v>
      </c>
      <c r="W977" s="135">
        <f t="shared" si="460"/>
        <v>0</v>
      </c>
      <c r="X977" s="135">
        <f t="shared" si="460"/>
        <v>0</v>
      </c>
    </row>
    <row r="978" spans="2:24" hidden="1">
      <c r="B978" s="133">
        <f t="shared" si="449"/>
        <v>0</v>
      </c>
      <c r="C978" s="133">
        <f t="shared" si="449"/>
        <v>0</v>
      </c>
      <c r="D978" s="133">
        <f t="shared" si="449"/>
        <v>0</v>
      </c>
      <c r="E978" s="133">
        <f t="shared" si="449"/>
        <v>0</v>
      </c>
      <c r="F978" s="133"/>
      <c r="G978" s="133"/>
      <c r="H978" s="133"/>
      <c r="I978" s="133"/>
      <c r="J978" s="133"/>
      <c r="K978" s="135">
        <f t="shared" ref="K978:X978" si="461">IF(AND($C978="B+R",$D978="nie",$E978="prace rozwojowe",LataProjekcji&lt;=Koniec_PR,Modul_badawczo_rozwojowy=tak),ROUND(K173,0),0)</f>
        <v>0</v>
      </c>
      <c r="L978" s="135">
        <f t="shared" si="461"/>
        <v>0</v>
      </c>
      <c r="M978" s="135">
        <f t="shared" si="461"/>
        <v>0</v>
      </c>
      <c r="N978" s="135">
        <f t="shared" si="461"/>
        <v>0</v>
      </c>
      <c r="O978" s="135">
        <f t="shared" si="461"/>
        <v>0</v>
      </c>
      <c r="P978" s="135">
        <f t="shared" si="461"/>
        <v>0</v>
      </c>
      <c r="Q978" s="135">
        <f t="shared" si="461"/>
        <v>0</v>
      </c>
      <c r="R978" s="135">
        <f t="shared" si="461"/>
        <v>0</v>
      </c>
      <c r="S978" s="135">
        <f t="shared" si="461"/>
        <v>0</v>
      </c>
      <c r="T978" s="135">
        <f t="shared" si="461"/>
        <v>0</v>
      </c>
      <c r="U978" s="135">
        <f t="shared" si="461"/>
        <v>0</v>
      </c>
      <c r="V978" s="135">
        <f t="shared" si="461"/>
        <v>0</v>
      </c>
      <c r="W978" s="135">
        <f t="shared" si="461"/>
        <v>0</v>
      </c>
      <c r="X978" s="135">
        <f t="shared" si="461"/>
        <v>0</v>
      </c>
    </row>
    <row r="979" spans="2:24" hidden="1">
      <c r="B979" s="133">
        <f t="shared" si="449"/>
        <v>0</v>
      </c>
      <c r="C979" s="133">
        <f t="shared" si="449"/>
        <v>0</v>
      </c>
      <c r="D979" s="133">
        <f t="shared" si="449"/>
        <v>0</v>
      </c>
      <c r="E979" s="133">
        <f t="shared" si="449"/>
        <v>0</v>
      </c>
      <c r="F979" s="133"/>
      <c r="G979" s="133"/>
      <c r="H979" s="133"/>
      <c r="I979" s="133"/>
      <c r="J979" s="133"/>
      <c r="K979" s="135">
        <f t="shared" ref="K979:X979" si="462">IF(AND($C979="B+R",$D979="nie",$E979="prace rozwojowe",LataProjekcji&lt;=Koniec_PR,Modul_badawczo_rozwojowy=tak),ROUND(K174,0),0)</f>
        <v>0</v>
      </c>
      <c r="L979" s="135">
        <f t="shared" si="462"/>
        <v>0</v>
      </c>
      <c r="M979" s="135">
        <f t="shared" si="462"/>
        <v>0</v>
      </c>
      <c r="N979" s="135">
        <f t="shared" si="462"/>
        <v>0</v>
      </c>
      <c r="O979" s="135">
        <f t="shared" si="462"/>
        <v>0</v>
      </c>
      <c r="P979" s="135">
        <f t="shared" si="462"/>
        <v>0</v>
      </c>
      <c r="Q979" s="135">
        <f t="shared" si="462"/>
        <v>0</v>
      </c>
      <c r="R979" s="135">
        <f t="shared" si="462"/>
        <v>0</v>
      </c>
      <c r="S979" s="135">
        <f t="shared" si="462"/>
        <v>0</v>
      </c>
      <c r="T979" s="135">
        <f t="shared" si="462"/>
        <v>0</v>
      </c>
      <c r="U979" s="135">
        <f t="shared" si="462"/>
        <v>0</v>
      </c>
      <c r="V979" s="135">
        <f t="shared" si="462"/>
        <v>0</v>
      </c>
      <c r="W979" s="135">
        <f t="shared" si="462"/>
        <v>0</v>
      </c>
      <c r="X979" s="135">
        <f t="shared" si="462"/>
        <v>0</v>
      </c>
    </row>
    <row r="980" spans="2:24" hidden="1">
      <c r="B980" s="133">
        <f t="shared" si="449"/>
        <v>0</v>
      </c>
      <c r="C980" s="133">
        <f t="shared" si="449"/>
        <v>0</v>
      </c>
      <c r="D980" s="133">
        <f t="shared" si="449"/>
        <v>0</v>
      </c>
      <c r="E980" s="133">
        <f t="shared" si="449"/>
        <v>0</v>
      </c>
      <c r="F980" s="133"/>
      <c r="G980" s="133"/>
      <c r="H980" s="133"/>
      <c r="I980" s="133"/>
      <c r="J980" s="133"/>
      <c r="K980" s="135">
        <f t="shared" ref="K980:X980" si="463">IF(AND($C980="B+R",$D980="nie",$E980="prace rozwojowe",LataProjekcji&lt;=Koniec_PR,Modul_badawczo_rozwojowy=tak),ROUND(K175,0),0)</f>
        <v>0</v>
      </c>
      <c r="L980" s="135">
        <f t="shared" si="463"/>
        <v>0</v>
      </c>
      <c r="M980" s="135">
        <f t="shared" si="463"/>
        <v>0</v>
      </c>
      <c r="N980" s="135">
        <f t="shared" si="463"/>
        <v>0</v>
      </c>
      <c r="O980" s="135">
        <f t="shared" si="463"/>
        <v>0</v>
      </c>
      <c r="P980" s="135">
        <f t="shared" si="463"/>
        <v>0</v>
      </c>
      <c r="Q980" s="135">
        <f t="shared" si="463"/>
        <v>0</v>
      </c>
      <c r="R980" s="135">
        <f t="shared" si="463"/>
        <v>0</v>
      </c>
      <c r="S980" s="135">
        <f t="shared" si="463"/>
        <v>0</v>
      </c>
      <c r="T980" s="135">
        <f t="shared" si="463"/>
        <v>0</v>
      </c>
      <c r="U980" s="135">
        <f t="shared" si="463"/>
        <v>0</v>
      </c>
      <c r="V980" s="135">
        <f t="shared" si="463"/>
        <v>0</v>
      </c>
      <c r="W980" s="135">
        <f t="shared" si="463"/>
        <v>0</v>
      </c>
      <c r="X980" s="135">
        <f t="shared" si="463"/>
        <v>0</v>
      </c>
    </row>
    <row r="981" spans="2:24" hidden="1">
      <c r="B981" s="133">
        <f t="shared" si="449"/>
        <v>0</v>
      </c>
      <c r="C981" s="133">
        <f t="shared" si="449"/>
        <v>0</v>
      </c>
      <c r="D981" s="133">
        <f t="shared" si="449"/>
        <v>0</v>
      </c>
      <c r="E981" s="133">
        <f t="shared" si="449"/>
        <v>0</v>
      </c>
      <c r="F981" s="133"/>
      <c r="G981" s="133"/>
      <c r="H981" s="133"/>
      <c r="I981" s="133"/>
      <c r="J981" s="133"/>
      <c r="K981" s="135">
        <f t="shared" ref="K981:X981" si="464">IF(AND($C981="B+R",$D981="nie",$E981="prace rozwojowe",LataProjekcji&lt;=Koniec_PR,Modul_badawczo_rozwojowy=tak),ROUND(K176,0),0)</f>
        <v>0</v>
      </c>
      <c r="L981" s="135">
        <f t="shared" si="464"/>
        <v>0</v>
      </c>
      <c r="M981" s="135">
        <f t="shared" si="464"/>
        <v>0</v>
      </c>
      <c r="N981" s="135">
        <f t="shared" si="464"/>
        <v>0</v>
      </c>
      <c r="O981" s="135">
        <f t="shared" si="464"/>
        <v>0</v>
      </c>
      <c r="P981" s="135">
        <f t="shared" si="464"/>
        <v>0</v>
      </c>
      <c r="Q981" s="135">
        <f t="shared" si="464"/>
        <v>0</v>
      </c>
      <c r="R981" s="135">
        <f t="shared" si="464"/>
        <v>0</v>
      </c>
      <c r="S981" s="135">
        <f t="shared" si="464"/>
        <v>0</v>
      </c>
      <c r="T981" s="135">
        <f t="shared" si="464"/>
        <v>0</v>
      </c>
      <c r="U981" s="135">
        <f t="shared" si="464"/>
        <v>0</v>
      </c>
      <c r="V981" s="135">
        <f t="shared" si="464"/>
        <v>0</v>
      </c>
      <c r="W981" s="135">
        <f t="shared" si="464"/>
        <v>0</v>
      </c>
      <c r="X981" s="135">
        <f t="shared" si="464"/>
        <v>0</v>
      </c>
    </row>
    <row r="982" spans="2:24" hidden="1">
      <c r="B982" s="133">
        <f t="shared" si="449"/>
        <v>0</v>
      </c>
      <c r="C982" s="133">
        <f t="shared" si="449"/>
        <v>0</v>
      </c>
      <c r="D982" s="133">
        <f t="shared" si="449"/>
        <v>0</v>
      </c>
      <c r="E982" s="133">
        <f t="shared" si="449"/>
        <v>0</v>
      </c>
      <c r="F982" s="133"/>
      <c r="G982" s="133"/>
      <c r="H982" s="133"/>
      <c r="I982" s="133"/>
      <c r="J982" s="133"/>
      <c r="K982" s="135">
        <f t="shared" ref="K982:X982" si="465">IF(AND($C982="B+R",$D982="nie",$E982="prace rozwojowe",LataProjekcji&lt;=Koniec_PR,Modul_badawczo_rozwojowy=tak),ROUND(K177,0),0)</f>
        <v>0</v>
      </c>
      <c r="L982" s="135">
        <f t="shared" si="465"/>
        <v>0</v>
      </c>
      <c r="M982" s="135">
        <f t="shared" si="465"/>
        <v>0</v>
      </c>
      <c r="N982" s="135">
        <f t="shared" si="465"/>
        <v>0</v>
      </c>
      <c r="O982" s="135">
        <f t="shared" si="465"/>
        <v>0</v>
      </c>
      <c r="P982" s="135">
        <f t="shared" si="465"/>
        <v>0</v>
      </c>
      <c r="Q982" s="135">
        <f t="shared" si="465"/>
        <v>0</v>
      </c>
      <c r="R982" s="135">
        <f t="shared" si="465"/>
        <v>0</v>
      </c>
      <c r="S982" s="135">
        <f t="shared" si="465"/>
        <v>0</v>
      </c>
      <c r="T982" s="135">
        <f t="shared" si="465"/>
        <v>0</v>
      </c>
      <c r="U982" s="135">
        <f t="shared" si="465"/>
        <v>0</v>
      </c>
      <c r="V982" s="135">
        <f t="shared" si="465"/>
        <v>0</v>
      </c>
      <c r="W982" s="135">
        <f t="shared" si="465"/>
        <v>0</v>
      </c>
      <c r="X982" s="135">
        <f t="shared" si="465"/>
        <v>0</v>
      </c>
    </row>
    <row r="983" spans="2:24" hidden="1">
      <c r="B983" s="133">
        <f t="shared" si="449"/>
        <v>0</v>
      </c>
      <c r="C983" s="133">
        <f t="shared" si="449"/>
        <v>0</v>
      </c>
      <c r="D983" s="133">
        <f t="shared" si="449"/>
        <v>0</v>
      </c>
      <c r="E983" s="133">
        <f t="shared" si="449"/>
        <v>0</v>
      </c>
      <c r="F983" s="133"/>
      <c r="G983" s="133"/>
      <c r="H983" s="133"/>
      <c r="I983" s="133"/>
      <c r="J983" s="133"/>
      <c r="K983" s="135">
        <f t="shared" ref="K983:X983" si="466">IF(AND($C983="B+R",$D983="nie",$E983="prace rozwojowe",LataProjekcji&lt;=Koniec_PR,Modul_badawczo_rozwojowy=tak),ROUND(K178,0),0)</f>
        <v>0</v>
      </c>
      <c r="L983" s="135">
        <f t="shared" si="466"/>
        <v>0</v>
      </c>
      <c r="M983" s="135">
        <f t="shared" si="466"/>
        <v>0</v>
      </c>
      <c r="N983" s="135">
        <f t="shared" si="466"/>
        <v>0</v>
      </c>
      <c r="O983" s="135">
        <f t="shared" si="466"/>
        <v>0</v>
      </c>
      <c r="P983" s="135">
        <f t="shared" si="466"/>
        <v>0</v>
      </c>
      <c r="Q983" s="135">
        <f t="shared" si="466"/>
        <v>0</v>
      </c>
      <c r="R983" s="135">
        <f t="shared" si="466"/>
        <v>0</v>
      </c>
      <c r="S983" s="135">
        <f t="shared" si="466"/>
        <v>0</v>
      </c>
      <c r="T983" s="135">
        <f t="shared" si="466"/>
        <v>0</v>
      </c>
      <c r="U983" s="135">
        <f t="shared" si="466"/>
        <v>0</v>
      </c>
      <c r="V983" s="135">
        <f t="shared" si="466"/>
        <v>0</v>
      </c>
      <c r="W983" s="135">
        <f t="shared" si="466"/>
        <v>0</v>
      </c>
      <c r="X983" s="135">
        <f t="shared" si="466"/>
        <v>0</v>
      </c>
    </row>
    <row r="984" spans="2:24" hidden="1">
      <c r="B984" s="133">
        <f t="shared" si="449"/>
        <v>0</v>
      </c>
      <c r="C984" s="133">
        <f t="shared" si="449"/>
        <v>0</v>
      </c>
      <c r="D984" s="133">
        <f t="shared" si="449"/>
        <v>0</v>
      </c>
      <c r="E984" s="133">
        <f t="shared" si="449"/>
        <v>0</v>
      </c>
      <c r="F984" s="133"/>
      <c r="G984" s="133"/>
      <c r="H984" s="133"/>
      <c r="I984" s="133"/>
      <c r="J984" s="133"/>
      <c r="K984" s="135">
        <f t="shared" ref="K984:X984" si="467">IF(AND($C984="B+R",$D984="nie",$E984="prace rozwojowe",LataProjekcji&lt;=Koniec_PR,Modul_badawczo_rozwojowy=tak),ROUND(K179,0),0)</f>
        <v>0</v>
      </c>
      <c r="L984" s="135">
        <f t="shared" si="467"/>
        <v>0</v>
      </c>
      <c r="M984" s="135">
        <f t="shared" si="467"/>
        <v>0</v>
      </c>
      <c r="N984" s="135">
        <f t="shared" si="467"/>
        <v>0</v>
      </c>
      <c r="O984" s="135">
        <f t="shared" si="467"/>
        <v>0</v>
      </c>
      <c r="P984" s="135">
        <f t="shared" si="467"/>
        <v>0</v>
      </c>
      <c r="Q984" s="135">
        <f t="shared" si="467"/>
        <v>0</v>
      </c>
      <c r="R984" s="135">
        <f t="shared" si="467"/>
        <v>0</v>
      </c>
      <c r="S984" s="135">
        <f t="shared" si="467"/>
        <v>0</v>
      </c>
      <c r="T984" s="135">
        <f t="shared" si="467"/>
        <v>0</v>
      </c>
      <c r="U984" s="135">
        <f t="shared" si="467"/>
        <v>0</v>
      </c>
      <c r="V984" s="135">
        <f t="shared" si="467"/>
        <v>0</v>
      </c>
      <c r="W984" s="135">
        <f t="shared" si="467"/>
        <v>0</v>
      </c>
      <c r="X984" s="135">
        <f t="shared" si="467"/>
        <v>0</v>
      </c>
    </row>
    <row r="985" spans="2:24" hidden="1">
      <c r="B985" s="133">
        <f t="shared" si="449"/>
        <v>0</v>
      </c>
      <c r="C985" s="133">
        <f t="shared" si="449"/>
        <v>0</v>
      </c>
      <c r="D985" s="133">
        <f t="shared" si="449"/>
        <v>0</v>
      </c>
      <c r="E985" s="133">
        <f t="shared" si="449"/>
        <v>0</v>
      </c>
      <c r="F985" s="133"/>
      <c r="G985" s="133"/>
      <c r="H985" s="133"/>
      <c r="I985" s="133"/>
      <c r="J985" s="133"/>
      <c r="K985" s="135">
        <f t="shared" ref="K985:X985" si="468">IF(AND($C985="B+R",$D985="nie",$E985="prace rozwojowe",LataProjekcji&lt;=Koniec_PR,Modul_badawczo_rozwojowy=tak),ROUND(K180,0),0)</f>
        <v>0</v>
      </c>
      <c r="L985" s="135">
        <f t="shared" si="468"/>
        <v>0</v>
      </c>
      <c r="M985" s="135">
        <f t="shared" si="468"/>
        <v>0</v>
      </c>
      <c r="N985" s="135">
        <f t="shared" si="468"/>
        <v>0</v>
      </c>
      <c r="O985" s="135">
        <f t="shared" si="468"/>
        <v>0</v>
      </c>
      <c r="P985" s="135">
        <f t="shared" si="468"/>
        <v>0</v>
      </c>
      <c r="Q985" s="135">
        <f t="shared" si="468"/>
        <v>0</v>
      </c>
      <c r="R985" s="135">
        <f t="shared" si="468"/>
        <v>0</v>
      </c>
      <c r="S985" s="135">
        <f t="shared" si="468"/>
        <v>0</v>
      </c>
      <c r="T985" s="135">
        <f t="shared" si="468"/>
        <v>0</v>
      </c>
      <c r="U985" s="135">
        <f t="shared" si="468"/>
        <v>0</v>
      </c>
      <c r="V985" s="135">
        <f t="shared" si="468"/>
        <v>0</v>
      </c>
      <c r="W985" s="135">
        <f t="shared" si="468"/>
        <v>0</v>
      </c>
      <c r="X985" s="135">
        <f t="shared" si="468"/>
        <v>0</v>
      </c>
    </row>
    <row r="986" spans="2:24" hidden="1">
      <c r="B986" s="133">
        <f t="shared" si="449"/>
        <v>0</v>
      </c>
      <c r="C986" s="133">
        <f t="shared" si="449"/>
        <v>0</v>
      </c>
      <c r="D986" s="133">
        <f t="shared" si="449"/>
        <v>0</v>
      </c>
      <c r="E986" s="133">
        <f t="shared" si="449"/>
        <v>0</v>
      </c>
      <c r="F986" s="133"/>
      <c r="G986" s="133"/>
      <c r="H986" s="133"/>
      <c r="I986" s="133"/>
      <c r="J986" s="133"/>
      <c r="K986" s="135">
        <f t="shared" ref="K986:X986" si="469">IF(AND($C986="B+R",$D986="nie",$E986="prace rozwojowe",LataProjekcji&lt;=Koniec_PR,Modul_badawczo_rozwojowy=tak),ROUND(K181,0),0)</f>
        <v>0</v>
      </c>
      <c r="L986" s="135">
        <f t="shared" si="469"/>
        <v>0</v>
      </c>
      <c r="M986" s="135">
        <f t="shared" si="469"/>
        <v>0</v>
      </c>
      <c r="N986" s="135">
        <f t="shared" si="469"/>
        <v>0</v>
      </c>
      <c r="O986" s="135">
        <f t="shared" si="469"/>
        <v>0</v>
      </c>
      <c r="P986" s="135">
        <f t="shared" si="469"/>
        <v>0</v>
      </c>
      <c r="Q986" s="135">
        <f t="shared" si="469"/>
        <v>0</v>
      </c>
      <c r="R986" s="135">
        <f t="shared" si="469"/>
        <v>0</v>
      </c>
      <c r="S986" s="135">
        <f t="shared" si="469"/>
        <v>0</v>
      </c>
      <c r="T986" s="135">
        <f t="shared" si="469"/>
        <v>0</v>
      </c>
      <c r="U986" s="135">
        <f t="shared" si="469"/>
        <v>0</v>
      </c>
      <c r="V986" s="135">
        <f t="shared" si="469"/>
        <v>0</v>
      </c>
      <c r="W986" s="135">
        <f t="shared" si="469"/>
        <v>0</v>
      </c>
      <c r="X986" s="135">
        <f t="shared" si="469"/>
        <v>0</v>
      </c>
    </row>
    <row r="987" spans="2:24" hidden="1">
      <c r="B987" s="127" t="s">
        <v>343</v>
      </c>
      <c r="C987" s="127"/>
      <c r="D987" s="128"/>
      <c r="E987" s="129"/>
      <c r="F987" s="129"/>
      <c r="G987" s="129"/>
      <c r="H987" s="129"/>
      <c r="I987" s="129"/>
      <c r="J987" s="129"/>
      <c r="K987" s="136">
        <f t="shared" ref="K987:X987" si="470">ROUND(SUM(K967:K986),0)</f>
        <v>0</v>
      </c>
      <c r="L987" s="136">
        <f t="shared" si="470"/>
        <v>0</v>
      </c>
      <c r="M987" s="136">
        <f t="shared" si="470"/>
        <v>0</v>
      </c>
      <c r="N987" s="136">
        <f t="shared" si="470"/>
        <v>0</v>
      </c>
      <c r="O987" s="136">
        <f t="shared" si="470"/>
        <v>0</v>
      </c>
      <c r="P987" s="136">
        <f t="shared" si="470"/>
        <v>0</v>
      </c>
      <c r="Q987" s="136">
        <f t="shared" si="470"/>
        <v>0</v>
      </c>
      <c r="R987" s="136">
        <f t="shared" si="470"/>
        <v>0</v>
      </c>
      <c r="S987" s="136">
        <f t="shared" si="470"/>
        <v>0</v>
      </c>
      <c r="T987" s="136">
        <f t="shared" si="470"/>
        <v>0</v>
      </c>
      <c r="U987" s="136">
        <f t="shared" si="470"/>
        <v>0</v>
      </c>
      <c r="V987" s="136">
        <f t="shared" si="470"/>
        <v>0</v>
      </c>
      <c r="W987" s="136">
        <f t="shared" si="470"/>
        <v>0</v>
      </c>
      <c r="X987" s="136">
        <f t="shared" si="470"/>
        <v>0</v>
      </c>
    </row>
    <row r="988" spans="2:24" hidden="1">
      <c r="B988" s="129"/>
      <c r="C988" s="129"/>
      <c r="D988" s="128"/>
      <c r="E988" s="129"/>
      <c r="F988" s="129"/>
      <c r="G988" s="129"/>
      <c r="H988" s="129"/>
      <c r="I988" s="129"/>
      <c r="J988" s="129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</row>
    <row r="989" spans="2:24" hidden="1">
      <c r="B989" s="129"/>
      <c r="C989" s="129"/>
      <c r="D989" s="128"/>
      <c r="E989" s="129"/>
      <c r="F989" s="129"/>
      <c r="G989" s="129"/>
      <c r="H989" s="129"/>
      <c r="I989" s="129"/>
      <c r="J989" s="129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</row>
    <row r="990" spans="2:24" hidden="1">
      <c r="B990" s="127" t="s">
        <v>344</v>
      </c>
      <c r="C990" s="127"/>
      <c r="D990" s="138" t="s">
        <v>336</v>
      </c>
      <c r="E990" s="127" t="s">
        <v>337</v>
      </c>
      <c r="F990" s="129"/>
      <c r="G990" s="129"/>
      <c r="H990" s="129"/>
      <c r="I990" s="129"/>
      <c r="J990" s="129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</row>
    <row r="991" spans="2:24" hidden="1">
      <c r="B991" s="133" t="str">
        <f t="shared" ref="B991:E995" si="471">B749</f>
        <v/>
      </c>
      <c r="C991" s="133" t="str">
        <f t="shared" si="471"/>
        <v/>
      </c>
      <c r="D991" s="133" t="str">
        <f t="shared" si="471"/>
        <v/>
      </c>
      <c r="E991" s="133" t="str">
        <f t="shared" si="471"/>
        <v/>
      </c>
      <c r="F991" s="133"/>
      <c r="G991" s="133"/>
      <c r="H991" s="133"/>
      <c r="I991" s="133"/>
      <c r="J991" s="133"/>
      <c r="K991" s="135">
        <f t="shared" ref="K991:X991" si="472">IF(AND($C991="B+R",$D991="nie",$E991="prace rozwojowe",LataProjekcji&lt;=Koniec_PR,Modul_badawczo_rozwojowy=tak),ROUND(K207,0),0)</f>
        <v>0</v>
      </c>
      <c r="L991" s="135">
        <f t="shared" si="472"/>
        <v>0</v>
      </c>
      <c r="M991" s="135">
        <f t="shared" si="472"/>
        <v>0</v>
      </c>
      <c r="N991" s="135">
        <f t="shared" si="472"/>
        <v>0</v>
      </c>
      <c r="O991" s="135">
        <f t="shared" si="472"/>
        <v>0</v>
      </c>
      <c r="P991" s="135">
        <f t="shared" si="472"/>
        <v>0</v>
      </c>
      <c r="Q991" s="135">
        <f t="shared" si="472"/>
        <v>0</v>
      </c>
      <c r="R991" s="135">
        <f t="shared" si="472"/>
        <v>0</v>
      </c>
      <c r="S991" s="135">
        <f t="shared" si="472"/>
        <v>0</v>
      </c>
      <c r="T991" s="135">
        <f t="shared" si="472"/>
        <v>0</v>
      </c>
      <c r="U991" s="135">
        <f t="shared" si="472"/>
        <v>0</v>
      </c>
      <c r="V991" s="135">
        <f t="shared" si="472"/>
        <v>0</v>
      </c>
      <c r="W991" s="135">
        <f t="shared" si="472"/>
        <v>0</v>
      </c>
      <c r="X991" s="135">
        <f t="shared" si="472"/>
        <v>0</v>
      </c>
    </row>
    <row r="992" spans="2:24" hidden="1">
      <c r="B992" s="133" t="str">
        <f t="shared" si="471"/>
        <v/>
      </c>
      <c r="C992" s="133" t="str">
        <f t="shared" si="471"/>
        <v/>
      </c>
      <c r="D992" s="133" t="str">
        <f t="shared" si="471"/>
        <v/>
      </c>
      <c r="E992" s="133" t="str">
        <f t="shared" si="471"/>
        <v/>
      </c>
      <c r="F992" s="133"/>
      <c r="G992" s="133"/>
      <c r="H992" s="133"/>
      <c r="I992" s="133"/>
      <c r="J992" s="133"/>
      <c r="K992" s="135">
        <f t="shared" ref="K992:X992" si="473">IF(AND($C992="B+R",$D992="nie",$E992="prace rozwojowe",LataProjekcji&lt;=Koniec_PR,Modul_badawczo_rozwojowy=tak),ROUND(K208,0),0)</f>
        <v>0</v>
      </c>
      <c r="L992" s="135">
        <f t="shared" si="473"/>
        <v>0</v>
      </c>
      <c r="M992" s="135">
        <f t="shared" si="473"/>
        <v>0</v>
      </c>
      <c r="N992" s="135">
        <f t="shared" si="473"/>
        <v>0</v>
      </c>
      <c r="O992" s="135">
        <f t="shared" si="473"/>
        <v>0</v>
      </c>
      <c r="P992" s="135">
        <f t="shared" si="473"/>
        <v>0</v>
      </c>
      <c r="Q992" s="135">
        <f t="shared" si="473"/>
        <v>0</v>
      </c>
      <c r="R992" s="135">
        <f t="shared" si="473"/>
        <v>0</v>
      </c>
      <c r="S992" s="135">
        <f t="shared" si="473"/>
        <v>0</v>
      </c>
      <c r="T992" s="135">
        <f t="shared" si="473"/>
        <v>0</v>
      </c>
      <c r="U992" s="135">
        <f t="shared" si="473"/>
        <v>0</v>
      </c>
      <c r="V992" s="135">
        <f t="shared" si="473"/>
        <v>0</v>
      </c>
      <c r="W992" s="135">
        <f t="shared" si="473"/>
        <v>0</v>
      </c>
      <c r="X992" s="135">
        <f t="shared" si="473"/>
        <v>0</v>
      </c>
    </row>
    <row r="993" spans="2:24" hidden="1">
      <c r="B993" s="133" t="str">
        <f t="shared" si="471"/>
        <v/>
      </c>
      <c r="C993" s="133" t="str">
        <f t="shared" si="471"/>
        <v/>
      </c>
      <c r="D993" s="133" t="str">
        <f t="shared" si="471"/>
        <v/>
      </c>
      <c r="E993" s="133" t="str">
        <f t="shared" si="471"/>
        <v/>
      </c>
      <c r="F993" s="133"/>
      <c r="G993" s="133"/>
      <c r="H993" s="133"/>
      <c r="I993" s="133"/>
      <c r="J993" s="133"/>
      <c r="K993" s="135">
        <f t="shared" ref="K993:X993" si="474">IF(AND($C993="B+R",$D993="nie",$E993="prace rozwojowe",LataProjekcji&lt;=Koniec_PR,Modul_badawczo_rozwojowy=tak),ROUND(K209,0),0)</f>
        <v>0</v>
      </c>
      <c r="L993" s="135">
        <f t="shared" si="474"/>
        <v>0</v>
      </c>
      <c r="M993" s="135">
        <f t="shared" si="474"/>
        <v>0</v>
      </c>
      <c r="N993" s="135">
        <f t="shared" si="474"/>
        <v>0</v>
      </c>
      <c r="O993" s="135">
        <f t="shared" si="474"/>
        <v>0</v>
      </c>
      <c r="P993" s="135">
        <f t="shared" si="474"/>
        <v>0</v>
      </c>
      <c r="Q993" s="135">
        <f t="shared" si="474"/>
        <v>0</v>
      </c>
      <c r="R993" s="135">
        <f t="shared" si="474"/>
        <v>0</v>
      </c>
      <c r="S993" s="135">
        <f t="shared" si="474"/>
        <v>0</v>
      </c>
      <c r="T993" s="135">
        <f t="shared" si="474"/>
        <v>0</v>
      </c>
      <c r="U993" s="135">
        <f t="shared" si="474"/>
        <v>0</v>
      </c>
      <c r="V993" s="135">
        <f t="shared" si="474"/>
        <v>0</v>
      </c>
      <c r="W993" s="135">
        <f t="shared" si="474"/>
        <v>0</v>
      </c>
      <c r="X993" s="135">
        <f t="shared" si="474"/>
        <v>0</v>
      </c>
    </row>
    <row r="994" spans="2:24" hidden="1">
      <c r="B994" s="133" t="str">
        <f t="shared" si="471"/>
        <v/>
      </c>
      <c r="C994" s="133" t="str">
        <f t="shared" si="471"/>
        <v/>
      </c>
      <c r="D994" s="133" t="str">
        <f t="shared" si="471"/>
        <v/>
      </c>
      <c r="E994" s="133" t="str">
        <f t="shared" si="471"/>
        <v/>
      </c>
      <c r="F994" s="133"/>
      <c r="G994" s="133"/>
      <c r="H994" s="133"/>
      <c r="I994" s="133"/>
      <c r="J994" s="133"/>
      <c r="K994" s="135">
        <f t="shared" ref="K994:X994" si="475">IF(AND($C994="B+R",$D994="nie",$E994="prace rozwojowe",LataProjekcji&lt;=Koniec_PR,Modul_badawczo_rozwojowy=tak),ROUND(K210,0),0)</f>
        <v>0</v>
      </c>
      <c r="L994" s="135">
        <f t="shared" si="475"/>
        <v>0</v>
      </c>
      <c r="M994" s="135">
        <f t="shared" si="475"/>
        <v>0</v>
      </c>
      <c r="N994" s="135">
        <f t="shared" si="475"/>
        <v>0</v>
      </c>
      <c r="O994" s="135">
        <f t="shared" si="475"/>
        <v>0</v>
      </c>
      <c r="P994" s="135">
        <f t="shared" si="475"/>
        <v>0</v>
      </c>
      <c r="Q994" s="135">
        <f t="shared" si="475"/>
        <v>0</v>
      </c>
      <c r="R994" s="135">
        <f t="shared" si="475"/>
        <v>0</v>
      </c>
      <c r="S994" s="135">
        <f t="shared" si="475"/>
        <v>0</v>
      </c>
      <c r="T994" s="135">
        <f t="shared" si="475"/>
        <v>0</v>
      </c>
      <c r="U994" s="135">
        <f t="shared" si="475"/>
        <v>0</v>
      </c>
      <c r="V994" s="135">
        <f t="shared" si="475"/>
        <v>0</v>
      </c>
      <c r="W994" s="135">
        <f t="shared" si="475"/>
        <v>0</v>
      </c>
      <c r="X994" s="135">
        <f t="shared" si="475"/>
        <v>0</v>
      </c>
    </row>
    <row r="995" spans="2:24" hidden="1">
      <c r="B995" s="133" t="str">
        <f t="shared" si="471"/>
        <v/>
      </c>
      <c r="C995" s="133" t="str">
        <f t="shared" si="471"/>
        <v/>
      </c>
      <c r="D995" s="133" t="str">
        <f t="shared" si="471"/>
        <v/>
      </c>
      <c r="E995" s="133" t="str">
        <f t="shared" si="471"/>
        <v/>
      </c>
      <c r="F995" s="133"/>
      <c r="G995" s="133"/>
      <c r="H995" s="133"/>
      <c r="I995" s="133"/>
      <c r="J995" s="133"/>
      <c r="K995" s="135">
        <f t="shared" ref="K995:X995" si="476">IF(AND($C995="B+R",$D995="nie",$E995="prace rozwojowe",LataProjekcji&lt;=Koniec_PR,Modul_badawczo_rozwojowy=tak),ROUND(K211,0),0)</f>
        <v>0</v>
      </c>
      <c r="L995" s="135">
        <f t="shared" si="476"/>
        <v>0</v>
      </c>
      <c r="M995" s="135">
        <f t="shared" si="476"/>
        <v>0</v>
      </c>
      <c r="N995" s="135">
        <f t="shared" si="476"/>
        <v>0</v>
      </c>
      <c r="O995" s="135">
        <f t="shared" si="476"/>
        <v>0</v>
      </c>
      <c r="P995" s="135">
        <f t="shared" si="476"/>
        <v>0</v>
      </c>
      <c r="Q995" s="135">
        <f t="shared" si="476"/>
        <v>0</v>
      </c>
      <c r="R995" s="135">
        <f t="shared" si="476"/>
        <v>0</v>
      </c>
      <c r="S995" s="135">
        <f t="shared" si="476"/>
        <v>0</v>
      </c>
      <c r="T995" s="135">
        <f t="shared" si="476"/>
        <v>0</v>
      </c>
      <c r="U995" s="135">
        <f t="shared" si="476"/>
        <v>0</v>
      </c>
      <c r="V995" s="135">
        <f t="shared" si="476"/>
        <v>0</v>
      </c>
      <c r="W995" s="135">
        <f t="shared" si="476"/>
        <v>0</v>
      </c>
      <c r="X995" s="135">
        <f t="shared" si="476"/>
        <v>0</v>
      </c>
    </row>
    <row r="996" spans="2:24" hidden="1">
      <c r="B996" s="127" t="s">
        <v>345</v>
      </c>
      <c r="C996" s="127"/>
      <c r="D996" s="128"/>
      <c r="E996" s="129"/>
      <c r="F996" s="129"/>
      <c r="G996" s="129"/>
      <c r="H996" s="129"/>
      <c r="I996" s="129"/>
      <c r="J996" s="129"/>
      <c r="K996" s="136">
        <f>ROUND(SUM(K991:K995),0)</f>
        <v>0</v>
      </c>
      <c r="L996" s="136">
        <f t="shared" ref="L996:X996" si="477">ROUND(SUM(L991:L995),0)</f>
        <v>0</v>
      </c>
      <c r="M996" s="136">
        <f t="shared" si="477"/>
        <v>0</v>
      </c>
      <c r="N996" s="136">
        <f t="shared" si="477"/>
        <v>0</v>
      </c>
      <c r="O996" s="136">
        <f t="shared" si="477"/>
        <v>0</v>
      </c>
      <c r="P996" s="136">
        <f t="shared" si="477"/>
        <v>0</v>
      </c>
      <c r="Q996" s="136">
        <f t="shared" si="477"/>
        <v>0</v>
      </c>
      <c r="R996" s="136">
        <f t="shared" si="477"/>
        <v>0</v>
      </c>
      <c r="S996" s="136">
        <f t="shared" si="477"/>
        <v>0</v>
      </c>
      <c r="T996" s="136">
        <f t="shared" si="477"/>
        <v>0</v>
      </c>
      <c r="U996" s="136">
        <f t="shared" si="477"/>
        <v>0</v>
      </c>
      <c r="V996" s="136">
        <f t="shared" si="477"/>
        <v>0</v>
      </c>
      <c r="W996" s="136">
        <f t="shared" si="477"/>
        <v>0</v>
      </c>
      <c r="X996" s="136">
        <f t="shared" si="477"/>
        <v>0</v>
      </c>
    </row>
    <row r="997" spans="2:24" hidden="1">
      <c r="B997" s="129"/>
      <c r="C997" s="129"/>
      <c r="D997" s="128"/>
      <c r="E997" s="129"/>
      <c r="F997" s="129"/>
      <c r="G997" s="129"/>
      <c r="H997" s="129"/>
      <c r="I997" s="129"/>
      <c r="J997" s="129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</row>
    <row r="998" spans="2:24" hidden="1">
      <c r="B998" s="129"/>
      <c r="C998" s="129"/>
      <c r="D998" s="128"/>
      <c r="E998" s="129"/>
      <c r="F998" s="129"/>
      <c r="G998" s="129"/>
      <c r="H998" s="129"/>
      <c r="I998" s="129"/>
      <c r="J998" s="129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</row>
    <row r="999" spans="2:24" hidden="1">
      <c r="B999" s="127" t="s">
        <v>346</v>
      </c>
      <c r="C999" s="127"/>
      <c r="D999" s="128"/>
      <c r="E999" s="129"/>
      <c r="F999" s="129"/>
      <c r="G999" s="129"/>
      <c r="H999" s="129"/>
      <c r="I999" s="129"/>
      <c r="J999" s="129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</row>
    <row r="1000" spans="2:24" hidden="1">
      <c r="B1000" s="127" t="s">
        <v>321</v>
      </c>
      <c r="C1000" s="127"/>
      <c r="D1000" s="138" t="s">
        <v>336</v>
      </c>
      <c r="E1000" s="127" t="s">
        <v>337</v>
      </c>
      <c r="F1000" s="129"/>
      <c r="G1000" s="129"/>
      <c r="H1000" s="129"/>
      <c r="I1000" s="129"/>
      <c r="J1000" s="129"/>
      <c r="K1000" s="136" t="s">
        <v>318</v>
      </c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</row>
    <row r="1001" spans="2:24" hidden="1">
      <c r="B1001" s="133" t="str">
        <f t="shared" ref="B1001:E1020" si="478">B349</f>
        <v/>
      </c>
      <c r="C1001" s="133" t="str">
        <f t="shared" si="478"/>
        <v/>
      </c>
      <c r="D1001" s="133" t="str">
        <f t="shared" si="478"/>
        <v/>
      </c>
      <c r="E1001" s="133" t="str">
        <f t="shared" si="478"/>
        <v/>
      </c>
      <c r="F1001" s="133"/>
      <c r="G1001" s="133"/>
      <c r="H1001" s="133"/>
      <c r="I1001" s="133"/>
      <c r="J1001" s="133"/>
      <c r="K1001" s="135">
        <f t="shared" ref="K1001:X1001" si="479">IF(AND($C1001="B+R",$D1001="nie",$E1001="prace rozwojowe",LataProjekcji&lt;=Koniec_PR,Modul_badawczo_rozwojowy=tak),ROUND(K391,0),0)</f>
        <v>0</v>
      </c>
      <c r="L1001" s="135">
        <f t="shared" si="479"/>
        <v>0</v>
      </c>
      <c r="M1001" s="135">
        <f t="shared" si="479"/>
        <v>0</v>
      </c>
      <c r="N1001" s="135">
        <f t="shared" si="479"/>
        <v>0</v>
      </c>
      <c r="O1001" s="135">
        <f t="shared" si="479"/>
        <v>0</v>
      </c>
      <c r="P1001" s="135">
        <f t="shared" si="479"/>
        <v>0</v>
      </c>
      <c r="Q1001" s="135">
        <f t="shared" si="479"/>
        <v>0</v>
      </c>
      <c r="R1001" s="135">
        <f t="shared" si="479"/>
        <v>0</v>
      </c>
      <c r="S1001" s="135">
        <f t="shared" si="479"/>
        <v>0</v>
      </c>
      <c r="T1001" s="135">
        <f t="shared" si="479"/>
        <v>0</v>
      </c>
      <c r="U1001" s="135">
        <f t="shared" si="479"/>
        <v>0</v>
      </c>
      <c r="V1001" s="135">
        <f t="shared" si="479"/>
        <v>0</v>
      </c>
      <c r="W1001" s="135">
        <f t="shared" si="479"/>
        <v>0</v>
      </c>
      <c r="X1001" s="135">
        <f t="shared" si="479"/>
        <v>0</v>
      </c>
    </row>
    <row r="1002" spans="2:24" hidden="1">
      <c r="B1002" s="133" t="str">
        <f t="shared" si="478"/>
        <v/>
      </c>
      <c r="C1002" s="133" t="str">
        <f t="shared" si="478"/>
        <v/>
      </c>
      <c r="D1002" s="133" t="str">
        <f t="shared" si="478"/>
        <v/>
      </c>
      <c r="E1002" s="133" t="str">
        <f t="shared" si="478"/>
        <v/>
      </c>
      <c r="F1002" s="133"/>
      <c r="G1002" s="133"/>
      <c r="H1002" s="133"/>
      <c r="I1002" s="133"/>
      <c r="J1002" s="133"/>
      <c r="K1002" s="135">
        <f t="shared" ref="K1002:X1002" si="480">IF(AND($C1002="B+R",$D1002="nie",$E1002="prace rozwojowe",LataProjekcji&lt;=Koniec_PR,Modul_badawczo_rozwojowy=tak),ROUND(K392,0),0)</f>
        <v>0</v>
      </c>
      <c r="L1002" s="135">
        <f t="shared" si="480"/>
        <v>0</v>
      </c>
      <c r="M1002" s="135">
        <f t="shared" si="480"/>
        <v>0</v>
      </c>
      <c r="N1002" s="135">
        <f t="shared" si="480"/>
        <v>0</v>
      </c>
      <c r="O1002" s="135">
        <f t="shared" si="480"/>
        <v>0</v>
      </c>
      <c r="P1002" s="135">
        <f t="shared" si="480"/>
        <v>0</v>
      </c>
      <c r="Q1002" s="135">
        <f t="shared" si="480"/>
        <v>0</v>
      </c>
      <c r="R1002" s="135">
        <f t="shared" si="480"/>
        <v>0</v>
      </c>
      <c r="S1002" s="135">
        <f t="shared" si="480"/>
        <v>0</v>
      </c>
      <c r="T1002" s="135">
        <f t="shared" si="480"/>
        <v>0</v>
      </c>
      <c r="U1002" s="135">
        <f t="shared" si="480"/>
        <v>0</v>
      </c>
      <c r="V1002" s="135">
        <f t="shared" si="480"/>
        <v>0</v>
      </c>
      <c r="W1002" s="135">
        <f t="shared" si="480"/>
        <v>0</v>
      </c>
      <c r="X1002" s="135">
        <f t="shared" si="480"/>
        <v>0</v>
      </c>
    </row>
    <row r="1003" spans="2:24" hidden="1">
      <c r="B1003" s="133" t="str">
        <f t="shared" si="478"/>
        <v/>
      </c>
      <c r="C1003" s="133" t="str">
        <f t="shared" si="478"/>
        <v/>
      </c>
      <c r="D1003" s="133" t="str">
        <f t="shared" si="478"/>
        <v/>
      </c>
      <c r="E1003" s="133" t="str">
        <f t="shared" si="478"/>
        <v/>
      </c>
      <c r="F1003" s="133"/>
      <c r="G1003" s="133"/>
      <c r="H1003" s="133"/>
      <c r="I1003" s="133"/>
      <c r="J1003" s="133"/>
      <c r="K1003" s="135">
        <f t="shared" ref="K1003:X1003" si="481">IF(AND($C1003="B+R",$D1003="nie",$E1003="prace rozwojowe",LataProjekcji&lt;=Koniec_PR,Modul_badawczo_rozwojowy=tak),ROUND(K393,0),0)</f>
        <v>0</v>
      </c>
      <c r="L1003" s="135">
        <f t="shared" si="481"/>
        <v>0</v>
      </c>
      <c r="M1003" s="135">
        <f t="shared" si="481"/>
        <v>0</v>
      </c>
      <c r="N1003" s="135">
        <f t="shared" si="481"/>
        <v>0</v>
      </c>
      <c r="O1003" s="135">
        <f t="shared" si="481"/>
        <v>0</v>
      </c>
      <c r="P1003" s="135">
        <f t="shared" si="481"/>
        <v>0</v>
      </c>
      <c r="Q1003" s="135">
        <f t="shared" si="481"/>
        <v>0</v>
      </c>
      <c r="R1003" s="135">
        <f t="shared" si="481"/>
        <v>0</v>
      </c>
      <c r="S1003" s="135">
        <f t="shared" si="481"/>
        <v>0</v>
      </c>
      <c r="T1003" s="135">
        <f t="shared" si="481"/>
        <v>0</v>
      </c>
      <c r="U1003" s="135">
        <f t="shared" si="481"/>
        <v>0</v>
      </c>
      <c r="V1003" s="135">
        <f t="shared" si="481"/>
        <v>0</v>
      </c>
      <c r="W1003" s="135">
        <f t="shared" si="481"/>
        <v>0</v>
      </c>
      <c r="X1003" s="135">
        <f t="shared" si="481"/>
        <v>0</v>
      </c>
    </row>
    <row r="1004" spans="2:24" hidden="1">
      <c r="B1004" s="133" t="str">
        <f t="shared" si="478"/>
        <v/>
      </c>
      <c r="C1004" s="133" t="str">
        <f t="shared" si="478"/>
        <v/>
      </c>
      <c r="D1004" s="133" t="str">
        <f t="shared" si="478"/>
        <v/>
      </c>
      <c r="E1004" s="133" t="str">
        <f t="shared" si="478"/>
        <v/>
      </c>
      <c r="F1004" s="133"/>
      <c r="G1004" s="133"/>
      <c r="H1004" s="133"/>
      <c r="I1004" s="133"/>
      <c r="J1004" s="133"/>
      <c r="K1004" s="135">
        <f t="shared" ref="K1004:X1004" si="482">IF(AND($C1004="B+R",$D1004="nie",$E1004="prace rozwojowe",LataProjekcji&lt;=Koniec_PR,Modul_badawczo_rozwojowy=tak),ROUND(K394,0),0)</f>
        <v>0</v>
      </c>
      <c r="L1004" s="135">
        <f t="shared" si="482"/>
        <v>0</v>
      </c>
      <c r="M1004" s="135">
        <f t="shared" si="482"/>
        <v>0</v>
      </c>
      <c r="N1004" s="135">
        <f t="shared" si="482"/>
        <v>0</v>
      </c>
      <c r="O1004" s="135">
        <f t="shared" si="482"/>
        <v>0</v>
      </c>
      <c r="P1004" s="135">
        <f t="shared" si="482"/>
        <v>0</v>
      </c>
      <c r="Q1004" s="135">
        <f t="shared" si="482"/>
        <v>0</v>
      </c>
      <c r="R1004" s="135">
        <f t="shared" si="482"/>
        <v>0</v>
      </c>
      <c r="S1004" s="135">
        <f t="shared" si="482"/>
        <v>0</v>
      </c>
      <c r="T1004" s="135">
        <f t="shared" si="482"/>
        <v>0</v>
      </c>
      <c r="U1004" s="135">
        <f t="shared" si="482"/>
        <v>0</v>
      </c>
      <c r="V1004" s="135">
        <f t="shared" si="482"/>
        <v>0</v>
      </c>
      <c r="W1004" s="135">
        <f t="shared" si="482"/>
        <v>0</v>
      </c>
      <c r="X1004" s="135">
        <f t="shared" si="482"/>
        <v>0</v>
      </c>
    </row>
    <row r="1005" spans="2:24" hidden="1">
      <c r="B1005" s="133" t="str">
        <f t="shared" si="478"/>
        <v/>
      </c>
      <c r="C1005" s="133" t="str">
        <f t="shared" si="478"/>
        <v/>
      </c>
      <c r="D1005" s="133" t="str">
        <f t="shared" si="478"/>
        <v/>
      </c>
      <c r="E1005" s="133" t="str">
        <f t="shared" si="478"/>
        <v/>
      </c>
      <c r="F1005" s="133"/>
      <c r="G1005" s="133"/>
      <c r="H1005" s="133"/>
      <c r="I1005" s="133"/>
      <c r="J1005" s="133"/>
      <c r="K1005" s="135">
        <f t="shared" ref="K1005:X1005" si="483">IF(AND($C1005="B+R",$D1005="nie",$E1005="prace rozwojowe",LataProjekcji&lt;=Koniec_PR,Modul_badawczo_rozwojowy=tak),ROUND(K395,0),0)</f>
        <v>0</v>
      </c>
      <c r="L1005" s="135">
        <f t="shared" si="483"/>
        <v>0</v>
      </c>
      <c r="M1005" s="135">
        <f t="shared" si="483"/>
        <v>0</v>
      </c>
      <c r="N1005" s="135">
        <f t="shared" si="483"/>
        <v>0</v>
      </c>
      <c r="O1005" s="135">
        <f t="shared" si="483"/>
        <v>0</v>
      </c>
      <c r="P1005" s="135">
        <f t="shared" si="483"/>
        <v>0</v>
      </c>
      <c r="Q1005" s="135">
        <f t="shared" si="483"/>
        <v>0</v>
      </c>
      <c r="R1005" s="135">
        <f t="shared" si="483"/>
        <v>0</v>
      </c>
      <c r="S1005" s="135">
        <f t="shared" si="483"/>
        <v>0</v>
      </c>
      <c r="T1005" s="135">
        <f t="shared" si="483"/>
        <v>0</v>
      </c>
      <c r="U1005" s="135">
        <f t="shared" si="483"/>
        <v>0</v>
      </c>
      <c r="V1005" s="135">
        <f t="shared" si="483"/>
        <v>0</v>
      </c>
      <c r="W1005" s="135">
        <f t="shared" si="483"/>
        <v>0</v>
      </c>
      <c r="X1005" s="135">
        <f t="shared" si="483"/>
        <v>0</v>
      </c>
    </row>
    <row r="1006" spans="2:24" hidden="1">
      <c r="B1006" s="133" t="str">
        <f t="shared" si="478"/>
        <v/>
      </c>
      <c r="C1006" s="133" t="str">
        <f t="shared" si="478"/>
        <v/>
      </c>
      <c r="D1006" s="133" t="str">
        <f t="shared" si="478"/>
        <v/>
      </c>
      <c r="E1006" s="133" t="str">
        <f t="shared" si="478"/>
        <v/>
      </c>
      <c r="F1006" s="133"/>
      <c r="G1006" s="133"/>
      <c r="H1006" s="133"/>
      <c r="I1006" s="133"/>
      <c r="J1006" s="133"/>
      <c r="K1006" s="135">
        <f t="shared" ref="K1006:X1006" si="484">IF(AND($C1006="B+R",$D1006="nie",$E1006="prace rozwojowe",LataProjekcji&lt;=Koniec_PR,Modul_badawczo_rozwojowy=tak),ROUND(K396,0),0)</f>
        <v>0</v>
      </c>
      <c r="L1006" s="135">
        <f t="shared" si="484"/>
        <v>0</v>
      </c>
      <c r="M1006" s="135">
        <f t="shared" si="484"/>
        <v>0</v>
      </c>
      <c r="N1006" s="135">
        <f t="shared" si="484"/>
        <v>0</v>
      </c>
      <c r="O1006" s="135">
        <f t="shared" si="484"/>
        <v>0</v>
      </c>
      <c r="P1006" s="135">
        <f t="shared" si="484"/>
        <v>0</v>
      </c>
      <c r="Q1006" s="135">
        <f t="shared" si="484"/>
        <v>0</v>
      </c>
      <c r="R1006" s="135">
        <f t="shared" si="484"/>
        <v>0</v>
      </c>
      <c r="S1006" s="135">
        <f t="shared" si="484"/>
        <v>0</v>
      </c>
      <c r="T1006" s="135">
        <f t="shared" si="484"/>
        <v>0</v>
      </c>
      <c r="U1006" s="135">
        <f t="shared" si="484"/>
        <v>0</v>
      </c>
      <c r="V1006" s="135">
        <f t="shared" si="484"/>
        <v>0</v>
      </c>
      <c r="W1006" s="135">
        <f t="shared" si="484"/>
        <v>0</v>
      </c>
      <c r="X1006" s="135">
        <f t="shared" si="484"/>
        <v>0</v>
      </c>
    </row>
    <row r="1007" spans="2:24" hidden="1">
      <c r="B1007" s="133" t="str">
        <f t="shared" si="478"/>
        <v/>
      </c>
      <c r="C1007" s="133" t="str">
        <f t="shared" si="478"/>
        <v/>
      </c>
      <c r="D1007" s="133" t="str">
        <f t="shared" si="478"/>
        <v/>
      </c>
      <c r="E1007" s="133" t="str">
        <f t="shared" si="478"/>
        <v/>
      </c>
      <c r="F1007" s="133"/>
      <c r="G1007" s="133"/>
      <c r="H1007" s="133"/>
      <c r="I1007" s="133"/>
      <c r="J1007" s="133"/>
      <c r="K1007" s="135">
        <f t="shared" ref="K1007:X1007" si="485">IF(AND($C1007="B+R",$D1007="nie",$E1007="prace rozwojowe",LataProjekcji&lt;=Koniec_PR,Modul_badawczo_rozwojowy=tak),ROUND(K397,0),0)</f>
        <v>0</v>
      </c>
      <c r="L1007" s="135">
        <f t="shared" si="485"/>
        <v>0</v>
      </c>
      <c r="M1007" s="135">
        <f t="shared" si="485"/>
        <v>0</v>
      </c>
      <c r="N1007" s="135">
        <f t="shared" si="485"/>
        <v>0</v>
      </c>
      <c r="O1007" s="135">
        <f t="shared" si="485"/>
        <v>0</v>
      </c>
      <c r="P1007" s="135">
        <f t="shared" si="485"/>
        <v>0</v>
      </c>
      <c r="Q1007" s="135">
        <f t="shared" si="485"/>
        <v>0</v>
      </c>
      <c r="R1007" s="135">
        <f t="shared" si="485"/>
        <v>0</v>
      </c>
      <c r="S1007" s="135">
        <f t="shared" si="485"/>
        <v>0</v>
      </c>
      <c r="T1007" s="135">
        <f t="shared" si="485"/>
        <v>0</v>
      </c>
      <c r="U1007" s="135">
        <f t="shared" si="485"/>
        <v>0</v>
      </c>
      <c r="V1007" s="135">
        <f t="shared" si="485"/>
        <v>0</v>
      </c>
      <c r="W1007" s="135">
        <f t="shared" si="485"/>
        <v>0</v>
      </c>
      <c r="X1007" s="135">
        <f t="shared" si="485"/>
        <v>0</v>
      </c>
    </row>
    <row r="1008" spans="2:24" hidden="1">
      <c r="B1008" s="133" t="str">
        <f t="shared" si="478"/>
        <v/>
      </c>
      <c r="C1008" s="133" t="str">
        <f t="shared" si="478"/>
        <v/>
      </c>
      <c r="D1008" s="133" t="str">
        <f t="shared" si="478"/>
        <v/>
      </c>
      <c r="E1008" s="133" t="str">
        <f t="shared" si="478"/>
        <v/>
      </c>
      <c r="F1008" s="133"/>
      <c r="G1008" s="133"/>
      <c r="H1008" s="133"/>
      <c r="I1008" s="133"/>
      <c r="J1008" s="133"/>
      <c r="K1008" s="135">
        <f t="shared" ref="K1008:X1008" si="486">IF(AND($C1008="B+R",$D1008="nie",$E1008="prace rozwojowe",LataProjekcji&lt;=Koniec_PR,Modul_badawczo_rozwojowy=tak),ROUND(K398,0),0)</f>
        <v>0</v>
      </c>
      <c r="L1008" s="135">
        <f t="shared" si="486"/>
        <v>0</v>
      </c>
      <c r="M1008" s="135">
        <f t="shared" si="486"/>
        <v>0</v>
      </c>
      <c r="N1008" s="135">
        <f t="shared" si="486"/>
        <v>0</v>
      </c>
      <c r="O1008" s="135">
        <f t="shared" si="486"/>
        <v>0</v>
      </c>
      <c r="P1008" s="135">
        <f t="shared" si="486"/>
        <v>0</v>
      </c>
      <c r="Q1008" s="135">
        <f t="shared" si="486"/>
        <v>0</v>
      </c>
      <c r="R1008" s="135">
        <f t="shared" si="486"/>
        <v>0</v>
      </c>
      <c r="S1008" s="135">
        <f t="shared" si="486"/>
        <v>0</v>
      </c>
      <c r="T1008" s="135">
        <f t="shared" si="486"/>
        <v>0</v>
      </c>
      <c r="U1008" s="135">
        <f t="shared" si="486"/>
        <v>0</v>
      </c>
      <c r="V1008" s="135">
        <f t="shared" si="486"/>
        <v>0</v>
      </c>
      <c r="W1008" s="135">
        <f t="shared" si="486"/>
        <v>0</v>
      </c>
      <c r="X1008" s="135">
        <f t="shared" si="486"/>
        <v>0</v>
      </c>
    </row>
    <row r="1009" spans="2:24" hidden="1">
      <c r="B1009" s="133" t="str">
        <f t="shared" si="478"/>
        <v/>
      </c>
      <c r="C1009" s="133" t="str">
        <f t="shared" si="478"/>
        <v/>
      </c>
      <c r="D1009" s="133" t="str">
        <f t="shared" si="478"/>
        <v/>
      </c>
      <c r="E1009" s="133" t="str">
        <f t="shared" si="478"/>
        <v/>
      </c>
      <c r="F1009" s="133"/>
      <c r="G1009" s="133"/>
      <c r="H1009" s="133"/>
      <c r="I1009" s="133"/>
      <c r="J1009" s="133"/>
      <c r="K1009" s="135">
        <f t="shared" ref="K1009:X1009" si="487">IF(AND($C1009="B+R",$D1009="nie",$E1009="prace rozwojowe",LataProjekcji&lt;=Koniec_PR,Modul_badawczo_rozwojowy=tak),ROUND(K399,0),0)</f>
        <v>0</v>
      </c>
      <c r="L1009" s="135">
        <f t="shared" si="487"/>
        <v>0</v>
      </c>
      <c r="M1009" s="135">
        <f t="shared" si="487"/>
        <v>0</v>
      </c>
      <c r="N1009" s="135">
        <f t="shared" si="487"/>
        <v>0</v>
      </c>
      <c r="O1009" s="135">
        <f t="shared" si="487"/>
        <v>0</v>
      </c>
      <c r="P1009" s="135">
        <f t="shared" si="487"/>
        <v>0</v>
      </c>
      <c r="Q1009" s="135">
        <f t="shared" si="487"/>
        <v>0</v>
      </c>
      <c r="R1009" s="135">
        <f t="shared" si="487"/>
        <v>0</v>
      </c>
      <c r="S1009" s="135">
        <f t="shared" si="487"/>
        <v>0</v>
      </c>
      <c r="T1009" s="135">
        <f t="shared" si="487"/>
        <v>0</v>
      </c>
      <c r="U1009" s="135">
        <f t="shared" si="487"/>
        <v>0</v>
      </c>
      <c r="V1009" s="135">
        <f t="shared" si="487"/>
        <v>0</v>
      </c>
      <c r="W1009" s="135">
        <f t="shared" si="487"/>
        <v>0</v>
      </c>
      <c r="X1009" s="135">
        <f t="shared" si="487"/>
        <v>0</v>
      </c>
    </row>
    <row r="1010" spans="2:24" hidden="1">
      <c r="B1010" s="133" t="str">
        <f t="shared" si="478"/>
        <v/>
      </c>
      <c r="C1010" s="133" t="str">
        <f t="shared" si="478"/>
        <v/>
      </c>
      <c r="D1010" s="133" t="str">
        <f t="shared" si="478"/>
        <v/>
      </c>
      <c r="E1010" s="133" t="str">
        <f t="shared" si="478"/>
        <v/>
      </c>
      <c r="F1010" s="133"/>
      <c r="G1010" s="133"/>
      <c r="H1010" s="133"/>
      <c r="I1010" s="133"/>
      <c r="J1010" s="133"/>
      <c r="K1010" s="135">
        <f t="shared" ref="K1010:X1010" si="488">IF(AND($C1010="B+R",$D1010="nie",$E1010="prace rozwojowe",LataProjekcji&lt;=Koniec_PR,Modul_badawczo_rozwojowy=tak),ROUND(K400,0),0)</f>
        <v>0</v>
      </c>
      <c r="L1010" s="135">
        <f t="shared" si="488"/>
        <v>0</v>
      </c>
      <c r="M1010" s="135">
        <f t="shared" si="488"/>
        <v>0</v>
      </c>
      <c r="N1010" s="135">
        <f t="shared" si="488"/>
        <v>0</v>
      </c>
      <c r="O1010" s="135">
        <f t="shared" si="488"/>
        <v>0</v>
      </c>
      <c r="P1010" s="135">
        <f t="shared" si="488"/>
        <v>0</v>
      </c>
      <c r="Q1010" s="135">
        <f t="shared" si="488"/>
        <v>0</v>
      </c>
      <c r="R1010" s="135">
        <f t="shared" si="488"/>
        <v>0</v>
      </c>
      <c r="S1010" s="135">
        <f t="shared" si="488"/>
        <v>0</v>
      </c>
      <c r="T1010" s="135">
        <f t="shared" si="488"/>
        <v>0</v>
      </c>
      <c r="U1010" s="135">
        <f t="shared" si="488"/>
        <v>0</v>
      </c>
      <c r="V1010" s="135">
        <f t="shared" si="488"/>
        <v>0</v>
      </c>
      <c r="W1010" s="135">
        <f t="shared" si="488"/>
        <v>0</v>
      </c>
      <c r="X1010" s="135">
        <f t="shared" si="488"/>
        <v>0</v>
      </c>
    </row>
    <row r="1011" spans="2:24" hidden="1">
      <c r="B1011" s="133" t="str">
        <f t="shared" si="478"/>
        <v/>
      </c>
      <c r="C1011" s="133" t="str">
        <f t="shared" si="478"/>
        <v/>
      </c>
      <c r="D1011" s="133" t="str">
        <f t="shared" si="478"/>
        <v/>
      </c>
      <c r="E1011" s="133" t="str">
        <f t="shared" si="478"/>
        <v/>
      </c>
      <c r="F1011" s="133"/>
      <c r="G1011" s="133"/>
      <c r="H1011" s="133"/>
      <c r="I1011" s="133"/>
      <c r="J1011" s="133"/>
      <c r="K1011" s="135">
        <f t="shared" ref="K1011:X1011" si="489">IF(AND($C1011="B+R",$D1011="nie",$E1011="prace rozwojowe",LataProjekcji&lt;=Koniec_PR,Modul_badawczo_rozwojowy=tak),ROUND(K401,0),0)</f>
        <v>0</v>
      </c>
      <c r="L1011" s="135">
        <f t="shared" si="489"/>
        <v>0</v>
      </c>
      <c r="M1011" s="135">
        <f t="shared" si="489"/>
        <v>0</v>
      </c>
      <c r="N1011" s="135">
        <f t="shared" si="489"/>
        <v>0</v>
      </c>
      <c r="O1011" s="135">
        <f t="shared" si="489"/>
        <v>0</v>
      </c>
      <c r="P1011" s="135">
        <f t="shared" si="489"/>
        <v>0</v>
      </c>
      <c r="Q1011" s="135">
        <f t="shared" si="489"/>
        <v>0</v>
      </c>
      <c r="R1011" s="135">
        <f t="shared" si="489"/>
        <v>0</v>
      </c>
      <c r="S1011" s="135">
        <f t="shared" si="489"/>
        <v>0</v>
      </c>
      <c r="T1011" s="135">
        <f t="shared" si="489"/>
        <v>0</v>
      </c>
      <c r="U1011" s="135">
        <f t="shared" si="489"/>
        <v>0</v>
      </c>
      <c r="V1011" s="135">
        <f t="shared" si="489"/>
        <v>0</v>
      </c>
      <c r="W1011" s="135">
        <f t="shared" si="489"/>
        <v>0</v>
      </c>
      <c r="X1011" s="135">
        <f t="shared" si="489"/>
        <v>0</v>
      </c>
    </row>
    <row r="1012" spans="2:24" hidden="1">
      <c r="B1012" s="133" t="str">
        <f t="shared" si="478"/>
        <v/>
      </c>
      <c r="C1012" s="133" t="str">
        <f t="shared" si="478"/>
        <v/>
      </c>
      <c r="D1012" s="133" t="str">
        <f t="shared" si="478"/>
        <v/>
      </c>
      <c r="E1012" s="133" t="str">
        <f t="shared" si="478"/>
        <v/>
      </c>
      <c r="F1012" s="133"/>
      <c r="G1012" s="133"/>
      <c r="H1012" s="133"/>
      <c r="I1012" s="133"/>
      <c r="J1012" s="133"/>
      <c r="K1012" s="135">
        <f t="shared" ref="K1012:X1012" si="490">IF(AND($C1012="B+R",$D1012="nie",$E1012="prace rozwojowe",LataProjekcji&lt;=Koniec_PR,Modul_badawczo_rozwojowy=tak),ROUND(K402,0),0)</f>
        <v>0</v>
      </c>
      <c r="L1012" s="135">
        <f t="shared" si="490"/>
        <v>0</v>
      </c>
      <c r="M1012" s="135">
        <f t="shared" si="490"/>
        <v>0</v>
      </c>
      <c r="N1012" s="135">
        <f t="shared" si="490"/>
        <v>0</v>
      </c>
      <c r="O1012" s="135">
        <f t="shared" si="490"/>
        <v>0</v>
      </c>
      <c r="P1012" s="135">
        <f t="shared" si="490"/>
        <v>0</v>
      </c>
      <c r="Q1012" s="135">
        <f t="shared" si="490"/>
        <v>0</v>
      </c>
      <c r="R1012" s="135">
        <f t="shared" si="490"/>
        <v>0</v>
      </c>
      <c r="S1012" s="135">
        <f t="shared" si="490"/>
        <v>0</v>
      </c>
      <c r="T1012" s="135">
        <f t="shared" si="490"/>
        <v>0</v>
      </c>
      <c r="U1012" s="135">
        <f t="shared" si="490"/>
        <v>0</v>
      </c>
      <c r="V1012" s="135">
        <f t="shared" si="490"/>
        <v>0</v>
      </c>
      <c r="W1012" s="135">
        <f t="shared" si="490"/>
        <v>0</v>
      </c>
      <c r="X1012" s="135">
        <f t="shared" si="490"/>
        <v>0</v>
      </c>
    </row>
    <row r="1013" spans="2:24" hidden="1">
      <c r="B1013" s="133" t="str">
        <f t="shared" si="478"/>
        <v/>
      </c>
      <c r="C1013" s="133" t="str">
        <f t="shared" si="478"/>
        <v/>
      </c>
      <c r="D1013" s="133" t="str">
        <f t="shared" si="478"/>
        <v/>
      </c>
      <c r="E1013" s="133" t="str">
        <f t="shared" si="478"/>
        <v/>
      </c>
      <c r="F1013" s="133"/>
      <c r="G1013" s="133"/>
      <c r="H1013" s="133"/>
      <c r="I1013" s="133"/>
      <c r="J1013" s="133"/>
      <c r="K1013" s="135">
        <f t="shared" ref="K1013:X1013" si="491">IF(AND($C1013="B+R",$D1013="nie",$E1013="prace rozwojowe",LataProjekcji&lt;=Koniec_PR,Modul_badawczo_rozwojowy=tak),ROUND(K403,0),0)</f>
        <v>0</v>
      </c>
      <c r="L1013" s="135">
        <f t="shared" si="491"/>
        <v>0</v>
      </c>
      <c r="M1013" s="135">
        <f t="shared" si="491"/>
        <v>0</v>
      </c>
      <c r="N1013" s="135">
        <f t="shared" si="491"/>
        <v>0</v>
      </c>
      <c r="O1013" s="135">
        <f t="shared" si="491"/>
        <v>0</v>
      </c>
      <c r="P1013" s="135">
        <f t="shared" si="491"/>
        <v>0</v>
      </c>
      <c r="Q1013" s="135">
        <f t="shared" si="491"/>
        <v>0</v>
      </c>
      <c r="R1013" s="135">
        <f t="shared" si="491"/>
        <v>0</v>
      </c>
      <c r="S1013" s="135">
        <f t="shared" si="491"/>
        <v>0</v>
      </c>
      <c r="T1013" s="135">
        <f t="shared" si="491"/>
        <v>0</v>
      </c>
      <c r="U1013" s="135">
        <f t="shared" si="491"/>
        <v>0</v>
      </c>
      <c r="V1013" s="135">
        <f t="shared" si="491"/>
        <v>0</v>
      </c>
      <c r="W1013" s="135">
        <f t="shared" si="491"/>
        <v>0</v>
      </c>
      <c r="X1013" s="135">
        <f t="shared" si="491"/>
        <v>0</v>
      </c>
    </row>
    <row r="1014" spans="2:24" hidden="1">
      <c r="B1014" s="133" t="str">
        <f t="shared" si="478"/>
        <v/>
      </c>
      <c r="C1014" s="133" t="str">
        <f t="shared" si="478"/>
        <v/>
      </c>
      <c r="D1014" s="133" t="str">
        <f t="shared" si="478"/>
        <v/>
      </c>
      <c r="E1014" s="133" t="str">
        <f t="shared" si="478"/>
        <v/>
      </c>
      <c r="F1014" s="133"/>
      <c r="G1014" s="133"/>
      <c r="H1014" s="133"/>
      <c r="I1014" s="133"/>
      <c r="J1014" s="133"/>
      <c r="K1014" s="135">
        <f t="shared" ref="K1014:X1014" si="492">IF(AND($C1014="B+R",$D1014="nie",$E1014="prace rozwojowe",LataProjekcji&lt;=Koniec_PR,Modul_badawczo_rozwojowy=tak),ROUND(K404,0),0)</f>
        <v>0</v>
      </c>
      <c r="L1014" s="135">
        <f t="shared" si="492"/>
        <v>0</v>
      </c>
      <c r="M1014" s="135">
        <f t="shared" si="492"/>
        <v>0</v>
      </c>
      <c r="N1014" s="135">
        <f t="shared" si="492"/>
        <v>0</v>
      </c>
      <c r="O1014" s="135">
        <f t="shared" si="492"/>
        <v>0</v>
      </c>
      <c r="P1014" s="135">
        <f t="shared" si="492"/>
        <v>0</v>
      </c>
      <c r="Q1014" s="135">
        <f t="shared" si="492"/>
        <v>0</v>
      </c>
      <c r="R1014" s="135">
        <f t="shared" si="492"/>
        <v>0</v>
      </c>
      <c r="S1014" s="135">
        <f t="shared" si="492"/>
        <v>0</v>
      </c>
      <c r="T1014" s="135">
        <f t="shared" si="492"/>
        <v>0</v>
      </c>
      <c r="U1014" s="135">
        <f t="shared" si="492"/>
        <v>0</v>
      </c>
      <c r="V1014" s="135">
        <f t="shared" si="492"/>
        <v>0</v>
      </c>
      <c r="W1014" s="135">
        <f t="shared" si="492"/>
        <v>0</v>
      </c>
      <c r="X1014" s="135">
        <f t="shared" si="492"/>
        <v>0</v>
      </c>
    </row>
    <row r="1015" spans="2:24" hidden="1">
      <c r="B1015" s="133" t="str">
        <f t="shared" si="478"/>
        <v/>
      </c>
      <c r="C1015" s="133" t="str">
        <f t="shared" si="478"/>
        <v/>
      </c>
      <c r="D1015" s="133" t="str">
        <f t="shared" si="478"/>
        <v/>
      </c>
      <c r="E1015" s="133" t="str">
        <f t="shared" si="478"/>
        <v/>
      </c>
      <c r="F1015" s="133"/>
      <c r="G1015" s="133"/>
      <c r="H1015" s="133"/>
      <c r="I1015" s="133"/>
      <c r="J1015" s="133"/>
      <c r="K1015" s="135">
        <f t="shared" ref="K1015:X1015" si="493">IF(AND($C1015="B+R",$D1015="nie",$E1015="prace rozwojowe",LataProjekcji&lt;=Koniec_PR,Modul_badawczo_rozwojowy=tak),ROUND(K405,0),0)</f>
        <v>0</v>
      </c>
      <c r="L1015" s="135">
        <f t="shared" si="493"/>
        <v>0</v>
      </c>
      <c r="M1015" s="135">
        <f t="shared" si="493"/>
        <v>0</v>
      </c>
      <c r="N1015" s="135">
        <f t="shared" si="493"/>
        <v>0</v>
      </c>
      <c r="O1015" s="135">
        <f t="shared" si="493"/>
        <v>0</v>
      </c>
      <c r="P1015" s="135">
        <f t="shared" si="493"/>
        <v>0</v>
      </c>
      <c r="Q1015" s="135">
        <f t="shared" si="493"/>
        <v>0</v>
      </c>
      <c r="R1015" s="135">
        <f t="shared" si="493"/>
        <v>0</v>
      </c>
      <c r="S1015" s="135">
        <f t="shared" si="493"/>
        <v>0</v>
      </c>
      <c r="T1015" s="135">
        <f t="shared" si="493"/>
        <v>0</v>
      </c>
      <c r="U1015" s="135">
        <f t="shared" si="493"/>
        <v>0</v>
      </c>
      <c r="V1015" s="135">
        <f t="shared" si="493"/>
        <v>0</v>
      </c>
      <c r="W1015" s="135">
        <f t="shared" si="493"/>
        <v>0</v>
      </c>
      <c r="X1015" s="135">
        <f t="shared" si="493"/>
        <v>0</v>
      </c>
    </row>
    <row r="1016" spans="2:24" hidden="1">
      <c r="B1016" s="133" t="str">
        <f t="shared" si="478"/>
        <v/>
      </c>
      <c r="C1016" s="133" t="str">
        <f t="shared" si="478"/>
        <v/>
      </c>
      <c r="D1016" s="133" t="str">
        <f t="shared" si="478"/>
        <v/>
      </c>
      <c r="E1016" s="133" t="str">
        <f t="shared" si="478"/>
        <v/>
      </c>
      <c r="F1016" s="133"/>
      <c r="G1016" s="133"/>
      <c r="H1016" s="133"/>
      <c r="I1016" s="133"/>
      <c r="J1016" s="133"/>
      <c r="K1016" s="135">
        <f t="shared" ref="K1016:X1016" si="494">IF(AND($C1016="B+R",$D1016="nie",$E1016="prace rozwojowe",LataProjekcji&lt;=Koniec_PR,Modul_badawczo_rozwojowy=tak),ROUND(K406,0),0)</f>
        <v>0</v>
      </c>
      <c r="L1016" s="135">
        <f t="shared" si="494"/>
        <v>0</v>
      </c>
      <c r="M1016" s="135">
        <f t="shared" si="494"/>
        <v>0</v>
      </c>
      <c r="N1016" s="135">
        <f t="shared" si="494"/>
        <v>0</v>
      </c>
      <c r="O1016" s="135">
        <f t="shared" si="494"/>
        <v>0</v>
      </c>
      <c r="P1016" s="135">
        <f t="shared" si="494"/>
        <v>0</v>
      </c>
      <c r="Q1016" s="135">
        <f t="shared" si="494"/>
        <v>0</v>
      </c>
      <c r="R1016" s="135">
        <f t="shared" si="494"/>
        <v>0</v>
      </c>
      <c r="S1016" s="135">
        <f t="shared" si="494"/>
        <v>0</v>
      </c>
      <c r="T1016" s="135">
        <f t="shared" si="494"/>
        <v>0</v>
      </c>
      <c r="U1016" s="135">
        <f t="shared" si="494"/>
        <v>0</v>
      </c>
      <c r="V1016" s="135">
        <f t="shared" si="494"/>
        <v>0</v>
      </c>
      <c r="W1016" s="135">
        <f t="shared" si="494"/>
        <v>0</v>
      </c>
      <c r="X1016" s="135">
        <f t="shared" si="494"/>
        <v>0</v>
      </c>
    </row>
    <row r="1017" spans="2:24" hidden="1">
      <c r="B1017" s="133" t="str">
        <f t="shared" si="478"/>
        <v/>
      </c>
      <c r="C1017" s="133" t="str">
        <f t="shared" si="478"/>
        <v/>
      </c>
      <c r="D1017" s="133" t="str">
        <f t="shared" si="478"/>
        <v/>
      </c>
      <c r="E1017" s="133" t="str">
        <f t="shared" si="478"/>
        <v/>
      </c>
      <c r="F1017" s="133"/>
      <c r="G1017" s="133"/>
      <c r="H1017" s="133"/>
      <c r="I1017" s="133"/>
      <c r="J1017" s="133"/>
      <c r="K1017" s="135">
        <f t="shared" ref="K1017:X1017" si="495">IF(AND($C1017="B+R",$D1017="nie",$E1017="prace rozwojowe",LataProjekcji&lt;=Koniec_PR,Modul_badawczo_rozwojowy=tak),ROUND(K407,0),0)</f>
        <v>0</v>
      </c>
      <c r="L1017" s="135">
        <f t="shared" si="495"/>
        <v>0</v>
      </c>
      <c r="M1017" s="135">
        <f t="shared" si="495"/>
        <v>0</v>
      </c>
      <c r="N1017" s="135">
        <f t="shared" si="495"/>
        <v>0</v>
      </c>
      <c r="O1017" s="135">
        <f t="shared" si="495"/>
        <v>0</v>
      </c>
      <c r="P1017" s="135">
        <f t="shared" si="495"/>
        <v>0</v>
      </c>
      <c r="Q1017" s="135">
        <f t="shared" si="495"/>
        <v>0</v>
      </c>
      <c r="R1017" s="135">
        <f t="shared" si="495"/>
        <v>0</v>
      </c>
      <c r="S1017" s="135">
        <f t="shared" si="495"/>
        <v>0</v>
      </c>
      <c r="T1017" s="135">
        <f t="shared" si="495"/>
        <v>0</v>
      </c>
      <c r="U1017" s="135">
        <f t="shared" si="495"/>
        <v>0</v>
      </c>
      <c r="V1017" s="135">
        <f t="shared" si="495"/>
        <v>0</v>
      </c>
      <c r="W1017" s="135">
        <f t="shared" si="495"/>
        <v>0</v>
      </c>
      <c r="X1017" s="135">
        <f t="shared" si="495"/>
        <v>0</v>
      </c>
    </row>
    <row r="1018" spans="2:24" hidden="1">
      <c r="B1018" s="133" t="str">
        <f t="shared" si="478"/>
        <v/>
      </c>
      <c r="C1018" s="133" t="str">
        <f t="shared" si="478"/>
        <v/>
      </c>
      <c r="D1018" s="133" t="str">
        <f t="shared" si="478"/>
        <v/>
      </c>
      <c r="E1018" s="133" t="str">
        <f t="shared" si="478"/>
        <v/>
      </c>
      <c r="F1018" s="133"/>
      <c r="G1018" s="133"/>
      <c r="H1018" s="133"/>
      <c r="I1018" s="133"/>
      <c r="J1018" s="133"/>
      <c r="K1018" s="135">
        <f t="shared" ref="K1018:X1018" si="496">IF(AND($C1018="B+R",$D1018="nie",$E1018="prace rozwojowe",LataProjekcji&lt;=Koniec_PR,Modul_badawczo_rozwojowy=tak),ROUND(K408,0),0)</f>
        <v>0</v>
      </c>
      <c r="L1018" s="135">
        <f t="shared" si="496"/>
        <v>0</v>
      </c>
      <c r="M1018" s="135">
        <f t="shared" si="496"/>
        <v>0</v>
      </c>
      <c r="N1018" s="135">
        <f t="shared" si="496"/>
        <v>0</v>
      </c>
      <c r="O1018" s="135">
        <f t="shared" si="496"/>
        <v>0</v>
      </c>
      <c r="P1018" s="135">
        <f t="shared" si="496"/>
        <v>0</v>
      </c>
      <c r="Q1018" s="135">
        <f t="shared" si="496"/>
        <v>0</v>
      </c>
      <c r="R1018" s="135">
        <f t="shared" si="496"/>
        <v>0</v>
      </c>
      <c r="S1018" s="135">
        <f t="shared" si="496"/>
        <v>0</v>
      </c>
      <c r="T1018" s="135">
        <f t="shared" si="496"/>
        <v>0</v>
      </c>
      <c r="U1018" s="135">
        <f t="shared" si="496"/>
        <v>0</v>
      </c>
      <c r="V1018" s="135">
        <f t="shared" si="496"/>
        <v>0</v>
      </c>
      <c r="W1018" s="135">
        <f t="shared" si="496"/>
        <v>0</v>
      </c>
      <c r="X1018" s="135">
        <f t="shared" si="496"/>
        <v>0</v>
      </c>
    </row>
    <row r="1019" spans="2:24" hidden="1">
      <c r="B1019" s="133" t="str">
        <f t="shared" si="478"/>
        <v/>
      </c>
      <c r="C1019" s="133" t="str">
        <f t="shared" si="478"/>
        <v/>
      </c>
      <c r="D1019" s="133" t="str">
        <f t="shared" si="478"/>
        <v/>
      </c>
      <c r="E1019" s="133" t="str">
        <f t="shared" si="478"/>
        <v/>
      </c>
      <c r="F1019" s="133"/>
      <c r="G1019" s="133"/>
      <c r="H1019" s="133"/>
      <c r="I1019" s="133"/>
      <c r="J1019" s="133"/>
      <c r="K1019" s="135">
        <f t="shared" ref="K1019:X1019" si="497">IF(AND($C1019="B+R",$D1019="nie",$E1019="prace rozwojowe",LataProjekcji&lt;=Koniec_PR,Modul_badawczo_rozwojowy=tak),ROUND(K409,0),0)</f>
        <v>0</v>
      </c>
      <c r="L1019" s="135">
        <f t="shared" si="497"/>
        <v>0</v>
      </c>
      <c r="M1019" s="135">
        <f t="shared" si="497"/>
        <v>0</v>
      </c>
      <c r="N1019" s="135">
        <f t="shared" si="497"/>
        <v>0</v>
      </c>
      <c r="O1019" s="135">
        <f t="shared" si="497"/>
        <v>0</v>
      </c>
      <c r="P1019" s="135">
        <f t="shared" si="497"/>
        <v>0</v>
      </c>
      <c r="Q1019" s="135">
        <f t="shared" si="497"/>
        <v>0</v>
      </c>
      <c r="R1019" s="135">
        <f t="shared" si="497"/>
        <v>0</v>
      </c>
      <c r="S1019" s="135">
        <f t="shared" si="497"/>
        <v>0</v>
      </c>
      <c r="T1019" s="135">
        <f t="shared" si="497"/>
        <v>0</v>
      </c>
      <c r="U1019" s="135">
        <f t="shared" si="497"/>
        <v>0</v>
      </c>
      <c r="V1019" s="135">
        <f t="shared" si="497"/>
        <v>0</v>
      </c>
      <c r="W1019" s="135">
        <f t="shared" si="497"/>
        <v>0</v>
      </c>
      <c r="X1019" s="135">
        <f t="shared" si="497"/>
        <v>0</v>
      </c>
    </row>
    <row r="1020" spans="2:24" hidden="1">
      <c r="B1020" s="133" t="str">
        <f t="shared" si="478"/>
        <v/>
      </c>
      <c r="C1020" s="133" t="str">
        <f t="shared" si="478"/>
        <v/>
      </c>
      <c r="D1020" s="133" t="str">
        <f t="shared" si="478"/>
        <v/>
      </c>
      <c r="E1020" s="133" t="str">
        <f t="shared" si="478"/>
        <v/>
      </c>
      <c r="F1020" s="133"/>
      <c r="G1020" s="133"/>
      <c r="H1020" s="133"/>
      <c r="I1020" s="133"/>
      <c r="J1020" s="133"/>
      <c r="K1020" s="135">
        <f t="shared" ref="K1020:X1020" si="498">IF(AND($C1020="B+R",$D1020="nie",$E1020="prace rozwojowe",LataProjekcji&lt;=Koniec_PR,Modul_badawczo_rozwojowy=tak),ROUND(K410,0),0)</f>
        <v>0</v>
      </c>
      <c r="L1020" s="135">
        <f t="shared" si="498"/>
        <v>0</v>
      </c>
      <c r="M1020" s="135">
        <f t="shared" si="498"/>
        <v>0</v>
      </c>
      <c r="N1020" s="135">
        <f t="shared" si="498"/>
        <v>0</v>
      </c>
      <c r="O1020" s="135">
        <f t="shared" si="498"/>
        <v>0</v>
      </c>
      <c r="P1020" s="135">
        <f t="shared" si="498"/>
        <v>0</v>
      </c>
      <c r="Q1020" s="135">
        <f t="shared" si="498"/>
        <v>0</v>
      </c>
      <c r="R1020" s="135">
        <f t="shared" si="498"/>
        <v>0</v>
      </c>
      <c r="S1020" s="135">
        <f t="shared" si="498"/>
        <v>0</v>
      </c>
      <c r="T1020" s="135">
        <f t="shared" si="498"/>
        <v>0</v>
      </c>
      <c r="U1020" s="135">
        <f t="shared" si="498"/>
        <v>0</v>
      </c>
      <c r="V1020" s="135">
        <f t="shared" si="498"/>
        <v>0</v>
      </c>
      <c r="W1020" s="135">
        <f t="shared" si="498"/>
        <v>0</v>
      </c>
      <c r="X1020" s="135">
        <f t="shared" si="498"/>
        <v>0</v>
      </c>
    </row>
    <row r="1021" spans="2:24" hidden="1">
      <c r="B1021" s="133" t="str">
        <f t="shared" ref="B1021:E1040" si="499">B369</f>
        <v/>
      </c>
      <c r="C1021" s="133" t="str">
        <f t="shared" si="499"/>
        <v/>
      </c>
      <c r="D1021" s="133" t="str">
        <f t="shared" si="499"/>
        <v/>
      </c>
      <c r="E1021" s="133" t="str">
        <f t="shared" si="499"/>
        <v/>
      </c>
      <c r="F1021" s="133"/>
      <c r="G1021" s="133"/>
      <c r="H1021" s="133"/>
      <c r="I1021" s="133"/>
      <c r="J1021" s="133"/>
      <c r="K1021" s="135">
        <f t="shared" ref="K1021:X1021" si="500">IF(AND($C1021="B+R",$D1021="nie",$E1021="prace rozwojowe",LataProjekcji&lt;=Koniec_PR,Modul_badawczo_rozwojowy=tak),ROUND(K411,0),0)</f>
        <v>0</v>
      </c>
      <c r="L1021" s="135">
        <f t="shared" si="500"/>
        <v>0</v>
      </c>
      <c r="M1021" s="135">
        <f t="shared" si="500"/>
        <v>0</v>
      </c>
      <c r="N1021" s="135">
        <f t="shared" si="500"/>
        <v>0</v>
      </c>
      <c r="O1021" s="135">
        <f t="shared" si="500"/>
        <v>0</v>
      </c>
      <c r="P1021" s="135">
        <f t="shared" si="500"/>
        <v>0</v>
      </c>
      <c r="Q1021" s="135">
        <f t="shared" si="500"/>
        <v>0</v>
      </c>
      <c r="R1021" s="135">
        <f t="shared" si="500"/>
        <v>0</v>
      </c>
      <c r="S1021" s="135">
        <f t="shared" si="500"/>
        <v>0</v>
      </c>
      <c r="T1021" s="135">
        <f t="shared" si="500"/>
        <v>0</v>
      </c>
      <c r="U1021" s="135">
        <f t="shared" si="500"/>
        <v>0</v>
      </c>
      <c r="V1021" s="135">
        <f t="shared" si="500"/>
        <v>0</v>
      </c>
      <c r="W1021" s="135">
        <f t="shared" si="500"/>
        <v>0</v>
      </c>
      <c r="X1021" s="135">
        <f t="shared" si="500"/>
        <v>0</v>
      </c>
    </row>
    <row r="1022" spans="2:24" hidden="1">
      <c r="B1022" s="133" t="str">
        <f t="shared" si="499"/>
        <v/>
      </c>
      <c r="C1022" s="133" t="str">
        <f t="shared" si="499"/>
        <v/>
      </c>
      <c r="D1022" s="133" t="str">
        <f t="shared" si="499"/>
        <v/>
      </c>
      <c r="E1022" s="133" t="str">
        <f t="shared" si="499"/>
        <v/>
      </c>
      <c r="F1022" s="133"/>
      <c r="G1022" s="133"/>
      <c r="H1022" s="133"/>
      <c r="I1022" s="133"/>
      <c r="J1022" s="133"/>
      <c r="K1022" s="135">
        <f t="shared" ref="K1022:X1022" si="501">IF(AND($C1022="B+R",$D1022="nie",$E1022="prace rozwojowe",LataProjekcji&lt;=Koniec_PR,Modul_badawczo_rozwojowy=tak),ROUND(K412,0),0)</f>
        <v>0</v>
      </c>
      <c r="L1022" s="135">
        <f t="shared" si="501"/>
        <v>0</v>
      </c>
      <c r="M1022" s="135">
        <f t="shared" si="501"/>
        <v>0</v>
      </c>
      <c r="N1022" s="135">
        <f t="shared" si="501"/>
        <v>0</v>
      </c>
      <c r="O1022" s="135">
        <f t="shared" si="501"/>
        <v>0</v>
      </c>
      <c r="P1022" s="135">
        <f t="shared" si="501"/>
        <v>0</v>
      </c>
      <c r="Q1022" s="135">
        <f t="shared" si="501"/>
        <v>0</v>
      </c>
      <c r="R1022" s="135">
        <f t="shared" si="501"/>
        <v>0</v>
      </c>
      <c r="S1022" s="135">
        <f t="shared" si="501"/>
        <v>0</v>
      </c>
      <c r="T1022" s="135">
        <f t="shared" si="501"/>
        <v>0</v>
      </c>
      <c r="U1022" s="135">
        <f t="shared" si="501"/>
        <v>0</v>
      </c>
      <c r="V1022" s="135">
        <f t="shared" si="501"/>
        <v>0</v>
      </c>
      <c r="W1022" s="135">
        <f t="shared" si="501"/>
        <v>0</v>
      </c>
      <c r="X1022" s="135">
        <f t="shared" si="501"/>
        <v>0</v>
      </c>
    </row>
    <row r="1023" spans="2:24" hidden="1">
      <c r="B1023" s="133" t="str">
        <f t="shared" si="499"/>
        <v/>
      </c>
      <c r="C1023" s="133" t="str">
        <f t="shared" si="499"/>
        <v/>
      </c>
      <c r="D1023" s="133" t="str">
        <f t="shared" si="499"/>
        <v/>
      </c>
      <c r="E1023" s="133" t="str">
        <f t="shared" si="499"/>
        <v/>
      </c>
      <c r="F1023" s="133"/>
      <c r="G1023" s="133"/>
      <c r="H1023" s="133"/>
      <c r="I1023" s="133"/>
      <c r="J1023" s="133"/>
      <c r="K1023" s="135">
        <f t="shared" ref="K1023:X1023" si="502">IF(AND($C1023="B+R",$D1023="nie",$E1023="prace rozwojowe",LataProjekcji&lt;=Koniec_PR,Modul_badawczo_rozwojowy=tak),ROUND(K413,0),0)</f>
        <v>0</v>
      </c>
      <c r="L1023" s="135">
        <f t="shared" si="502"/>
        <v>0</v>
      </c>
      <c r="M1023" s="135">
        <f t="shared" si="502"/>
        <v>0</v>
      </c>
      <c r="N1023" s="135">
        <f t="shared" si="502"/>
        <v>0</v>
      </c>
      <c r="O1023" s="135">
        <f t="shared" si="502"/>
        <v>0</v>
      </c>
      <c r="P1023" s="135">
        <f t="shared" si="502"/>
        <v>0</v>
      </c>
      <c r="Q1023" s="135">
        <f t="shared" si="502"/>
        <v>0</v>
      </c>
      <c r="R1023" s="135">
        <f t="shared" si="502"/>
        <v>0</v>
      </c>
      <c r="S1023" s="135">
        <f t="shared" si="502"/>
        <v>0</v>
      </c>
      <c r="T1023" s="135">
        <f t="shared" si="502"/>
        <v>0</v>
      </c>
      <c r="U1023" s="135">
        <f t="shared" si="502"/>
        <v>0</v>
      </c>
      <c r="V1023" s="135">
        <f t="shared" si="502"/>
        <v>0</v>
      </c>
      <c r="W1023" s="135">
        <f t="shared" si="502"/>
        <v>0</v>
      </c>
      <c r="X1023" s="135">
        <f t="shared" si="502"/>
        <v>0</v>
      </c>
    </row>
    <row r="1024" spans="2:24" hidden="1">
      <c r="B1024" s="133" t="str">
        <f t="shared" si="499"/>
        <v/>
      </c>
      <c r="C1024" s="133" t="str">
        <f t="shared" si="499"/>
        <v/>
      </c>
      <c r="D1024" s="133" t="str">
        <f t="shared" si="499"/>
        <v/>
      </c>
      <c r="E1024" s="133" t="str">
        <f t="shared" si="499"/>
        <v/>
      </c>
      <c r="F1024" s="133"/>
      <c r="G1024" s="133"/>
      <c r="H1024" s="133"/>
      <c r="I1024" s="133"/>
      <c r="J1024" s="133"/>
      <c r="K1024" s="135">
        <f t="shared" ref="K1024:X1024" si="503">IF(AND($C1024="B+R",$D1024="nie",$E1024="prace rozwojowe",LataProjekcji&lt;=Koniec_PR,Modul_badawczo_rozwojowy=tak),ROUND(K414,0),0)</f>
        <v>0</v>
      </c>
      <c r="L1024" s="135">
        <f t="shared" si="503"/>
        <v>0</v>
      </c>
      <c r="M1024" s="135">
        <f t="shared" si="503"/>
        <v>0</v>
      </c>
      <c r="N1024" s="135">
        <f t="shared" si="503"/>
        <v>0</v>
      </c>
      <c r="O1024" s="135">
        <f t="shared" si="503"/>
        <v>0</v>
      </c>
      <c r="P1024" s="135">
        <f t="shared" si="503"/>
        <v>0</v>
      </c>
      <c r="Q1024" s="135">
        <f t="shared" si="503"/>
        <v>0</v>
      </c>
      <c r="R1024" s="135">
        <f t="shared" si="503"/>
        <v>0</v>
      </c>
      <c r="S1024" s="135">
        <f t="shared" si="503"/>
        <v>0</v>
      </c>
      <c r="T1024" s="135">
        <f t="shared" si="503"/>
        <v>0</v>
      </c>
      <c r="U1024" s="135">
        <f t="shared" si="503"/>
        <v>0</v>
      </c>
      <c r="V1024" s="135">
        <f t="shared" si="503"/>
        <v>0</v>
      </c>
      <c r="W1024" s="135">
        <f t="shared" si="503"/>
        <v>0</v>
      </c>
      <c r="X1024" s="135">
        <f t="shared" si="503"/>
        <v>0</v>
      </c>
    </row>
    <row r="1025" spans="2:24" hidden="1">
      <c r="B1025" s="133" t="str">
        <f t="shared" si="499"/>
        <v/>
      </c>
      <c r="C1025" s="133" t="str">
        <f t="shared" si="499"/>
        <v/>
      </c>
      <c r="D1025" s="133" t="str">
        <f t="shared" si="499"/>
        <v/>
      </c>
      <c r="E1025" s="133" t="str">
        <f t="shared" si="499"/>
        <v/>
      </c>
      <c r="F1025" s="133"/>
      <c r="G1025" s="133"/>
      <c r="H1025" s="133"/>
      <c r="I1025" s="133"/>
      <c r="J1025" s="133"/>
      <c r="K1025" s="135">
        <f t="shared" ref="K1025:X1025" si="504">IF(AND($C1025="B+R",$D1025="nie",$E1025="prace rozwojowe",LataProjekcji&lt;=Koniec_PR,Modul_badawczo_rozwojowy=tak),ROUND(K415,0),0)</f>
        <v>0</v>
      </c>
      <c r="L1025" s="135">
        <f t="shared" si="504"/>
        <v>0</v>
      </c>
      <c r="M1025" s="135">
        <f t="shared" si="504"/>
        <v>0</v>
      </c>
      <c r="N1025" s="135">
        <f t="shared" si="504"/>
        <v>0</v>
      </c>
      <c r="O1025" s="135">
        <f t="shared" si="504"/>
        <v>0</v>
      </c>
      <c r="P1025" s="135">
        <f t="shared" si="504"/>
        <v>0</v>
      </c>
      <c r="Q1025" s="135">
        <f t="shared" si="504"/>
        <v>0</v>
      </c>
      <c r="R1025" s="135">
        <f t="shared" si="504"/>
        <v>0</v>
      </c>
      <c r="S1025" s="135">
        <f t="shared" si="504"/>
        <v>0</v>
      </c>
      <c r="T1025" s="135">
        <f t="shared" si="504"/>
        <v>0</v>
      </c>
      <c r="U1025" s="135">
        <f t="shared" si="504"/>
        <v>0</v>
      </c>
      <c r="V1025" s="135">
        <f t="shared" si="504"/>
        <v>0</v>
      </c>
      <c r="W1025" s="135">
        <f t="shared" si="504"/>
        <v>0</v>
      </c>
      <c r="X1025" s="135">
        <f t="shared" si="504"/>
        <v>0</v>
      </c>
    </row>
    <row r="1026" spans="2:24" hidden="1">
      <c r="B1026" s="133" t="str">
        <f t="shared" si="499"/>
        <v/>
      </c>
      <c r="C1026" s="133" t="str">
        <f t="shared" si="499"/>
        <v/>
      </c>
      <c r="D1026" s="133" t="str">
        <f t="shared" si="499"/>
        <v/>
      </c>
      <c r="E1026" s="133" t="str">
        <f t="shared" si="499"/>
        <v/>
      </c>
      <c r="F1026" s="133"/>
      <c r="G1026" s="133"/>
      <c r="H1026" s="133"/>
      <c r="I1026" s="133"/>
      <c r="J1026" s="133"/>
      <c r="K1026" s="135">
        <f t="shared" ref="K1026:X1026" si="505">IF(AND($C1026="B+R",$D1026="nie",$E1026="prace rozwojowe",LataProjekcji&lt;=Koniec_PR,Modul_badawczo_rozwojowy=tak),ROUND(K416,0),0)</f>
        <v>0</v>
      </c>
      <c r="L1026" s="135">
        <f t="shared" si="505"/>
        <v>0</v>
      </c>
      <c r="M1026" s="135">
        <f t="shared" si="505"/>
        <v>0</v>
      </c>
      <c r="N1026" s="135">
        <f t="shared" si="505"/>
        <v>0</v>
      </c>
      <c r="O1026" s="135">
        <f t="shared" si="505"/>
        <v>0</v>
      </c>
      <c r="P1026" s="135">
        <f t="shared" si="505"/>
        <v>0</v>
      </c>
      <c r="Q1026" s="135">
        <f t="shared" si="505"/>
        <v>0</v>
      </c>
      <c r="R1026" s="135">
        <f t="shared" si="505"/>
        <v>0</v>
      </c>
      <c r="S1026" s="135">
        <f t="shared" si="505"/>
        <v>0</v>
      </c>
      <c r="T1026" s="135">
        <f t="shared" si="505"/>
        <v>0</v>
      </c>
      <c r="U1026" s="135">
        <f t="shared" si="505"/>
        <v>0</v>
      </c>
      <c r="V1026" s="135">
        <f t="shared" si="505"/>
        <v>0</v>
      </c>
      <c r="W1026" s="135">
        <f t="shared" si="505"/>
        <v>0</v>
      </c>
      <c r="X1026" s="135">
        <f t="shared" si="505"/>
        <v>0</v>
      </c>
    </row>
    <row r="1027" spans="2:24" hidden="1">
      <c r="B1027" s="133" t="str">
        <f t="shared" si="499"/>
        <v/>
      </c>
      <c r="C1027" s="133" t="str">
        <f t="shared" si="499"/>
        <v/>
      </c>
      <c r="D1027" s="133" t="str">
        <f t="shared" si="499"/>
        <v/>
      </c>
      <c r="E1027" s="133" t="str">
        <f t="shared" si="499"/>
        <v/>
      </c>
      <c r="F1027" s="133"/>
      <c r="G1027" s="133"/>
      <c r="H1027" s="133"/>
      <c r="I1027" s="133"/>
      <c r="J1027" s="133"/>
      <c r="K1027" s="135">
        <f t="shared" ref="K1027:X1027" si="506">IF(AND($C1027="B+R",$D1027="nie",$E1027="prace rozwojowe",LataProjekcji&lt;=Koniec_PR,Modul_badawczo_rozwojowy=tak),ROUND(K417,0),0)</f>
        <v>0</v>
      </c>
      <c r="L1027" s="135">
        <f t="shared" si="506"/>
        <v>0</v>
      </c>
      <c r="M1027" s="135">
        <f t="shared" si="506"/>
        <v>0</v>
      </c>
      <c r="N1027" s="135">
        <f t="shared" si="506"/>
        <v>0</v>
      </c>
      <c r="O1027" s="135">
        <f t="shared" si="506"/>
        <v>0</v>
      </c>
      <c r="P1027" s="135">
        <f t="shared" si="506"/>
        <v>0</v>
      </c>
      <c r="Q1027" s="135">
        <f t="shared" si="506"/>
        <v>0</v>
      </c>
      <c r="R1027" s="135">
        <f t="shared" si="506"/>
        <v>0</v>
      </c>
      <c r="S1027" s="135">
        <f t="shared" si="506"/>
        <v>0</v>
      </c>
      <c r="T1027" s="135">
        <f t="shared" si="506"/>
        <v>0</v>
      </c>
      <c r="U1027" s="135">
        <f t="shared" si="506"/>
        <v>0</v>
      </c>
      <c r="V1027" s="135">
        <f t="shared" si="506"/>
        <v>0</v>
      </c>
      <c r="W1027" s="135">
        <f t="shared" si="506"/>
        <v>0</v>
      </c>
      <c r="X1027" s="135">
        <f t="shared" si="506"/>
        <v>0</v>
      </c>
    </row>
    <row r="1028" spans="2:24" hidden="1">
      <c r="B1028" s="133" t="str">
        <f t="shared" si="499"/>
        <v/>
      </c>
      <c r="C1028" s="133" t="str">
        <f t="shared" si="499"/>
        <v/>
      </c>
      <c r="D1028" s="133" t="str">
        <f t="shared" si="499"/>
        <v/>
      </c>
      <c r="E1028" s="133" t="str">
        <f t="shared" si="499"/>
        <v/>
      </c>
      <c r="F1028" s="133"/>
      <c r="G1028" s="133"/>
      <c r="H1028" s="133"/>
      <c r="I1028" s="133"/>
      <c r="J1028" s="133"/>
      <c r="K1028" s="135">
        <f t="shared" ref="K1028:X1028" si="507">IF(AND($C1028="B+R",$D1028="nie",$E1028="prace rozwojowe",LataProjekcji&lt;=Koniec_PR,Modul_badawczo_rozwojowy=tak),ROUND(K418,0),0)</f>
        <v>0</v>
      </c>
      <c r="L1028" s="135">
        <f t="shared" si="507"/>
        <v>0</v>
      </c>
      <c r="M1028" s="135">
        <f t="shared" si="507"/>
        <v>0</v>
      </c>
      <c r="N1028" s="135">
        <f t="shared" si="507"/>
        <v>0</v>
      </c>
      <c r="O1028" s="135">
        <f t="shared" si="507"/>
        <v>0</v>
      </c>
      <c r="P1028" s="135">
        <f t="shared" si="507"/>
        <v>0</v>
      </c>
      <c r="Q1028" s="135">
        <f t="shared" si="507"/>
        <v>0</v>
      </c>
      <c r="R1028" s="135">
        <f t="shared" si="507"/>
        <v>0</v>
      </c>
      <c r="S1028" s="135">
        <f t="shared" si="507"/>
        <v>0</v>
      </c>
      <c r="T1028" s="135">
        <f t="shared" si="507"/>
        <v>0</v>
      </c>
      <c r="U1028" s="135">
        <f t="shared" si="507"/>
        <v>0</v>
      </c>
      <c r="V1028" s="135">
        <f t="shared" si="507"/>
        <v>0</v>
      </c>
      <c r="W1028" s="135">
        <f t="shared" si="507"/>
        <v>0</v>
      </c>
      <c r="X1028" s="135">
        <f t="shared" si="507"/>
        <v>0</v>
      </c>
    </row>
    <row r="1029" spans="2:24" hidden="1">
      <c r="B1029" s="133" t="str">
        <f t="shared" si="499"/>
        <v/>
      </c>
      <c r="C1029" s="133" t="str">
        <f t="shared" si="499"/>
        <v/>
      </c>
      <c r="D1029" s="133" t="str">
        <f t="shared" si="499"/>
        <v/>
      </c>
      <c r="E1029" s="133" t="str">
        <f t="shared" si="499"/>
        <v/>
      </c>
      <c r="F1029" s="133"/>
      <c r="G1029" s="133"/>
      <c r="H1029" s="133"/>
      <c r="I1029" s="133"/>
      <c r="J1029" s="133"/>
      <c r="K1029" s="135">
        <f t="shared" ref="K1029:X1029" si="508">IF(AND($C1029="B+R",$D1029="nie",$E1029="prace rozwojowe",LataProjekcji&lt;=Koniec_PR,Modul_badawczo_rozwojowy=tak),ROUND(K419,0),0)</f>
        <v>0</v>
      </c>
      <c r="L1029" s="135">
        <f t="shared" si="508"/>
        <v>0</v>
      </c>
      <c r="M1029" s="135">
        <f t="shared" si="508"/>
        <v>0</v>
      </c>
      <c r="N1029" s="135">
        <f t="shared" si="508"/>
        <v>0</v>
      </c>
      <c r="O1029" s="135">
        <f t="shared" si="508"/>
        <v>0</v>
      </c>
      <c r="P1029" s="135">
        <f t="shared" si="508"/>
        <v>0</v>
      </c>
      <c r="Q1029" s="135">
        <f t="shared" si="508"/>
        <v>0</v>
      </c>
      <c r="R1029" s="135">
        <f t="shared" si="508"/>
        <v>0</v>
      </c>
      <c r="S1029" s="135">
        <f t="shared" si="508"/>
        <v>0</v>
      </c>
      <c r="T1029" s="135">
        <f t="shared" si="508"/>
        <v>0</v>
      </c>
      <c r="U1029" s="135">
        <f t="shared" si="508"/>
        <v>0</v>
      </c>
      <c r="V1029" s="135">
        <f t="shared" si="508"/>
        <v>0</v>
      </c>
      <c r="W1029" s="135">
        <f t="shared" si="508"/>
        <v>0</v>
      </c>
      <c r="X1029" s="135">
        <f t="shared" si="508"/>
        <v>0</v>
      </c>
    </row>
    <row r="1030" spans="2:24" hidden="1">
      <c r="B1030" s="133" t="str">
        <f t="shared" si="499"/>
        <v/>
      </c>
      <c r="C1030" s="133" t="str">
        <f t="shared" si="499"/>
        <v/>
      </c>
      <c r="D1030" s="133" t="str">
        <f t="shared" si="499"/>
        <v/>
      </c>
      <c r="E1030" s="133" t="str">
        <f t="shared" si="499"/>
        <v/>
      </c>
      <c r="F1030" s="133"/>
      <c r="G1030" s="133"/>
      <c r="H1030" s="133"/>
      <c r="I1030" s="133"/>
      <c r="J1030" s="133"/>
      <c r="K1030" s="135">
        <f t="shared" ref="K1030:X1030" si="509">IF(AND($C1030="B+R",$D1030="nie",$E1030="prace rozwojowe",LataProjekcji&lt;=Koniec_PR,Modul_badawczo_rozwojowy=tak),ROUND(K420,0),0)</f>
        <v>0</v>
      </c>
      <c r="L1030" s="135">
        <f t="shared" si="509"/>
        <v>0</v>
      </c>
      <c r="M1030" s="135">
        <f t="shared" si="509"/>
        <v>0</v>
      </c>
      <c r="N1030" s="135">
        <f t="shared" si="509"/>
        <v>0</v>
      </c>
      <c r="O1030" s="135">
        <f t="shared" si="509"/>
        <v>0</v>
      </c>
      <c r="P1030" s="135">
        <f t="shared" si="509"/>
        <v>0</v>
      </c>
      <c r="Q1030" s="135">
        <f t="shared" si="509"/>
        <v>0</v>
      </c>
      <c r="R1030" s="135">
        <f t="shared" si="509"/>
        <v>0</v>
      </c>
      <c r="S1030" s="135">
        <f t="shared" si="509"/>
        <v>0</v>
      </c>
      <c r="T1030" s="135">
        <f t="shared" si="509"/>
        <v>0</v>
      </c>
      <c r="U1030" s="135">
        <f t="shared" si="509"/>
        <v>0</v>
      </c>
      <c r="V1030" s="135">
        <f t="shared" si="509"/>
        <v>0</v>
      </c>
      <c r="W1030" s="135">
        <f t="shared" si="509"/>
        <v>0</v>
      </c>
      <c r="X1030" s="135">
        <f t="shared" si="509"/>
        <v>0</v>
      </c>
    </row>
    <row r="1031" spans="2:24" hidden="1">
      <c r="B1031" s="133" t="str">
        <f t="shared" si="499"/>
        <v/>
      </c>
      <c r="C1031" s="133" t="str">
        <f t="shared" si="499"/>
        <v/>
      </c>
      <c r="D1031" s="133" t="str">
        <f t="shared" si="499"/>
        <v/>
      </c>
      <c r="E1031" s="133" t="str">
        <f t="shared" si="499"/>
        <v/>
      </c>
      <c r="F1031" s="133"/>
      <c r="G1031" s="133"/>
      <c r="H1031" s="133"/>
      <c r="I1031" s="133"/>
      <c r="J1031" s="133"/>
      <c r="K1031" s="135">
        <f t="shared" ref="K1031:X1031" si="510">IF(AND($C1031="B+R",$D1031="nie",$E1031="prace rozwojowe",LataProjekcji&lt;=Koniec_PR,Modul_badawczo_rozwojowy=tak),ROUND(K421,0),0)</f>
        <v>0</v>
      </c>
      <c r="L1031" s="135">
        <f t="shared" si="510"/>
        <v>0</v>
      </c>
      <c r="M1031" s="135">
        <f t="shared" si="510"/>
        <v>0</v>
      </c>
      <c r="N1031" s="135">
        <f t="shared" si="510"/>
        <v>0</v>
      </c>
      <c r="O1031" s="135">
        <f t="shared" si="510"/>
        <v>0</v>
      </c>
      <c r="P1031" s="135">
        <f t="shared" si="510"/>
        <v>0</v>
      </c>
      <c r="Q1031" s="135">
        <f t="shared" si="510"/>
        <v>0</v>
      </c>
      <c r="R1031" s="135">
        <f t="shared" si="510"/>
        <v>0</v>
      </c>
      <c r="S1031" s="135">
        <f t="shared" si="510"/>
        <v>0</v>
      </c>
      <c r="T1031" s="135">
        <f t="shared" si="510"/>
        <v>0</v>
      </c>
      <c r="U1031" s="135">
        <f t="shared" si="510"/>
        <v>0</v>
      </c>
      <c r="V1031" s="135">
        <f t="shared" si="510"/>
        <v>0</v>
      </c>
      <c r="W1031" s="135">
        <f t="shared" si="510"/>
        <v>0</v>
      </c>
      <c r="X1031" s="135">
        <f t="shared" si="510"/>
        <v>0</v>
      </c>
    </row>
    <row r="1032" spans="2:24" hidden="1">
      <c r="B1032" s="133" t="str">
        <f t="shared" si="499"/>
        <v/>
      </c>
      <c r="C1032" s="133" t="str">
        <f t="shared" si="499"/>
        <v/>
      </c>
      <c r="D1032" s="133" t="str">
        <f t="shared" si="499"/>
        <v/>
      </c>
      <c r="E1032" s="133" t="str">
        <f t="shared" si="499"/>
        <v/>
      </c>
      <c r="F1032" s="133"/>
      <c r="G1032" s="133"/>
      <c r="H1032" s="133"/>
      <c r="I1032" s="133"/>
      <c r="J1032" s="133"/>
      <c r="K1032" s="135">
        <f t="shared" ref="K1032:X1032" si="511">IF(AND($C1032="B+R",$D1032="nie",$E1032="prace rozwojowe",LataProjekcji&lt;=Koniec_PR,Modul_badawczo_rozwojowy=tak),ROUND(K422,0),0)</f>
        <v>0</v>
      </c>
      <c r="L1032" s="135">
        <f t="shared" si="511"/>
        <v>0</v>
      </c>
      <c r="M1032" s="135">
        <f t="shared" si="511"/>
        <v>0</v>
      </c>
      <c r="N1032" s="135">
        <f t="shared" si="511"/>
        <v>0</v>
      </c>
      <c r="O1032" s="135">
        <f t="shared" si="511"/>
        <v>0</v>
      </c>
      <c r="P1032" s="135">
        <f t="shared" si="511"/>
        <v>0</v>
      </c>
      <c r="Q1032" s="135">
        <f t="shared" si="511"/>
        <v>0</v>
      </c>
      <c r="R1032" s="135">
        <f t="shared" si="511"/>
        <v>0</v>
      </c>
      <c r="S1032" s="135">
        <f t="shared" si="511"/>
        <v>0</v>
      </c>
      <c r="T1032" s="135">
        <f t="shared" si="511"/>
        <v>0</v>
      </c>
      <c r="U1032" s="135">
        <f t="shared" si="511"/>
        <v>0</v>
      </c>
      <c r="V1032" s="135">
        <f t="shared" si="511"/>
        <v>0</v>
      </c>
      <c r="W1032" s="135">
        <f t="shared" si="511"/>
        <v>0</v>
      </c>
      <c r="X1032" s="135">
        <f t="shared" si="511"/>
        <v>0</v>
      </c>
    </row>
    <row r="1033" spans="2:24" hidden="1">
      <c r="B1033" s="133" t="str">
        <f t="shared" si="499"/>
        <v/>
      </c>
      <c r="C1033" s="133" t="str">
        <f t="shared" si="499"/>
        <v/>
      </c>
      <c r="D1033" s="133" t="str">
        <f t="shared" si="499"/>
        <v/>
      </c>
      <c r="E1033" s="133" t="str">
        <f t="shared" si="499"/>
        <v/>
      </c>
      <c r="F1033" s="133"/>
      <c r="G1033" s="133"/>
      <c r="H1033" s="133"/>
      <c r="I1033" s="133"/>
      <c r="J1033" s="133"/>
      <c r="K1033" s="135">
        <f t="shared" ref="K1033:X1033" si="512">IF(AND($C1033="B+R",$D1033="nie",$E1033="prace rozwojowe",LataProjekcji&lt;=Koniec_PR,Modul_badawczo_rozwojowy=tak),ROUND(K423,0),0)</f>
        <v>0</v>
      </c>
      <c r="L1033" s="135">
        <f t="shared" si="512"/>
        <v>0</v>
      </c>
      <c r="M1033" s="135">
        <f t="shared" si="512"/>
        <v>0</v>
      </c>
      <c r="N1033" s="135">
        <f t="shared" si="512"/>
        <v>0</v>
      </c>
      <c r="O1033" s="135">
        <f t="shared" si="512"/>
        <v>0</v>
      </c>
      <c r="P1033" s="135">
        <f t="shared" si="512"/>
        <v>0</v>
      </c>
      <c r="Q1033" s="135">
        <f t="shared" si="512"/>
        <v>0</v>
      </c>
      <c r="R1033" s="135">
        <f t="shared" si="512"/>
        <v>0</v>
      </c>
      <c r="S1033" s="135">
        <f t="shared" si="512"/>
        <v>0</v>
      </c>
      <c r="T1033" s="135">
        <f t="shared" si="512"/>
        <v>0</v>
      </c>
      <c r="U1033" s="135">
        <f t="shared" si="512"/>
        <v>0</v>
      </c>
      <c r="V1033" s="135">
        <f t="shared" si="512"/>
        <v>0</v>
      </c>
      <c r="W1033" s="135">
        <f t="shared" si="512"/>
        <v>0</v>
      </c>
      <c r="X1033" s="135">
        <f t="shared" si="512"/>
        <v>0</v>
      </c>
    </row>
    <row r="1034" spans="2:24" hidden="1">
      <c r="B1034" s="133" t="str">
        <f t="shared" si="499"/>
        <v/>
      </c>
      <c r="C1034" s="133" t="str">
        <f t="shared" si="499"/>
        <v/>
      </c>
      <c r="D1034" s="133" t="str">
        <f t="shared" si="499"/>
        <v/>
      </c>
      <c r="E1034" s="133" t="str">
        <f t="shared" si="499"/>
        <v/>
      </c>
      <c r="F1034" s="133"/>
      <c r="G1034" s="133"/>
      <c r="H1034" s="133"/>
      <c r="I1034" s="133"/>
      <c r="J1034" s="133"/>
      <c r="K1034" s="135">
        <f t="shared" ref="K1034:X1034" si="513">IF(AND($C1034="B+R",$D1034="nie",$E1034="prace rozwojowe",LataProjekcji&lt;=Koniec_PR,Modul_badawczo_rozwojowy=tak),ROUND(K424,0),0)</f>
        <v>0</v>
      </c>
      <c r="L1034" s="135">
        <f t="shared" si="513"/>
        <v>0</v>
      </c>
      <c r="M1034" s="135">
        <f t="shared" si="513"/>
        <v>0</v>
      </c>
      <c r="N1034" s="135">
        <f t="shared" si="513"/>
        <v>0</v>
      </c>
      <c r="O1034" s="135">
        <f t="shared" si="513"/>
        <v>0</v>
      </c>
      <c r="P1034" s="135">
        <f t="shared" si="513"/>
        <v>0</v>
      </c>
      <c r="Q1034" s="135">
        <f t="shared" si="513"/>
        <v>0</v>
      </c>
      <c r="R1034" s="135">
        <f t="shared" si="513"/>
        <v>0</v>
      </c>
      <c r="S1034" s="135">
        <f t="shared" si="513"/>
        <v>0</v>
      </c>
      <c r="T1034" s="135">
        <f t="shared" si="513"/>
        <v>0</v>
      </c>
      <c r="U1034" s="135">
        <f t="shared" si="513"/>
        <v>0</v>
      </c>
      <c r="V1034" s="135">
        <f t="shared" si="513"/>
        <v>0</v>
      </c>
      <c r="W1034" s="135">
        <f t="shared" si="513"/>
        <v>0</v>
      </c>
      <c r="X1034" s="135">
        <f t="shared" si="513"/>
        <v>0</v>
      </c>
    </row>
    <row r="1035" spans="2:24" hidden="1">
      <c r="B1035" s="133" t="str">
        <f t="shared" si="499"/>
        <v/>
      </c>
      <c r="C1035" s="133" t="str">
        <f t="shared" si="499"/>
        <v/>
      </c>
      <c r="D1035" s="133" t="str">
        <f t="shared" si="499"/>
        <v/>
      </c>
      <c r="E1035" s="133" t="str">
        <f t="shared" si="499"/>
        <v/>
      </c>
      <c r="F1035" s="133"/>
      <c r="G1035" s="133"/>
      <c r="H1035" s="133"/>
      <c r="I1035" s="133"/>
      <c r="J1035" s="133"/>
      <c r="K1035" s="135">
        <f t="shared" ref="K1035:X1035" si="514">IF(AND($C1035="B+R",$D1035="nie",$E1035="prace rozwojowe",LataProjekcji&lt;=Koniec_PR,Modul_badawczo_rozwojowy=tak),ROUND(K425,0),0)</f>
        <v>0</v>
      </c>
      <c r="L1035" s="135">
        <f t="shared" si="514"/>
        <v>0</v>
      </c>
      <c r="M1035" s="135">
        <f t="shared" si="514"/>
        <v>0</v>
      </c>
      <c r="N1035" s="135">
        <f t="shared" si="514"/>
        <v>0</v>
      </c>
      <c r="O1035" s="135">
        <f t="shared" si="514"/>
        <v>0</v>
      </c>
      <c r="P1035" s="135">
        <f t="shared" si="514"/>
        <v>0</v>
      </c>
      <c r="Q1035" s="135">
        <f t="shared" si="514"/>
        <v>0</v>
      </c>
      <c r="R1035" s="135">
        <f t="shared" si="514"/>
        <v>0</v>
      </c>
      <c r="S1035" s="135">
        <f t="shared" si="514"/>
        <v>0</v>
      </c>
      <c r="T1035" s="135">
        <f t="shared" si="514"/>
        <v>0</v>
      </c>
      <c r="U1035" s="135">
        <f t="shared" si="514"/>
        <v>0</v>
      </c>
      <c r="V1035" s="135">
        <f t="shared" si="514"/>
        <v>0</v>
      </c>
      <c r="W1035" s="135">
        <f t="shared" si="514"/>
        <v>0</v>
      </c>
      <c r="X1035" s="135">
        <f t="shared" si="514"/>
        <v>0</v>
      </c>
    </row>
    <row r="1036" spans="2:24" hidden="1">
      <c r="B1036" s="133" t="str">
        <f t="shared" si="499"/>
        <v/>
      </c>
      <c r="C1036" s="133" t="str">
        <f t="shared" si="499"/>
        <v/>
      </c>
      <c r="D1036" s="133" t="str">
        <f t="shared" si="499"/>
        <v/>
      </c>
      <c r="E1036" s="133" t="str">
        <f t="shared" si="499"/>
        <v/>
      </c>
      <c r="F1036" s="133"/>
      <c r="G1036" s="133"/>
      <c r="H1036" s="133"/>
      <c r="I1036" s="133"/>
      <c r="J1036" s="133"/>
      <c r="K1036" s="135">
        <f t="shared" ref="K1036:X1036" si="515">IF(AND($C1036="B+R",$D1036="nie",$E1036="prace rozwojowe",LataProjekcji&lt;=Koniec_PR,Modul_badawczo_rozwojowy=tak),ROUND(K426,0),0)</f>
        <v>0</v>
      </c>
      <c r="L1036" s="135">
        <f t="shared" si="515"/>
        <v>0</v>
      </c>
      <c r="M1036" s="135">
        <f t="shared" si="515"/>
        <v>0</v>
      </c>
      <c r="N1036" s="135">
        <f t="shared" si="515"/>
        <v>0</v>
      </c>
      <c r="O1036" s="135">
        <f t="shared" si="515"/>
        <v>0</v>
      </c>
      <c r="P1036" s="135">
        <f t="shared" si="515"/>
        <v>0</v>
      </c>
      <c r="Q1036" s="135">
        <f t="shared" si="515"/>
        <v>0</v>
      </c>
      <c r="R1036" s="135">
        <f t="shared" si="515"/>
        <v>0</v>
      </c>
      <c r="S1036" s="135">
        <f t="shared" si="515"/>
        <v>0</v>
      </c>
      <c r="T1036" s="135">
        <f t="shared" si="515"/>
        <v>0</v>
      </c>
      <c r="U1036" s="135">
        <f t="shared" si="515"/>
        <v>0</v>
      </c>
      <c r="V1036" s="135">
        <f t="shared" si="515"/>
        <v>0</v>
      </c>
      <c r="W1036" s="135">
        <f t="shared" si="515"/>
        <v>0</v>
      </c>
      <c r="X1036" s="135">
        <f t="shared" si="515"/>
        <v>0</v>
      </c>
    </row>
    <row r="1037" spans="2:24" hidden="1">
      <c r="B1037" s="133" t="str">
        <f t="shared" si="499"/>
        <v/>
      </c>
      <c r="C1037" s="133" t="str">
        <f t="shared" si="499"/>
        <v/>
      </c>
      <c r="D1037" s="133" t="str">
        <f t="shared" si="499"/>
        <v/>
      </c>
      <c r="E1037" s="133" t="str">
        <f t="shared" si="499"/>
        <v/>
      </c>
      <c r="F1037" s="133"/>
      <c r="G1037" s="133"/>
      <c r="H1037" s="133"/>
      <c r="I1037" s="133"/>
      <c r="J1037" s="133"/>
      <c r="K1037" s="135">
        <f t="shared" ref="K1037:X1037" si="516">IF(AND($C1037="B+R",$D1037="nie",$E1037="prace rozwojowe",LataProjekcji&lt;=Koniec_PR,Modul_badawczo_rozwojowy=tak),ROUND(K427,0),0)</f>
        <v>0</v>
      </c>
      <c r="L1037" s="135">
        <f t="shared" si="516"/>
        <v>0</v>
      </c>
      <c r="M1037" s="135">
        <f t="shared" si="516"/>
        <v>0</v>
      </c>
      <c r="N1037" s="135">
        <f t="shared" si="516"/>
        <v>0</v>
      </c>
      <c r="O1037" s="135">
        <f t="shared" si="516"/>
        <v>0</v>
      </c>
      <c r="P1037" s="135">
        <f t="shared" si="516"/>
        <v>0</v>
      </c>
      <c r="Q1037" s="135">
        <f t="shared" si="516"/>
        <v>0</v>
      </c>
      <c r="R1037" s="135">
        <f t="shared" si="516"/>
        <v>0</v>
      </c>
      <c r="S1037" s="135">
        <f t="shared" si="516"/>
        <v>0</v>
      </c>
      <c r="T1037" s="135">
        <f t="shared" si="516"/>
        <v>0</v>
      </c>
      <c r="U1037" s="135">
        <f t="shared" si="516"/>
        <v>0</v>
      </c>
      <c r="V1037" s="135">
        <f t="shared" si="516"/>
        <v>0</v>
      </c>
      <c r="W1037" s="135">
        <f t="shared" si="516"/>
        <v>0</v>
      </c>
      <c r="X1037" s="135">
        <f t="shared" si="516"/>
        <v>0</v>
      </c>
    </row>
    <row r="1038" spans="2:24" hidden="1">
      <c r="B1038" s="133" t="str">
        <f t="shared" si="499"/>
        <v/>
      </c>
      <c r="C1038" s="133" t="str">
        <f t="shared" si="499"/>
        <v/>
      </c>
      <c r="D1038" s="133" t="str">
        <f t="shared" si="499"/>
        <v/>
      </c>
      <c r="E1038" s="133" t="str">
        <f t="shared" si="499"/>
        <v/>
      </c>
      <c r="F1038" s="133"/>
      <c r="G1038" s="133"/>
      <c r="H1038" s="133"/>
      <c r="I1038" s="133"/>
      <c r="J1038" s="133"/>
      <c r="K1038" s="135">
        <f t="shared" ref="K1038:X1038" si="517">IF(AND($C1038="B+R",$D1038="nie",$E1038="prace rozwojowe",LataProjekcji&lt;=Koniec_PR,Modul_badawczo_rozwojowy=tak),ROUND(K428,0),0)</f>
        <v>0</v>
      </c>
      <c r="L1038" s="135">
        <f t="shared" si="517"/>
        <v>0</v>
      </c>
      <c r="M1038" s="135">
        <f t="shared" si="517"/>
        <v>0</v>
      </c>
      <c r="N1038" s="135">
        <f t="shared" si="517"/>
        <v>0</v>
      </c>
      <c r="O1038" s="135">
        <f t="shared" si="517"/>
        <v>0</v>
      </c>
      <c r="P1038" s="135">
        <f t="shared" si="517"/>
        <v>0</v>
      </c>
      <c r="Q1038" s="135">
        <f t="shared" si="517"/>
        <v>0</v>
      </c>
      <c r="R1038" s="135">
        <f t="shared" si="517"/>
        <v>0</v>
      </c>
      <c r="S1038" s="135">
        <f t="shared" si="517"/>
        <v>0</v>
      </c>
      <c r="T1038" s="135">
        <f t="shared" si="517"/>
        <v>0</v>
      </c>
      <c r="U1038" s="135">
        <f t="shared" si="517"/>
        <v>0</v>
      </c>
      <c r="V1038" s="135">
        <f t="shared" si="517"/>
        <v>0</v>
      </c>
      <c r="W1038" s="135">
        <f t="shared" si="517"/>
        <v>0</v>
      </c>
      <c r="X1038" s="135">
        <f t="shared" si="517"/>
        <v>0</v>
      </c>
    </row>
    <row r="1039" spans="2:24" hidden="1">
      <c r="B1039" s="133" t="str">
        <f t="shared" si="499"/>
        <v/>
      </c>
      <c r="C1039" s="133" t="str">
        <f t="shared" si="499"/>
        <v/>
      </c>
      <c r="D1039" s="133" t="str">
        <f t="shared" si="499"/>
        <v/>
      </c>
      <c r="E1039" s="133" t="str">
        <f t="shared" si="499"/>
        <v/>
      </c>
      <c r="F1039" s="133"/>
      <c r="G1039" s="133"/>
      <c r="H1039" s="133"/>
      <c r="I1039" s="133"/>
      <c r="J1039" s="133"/>
      <c r="K1039" s="135">
        <f t="shared" ref="K1039:X1039" si="518">IF(AND($C1039="B+R",$D1039="nie",$E1039="prace rozwojowe",LataProjekcji&lt;=Koniec_PR,Modul_badawczo_rozwojowy=tak),ROUND(K429,0),0)</f>
        <v>0</v>
      </c>
      <c r="L1039" s="135">
        <f t="shared" si="518"/>
        <v>0</v>
      </c>
      <c r="M1039" s="135">
        <f t="shared" si="518"/>
        <v>0</v>
      </c>
      <c r="N1039" s="135">
        <f t="shared" si="518"/>
        <v>0</v>
      </c>
      <c r="O1039" s="135">
        <f t="shared" si="518"/>
        <v>0</v>
      </c>
      <c r="P1039" s="135">
        <f t="shared" si="518"/>
        <v>0</v>
      </c>
      <c r="Q1039" s="135">
        <f t="shared" si="518"/>
        <v>0</v>
      </c>
      <c r="R1039" s="135">
        <f t="shared" si="518"/>
        <v>0</v>
      </c>
      <c r="S1039" s="135">
        <f t="shared" si="518"/>
        <v>0</v>
      </c>
      <c r="T1039" s="135">
        <f t="shared" si="518"/>
        <v>0</v>
      </c>
      <c r="U1039" s="135">
        <f t="shared" si="518"/>
        <v>0</v>
      </c>
      <c r="V1039" s="135">
        <f t="shared" si="518"/>
        <v>0</v>
      </c>
      <c r="W1039" s="135">
        <f t="shared" si="518"/>
        <v>0</v>
      </c>
      <c r="X1039" s="135">
        <f t="shared" si="518"/>
        <v>0</v>
      </c>
    </row>
    <row r="1040" spans="2:24" hidden="1">
      <c r="B1040" s="133" t="str">
        <f t="shared" si="499"/>
        <v/>
      </c>
      <c r="C1040" s="133" t="str">
        <f t="shared" si="499"/>
        <v/>
      </c>
      <c r="D1040" s="133" t="str">
        <f t="shared" si="499"/>
        <v/>
      </c>
      <c r="E1040" s="133" t="str">
        <f t="shared" si="499"/>
        <v/>
      </c>
      <c r="F1040" s="133"/>
      <c r="G1040" s="133"/>
      <c r="H1040" s="133"/>
      <c r="I1040" s="133"/>
      <c r="J1040" s="133"/>
      <c r="K1040" s="135">
        <f t="shared" ref="K1040:X1040" si="519">IF(AND($C1040="B+R",$D1040="nie",$E1040="prace rozwojowe",LataProjekcji&lt;=Koniec_PR,Modul_badawczo_rozwojowy=tak),ROUND(K430,0),0)</f>
        <v>0</v>
      </c>
      <c r="L1040" s="135">
        <f t="shared" si="519"/>
        <v>0</v>
      </c>
      <c r="M1040" s="135">
        <f t="shared" si="519"/>
        <v>0</v>
      </c>
      <c r="N1040" s="135">
        <f t="shared" si="519"/>
        <v>0</v>
      </c>
      <c r="O1040" s="135">
        <f t="shared" si="519"/>
        <v>0</v>
      </c>
      <c r="P1040" s="135">
        <f t="shared" si="519"/>
        <v>0</v>
      </c>
      <c r="Q1040" s="135">
        <f t="shared" si="519"/>
        <v>0</v>
      </c>
      <c r="R1040" s="135">
        <f t="shared" si="519"/>
        <v>0</v>
      </c>
      <c r="S1040" s="135">
        <f t="shared" si="519"/>
        <v>0</v>
      </c>
      <c r="T1040" s="135">
        <f t="shared" si="519"/>
        <v>0</v>
      </c>
      <c r="U1040" s="135">
        <f t="shared" si="519"/>
        <v>0</v>
      </c>
      <c r="V1040" s="135">
        <f t="shared" si="519"/>
        <v>0</v>
      </c>
      <c r="W1040" s="135">
        <f t="shared" si="519"/>
        <v>0</v>
      </c>
      <c r="X1040" s="135">
        <f t="shared" si="519"/>
        <v>0</v>
      </c>
    </row>
    <row r="1041" spans="2:24" hidden="1">
      <c r="B1041" s="127" t="s">
        <v>319</v>
      </c>
      <c r="C1041" s="127"/>
      <c r="D1041" s="128"/>
      <c r="E1041" s="129"/>
      <c r="F1041" s="129"/>
      <c r="G1041" s="129"/>
      <c r="H1041" s="129"/>
      <c r="I1041" s="129"/>
      <c r="J1041" s="129"/>
      <c r="K1041" s="136">
        <f t="shared" ref="K1041:X1041" si="520">ROUND(SUM(K1001:K1040),0)</f>
        <v>0</v>
      </c>
      <c r="L1041" s="136">
        <f t="shared" si="520"/>
        <v>0</v>
      </c>
      <c r="M1041" s="136">
        <f t="shared" si="520"/>
        <v>0</v>
      </c>
      <c r="N1041" s="136">
        <f t="shared" si="520"/>
        <v>0</v>
      </c>
      <c r="O1041" s="136">
        <f t="shared" si="520"/>
        <v>0</v>
      </c>
      <c r="P1041" s="136">
        <f t="shared" si="520"/>
        <v>0</v>
      </c>
      <c r="Q1041" s="136">
        <f t="shared" si="520"/>
        <v>0</v>
      </c>
      <c r="R1041" s="136">
        <f t="shared" si="520"/>
        <v>0</v>
      </c>
      <c r="S1041" s="136">
        <f t="shared" si="520"/>
        <v>0</v>
      </c>
      <c r="T1041" s="136">
        <f t="shared" si="520"/>
        <v>0</v>
      </c>
      <c r="U1041" s="136">
        <f t="shared" si="520"/>
        <v>0</v>
      </c>
      <c r="V1041" s="136">
        <f t="shared" si="520"/>
        <v>0</v>
      </c>
      <c r="W1041" s="136">
        <f t="shared" si="520"/>
        <v>0</v>
      </c>
      <c r="X1041" s="136">
        <f t="shared" si="520"/>
        <v>0</v>
      </c>
    </row>
    <row r="1042" spans="2:24" hidden="1">
      <c r="B1042" s="129"/>
      <c r="C1042" s="129"/>
      <c r="D1042" s="128"/>
      <c r="E1042" s="129"/>
      <c r="F1042" s="129"/>
      <c r="G1042" s="129"/>
      <c r="H1042" s="129"/>
      <c r="I1042" s="129"/>
      <c r="J1042" s="129"/>
      <c r="K1042" s="137"/>
      <c r="L1042" s="137"/>
      <c r="M1042" s="137"/>
      <c r="N1042" s="137"/>
      <c r="O1042" s="137"/>
      <c r="P1042" s="137"/>
      <c r="Q1042" s="137"/>
      <c r="R1042" s="137"/>
      <c r="S1042" s="137"/>
      <c r="T1042" s="137"/>
      <c r="U1042" s="137"/>
      <c r="V1042" s="137"/>
      <c r="W1042" s="137"/>
      <c r="X1042" s="137"/>
    </row>
    <row r="1043" spans="2:24" hidden="1">
      <c r="B1043" s="129"/>
      <c r="C1043" s="129"/>
      <c r="D1043" s="128"/>
      <c r="E1043" s="129"/>
      <c r="F1043" s="129"/>
      <c r="G1043" s="129"/>
      <c r="H1043" s="129"/>
      <c r="I1043" s="129"/>
      <c r="J1043" s="129"/>
      <c r="K1043" s="137"/>
      <c r="L1043" s="137"/>
      <c r="M1043" s="137"/>
      <c r="N1043" s="137"/>
      <c r="O1043" s="137"/>
      <c r="P1043" s="137"/>
      <c r="Q1043" s="137"/>
      <c r="R1043" s="137"/>
      <c r="S1043" s="137"/>
      <c r="T1043" s="137"/>
      <c r="U1043" s="137"/>
      <c r="V1043" s="137"/>
      <c r="W1043" s="137"/>
      <c r="X1043" s="137"/>
    </row>
    <row r="1044" spans="2:24" hidden="1">
      <c r="B1044" s="127" t="s">
        <v>320</v>
      </c>
      <c r="C1044" s="127"/>
      <c r="D1044" s="128"/>
      <c r="E1044" s="129"/>
      <c r="F1044" s="129"/>
      <c r="G1044" s="129"/>
      <c r="H1044" s="129"/>
      <c r="I1044" s="129"/>
      <c r="J1044" s="129"/>
      <c r="K1044" s="137"/>
      <c r="L1044" s="137"/>
      <c r="M1044" s="137"/>
      <c r="N1044" s="137"/>
      <c r="O1044" s="137"/>
      <c r="P1044" s="137"/>
      <c r="Q1044" s="137"/>
      <c r="R1044" s="137"/>
      <c r="S1044" s="137"/>
      <c r="T1044" s="137"/>
      <c r="U1044" s="137"/>
      <c r="V1044" s="137"/>
      <c r="W1044" s="137"/>
      <c r="X1044" s="137"/>
    </row>
    <row r="1045" spans="2:24" hidden="1">
      <c r="B1045" s="127" t="s">
        <v>321</v>
      </c>
      <c r="C1045" s="127"/>
      <c r="D1045" s="138" t="s">
        <v>336</v>
      </c>
      <c r="E1045" s="127" t="s">
        <v>337</v>
      </c>
      <c r="F1045" s="129"/>
      <c r="G1045" s="129"/>
      <c r="H1045" s="129"/>
      <c r="I1045" s="129"/>
      <c r="J1045" s="129"/>
      <c r="K1045" s="137"/>
      <c r="L1045" s="137"/>
      <c r="M1045" s="137"/>
      <c r="N1045" s="137"/>
      <c r="O1045" s="137"/>
      <c r="P1045" s="137"/>
      <c r="Q1045" s="137"/>
      <c r="R1045" s="137"/>
      <c r="S1045" s="137"/>
      <c r="T1045" s="137"/>
      <c r="U1045" s="137"/>
      <c r="V1045" s="137"/>
      <c r="W1045" s="137"/>
      <c r="X1045" s="137"/>
    </row>
    <row r="1046" spans="2:24" hidden="1">
      <c r="B1046" s="133" t="str">
        <f t="shared" ref="B1046:E1065" si="521">IF(ISBLANK(B1001),"",B1001)</f>
        <v/>
      </c>
      <c r="C1046" s="133" t="str">
        <f t="shared" si="521"/>
        <v/>
      </c>
      <c r="D1046" s="133" t="str">
        <f t="shared" si="521"/>
        <v/>
      </c>
      <c r="E1046" s="133" t="str">
        <f t="shared" si="521"/>
        <v/>
      </c>
      <c r="F1046" s="133"/>
      <c r="G1046" s="133"/>
      <c r="H1046" s="133"/>
      <c r="I1046" s="133"/>
      <c r="J1046" s="133"/>
      <c r="K1046" s="135">
        <f t="shared" ref="K1046:X1046" si="522">IF(AND($C1046="B+R",$D1046="nie",$E1046="prace rozwojowe",LataProjekcji&lt;=Koniec_PR,Modul_badawczo_rozwojowy=tak),ROUND(K436,0),0)</f>
        <v>0</v>
      </c>
      <c r="L1046" s="135">
        <f t="shared" si="522"/>
        <v>0</v>
      </c>
      <c r="M1046" s="135">
        <f t="shared" si="522"/>
        <v>0</v>
      </c>
      <c r="N1046" s="135">
        <f t="shared" si="522"/>
        <v>0</v>
      </c>
      <c r="O1046" s="135">
        <f t="shared" si="522"/>
        <v>0</v>
      </c>
      <c r="P1046" s="135">
        <f t="shared" si="522"/>
        <v>0</v>
      </c>
      <c r="Q1046" s="135">
        <f t="shared" si="522"/>
        <v>0</v>
      </c>
      <c r="R1046" s="135">
        <f t="shared" si="522"/>
        <v>0</v>
      </c>
      <c r="S1046" s="135">
        <f t="shared" si="522"/>
        <v>0</v>
      </c>
      <c r="T1046" s="135">
        <f t="shared" si="522"/>
        <v>0</v>
      </c>
      <c r="U1046" s="135">
        <f t="shared" si="522"/>
        <v>0</v>
      </c>
      <c r="V1046" s="135">
        <f t="shared" si="522"/>
        <v>0</v>
      </c>
      <c r="W1046" s="135">
        <f t="shared" si="522"/>
        <v>0</v>
      </c>
      <c r="X1046" s="135">
        <f t="shared" si="522"/>
        <v>0</v>
      </c>
    </row>
    <row r="1047" spans="2:24" hidden="1">
      <c r="B1047" s="133" t="str">
        <f t="shared" si="521"/>
        <v/>
      </c>
      <c r="C1047" s="133" t="str">
        <f t="shared" si="521"/>
        <v/>
      </c>
      <c r="D1047" s="133" t="str">
        <f t="shared" si="521"/>
        <v/>
      </c>
      <c r="E1047" s="133" t="str">
        <f t="shared" si="521"/>
        <v/>
      </c>
      <c r="F1047" s="133"/>
      <c r="G1047" s="133"/>
      <c r="H1047" s="133"/>
      <c r="I1047" s="133"/>
      <c r="J1047" s="133"/>
      <c r="K1047" s="135">
        <f t="shared" ref="K1047:X1047" si="523">IF(AND($C1047="B+R",$D1047="nie",$E1047="prace rozwojowe",LataProjekcji&lt;=Koniec_PR,Modul_badawczo_rozwojowy=tak),ROUND(K437,0),0)</f>
        <v>0</v>
      </c>
      <c r="L1047" s="135">
        <f t="shared" si="523"/>
        <v>0</v>
      </c>
      <c r="M1047" s="135">
        <f t="shared" si="523"/>
        <v>0</v>
      </c>
      <c r="N1047" s="135">
        <f t="shared" si="523"/>
        <v>0</v>
      </c>
      <c r="O1047" s="135">
        <f t="shared" si="523"/>
        <v>0</v>
      </c>
      <c r="P1047" s="135">
        <f t="shared" si="523"/>
        <v>0</v>
      </c>
      <c r="Q1047" s="135">
        <f t="shared" si="523"/>
        <v>0</v>
      </c>
      <c r="R1047" s="135">
        <f t="shared" si="523"/>
        <v>0</v>
      </c>
      <c r="S1047" s="135">
        <f t="shared" si="523"/>
        <v>0</v>
      </c>
      <c r="T1047" s="135">
        <f t="shared" si="523"/>
        <v>0</v>
      </c>
      <c r="U1047" s="135">
        <f t="shared" si="523"/>
        <v>0</v>
      </c>
      <c r="V1047" s="135">
        <f t="shared" si="523"/>
        <v>0</v>
      </c>
      <c r="W1047" s="135">
        <f t="shared" si="523"/>
        <v>0</v>
      </c>
      <c r="X1047" s="135">
        <f t="shared" si="523"/>
        <v>0</v>
      </c>
    </row>
    <row r="1048" spans="2:24" hidden="1">
      <c r="B1048" s="133" t="str">
        <f t="shared" si="521"/>
        <v/>
      </c>
      <c r="C1048" s="133" t="str">
        <f t="shared" si="521"/>
        <v/>
      </c>
      <c r="D1048" s="133" t="str">
        <f t="shared" si="521"/>
        <v/>
      </c>
      <c r="E1048" s="133" t="str">
        <f t="shared" si="521"/>
        <v/>
      </c>
      <c r="F1048" s="133"/>
      <c r="G1048" s="133"/>
      <c r="H1048" s="133"/>
      <c r="I1048" s="133"/>
      <c r="J1048" s="133"/>
      <c r="K1048" s="135">
        <f t="shared" ref="K1048:X1048" si="524">IF(AND($C1048="B+R",$D1048="nie",$E1048="prace rozwojowe",LataProjekcji&lt;=Koniec_PR,Modul_badawczo_rozwojowy=tak),ROUND(K438,0),0)</f>
        <v>0</v>
      </c>
      <c r="L1048" s="135">
        <f t="shared" si="524"/>
        <v>0</v>
      </c>
      <c r="M1048" s="135">
        <f t="shared" si="524"/>
        <v>0</v>
      </c>
      <c r="N1048" s="135">
        <f t="shared" si="524"/>
        <v>0</v>
      </c>
      <c r="O1048" s="135">
        <f t="shared" si="524"/>
        <v>0</v>
      </c>
      <c r="P1048" s="135">
        <f t="shared" si="524"/>
        <v>0</v>
      </c>
      <c r="Q1048" s="135">
        <f t="shared" si="524"/>
        <v>0</v>
      </c>
      <c r="R1048" s="135">
        <f t="shared" si="524"/>
        <v>0</v>
      </c>
      <c r="S1048" s="135">
        <f t="shared" si="524"/>
        <v>0</v>
      </c>
      <c r="T1048" s="135">
        <f t="shared" si="524"/>
        <v>0</v>
      </c>
      <c r="U1048" s="135">
        <f t="shared" si="524"/>
        <v>0</v>
      </c>
      <c r="V1048" s="135">
        <f t="shared" si="524"/>
        <v>0</v>
      </c>
      <c r="W1048" s="135">
        <f t="shared" si="524"/>
        <v>0</v>
      </c>
      <c r="X1048" s="135">
        <f t="shared" si="524"/>
        <v>0</v>
      </c>
    </row>
    <row r="1049" spans="2:24" hidden="1">
      <c r="B1049" s="133" t="str">
        <f t="shared" si="521"/>
        <v/>
      </c>
      <c r="C1049" s="133" t="str">
        <f t="shared" si="521"/>
        <v/>
      </c>
      <c r="D1049" s="133" t="str">
        <f t="shared" si="521"/>
        <v/>
      </c>
      <c r="E1049" s="133" t="str">
        <f t="shared" si="521"/>
        <v/>
      </c>
      <c r="F1049" s="133"/>
      <c r="G1049" s="133"/>
      <c r="H1049" s="133"/>
      <c r="I1049" s="133"/>
      <c r="J1049" s="133"/>
      <c r="K1049" s="135">
        <f t="shared" ref="K1049:X1049" si="525">IF(AND($C1049="B+R",$D1049="nie",$E1049="prace rozwojowe",LataProjekcji&lt;=Koniec_PR,Modul_badawczo_rozwojowy=tak),ROUND(K439,0),0)</f>
        <v>0</v>
      </c>
      <c r="L1049" s="135">
        <f t="shared" si="525"/>
        <v>0</v>
      </c>
      <c r="M1049" s="135">
        <f t="shared" si="525"/>
        <v>0</v>
      </c>
      <c r="N1049" s="135">
        <f t="shared" si="525"/>
        <v>0</v>
      </c>
      <c r="O1049" s="135">
        <f t="shared" si="525"/>
        <v>0</v>
      </c>
      <c r="P1049" s="135">
        <f t="shared" si="525"/>
        <v>0</v>
      </c>
      <c r="Q1049" s="135">
        <f t="shared" si="525"/>
        <v>0</v>
      </c>
      <c r="R1049" s="135">
        <f t="shared" si="525"/>
        <v>0</v>
      </c>
      <c r="S1049" s="135">
        <f t="shared" si="525"/>
        <v>0</v>
      </c>
      <c r="T1049" s="135">
        <f t="shared" si="525"/>
        <v>0</v>
      </c>
      <c r="U1049" s="135">
        <f t="shared" si="525"/>
        <v>0</v>
      </c>
      <c r="V1049" s="135">
        <f t="shared" si="525"/>
        <v>0</v>
      </c>
      <c r="W1049" s="135">
        <f t="shared" si="525"/>
        <v>0</v>
      </c>
      <c r="X1049" s="135">
        <f t="shared" si="525"/>
        <v>0</v>
      </c>
    </row>
    <row r="1050" spans="2:24" hidden="1">
      <c r="B1050" s="133" t="str">
        <f t="shared" si="521"/>
        <v/>
      </c>
      <c r="C1050" s="133" t="str">
        <f t="shared" si="521"/>
        <v/>
      </c>
      <c r="D1050" s="133" t="str">
        <f t="shared" si="521"/>
        <v/>
      </c>
      <c r="E1050" s="133" t="str">
        <f t="shared" si="521"/>
        <v/>
      </c>
      <c r="F1050" s="133"/>
      <c r="G1050" s="133"/>
      <c r="H1050" s="133"/>
      <c r="I1050" s="133"/>
      <c r="J1050" s="133"/>
      <c r="K1050" s="135">
        <f t="shared" ref="K1050:X1050" si="526">IF(AND($C1050="B+R",$D1050="nie",$E1050="prace rozwojowe",LataProjekcji&lt;=Koniec_PR,Modul_badawczo_rozwojowy=tak),ROUND(K440,0),0)</f>
        <v>0</v>
      </c>
      <c r="L1050" s="135">
        <f t="shared" si="526"/>
        <v>0</v>
      </c>
      <c r="M1050" s="135">
        <f t="shared" si="526"/>
        <v>0</v>
      </c>
      <c r="N1050" s="135">
        <f t="shared" si="526"/>
        <v>0</v>
      </c>
      <c r="O1050" s="135">
        <f t="shared" si="526"/>
        <v>0</v>
      </c>
      <c r="P1050" s="135">
        <f t="shared" si="526"/>
        <v>0</v>
      </c>
      <c r="Q1050" s="135">
        <f t="shared" si="526"/>
        <v>0</v>
      </c>
      <c r="R1050" s="135">
        <f t="shared" si="526"/>
        <v>0</v>
      </c>
      <c r="S1050" s="135">
        <f t="shared" si="526"/>
        <v>0</v>
      </c>
      <c r="T1050" s="135">
        <f t="shared" si="526"/>
        <v>0</v>
      </c>
      <c r="U1050" s="135">
        <f t="shared" si="526"/>
        <v>0</v>
      </c>
      <c r="V1050" s="135">
        <f t="shared" si="526"/>
        <v>0</v>
      </c>
      <c r="W1050" s="135">
        <f t="shared" si="526"/>
        <v>0</v>
      </c>
      <c r="X1050" s="135">
        <f t="shared" si="526"/>
        <v>0</v>
      </c>
    </row>
    <row r="1051" spans="2:24" hidden="1">
      <c r="B1051" s="133" t="str">
        <f t="shared" si="521"/>
        <v/>
      </c>
      <c r="C1051" s="133" t="str">
        <f t="shared" si="521"/>
        <v/>
      </c>
      <c r="D1051" s="133" t="str">
        <f t="shared" si="521"/>
        <v/>
      </c>
      <c r="E1051" s="133" t="str">
        <f t="shared" si="521"/>
        <v/>
      </c>
      <c r="F1051" s="133"/>
      <c r="G1051" s="133"/>
      <c r="H1051" s="133"/>
      <c r="I1051" s="133"/>
      <c r="J1051" s="133"/>
      <c r="K1051" s="135">
        <f t="shared" ref="K1051:X1051" si="527">IF(AND($C1051="B+R",$D1051="nie",$E1051="prace rozwojowe",LataProjekcji&lt;=Koniec_PR,Modul_badawczo_rozwojowy=tak),ROUND(K441,0),0)</f>
        <v>0</v>
      </c>
      <c r="L1051" s="135">
        <f t="shared" si="527"/>
        <v>0</v>
      </c>
      <c r="M1051" s="135">
        <f t="shared" si="527"/>
        <v>0</v>
      </c>
      <c r="N1051" s="135">
        <f t="shared" si="527"/>
        <v>0</v>
      </c>
      <c r="O1051" s="135">
        <f t="shared" si="527"/>
        <v>0</v>
      </c>
      <c r="P1051" s="135">
        <f t="shared" si="527"/>
        <v>0</v>
      </c>
      <c r="Q1051" s="135">
        <f t="shared" si="527"/>
        <v>0</v>
      </c>
      <c r="R1051" s="135">
        <f t="shared" si="527"/>
        <v>0</v>
      </c>
      <c r="S1051" s="135">
        <f t="shared" si="527"/>
        <v>0</v>
      </c>
      <c r="T1051" s="135">
        <f t="shared" si="527"/>
        <v>0</v>
      </c>
      <c r="U1051" s="135">
        <f t="shared" si="527"/>
        <v>0</v>
      </c>
      <c r="V1051" s="135">
        <f t="shared" si="527"/>
        <v>0</v>
      </c>
      <c r="W1051" s="135">
        <f t="shared" si="527"/>
        <v>0</v>
      </c>
      <c r="X1051" s="135">
        <f t="shared" si="527"/>
        <v>0</v>
      </c>
    </row>
    <row r="1052" spans="2:24" hidden="1">
      <c r="B1052" s="133" t="str">
        <f t="shared" si="521"/>
        <v/>
      </c>
      <c r="C1052" s="133" t="str">
        <f t="shared" si="521"/>
        <v/>
      </c>
      <c r="D1052" s="133" t="str">
        <f t="shared" si="521"/>
        <v/>
      </c>
      <c r="E1052" s="133" t="str">
        <f t="shared" si="521"/>
        <v/>
      </c>
      <c r="F1052" s="133"/>
      <c r="G1052" s="133"/>
      <c r="H1052" s="133"/>
      <c r="I1052" s="133"/>
      <c r="J1052" s="133"/>
      <c r="K1052" s="135">
        <f t="shared" ref="K1052:X1052" si="528">IF(AND($C1052="B+R",$D1052="nie",$E1052="prace rozwojowe",LataProjekcji&lt;=Koniec_PR,Modul_badawczo_rozwojowy=tak),ROUND(K442,0),0)</f>
        <v>0</v>
      </c>
      <c r="L1052" s="135">
        <f t="shared" si="528"/>
        <v>0</v>
      </c>
      <c r="M1052" s="135">
        <f t="shared" si="528"/>
        <v>0</v>
      </c>
      <c r="N1052" s="135">
        <f t="shared" si="528"/>
        <v>0</v>
      </c>
      <c r="O1052" s="135">
        <f t="shared" si="528"/>
        <v>0</v>
      </c>
      <c r="P1052" s="135">
        <f t="shared" si="528"/>
        <v>0</v>
      </c>
      <c r="Q1052" s="135">
        <f t="shared" si="528"/>
        <v>0</v>
      </c>
      <c r="R1052" s="135">
        <f t="shared" si="528"/>
        <v>0</v>
      </c>
      <c r="S1052" s="135">
        <f t="shared" si="528"/>
        <v>0</v>
      </c>
      <c r="T1052" s="135">
        <f t="shared" si="528"/>
        <v>0</v>
      </c>
      <c r="U1052" s="135">
        <f t="shared" si="528"/>
        <v>0</v>
      </c>
      <c r="V1052" s="135">
        <f t="shared" si="528"/>
        <v>0</v>
      </c>
      <c r="W1052" s="135">
        <f t="shared" si="528"/>
        <v>0</v>
      </c>
      <c r="X1052" s="135">
        <f t="shared" si="528"/>
        <v>0</v>
      </c>
    </row>
    <row r="1053" spans="2:24" hidden="1">
      <c r="B1053" s="133" t="str">
        <f t="shared" si="521"/>
        <v/>
      </c>
      <c r="C1053" s="133" t="str">
        <f t="shared" si="521"/>
        <v/>
      </c>
      <c r="D1053" s="133" t="str">
        <f t="shared" si="521"/>
        <v/>
      </c>
      <c r="E1053" s="133" t="str">
        <f t="shared" si="521"/>
        <v/>
      </c>
      <c r="F1053" s="133"/>
      <c r="G1053" s="133"/>
      <c r="H1053" s="133"/>
      <c r="I1053" s="133"/>
      <c r="J1053" s="133"/>
      <c r="K1053" s="135">
        <f t="shared" ref="K1053:X1053" si="529">IF(AND($C1053="B+R",$D1053="nie",$E1053="prace rozwojowe",LataProjekcji&lt;=Koniec_PR,Modul_badawczo_rozwojowy=tak),ROUND(K443,0),0)</f>
        <v>0</v>
      </c>
      <c r="L1053" s="135">
        <f t="shared" si="529"/>
        <v>0</v>
      </c>
      <c r="M1053" s="135">
        <f t="shared" si="529"/>
        <v>0</v>
      </c>
      <c r="N1053" s="135">
        <f t="shared" si="529"/>
        <v>0</v>
      </c>
      <c r="O1053" s="135">
        <f t="shared" si="529"/>
        <v>0</v>
      </c>
      <c r="P1053" s="135">
        <f t="shared" si="529"/>
        <v>0</v>
      </c>
      <c r="Q1053" s="135">
        <f t="shared" si="529"/>
        <v>0</v>
      </c>
      <c r="R1053" s="135">
        <f t="shared" si="529"/>
        <v>0</v>
      </c>
      <c r="S1053" s="135">
        <f t="shared" si="529"/>
        <v>0</v>
      </c>
      <c r="T1053" s="135">
        <f t="shared" si="529"/>
        <v>0</v>
      </c>
      <c r="U1053" s="135">
        <f t="shared" si="529"/>
        <v>0</v>
      </c>
      <c r="V1053" s="135">
        <f t="shared" si="529"/>
        <v>0</v>
      </c>
      <c r="W1053" s="135">
        <f t="shared" si="529"/>
        <v>0</v>
      </c>
      <c r="X1053" s="135">
        <f t="shared" si="529"/>
        <v>0</v>
      </c>
    </row>
    <row r="1054" spans="2:24" hidden="1">
      <c r="B1054" s="133" t="str">
        <f t="shared" si="521"/>
        <v/>
      </c>
      <c r="C1054" s="133" t="str">
        <f t="shared" si="521"/>
        <v/>
      </c>
      <c r="D1054" s="133" t="str">
        <f t="shared" si="521"/>
        <v/>
      </c>
      <c r="E1054" s="133" t="str">
        <f t="shared" si="521"/>
        <v/>
      </c>
      <c r="F1054" s="133"/>
      <c r="G1054" s="133"/>
      <c r="H1054" s="133"/>
      <c r="I1054" s="133"/>
      <c r="J1054" s="133"/>
      <c r="K1054" s="135">
        <f t="shared" ref="K1054:X1054" si="530">IF(AND($C1054="B+R",$D1054="nie",$E1054="prace rozwojowe",LataProjekcji&lt;=Koniec_PR,Modul_badawczo_rozwojowy=tak),ROUND(K444,0),0)</f>
        <v>0</v>
      </c>
      <c r="L1054" s="135">
        <f t="shared" si="530"/>
        <v>0</v>
      </c>
      <c r="M1054" s="135">
        <f t="shared" si="530"/>
        <v>0</v>
      </c>
      <c r="N1054" s="135">
        <f t="shared" si="530"/>
        <v>0</v>
      </c>
      <c r="O1054" s="135">
        <f t="shared" si="530"/>
        <v>0</v>
      </c>
      <c r="P1054" s="135">
        <f t="shared" si="530"/>
        <v>0</v>
      </c>
      <c r="Q1054" s="135">
        <f t="shared" si="530"/>
        <v>0</v>
      </c>
      <c r="R1054" s="135">
        <f t="shared" si="530"/>
        <v>0</v>
      </c>
      <c r="S1054" s="135">
        <f t="shared" si="530"/>
        <v>0</v>
      </c>
      <c r="T1054" s="135">
        <f t="shared" si="530"/>
        <v>0</v>
      </c>
      <c r="U1054" s="135">
        <f t="shared" si="530"/>
        <v>0</v>
      </c>
      <c r="V1054" s="135">
        <f t="shared" si="530"/>
        <v>0</v>
      </c>
      <c r="W1054" s="135">
        <f t="shared" si="530"/>
        <v>0</v>
      </c>
      <c r="X1054" s="135">
        <f t="shared" si="530"/>
        <v>0</v>
      </c>
    </row>
    <row r="1055" spans="2:24" hidden="1">
      <c r="B1055" s="133" t="str">
        <f t="shared" si="521"/>
        <v/>
      </c>
      <c r="C1055" s="133" t="str">
        <f t="shared" si="521"/>
        <v/>
      </c>
      <c r="D1055" s="133" t="str">
        <f t="shared" si="521"/>
        <v/>
      </c>
      <c r="E1055" s="133" t="str">
        <f t="shared" si="521"/>
        <v/>
      </c>
      <c r="F1055" s="133"/>
      <c r="G1055" s="133"/>
      <c r="H1055" s="133"/>
      <c r="I1055" s="133"/>
      <c r="J1055" s="133"/>
      <c r="K1055" s="135">
        <f t="shared" ref="K1055:X1055" si="531">IF(AND($C1055="B+R",$D1055="nie",$E1055="prace rozwojowe",LataProjekcji&lt;=Koniec_PR,Modul_badawczo_rozwojowy=tak),ROUND(K445,0),0)</f>
        <v>0</v>
      </c>
      <c r="L1055" s="135">
        <f t="shared" si="531"/>
        <v>0</v>
      </c>
      <c r="M1055" s="135">
        <f t="shared" si="531"/>
        <v>0</v>
      </c>
      <c r="N1055" s="135">
        <f t="shared" si="531"/>
        <v>0</v>
      </c>
      <c r="O1055" s="135">
        <f t="shared" si="531"/>
        <v>0</v>
      </c>
      <c r="P1055" s="135">
        <f t="shared" si="531"/>
        <v>0</v>
      </c>
      <c r="Q1055" s="135">
        <f t="shared" si="531"/>
        <v>0</v>
      </c>
      <c r="R1055" s="135">
        <f t="shared" si="531"/>
        <v>0</v>
      </c>
      <c r="S1055" s="135">
        <f t="shared" si="531"/>
        <v>0</v>
      </c>
      <c r="T1055" s="135">
        <f t="shared" si="531"/>
        <v>0</v>
      </c>
      <c r="U1055" s="135">
        <f t="shared" si="531"/>
        <v>0</v>
      </c>
      <c r="V1055" s="135">
        <f t="shared" si="531"/>
        <v>0</v>
      </c>
      <c r="W1055" s="135">
        <f t="shared" si="531"/>
        <v>0</v>
      </c>
      <c r="X1055" s="135">
        <f t="shared" si="531"/>
        <v>0</v>
      </c>
    </row>
    <row r="1056" spans="2:24" hidden="1">
      <c r="B1056" s="133" t="str">
        <f t="shared" si="521"/>
        <v/>
      </c>
      <c r="C1056" s="133" t="str">
        <f t="shared" si="521"/>
        <v/>
      </c>
      <c r="D1056" s="133" t="str">
        <f t="shared" si="521"/>
        <v/>
      </c>
      <c r="E1056" s="133" t="str">
        <f t="shared" si="521"/>
        <v/>
      </c>
      <c r="F1056" s="133"/>
      <c r="G1056" s="133"/>
      <c r="H1056" s="133"/>
      <c r="I1056" s="133"/>
      <c r="J1056" s="133"/>
      <c r="K1056" s="135">
        <f t="shared" ref="K1056:X1056" si="532">IF(AND($C1056="B+R",$D1056="nie",$E1056="prace rozwojowe",LataProjekcji&lt;=Koniec_PR,Modul_badawczo_rozwojowy=tak),ROUND(K446,0),0)</f>
        <v>0</v>
      </c>
      <c r="L1056" s="135">
        <f t="shared" si="532"/>
        <v>0</v>
      </c>
      <c r="M1056" s="135">
        <f t="shared" si="532"/>
        <v>0</v>
      </c>
      <c r="N1056" s="135">
        <f t="shared" si="532"/>
        <v>0</v>
      </c>
      <c r="O1056" s="135">
        <f t="shared" si="532"/>
        <v>0</v>
      </c>
      <c r="P1056" s="135">
        <f t="shared" si="532"/>
        <v>0</v>
      </c>
      <c r="Q1056" s="135">
        <f t="shared" si="532"/>
        <v>0</v>
      </c>
      <c r="R1056" s="135">
        <f t="shared" si="532"/>
        <v>0</v>
      </c>
      <c r="S1056" s="135">
        <f t="shared" si="532"/>
        <v>0</v>
      </c>
      <c r="T1056" s="135">
        <f t="shared" si="532"/>
        <v>0</v>
      </c>
      <c r="U1056" s="135">
        <f t="shared" si="532"/>
        <v>0</v>
      </c>
      <c r="V1056" s="135">
        <f t="shared" si="532"/>
        <v>0</v>
      </c>
      <c r="W1056" s="135">
        <f t="shared" si="532"/>
        <v>0</v>
      </c>
      <c r="X1056" s="135">
        <f t="shared" si="532"/>
        <v>0</v>
      </c>
    </row>
    <row r="1057" spans="2:24" hidden="1">
      <c r="B1057" s="133" t="str">
        <f t="shared" si="521"/>
        <v/>
      </c>
      <c r="C1057" s="133" t="str">
        <f t="shared" si="521"/>
        <v/>
      </c>
      <c r="D1057" s="133" t="str">
        <f t="shared" si="521"/>
        <v/>
      </c>
      <c r="E1057" s="133" t="str">
        <f t="shared" si="521"/>
        <v/>
      </c>
      <c r="F1057" s="133"/>
      <c r="G1057" s="133"/>
      <c r="H1057" s="133"/>
      <c r="I1057" s="133"/>
      <c r="J1057" s="133"/>
      <c r="K1057" s="135">
        <f t="shared" ref="K1057:X1057" si="533">IF(AND($C1057="B+R",$D1057="nie",$E1057="prace rozwojowe",LataProjekcji&lt;=Koniec_PR,Modul_badawczo_rozwojowy=tak),ROUND(K447,0),0)</f>
        <v>0</v>
      </c>
      <c r="L1057" s="135">
        <f t="shared" si="533"/>
        <v>0</v>
      </c>
      <c r="M1057" s="135">
        <f t="shared" si="533"/>
        <v>0</v>
      </c>
      <c r="N1057" s="135">
        <f t="shared" si="533"/>
        <v>0</v>
      </c>
      <c r="O1057" s="135">
        <f t="shared" si="533"/>
        <v>0</v>
      </c>
      <c r="P1057" s="135">
        <f t="shared" si="533"/>
        <v>0</v>
      </c>
      <c r="Q1057" s="135">
        <f t="shared" si="533"/>
        <v>0</v>
      </c>
      <c r="R1057" s="135">
        <f t="shared" si="533"/>
        <v>0</v>
      </c>
      <c r="S1057" s="135">
        <f t="shared" si="533"/>
        <v>0</v>
      </c>
      <c r="T1057" s="135">
        <f t="shared" si="533"/>
        <v>0</v>
      </c>
      <c r="U1057" s="135">
        <f t="shared" si="533"/>
        <v>0</v>
      </c>
      <c r="V1057" s="135">
        <f t="shared" si="533"/>
        <v>0</v>
      </c>
      <c r="W1057" s="135">
        <f t="shared" si="533"/>
        <v>0</v>
      </c>
      <c r="X1057" s="135">
        <f t="shared" si="533"/>
        <v>0</v>
      </c>
    </row>
    <row r="1058" spans="2:24" hidden="1">
      <c r="B1058" s="133" t="str">
        <f t="shared" si="521"/>
        <v/>
      </c>
      <c r="C1058" s="133" t="str">
        <f t="shared" si="521"/>
        <v/>
      </c>
      <c r="D1058" s="133" t="str">
        <f t="shared" si="521"/>
        <v/>
      </c>
      <c r="E1058" s="133" t="str">
        <f t="shared" si="521"/>
        <v/>
      </c>
      <c r="F1058" s="133"/>
      <c r="G1058" s="133"/>
      <c r="H1058" s="133"/>
      <c r="I1058" s="133"/>
      <c r="J1058" s="133"/>
      <c r="K1058" s="135">
        <f t="shared" ref="K1058:X1058" si="534">IF(AND($C1058="B+R",$D1058="nie",$E1058="prace rozwojowe",LataProjekcji&lt;=Koniec_PR,Modul_badawczo_rozwojowy=tak),ROUND(K448,0),0)</f>
        <v>0</v>
      </c>
      <c r="L1058" s="135">
        <f t="shared" si="534"/>
        <v>0</v>
      </c>
      <c r="M1058" s="135">
        <f t="shared" si="534"/>
        <v>0</v>
      </c>
      <c r="N1058" s="135">
        <f t="shared" si="534"/>
        <v>0</v>
      </c>
      <c r="O1058" s="135">
        <f t="shared" si="534"/>
        <v>0</v>
      </c>
      <c r="P1058" s="135">
        <f t="shared" si="534"/>
        <v>0</v>
      </c>
      <c r="Q1058" s="135">
        <f t="shared" si="534"/>
        <v>0</v>
      </c>
      <c r="R1058" s="135">
        <f t="shared" si="534"/>
        <v>0</v>
      </c>
      <c r="S1058" s="135">
        <f t="shared" si="534"/>
        <v>0</v>
      </c>
      <c r="T1058" s="135">
        <f t="shared" si="534"/>
        <v>0</v>
      </c>
      <c r="U1058" s="135">
        <f t="shared" si="534"/>
        <v>0</v>
      </c>
      <c r="V1058" s="135">
        <f t="shared" si="534"/>
        <v>0</v>
      </c>
      <c r="W1058" s="135">
        <f t="shared" si="534"/>
        <v>0</v>
      </c>
      <c r="X1058" s="135">
        <f t="shared" si="534"/>
        <v>0</v>
      </c>
    </row>
    <row r="1059" spans="2:24" hidden="1">
      <c r="B1059" s="133" t="str">
        <f t="shared" si="521"/>
        <v/>
      </c>
      <c r="C1059" s="133" t="str">
        <f t="shared" si="521"/>
        <v/>
      </c>
      <c r="D1059" s="133" t="str">
        <f t="shared" si="521"/>
        <v/>
      </c>
      <c r="E1059" s="133" t="str">
        <f t="shared" si="521"/>
        <v/>
      </c>
      <c r="F1059" s="133"/>
      <c r="G1059" s="133"/>
      <c r="H1059" s="133"/>
      <c r="I1059" s="133"/>
      <c r="J1059" s="133"/>
      <c r="K1059" s="135">
        <f t="shared" ref="K1059:X1059" si="535">IF(AND($C1059="B+R",$D1059="nie",$E1059="prace rozwojowe",LataProjekcji&lt;=Koniec_PR,Modul_badawczo_rozwojowy=tak),ROUND(K449,0),0)</f>
        <v>0</v>
      </c>
      <c r="L1059" s="135">
        <f t="shared" si="535"/>
        <v>0</v>
      </c>
      <c r="M1059" s="135">
        <f t="shared" si="535"/>
        <v>0</v>
      </c>
      <c r="N1059" s="135">
        <f t="shared" si="535"/>
        <v>0</v>
      </c>
      <c r="O1059" s="135">
        <f t="shared" si="535"/>
        <v>0</v>
      </c>
      <c r="P1059" s="135">
        <f t="shared" si="535"/>
        <v>0</v>
      </c>
      <c r="Q1059" s="135">
        <f t="shared" si="535"/>
        <v>0</v>
      </c>
      <c r="R1059" s="135">
        <f t="shared" si="535"/>
        <v>0</v>
      </c>
      <c r="S1059" s="135">
        <f t="shared" si="535"/>
        <v>0</v>
      </c>
      <c r="T1059" s="135">
        <f t="shared" si="535"/>
        <v>0</v>
      </c>
      <c r="U1059" s="135">
        <f t="shared" si="535"/>
        <v>0</v>
      </c>
      <c r="V1059" s="135">
        <f t="shared" si="535"/>
        <v>0</v>
      </c>
      <c r="W1059" s="135">
        <f t="shared" si="535"/>
        <v>0</v>
      </c>
      <c r="X1059" s="135">
        <f t="shared" si="535"/>
        <v>0</v>
      </c>
    </row>
    <row r="1060" spans="2:24" hidden="1">
      <c r="B1060" s="133" t="str">
        <f t="shared" si="521"/>
        <v/>
      </c>
      <c r="C1060" s="133" t="str">
        <f t="shared" si="521"/>
        <v/>
      </c>
      <c r="D1060" s="133" t="str">
        <f t="shared" si="521"/>
        <v/>
      </c>
      <c r="E1060" s="133" t="str">
        <f t="shared" si="521"/>
        <v/>
      </c>
      <c r="F1060" s="133"/>
      <c r="G1060" s="133"/>
      <c r="H1060" s="133"/>
      <c r="I1060" s="133"/>
      <c r="J1060" s="133"/>
      <c r="K1060" s="135">
        <f t="shared" ref="K1060:X1060" si="536">IF(AND($C1060="B+R",$D1060="nie",$E1060="prace rozwojowe",LataProjekcji&lt;=Koniec_PR,Modul_badawczo_rozwojowy=tak),ROUND(K450,0),0)</f>
        <v>0</v>
      </c>
      <c r="L1060" s="135">
        <f t="shared" si="536"/>
        <v>0</v>
      </c>
      <c r="M1060" s="135">
        <f t="shared" si="536"/>
        <v>0</v>
      </c>
      <c r="N1060" s="135">
        <f t="shared" si="536"/>
        <v>0</v>
      </c>
      <c r="O1060" s="135">
        <f t="shared" si="536"/>
        <v>0</v>
      </c>
      <c r="P1060" s="135">
        <f t="shared" si="536"/>
        <v>0</v>
      </c>
      <c r="Q1060" s="135">
        <f t="shared" si="536"/>
        <v>0</v>
      </c>
      <c r="R1060" s="135">
        <f t="shared" si="536"/>
        <v>0</v>
      </c>
      <c r="S1060" s="135">
        <f t="shared" si="536"/>
        <v>0</v>
      </c>
      <c r="T1060" s="135">
        <f t="shared" si="536"/>
        <v>0</v>
      </c>
      <c r="U1060" s="135">
        <f t="shared" si="536"/>
        <v>0</v>
      </c>
      <c r="V1060" s="135">
        <f t="shared" si="536"/>
        <v>0</v>
      </c>
      <c r="W1060" s="135">
        <f t="shared" si="536"/>
        <v>0</v>
      </c>
      <c r="X1060" s="135">
        <f t="shared" si="536"/>
        <v>0</v>
      </c>
    </row>
    <row r="1061" spans="2:24" hidden="1">
      <c r="B1061" s="133" t="str">
        <f t="shared" si="521"/>
        <v/>
      </c>
      <c r="C1061" s="133" t="str">
        <f t="shared" si="521"/>
        <v/>
      </c>
      <c r="D1061" s="133" t="str">
        <f t="shared" si="521"/>
        <v/>
      </c>
      <c r="E1061" s="133" t="str">
        <f t="shared" si="521"/>
        <v/>
      </c>
      <c r="F1061" s="133"/>
      <c r="G1061" s="133"/>
      <c r="H1061" s="133"/>
      <c r="I1061" s="133"/>
      <c r="J1061" s="133"/>
      <c r="K1061" s="135">
        <f t="shared" ref="K1061:X1061" si="537">IF(AND($C1061="B+R",$D1061="nie",$E1061="prace rozwojowe",LataProjekcji&lt;=Koniec_PR,Modul_badawczo_rozwojowy=tak),ROUND(K451,0),0)</f>
        <v>0</v>
      </c>
      <c r="L1061" s="135">
        <f t="shared" si="537"/>
        <v>0</v>
      </c>
      <c r="M1061" s="135">
        <f t="shared" si="537"/>
        <v>0</v>
      </c>
      <c r="N1061" s="135">
        <f t="shared" si="537"/>
        <v>0</v>
      </c>
      <c r="O1061" s="135">
        <f t="shared" si="537"/>
        <v>0</v>
      </c>
      <c r="P1061" s="135">
        <f t="shared" si="537"/>
        <v>0</v>
      </c>
      <c r="Q1061" s="135">
        <f t="shared" si="537"/>
        <v>0</v>
      </c>
      <c r="R1061" s="135">
        <f t="shared" si="537"/>
        <v>0</v>
      </c>
      <c r="S1061" s="135">
        <f t="shared" si="537"/>
        <v>0</v>
      </c>
      <c r="T1061" s="135">
        <f t="shared" si="537"/>
        <v>0</v>
      </c>
      <c r="U1061" s="135">
        <f t="shared" si="537"/>
        <v>0</v>
      </c>
      <c r="V1061" s="135">
        <f t="shared" si="537"/>
        <v>0</v>
      </c>
      <c r="W1061" s="135">
        <f t="shared" si="537"/>
        <v>0</v>
      </c>
      <c r="X1061" s="135">
        <f t="shared" si="537"/>
        <v>0</v>
      </c>
    </row>
    <row r="1062" spans="2:24" hidden="1">
      <c r="B1062" s="133" t="str">
        <f t="shared" si="521"/>
        <v/>
      </c>
      <c r="C1062" s="133" t="str">
        <f t="shared" si="521"/>
        <v/>
      </c>
      <c r="D1062" s="133" t="str">
        <f t="shared" si="521"/>
        <v/>
      </c>
      <c r="E1062" s="133" t="str">
        <f t="shared" si="521"/>
        <v/>
      </c>
      <c r="F1062" s="133"/>
      <c r="G1062" s="133"/>
      <c r="H1062" s="133"/>
      <c r="I1062" s="133"/>
      <c r="J1062" s="133"/>
      <c r="K1062" s="135">
        <f t="shared" ref="K1062:X1062" si="538">IF(AND($C1062="B+R",$D1062="nie",$E1062="prace rozwojowe",LataProjekcji&lt;=Koniec_PR,Modul_badawczo_rozwojowy=tak),ROUND(K452,0),0)</f>
        <v>0</v>
      </c>
      <c r="L1062" s="135">
        <f t="shared" si="538"/>
        <v>0</v>
      </c>
      <c r="M1062" s="135">
        <f t="shared" si="538"/>
        <v>0</v>
      </c>
      <c r="N1062" s="135">
        <f t="shared" si="538"/>
        <v>0</v>
      </c>
      <c r="O1062" s="135">
        <f t="shared" si="538"/>
        <v>0</v>
      </c>
      <c r="P1062" s="135">
        <f t="shared" si="538"/>
        <v>0</v>
      </c>
      <c r="Q1062" s="135">
        <f t="shared" si="538"/>
        <v>0</v>
      </c>
      <c r="R1062" s="135">
        <f t="shared" si="538"/>
        <v>0</v>
      </c>
      <c r="S1062" s="135">
        <f t="shared" si="538"/>
        <v>0</v>
      </c>
      <c r="T1062" s="135">
        <f t="shared" si="538"/>
        <v>0</v>
      </c>
      <c r="U1062" s="135">
        <f t="shared" si="538"/>
        <v>0</v>
      </c>
      <c r="V1062" s="135">
        <f t="shared" si="538"/>
        <v>0</v>
      </c>
      <c r="W1062" s="135">
        <f t="shared" si="538"/>
        <v>0</v>
      </c>
      <c r="X1062" s="135">
        <f t="shared" si="538"/>
        <v>0</v>
      </c>
    </row>
    <row r="1063" spans="2:24" hidden="1">
      <c r="B1063" s="133" t="str">
        <f t="shared" si="521"/>
        <v/>
      </c>
      <c r="C1063" s="133" t="str">
        <f t="shared" si="521"/>
        <v/>
      </c>
      <c r="D1063" s="133" t="str">
        <f t="shared" si="521"/>
        <v/>
      </c>
      <c r="E1063" s="133" t="str">
        <f t="shared" si="521"/>
        <v/>
      </c>
      <c r="F1063" s="133"/>
      <c r="G1063" s="133"/>
      <c r="H1063" s="133"/>
      <c r="I1063" s="133"/>
      <c r="J1063" s="133"/>
      <c r="K1063" s="135">
        <f t="shared" ref="K1063:X1063" si="539">IF(AND($C1063="B+R",$D1063="nie",$E1063="prace rozwojowe",LataProjekcji&lt;=Koniec_PR,Modul_badawczo_rozwojowy=tak),ROUND(K453,0),0)</f>
        <v>0</v>
      </c>
      <c r="L1063" s="135">
        <f t="shared" si="539"/>
        <v>0</v>
      </c>
      <c r="M1063" s="135">
        <f t="shared" si="539"/>
        <v>0</v>
      </c>
      <c r="N1063" s="135">
        <f t="shared" si="539"/>
        <v>0</v>
      </c>
      <c r="O1063" s="135">
        <f t="shared" si="539"/>
        <v>0</v>
      </c>
      <c r="P1063" s="135">
        <f t="shared" si="539"/>
        <v>0</v>
      </c>
      <c r="Q1063" s="135">
        <f t="shared" si="539"/>
        <v>0</v>
      </c>
      <c r="R1063" s="135">
        <f t="shared" si="539"/>
        <v>0</v>
      </c>
      <c r="S1063" s="135">
        <f t="shared" si="539"/>
        <v>0</v>
      </c>
      <c r="T1063" s="135">
        <f t="shared" si="539"/>
        <v>0</v>
      </c>
      <c r="U1063" s="135">
        <f t="shared" si="539"/>
        <v>0</v>
      </c>
      <c r="V1063" s="135">
        <f t="shared" si="539"/>
        <v>0</v>
      </c>
      <c r="W1063" s="135">
        <f t="shared" si="539"/>
        <v>0</v>
      </c>
      <c r="X1063" s="135">
        <f t="shared" si="539"/>
        <v>0</v>
      </c>
    </row>
    <row r="1064" spans="2:24" hidden="1">
      <c r="B1064" s="133" t="str">
        <f t="shared" si="521"/>
        <v/>
      </c>
      <c r="C1064" s="133" t="str">
        <f t="shared" si="521"/>
        <v/>
      </c>
      <c r="D1064" s="133" t="str">
        <f t="shared" si="521"/>
        <v/>
      </c>
      <c r="E1064" s="133" t="str">
        <f t="shared" si="521"/>
        <v/>
      </c>
      <c r="F1064" s="133"/>
      <c r="G1064" s="133"/>
      <c r="H1064" s="133"/>
      <c r="I1064" s="133"/>
      <c r="J1064" s="133"/>
      <c r="K1064" s="135">
        <f t="shared" ref="K1064:X1064" si="540">IF(AND($C1064="B+R",$D1064="nie",$E1064="prace rozwojowe",LataProjekcji&lt;=Koniec_PR,Modul_badawczo_rozwojowy=tak),ROUND(K454,0),0)</f>
        <v>0</v>
      </c>
      <c r="L1064" s="135">
        <f t="shared" si="540"/>
        <v>0</v>
      </c>
      <c r="M1064" s="135">
        <f t="shared" si="540"/>
        <v>0</v>
      </c>
      <c r="N1064" s="135">
        <f t="shared" si="540"/>
        <v>0</v>
      </c>
      <c r="O1064" s="135">
        <f t="shared" si="540"/>
        <v>0</v>
      </c>
      <c r="P1064" s="135">
        <f t="shared" si="540"/>
        <v>0</v>
      </c>
      <c r="Q1064" s="135">
        <f t="shared" si="540"/>
        <v>0</v>
      </c>
      <c r="R1064" s="135">
        <f t="shared" si="540"/>
        <v>0</v>
      </c>
      <c r="S1064" s="135">
        <f t="shared" si="540"/>
        <v>0</v>
      </c>
      <c r="T1064" s="135">
        <f t="shared" si="540"/>
        <v>0</v>
      </c>
      <c r="U1064" s="135">
        <f t="shared" si="540"/>
        <v>0</v>
      </c>
      <c r="V1064" s="135">
        <f t="shared" si="540"/>
        <v>0</v>
      </c>
      <c r="W1064" s="135">
        <f t="shared" si="540"/>
        <v>0</v>
      </c>
      <c r="X1064" s="135">
        <f t="shared" si="540"/>
        <v>0</v>
      </c>
    </row>
    <row r="1065" spans="2:24" hidden="1">
      <c r="B1065" s="133" t="str">
        <f t="shared" si="521"/>
        <v/>
      </c>
      <c r="C1065" s="133" t="str">
        <f t="shared" si="521"/>
        <v/>
      </c>
      <c r="D1065" s="133" t="str">
        <f t="shared" si="521"/>
        <v/>
      </c>
      <c r="E1065" s="133" t="str">
        <f t="shared" si="521"/>
        <v/>
      </c>
      <c r="F1065" s="133"/>
      <c r="G1065" s="133"/>
      <c r="H1065" s="133"/>
      <c r="I1065" s="133"/>
      <c r="J1065" s="133"/>
      <c r="K1065" s="135">
        <f t="shared" ref="K1065:X1065" si="541">IF(AND($C1065="B+R",$D1065="nie",$E1065="prace rozwojowe",LataProjekcji&lt;=Koniec_PR,Modul_badawczo_rozwojowy=tak),ROUND(K455,0),0)</f>
        <v>0</v>
      </c>
      <c r="L1065" s="135">
        <f t="shared" si="541"/>
        <v>0</v>
      </c>
      <c r="M1065" s="135">
        <f t="shared" si="541"/>
        <v>0</v>
      </c>
      <c r="N1065" s="135">
        <f t="shared" si="541"/>
        <v>0</v>
      </c>
      <c r="O1065" s="135">
        <f t="shared" si="541"/>
        <v>0</v>
      </c>
      <c r="P1065" s="135">
        <f t="shared" si="541"/>
        <v>0</v>
      </c>
      <c r="Q1065" s="135">
        <f t="shared" si="541"/>
        <v>0</v>
      </c>
      <c r="R1065" s="135">
        <f t="shared" si="541"/>
        <v>0</v>
      </c>
      <c r="S1065" s="135">
        <f t="shared" si="541"/>
        <v>0</v>
      </c>
      <c r="T1065" s="135">
        <f t="shared" si="541"/>
        <v>0</v>
      </c>
      <c r="U1065" s="135">
        <f t="shared" si="541"/>
        <v>0</v>
      </c>
      <c r="V1065" s="135">
        <f t="shared" si="541"/>
        <v>0</v>
      </c>
      <c r="W1065" s="135">
        <f t="shared" si="541"/>
        <v>0</v>
      </c>
      <c r="X1065" s="135">
        <f t="shared" si="541"/>
        <v>0</v>
      </c>
    </row>
    <row r="1066" spans="2:24" hidden="1">
      <c r="B1066" s="133" t="str">
        <f t="shared" ref="B1066:E1085" si="542">IF(ISBLANK(B1021),"",B1021)</f>
        <v/>
      </c>
      <c r="C1066" s="133" t="str">
        <f t="shared" si="542"/>
        <v/>
      </c>
      <c r="D1066" s="133" t="str">
        <f t="shared" si="542"/>
        <v/>
      </c>
      <c r="E1066" s="133" t="str">
        <f t="shared" si="542"/>
        <v/>
      </c>
      <c r="F1066" s="133"/>
      <c r="G1066" s="133"/>
      <c r="H1066" s="133"/>
      <c r="I1066" s="133"/>
      <c r="J1066" s="133"/>
      <c r="K1066" s="135">
        <f t="shared" ref="K1066:X1066" si="543">IF(AND($C1066="B+R",$D1066="nie",$E1066="prace rozwojowe",LataProjekcji&lt;=Koniec_PR,Modul_badawczo_rozwojowy=tak),ROUND(K456,0),0)</f>
        <v>0</v>
      </c>
      <c r="L1066" s="135">
        <f t="shared" si="543"/>
        <v>0</v>
      </c>
      <c r="M1066" s="135">
        <f t="shared" si="543"/>
        <v>0</v>
      </c>
      <c r="N1066" s="135">
        <f t="shared" si="543"/>
        <v>0</v>
      </c>
      <c r="O1066" s="135">
        <f t="shared" si="543"/>
        <v>0</v>
      </c>
      <c r="P1066" s="135">
        <f t="shared" si="543"/>
        <v>0</v>
      </c>
      <c r="Q1066" s="135">
        <f t="shared" si="543"/>
        <v>0</v>
      </c>
      <c r="R1066" s="135">
        <f t="shared" si="543"/>
        <v>0</v>
      </c>
      <c r="S1066" s="135">
        <f t="shared" si="543"/>
        <v>0</v>
      </c>
      <c r="T1066" s="135">
        <f t="shared" si="543"/>
        <v>0</v>
      </c>
      <c r="U1066" s="135">
        <f t="shared" si="543"/>
        <v>0</v>
      </c>
      <c r="V1066" s="135">
        <f t="shared" si="543"/>
        <v>0</v>
      </c>
      <c r="W1066" s="135">
        <f t="shared" si="543"/>
        <v>0</v>
      </c>
      <c r="X1066" s="135">
        <f t="shared" si="543"/>
        <v>0</v>
      </c>
    </row>
    <row r="1067" spans="2:24" hidden="1">
      <c r="B1067" s="133" t="str">
        <f t="shared" si="542"/>
        <v/>
      </c>
      <c r="C1067" s="133" t="str">
        <f t="shared" si="542"/>
        <v/>
      </c>
      <c r="D1067" s="133" t="str">
        <f t="shared" si="542"/>
        <v/>
      </c>
      <c r="E1067" s="133" t="str">
        <f t="shared" si="542"/>
        <v/>
      </c>
      <c r="F1067" s="133"/>
      <c r="G1067" s="133"/>
      <c r="H1067" s="133"/>
      <c r="I1067" s="133"/>
      <c r="J1067" s="133"/>
      <c r="K1067" s="135">
        <f t="shared" ref="K1067:X1067" si="544">IF(AND($C1067="B+R",$D1067="nie",$E1067="prace rozwojowe",LataProjekcji&lt;=Koniec_PR,Modul_badawczo_rozwojowy=tak),ROUND(K457,0),0)</f>
        <v>0</v>
      </c>
      <c r="L1067" s="135">
        <f t="shared" si="544"/>
        <v>0</v>
      </c>
      <c r="M1067" s="135">
        <f t="shared" si="544"/>
        <v>0</v>
      </c>
      <c r="N1067" s="135">
        <f t="shared" si="544"/>
        <v>0</v>
      </c>
      <c r="O1067" s="135">
        <f t="shared" si="544"/>
        <v>0</v>
      </c>
      <c r="P1067" s="135">
        <f t="shared" si="544"/>
        <v>0</v>
      </c>
      <c r="Q1067" s="135">
        <f t="shared" si="544"/>
        <v>0</v>
      </c>
      <c r="R1067" s="135">
        <f t="shared" si="544"/>
        <v>0</v>
      </c>
      <c r="S1067" s="135">
        <f t="shared" si="544"/>
        <v>0</v>
      </c>
      <c r="T1067" s="135">
        <f t="shared" si="544"/>
        <v>0</v>
      </c>
      <c r="U1067" s="135">
        <f t="shared" si="544"/>
        <v>0</v>
      </c>
      <c r="V1067" s="135">
        <f t="shared" si="544"/>
        <v>0</v>
      </c>
      <c r="W1067" s="135">
        <f t="shared" si="544"/>
        <v>0</v>
      </c>
      <c r="X1067" s="135">
        <f t="shared" si="544"/>
        <v>0</v>
      </c>
    </row>
    <row r="1068" spans="2:24" hidden="1">
      <c r="B1068" s="133" t="str">
        <f t="shared" si="542"/>
        <v/>
      </c>
      <c r="C1068" s="133" t="str">
        <f t="shared" si="542"/>
        <v/>
      </c>
      <c r="D1068" s="133" t="str">
        <f t="shared" si="542"/>
        <v/>
      </c>
      <c r="E1068" s="133" t="str">
        <f t="shared" si="542"/>
        <v/>
      </c>
      <c r="F1068" s="133"/>
      <c r="G1068" s="133"/>
      <c r="H1068" s="133"/>
      <c r="I1068" s="133"/>
      <c r="J1068" s="133"/>
      <c r="K1068" s="135">
        <f t="shared" ref="K1068:X1068" si="545">IF(AND($C1068="B+R",$D1068="nie",$E1068="prace rozwojowe",LataProjekcji&lt;=Koniec_PR,Modul_badawczo_rozwojowy=tak),ROUND(K458,0),0)</f>
        <v>0</v>
      </c>
      <c r="L1068" s="135">
        <f t="shared" si="545"/>
        <v>0</v>
      </c>
      <c r="M1068" s="135">
        <f t="shared" si="545"/>
        <v>0</v>
      </c>
      <c r="N1068" s="135">
        <f t="shared" si="545"/>
        <v>0</v>
      </c>
      <c r="O1068" s="135">
        <f t="shared" si="545"/>
        <v>0</v>
      </c>
      <c r="P1068" s="135">
        <f t="shared" si="545"/>
        <v>0</v>
      </c>
      <c r="Q1068" s="135">
        <f t="shared" si="545"/>
        <v>0</v>
      </c>
      <c r="R1068" s="135">
        <f t="shared" si="545"/>
        <v>0</v>
      </c>
      <c r="S1068" s="135">
        <f t="shared" si="545"/>
        <v>0</v>
      </c>
      <c r="T1068" s="135">
        <f t="shared" si="545"/>
        <v>0</v>
      </c>
      <c r="U1068" s="135">
        <f t="shared" si="545"/>
        <v>0</v>
      </c>
      <c r="V1068" s="135">
        <f t="shared" si="545"/>
        <v>0</v>
      </c>
      <c r="W1068" s="135">
        <f t="shared" si="545"/>
        <v>0</v>
      </c>
      <c r="X1068" s="135">
        <f t="shared" si="545"/>
        <v>0</v>
      </c>
    </row>
    <row r="1069" spans="2:24" hidden="1">
      <c r="B1069" s="133" t="str">
        <f t="shared" si="542"/>
        <v/>
      </c>
      <c r="C1069" s="133" t="str">
        <f t="shared" si="542"/>
        <v/>
      </c>
      <c r="D1069" s="133" t="str">
        <f t="shared" si="542"/>
        <v/>
      </c>
      <c r="E1069" s="133" t="str">
        <f t="shared" si="542"/>
        <v/>
      </c>
      <c r="F1069" s="133"/>
      <c r="G1069" s="133"/>
      <c r="H1069" s="133"/>
      <c r="I1069" s="133"/>
      <c r="J1069" s="133"/>
      <c r="K1069" s="135">
        <f t="shared" ref="K1069:X1069" si="546">IF(AND($C1069="B+R",$D1069="nie",$E1069="prace rozwojowe",LataProjekcji&lt;=Koniec_PR,Modul_badawczo_rozwojowy=tak),ROUND(K459,0),0)</f>
        <v>0</v>
      </c>
      <c r="L1069" s="135">
        <f t="shared" si="546"/>
        <v>0</v>
      </c>
      <c r="M1069" s="135">
        <f t="shared" si="546"/>
        <v>0</v>
      </c>
      <c r="N1069" s="135">
        <f t="shared" si="546"/>
        <v>0</v>
      </c>
      <c r="O1069" s="135">
        <f t="shared" si="546"/>
        <v>0</v>
      </c>
      <c r="P1069" s="135">
        <f t="shared" si="546"/>
        <v>0</v>
      </c>
      <c r="Q1069" s="135">
        <f t="shared" si="546"/>
        <v>0</v>
      </c>
      <c r="R1069" s="135">
        <f t="shared" si="546"/>
        <v>0</v>
      </c>
      <c r="S1069" s="135">
        <f t="shared" si="546"/>
        <v>0</v>
      </c>
      <c r="T1069" s="135">
        <f t="shared" si="546"/>
        <v>0</v>
      </c>
      <c r="U1069" s="135">
        <f t="shared" si="546"/>
        <v>0</v>
      </c>
      <c r="V1069" s="135">
        <f t="shared" si="546"/>
        <v>0</v>
      </c>
      <c r="W1069" s="135">
        <f t="shared" si="546"/>
        <v>0</v>
      </c>
      <c r="X1069" s="135">
        <f t="shared" si="546"/>
        <v>0</v>
      </c>
    </row>
    <row r="1070" spans="2:24" hidden="1">
      <c r="B1070" s="133" t="str">
        <f t="shared" si="542"/>
        <v/>
      </c>
      <c r="C1070" s="133" t="str">
        <f t="shared" si="542"/>
        <v/>
      </c>
      <c r="D1070" s="133" t="str">
        <f t="shared" si="542"/>
        <v/>
      </c>
      <c r="E1070" s="133" t="str">
        <f t="shared" si="542"/>
        <v/>
      </c>
      <c r="F1070" s="133"/>
      <c r="G1070" s="133"/>
      <c r="H1070" s="133"/>
      <c r="I1070" s="133"/>
      <c r="J1070" s="133"/>
      <c r="K1070" s="135">
        <f t="shared" ref="K1070:X1070" si="547">IF(AND($C1070="B+R",$D1070="nie",$E1070="prace rozwojowe",LataProjekcji&lt;=Koniec_PR,Modul_badawczo_rozwojowy=tak),ROUND(K460,0),0)</f>
        <v>0</v>
      </c>
      <c r="L1070" s="135">
        <f t="shared" si="547"/>
        <v>0</v>
      </c>
      <c r="M1070" s="135">
        <f t="shared" si="547"/>
        <v>0</v>
      </c>
      <c r="N1070" s="135">
        <f t="shared" si="547"/>
        <v>0</v>
      </c>
      <c r="O1070" s="135">
        <f t="shared" si="547"/>
        <v>0</v>
      </c>
      <c r="P1070" s="135">
        <f t="shared" si="547"/>
        <v>0</v>
      </c>
      <c r="Q1070" s="135">
        <f t="shared" si="547"/>
        <v>0</v>
      </c>
      <c r="R1070" s="135">
        <f t="shared" si="547"/>
        <v>0</v>
      </c>
      <c r="S1070" s="135">
        <f t="shared" si="547"/>
        <v>0</v>
      </c>
      <c r="T1070" s="135">
        <f t="shared" si="547"/>
        <v>0</v>
      </c>
      <c r="U1070" s="135">
        <f t="shared" si="547"/>
        <v>0</v>
      </c>
      <c r="V1070" s="135">
        <f t="shared" si="547"/>
        <v>0</v>
      </c>
      <c r="W1070" s="135">
        <f t="shared" si="547"/>
        <v>0</v>
      </c>
      <c r="X1070" s="135">
        <f t="shared" si="547"/>
        <v>0</v>
      </c>
    </row>
    <row r="1071" spans="2:24" hidden="1">
      <c r="B1071" s="133" t="str">
        <f t="shared" si="542"/>
        <v/>
      </c>
      <c r="C1071" s="133" t="str">
        <f t="shared" si="542"/>
        <v/>
      </c>
      <c r="D1071" s="133" t="str">
        <f t="shared" si="542"/>
        <v/>
      </c>
      <c r="E1071" s="133" t="str">
        <f t="shared" si="542"/>
        <v/>
      </c>
      <c r="F1071" s="133"/>
      <c r="G1071" s="133"/>
      <c r="H1071" s="133"/>
      <c r="I1071" s="133"/>
      <c r="J1071" s="133"/>
      <c r="K1071" s="135">
        <f t="shared" ref="K1071:X1071" si="548">IF(AND($C1071="B+R",$D1071="nie",$E1071="prace rozwojowe",LataProjekcji&lt;=Koniec_PR,Modul_badawczo_rozwojowy=tak),ROUND(K461,0),0)</f>
        <v>0</v>
      </c>
      <c r="L1071" s="135">
        <f t="shared" si="548"/>
        <v>0</v>
      </c>
      <c r="M1071" s="135">
        <f t="shared" si="548"/>
        <v>0</v>
      </c>
      <c r="N1071" s="135">
        <f t="shared" si="548"/>
        <v>0</v>
      </c>
      <c r="O1071" s="135">
        <f t="shared" si="548"/>
        <v>0</v>
      </c>
      <c r="P1071" s="135">
        <f t="shared" si="548"/>
        <v>0</v>
      </c>
      <c r="Q1071" s="135">
        <f t="shared" si="548"/>
        <v>0</v>
      </c>
      <c r="R1071" s="135">
        <f t="shared" si="548"/>
        <v>0</v>
      </c>
      <c r="S1071" s="135">
        <f t="shared" si="548"/>
        <v>0</v>
      </c>
      <c r="T1071" s="135">
        <f t="shared" si="548"/>
        <v>0</v>
      </c>
      <c r="U1071" s="135">
        <f t="shared" si="548"/>
        <v>0</v>
      </c>
      <c r="V1071" s="135">
        <f t="shared" si="548"/>
        <v>0</v>
      </c>
      <c r="W1071" s="135">
        <f t="shared" si="548"/>
        <v>0</v>
      </c>
      <c r="X1071" s="135">
        <f t="shared" si="548"/>
        <v>0</v>
      </c>
    </row>
    <row r="1072" spans="2:24" hidden="1">
      <c r="B1072" s="133" t="str">
        <f t="shared" si="542"/>
        <v/>
      </c>
      <c r="C1072" s="133" t="str">
        <f t="shared" si="542"/>
        <v/>
      </c>
      <c r="D1072" s="133" t="str">
        <f t="shared" si="542"/>
        <v/>
      </c>
      <c r="E1072" s="133" t="str">
        <f t="shared" si="542"/>
        <v/>
      </c>
      <c r="F1072" s="133"/>
      <c r="G1072" s="133"/>
      <c r="H1072" s="133"/>
      <c r="I1072" s="133"/>
      <c r="J1072" s="133"/>
      <c r="K1072" s="135">
        <f t="shared" ref="K1072:X1072" si="549">IF(AND($C1072="B+R",$D1072="nie",$E1072="prace rozwojowe",LataProjekcji&lt;=Koniec_PR,Modul_badawczo_rozwojowy=tak),ROUND(K462,0),0)</f>
        <v>0</v>
      </c>
      <c r="L1072" s="135">
        <f t="shared" si="549"/>
        <v>0</v>
      </c>
      <c r="M1072" s="135">
        <f t="shared" si="549"/>
        <v>0</v>
      </c>
      <c r="N1072" s="135">
        <f t="shared" si="549"/>
        <v>0</v>
      </c>
      <c r="O1072" s="135">
        <f t="shared" si="549"/>
        <v>0</v>
      </c>
      <c r="P1072" s="135">
        <f t="shared" si="549"/>
        <v>0</v>
      </c>
      <c r="Q1072" s="135">
        <f t="shared" si="549"/>
        <v>0</v>
      </c>
      <c r="R1072" s="135">
        <f t="shared" si="549"/>
        <v>0</v>
      </c>
      <c r="S1072" s="135">
        <f t="shared" si="549"/>
        <v>0</v>
      </c>
      <c r="T1072" s="135">
        <f t="shared" si="549"/>
        <v>0</v>
      </c>
      <c r="U1072" s="135">
        <f t="shared" si="549"/>
        <v>0</v>
      </c>
      <c r="V1072" s="135">
        <f t="shared" si="549"/>
        <v>0</v>
      </c>
      <c r="W1072" s="135">
        <f t="shared" si="549"/>
        <v>0</v>
      </c>
      <c r="X1072" s="135">
        <f t="shared" si="549"/>
        <v>0</v>
      </c>
    </row>
    <row r="1073" spans="2:24" hidden="1">
      <c r="B1073" s="133" t="str">
        <f t="shared" si="542"/>
        <v/>
      </c>
      <c r="C1073" s="133" t="str">
        <f t="shared" si="542"/>
        <v/>
      </c>
      <c r="D1073" s="133" t="str">
        <f t="shared" si="542"/>
        <v/>
      </c>
      <c r="E1073" s="133" t="str">
        <f t="shared" si="542"/>
        <v/>
      </c>
      <c r="F1073" s="133"/>
      <c r="G1073" s="133"/>
      <c r="H1073" s="133"/>
      <c r="I1073" s="133"/>
      <c r="J1073" s="133"/>
      <c r="K1073" s="135">
        <f t="shared" ref="K1073:X1073" si="550">IF(AND($C1073="B+R",$D1073="nie",$E1073="prace rozwojowe",LataProjekcji&lt;=Koniec_PR,Modul_badawczo_rozwojowy=tak),ROUND(K463,0),0)</f>
        <v>0</v>
      </c>
      <c r="L1073" s="135">
        <f t="shared" si="550"/>
        <v>0</v>
      </c>
      <c r="M1073" s="135">
        <f t="shared" si="550"/>
        <v>0</v>
      </c>
      <c r="N1073" s="135">
        <f t="shared" si="550"/>
        <v>0</v>
      </c>
      <c r="O1073" s="135">
        <f t="shared" si="550"/>
        <v>0</v>
      </c>
      <c r="P1073" s="135">
        <f t="shared" si="550"/>
        <v>0</v>
      </c>
      <c r="Q1073" s="135">
        <f t="shared" si="550"/>
        <v>0</v>
      </c>
      <c r="R1073" s="135">
        <f t="shared" si="550"/>
        <v>0</v>
      </c>
      <c r="S1073" s="135">
        <f t="shared" si="550"/>
        <v>0</v>
      </c>
      <c r="T1073" s="135">
        <f t="shared" si="550"/>
        <v>0</v>
      </c>
      <c r="U1073" s="135">
        <f t="shared" si="550"/>
        <v>0</v>
      </c>
      <c r="V1073" s="135">
        <f t="shared" si="550"/>
        <v>0</v>
      </c>
      <c r="W1073" s="135">
        <f t="shared" si="550"/>
        <v>0</v>
      </c>
      <c r="X1073" s="135">
        <f t="shared" si="550"/>
        <v>0</v>
      </c>
    </row>
    <row r="1074" spans="2:24" hidden="1">
      <c r="B1074" s="133" t="str">
        <f t="shared" si="542"/>
        <v/>
      </c>
      <c r="C1074" s="133" t="str">
        <f t="shared" si="542"/>
        <v/>
      </c>
      <c r="D1074" s="133" t="str">
        <f t="shared" si="542"/>
        <v/>
      </c>
      <c r="E1074" s="133" t="str">
        <f t="shared" si="542"/>
        <v/>
      </c>
      <c r="F1074" s="133"/>
      <c r="G1074" s="133"/>
      <c r="H1074" s="133"/>
      <c r="I1074" s="133"/>
      <c r="J1074" s="133"/>
      <c r="K1074" s="135">
        <f t="shared" ref="K1074:X1074" si="551">IF(AND($C1074="B+R",$D1074="nie",$E1074="prace rozwojowe",LataProjekcji&lt;=Koniec_PR,Modul_badawczo_rozwojowy=tak),ROUND(K464,0),0)</f>
        <v>0</v>
      </c>
      <c r="L1074" s="135">
        <f t="shared" si="551"/>
        <v>0</v>
      </c>
      <c r="M1074" s="135">
        <f t="shared" si="551"/>
        <v>0</v>
      </c>
      <c r="N1074" s="135">
        <f t="shared" si="551"/>
        <v>0</v>
      </c>
      <c r="O1074" s="135">
        <f t="shared" si="551"/>
        <v>0</v>
      </c>
      <c r="P1074" s="135">
        <f t="shared" si="551"/>
        <v>0</v>
      </c>
      <c r="Q1074" s="135">
        <f t="shared" si="551"/>
        <v>0</v>
      </c>
      <c r="R1074" s="135">
        <f t="shared" si="551"/>
        <v>0</v>
      </c>
      <c r="S1074" s="135">
        <f t="shared" si="551"/>
        <v>0</v>
      </c>
      <c r="T1074" s="135">
        <f t="shared" si="551"/>
        <v>0</v>
      </c>
      <c r="U1074" s="135">
        <f t="shared" si="551"/>
        <v>0</v>
      </c>
      <c r="V1074" s="135">
        <f t="shared" si="551"/>
        <v>0</v>
      </c>
      <c r="W1074" s="135">
        <f t="shared" si="551"/>
        <v>0</v>
      </c>
      <c r="X1074" s="135">
        <f t="shared" si="551"/>
        <v>0</v>
      </c>
    </row>
    <row r="1075" spans="2:24" hidden="1">
      <c r="B1075" s="133" t="str">
        <f t="shared" si="542"/>
        <v/>
      </c>
      <c r="C1075" s="133" t="str">
        <f t="shared" si="542"/>
        <v/>
      </c>
      <c r="D1075" s="133" t="str">
        <f t="shared" si="542"/>
        <v/>
      </c>
      <c r="E1075" s="133" t="str">
        <f t="shared" si="542"/>
        <v/>
      </c>
      <c r="F1075" s="133"/>
      <c r="G1075" s="133"/>
      <c r="H1075" s="133"/>
      <c r="I1075" s="133"/>
      <c r="J1075" s="133"/>
      <c r="K1075" s="135">
        <f t="shared" ref="K1075:X1075" si="552">IF(AND($C1075="B+R",$D1075="nie",$E1075="prace rozwojowe",LataProjekcji&lt;=Koniec_PR,Modul_badawczo_rozwojowy=tak),ROUND(K465,0),0)</f>
        <v>0</v>
      </c>
      <c r="L1075" s="135">
        <f t="shared" si="552"/>
        <v>0</v>
      </c>
      <c r="M1075" s="135">
        <f t="shared" si="552"/>
        <v>0</v>
      </c>
      <c r="N1075" s="135">
        <f t="shared" si="552"/>
        <v>0</v>
      </c>
      <c r="O1075" s="135">
        <f t="shared" si="552"/>
        <v>0</v>
      </c>
      <c r="P1075" s="135">
        <f t="shared" si="552"/>
        <v>0</v>
      </c>
      <c r="Q1075" s="135">
        <f t="shared" si="552"/>
        <v>0</v>
      </c>
      <c r="R1075" s="135">
        <f t="shared" si="552"/>
        <v>0</v>
      </c>
      <c r="S1075" s="135">
        <f t="shared" si="552"/>
        <v>0</v>
      </c>
      <c r="T1075" s="135">
        <f t="shared" si="552"/>
        <v>0</v>
      </c>
      <c r="U1075" s="135">
        <f t="shared" si="552"/>
        <v>0</v>
      </c>
      <c r="V1075" s="135">
        <f t="shared" si="552"/>
        <v>0</v>
      </c>
      <c r="W1075" s="135">
        <f t="shared" si="552"/>
        <v>0</v>
      </c>
      <c r="X1075" s="135">
        <f t="shared" si="552"/>
        <v>0</v>
      </c>
    </row>
    <row r="1076" spans="2:24" hidden="1">
      <c r="B1076" s="133" t="str">
        <f t="shared" si="542"/>
        <v/>
      </c>
      <c r="C1076" s="133" t="str">
        <f t="shared" si="542"/>
        <v/>
      </c>
      <c r="D1076" s="133" t="str">
        <f t="shared" si="542"/>
        <v/>
      </c>
      <c r="E1076" s="133" t="str">
        <f t="shared" si="542"/>
        <v/>
      </c>
      <c r="F1076" s="133"/>
      <c r="G1076" s="133"/>
      <c r="H1076" s="133"/>
      <c r="I1076" s="133"/>
      <c r="J1076" s="133"/>
      <c r="K1076" s="135">
        <f t="shared" ref="K1076:X1076" si="553">IF(AND($C1076="B+R",$D1076="nie",$E1076="prace rozwojowe",LataProjekcji&lt;=Koniec_PR,Modul_badawczo_rozwojowy=tak),ROUND(K466,0),0)</f>
        <v>0</v>
      </c>
      <c r="L1076" s="135">
        <f t="shared" si="553"/>
        <v>0</v>
      </c>
      <c r="M1076" s="135">
        <f t="shared" si="553"/>
        <v>0</v>
      </c>
      <c r="N1076" s="135">
        <f t="shared" si="553"/>
        <v>0</v>
      </c>
      <c r="O1076" s="135">
        <f t="shared" si="553"/>
        <v>0</v>
      </c>
      <c r="P1076" s="135">
        <f t="shared" si="553"/>
        <v>0</v>
      </c>
      <c r="Q1076" s="135">
        <f t="shared" si="553"/>
        <v>0</v>
      </c>
      <c r="R1076" s="135">
        <f t="shared" si="553"/>
        <v>0</v>
      </c>
      <c r="S1076" s="135">
        <f t="shared" si="553"/>
        <v>0</v>
      </c>
      <c r="T1076" s="135">
        <f t="shared" si="553"/>
        <v>0</v>
      </c>
      <c r="U1076" s="135">
        <f t="shared" si="553"/>
        <v>0</v>
      </c>
      <c r="V1076" s="135">
        <f t="shared" si="553"/>
        <v>0</v>
      </c>
      <c r="W1076" s="135">
        <f t="shared" si="553"/>
        <v>0</v>
      </c>
      <c r="X1076" s="135">
        <f t="shared" si="553"/>
        <v>0</v>
      </c>
    </row>
    <row r="1077" spans="2:24" hidden="1">
      <c r="B1077" s="133" t="str">
        <f t="shared" si="542"/>
        <v/>
      </c>
      <c r="C1077" s="133" t="str">
        <f t="shared" si="542"/>
        <v/>
      </c>
      <c r="D1077" s="133" t="str">
        <f t="shared" si="542"/>
        <v/>
      </c>
      <c r="E1077" s="133" t="str">
        <f t="shared" si="542"/>
        <v/>
      </c>
      <c r="F1077" s="133"/>
      <c r="G1077" s="133"/>
      <c r="H1077" s="133"/>
      <c r="I1077" s="133"/>
      <c r="J1077" s="133"/>
      <c r="K1077" s="135">
        <f t="shared" ref="K1077:X1077" si="554">IF(AND($C1077="B+R",$D1077="nie",$E1077="prace rozwojowe",LataProjekcji&lt;=Koniec_PR,Modul_badawczo_rozwojowy=tak),ROUND(K467,0),0)</f>
        <v>0</v>
      </c>
      <c r="L1077" s="135">
        <f t="shared" si="554"/>
        <v>0</v>
      </c>
      <c r="M1077" s="135">
        <f t="shared" si="554"/>
        <v>0</v>
      </c>
      <c r="N1077" s="135">
        <f t="shared" si="554"/>
        <v>0</v>
      </c>
      <c r="O1077" s="135">
        <f t="shared" si="554"/>
        <v>0</v>
      </c>
      <c r="P1077" s="135">
        <f t="shared" si="554"/>
        <v>0</v>
      </c>
      <c r="Q1077" s="135">
        <f t="shared" si="554"/>
        <v>0</v>
      </c>
      <c r="R1077" s="135">
        <f t="shared" si="554"/>
        <v>0</v>
      </c>
      <c r="S1077" s="135">
        <f t="shared" si="554"/>
        <v>0</v>
      </c>
      <c r="T1077" s="135">
        <f t="shared" si="554"/>
        <v>0</v>
      </c>
      <c r="U1077" s="135">
        <f t="shared" si="554"/>
        <v>0</v>
      </c>
      <c r="V1077" s="135">
        <f t="shared" si="554"/>
        <v>0</v>
      </c>
      <c r="W1077" s="135">
        <f t="shared" si="554"/>
        <v>0</v>
      </c>
      <c r="X1077" s="135">
        <f t="shared" si="554"/>
        <v>0</v>
      </c>
    </row>
    <row r="1078" spans="2:24" hidden="1">
      <c r="B1078" s="133" t="str">
        <f t="shared" si="542"/>
        <v/>
      </c>
      <c r="C1078" s="133" t="str">
        <f t="shared" si="542"/>
        <v/>
      </c>
      <c r="D1078" s="133" t="str">
        <f t="shared" si="542"/>
        <v/>
      </c>
      <c r="E1078" s="133" t="str">
        <f t="shared" si="542"/>
        <v/>
      </c>
      <c r="F1078" s="133"/>
      <c r="G1078" s="133"/>
      <c r="H1078" s="133"/>
      <c r="I1078" s="133"/>
      <c r="J1078" s="133"/>
      <c r="K1078" s="135">
        <f t="shared" ref="K1078:X1078" si="555">IF(AND($C1078="B+R",$D1078="nie",$E1078="prace rozwojowe",LataProjekcji&lt;=Koniec_PR,Modul_badawczo_rozwojowy=tak),ROUND(K468,0),0)</f>
        <v>0</v>
      </c>
      <c r="L1078" s="135">
        <f t="shared" si="555"/>
        <v>0</v>
      </c>
      <c r="M1078" s="135">
        <f t="shared" si="555"/>
        <v>0</v>
      </c>
      <c r="N1078" s="135">
        <f t="shared" si="555"/>
        <v>0</v>
      </c>
      <c r="O1078" s="135">
        <f t="shared" si="555"/>
        <v>0</v>
      </c>
      <c r="P1078" s="135">
        <f t="shared" si="555"/>
        <v>0</v>
      </c>
      <c r="Q1078" s="135">
        <f t="shared" si="555"/>
        <v>0</v>
      </c>
      <c r="R1078" s="135">
        <f t="shared" si="555"/>
        <v>0</v>
      </c>
      <c r="S1078" s="135">
        <f t="shared" si="555"/>
        <v>0</v>
      </c>
      <c r="T1078" s="135">
        <f t="shared" si="555"/>
        <v>0</v>
      </c>
      <c r="U1078" s="135">
        <f t="shared" si="555"/>
        <v>0</v>
      </c>
      <c r="V1078" s="135">
        <f t="shared" si="555"/>
        <v>0</v>
      </c>
      <c r="W1078" s="135">
        <f t="shared" si="555"/>
        <v>0</v>
      </c>
      <c r="X1078" s="135">
        <f t="shared" si="555"/>
        <v>0</v>
      </c>
    </row>
    <row r="1079" spans="2:24" hidden="1">
      <c r="B1079" s="133" t="str">
        <f t="shared" si="542"/>
        <v/>
      </c>
      <c r="C1079" s="133" t="str">
        <f t="shared" si="542"/>
        <v/>
      </c>
      <c r="D1079" s="133" t="str">
        <f t="shared" si="542"/>
        <v/>
      </c>
      <c r="E1079" s="133" t="str">
        <f t="shared" si="542"/>
        <v/>
      </c>
      <c r="F1079" s="133"/>
      <c r="G1079" s="133"/>
      <c r="H1079" s="133"/>
      <c r="I1079" s="133"/>
      <c r="J1079" s="133"/>
      <c r="K1079" s="135">
        <f t="shared" ref="K1079:X1079" si="556">IF(AND($C1079="B+R",$D1079="nie",$E1079="prace rozwojowe",LataProjekcji&lt;=Koniec_PR,Modul_badawczo_rozwojowy=tak),ROUND(K469,0),0)</f>
        <v>0</v>
      </c>
      <c r="L1079" s="135">
        <f t="shared" si="556"/>
        <v>0</v>
      </c>
      <c r="M1079" s="135">
        <f t="shared" si="556"/>
        <v>0</v>
      </c>
      <c r="N1079" s="135">
        <f t="shared" si="556"/>
        <v>0</v>
      </c>
      <c r="O1079" s="135">
        <f t="shared" si="556"/>
        <v>0</v>
      </c>
      <c r="P1079" s="135">
        <f t="shared" si="556"/>
        <v>0</v>
      </c>
      <c r="Q1079" s="135">
        <f t="shared" si="556"/>
        <v>0</v>
      </c>
      <c r="R1079" s="135">
        <f t="shared" si="556"/>
        <v>0</v>
      </c>
      <c r="S1079" s="135">
        <f t="shared" si="556"/>
        <v>0</v>
      </c>
      <c r="T1079" s="135">
        <f t="shared" si="556"/>
        <v>0</v>
      </c>
      <c r="U1079" s="135">
        <f t="shared" si="556"/>
        <v>0</v>
      </c>
      <c r="V1079" s="135">
        <f t="shared" si="556"/>
        <v>0</v>
      </c>
      <c r="W1079" s="135">
        <f t="shared" si="556"/>
        <v>0</v>
      </c>
      <c r="X1079" s="135">
        <f t="shared" si="556"/>
        <v>0</v>
      </c>
    </row>
    <row r="1080" spans="2:24" hidden="1">
      <c r="B1080" s="133" t="str">
        <f t="shared" si="542"/>
        <v/>
      </c>
      <c r="C1080" s="133" t="str">
        <f t="shared" si="542"/>
        <v/>
      </c>
      <c r="D1080" s="133" t="str">
        <f t="shared" si="542"/>
        <v/>
      </c>
      <c r="E1080" s="133" t="str">
        <f t="shared" si="542"/>
        <v/>
      </c>
      <c r="F1080" s="133"/>
      <c r="G1080" s="133"/>
      <c r="H1080" s="133"/>
      <c r="I1080" s="133"/>
      <c r="J1080" s="133"/>
      <c r="K1080" s="135">
        <f t="shared" ref="K1080:X1080" si="557">IF(AND($C1080="B+R",$D1080="nie",$E1080="prace rozwojowe",LataProjekcji&lt;=Koniec_PR,Modul_badawczo_rozwojowy=tak),ROUND(K470,0),0)</f>
        <v>0</v>
      </c>
      <c r="L1080" s="135">
        <f t="shared" si="557"/>
        <v>0</v>
      </c>
      <c r="M1080" s="135">
        <f t="shared" si="557"/>
        <v>0</v>
      </c>
      <c r="N1080" s="135">
        <f t="shared" si="557"/>
        <v>0</v>
      </c>
      <c r="O1080" s="135">
        <f t="shared" si="557"/>
        <v>0</v>
      </c>
      <c r="P1080" s="135">
        <f t="shared" si="557"/>
        <v>0</v>
      </c>
      <c r="Q1080" s="135">
        <f t="shared" si="557"/>
        <v>0</v>
      </c>
      <c r="R1080" s="135">
        <f t="shared" si="557"/>
        <v>0</v>
      </c>
      <c r="S1080" s="135">
        <f t="shared" si="557"/>
        <v>0</v>
      </c>
      <c r="T1080" s="135">
        <f t="shared" si="557"/>
        <v>0</v>
      </c>
      <c r="U1080" s="135">
        <f t="shared" si="557"/>
        <v>0</v>
      </c>
      <c r="V1080" s="135">
        <f t="shared" si="557"/>
        <v>0</v>
      </c>
      <c r="W1080" s="135">
        <f t="shared" si="557"/>
        <v>0</v>
      </c>
      <c r="X1080" s="135">
        <f t="shared" si="557"/>
        <v>0</v>
      </c>
    </row>
    <row r="1081" spans="2:24" hidden="1">
      <c r="B1081" s="133" t="str">
        <f t="shared" si="542"/>
        <v/>
      </c>
      <c r="C1081" s="133" t="str">
        <f t="shared" si="542"/>
        <v/>
      </c>
      <c r="D1081" s="133" t="str">
        <f t="shared" si="542"/>
        <v/>
      </c>
      <c r="E1081" s="133" t="str">
        <f t="shared" si="542"/>
        <v/>
      </c>
      <c r="F1081" s="133"/>
      <c r="G1081" s="133"/>
      <c r="H1081" s="133"/>
      <c r="I1081" s="133"/>
      <c r="J1081" s="133"/>
      <c r="K1081" s="135">
        <f t="shared" ref="K1081:X1081" si="558">IF(AND($C1081="B+R",$D1081="nie",$E1081="prace rozwojowe",LataProjekcji&lt;=Koniec_PR,Modul_badawczo_rozwojowy=tak),ROUND(K471,0),0)</f>
        <v>0</v>
      </c>
      <c r="L1081" s="135">
        <f t="shared" si="558"/>
        <v>0</v>
      </c>
      <c r="M1081" s="135">
        <f t="shared" si="558"/>
        <v>0</v>
      </c>
      <c r="N1081" s="135">
        <f t="shared" si="558"/>
        <v>0</v>
      </c>
      <c r="O1081" s="135">
        <f t="shared" si="558"/>
        <v>0</v>
      </c>
      <c r="P1081" s="135">
        <f t="shared" si="558"/>
        <v>0</v>
      </c>
      <c r="Q1081" s="135">
        <f t="shared" si="558"/>
        <v>0</v>
      </c>
      <c r="R1081" s="135">
        <f t="shared" si="558"/>
        <v>0</v>
      </c>
      <c r="S1081" s="135">
        <f t="shared" si="558"/>
        <v>0</v>
      </c>
      <c r="T1081" s="135">
        <f t="shared" si="558"/>
        <v>0</v>
      </c>
      <c r="U1081" s="135">
        <f t="shared" si="558"/>
        <v>0</v>
      </c>
      <c r="V1081" s="135">
        <f t="shared" si="558"/>
        <v>0</v>
      </c>
      <c r="W1081" s="135">
        <f t="shared" si="558"/>
        <v>0</v>
      </c>
      <c r="X1081" s="135">
        <f t="shared" si="558"/>
        <v>0</v>
      </c>
    </row>
    <row r="1082" spans="2:24" hidden="1">
      <c r="B1082" s="133" t="str">
        <f t="shared" si="542"/>
        <v/>
      </c>
      <c r="C1082" s="133" t="str">
        <f t="shared" si="542"/>
        <v/>
      </c>
      <c r="D1082" s="133" t="str">
        <f t="shared" si="542"/>
        <v/>
      </c>
      <c r="E1082" s="133" t="str">
        <f t="shared" si="542"/>
        <v/>
      </c>
      <c r="F1082" s="133"/>
      <c r="G1082" s="133"/>
      <c r="H1082" s="133"/>
      <c r="I1082" s="133"/>
      <c r="J1082" s="133"/>
      <c r="K1082" s="135">
        <f t="shared" ref="K1082:X1082" si="559">IF(AND($C1082="B+R",$D1082="nie",$E1082="prace rozwojowe",LataProjekcji&lt;=Koniec_PR,Modul_badawczo_rozwojowy=tak),ROUND(K472,0),0)</f>
        <v>0</v>
      </c>
      <c r="L1082" s="135">
        <f t="shared" si="559"/>
        <v>0</v>
      </c>
      <c r="M1082" s="135">
        <f t="shared" si="559"/>
        <v>0</v>
      </c>
      <c r="N1082" s="135">
        <f t="shared" si="559"/>
        <v>0</v>
      </c>
      <c r="O1082" s="135">
        <f t="shared" si="559"/>
        <v>0</v>
      </c>
      <c r="P1082" s="135">
        <f t="shared" si="559"/>
        <v>0</v>
      </c>
      <c r="Q1082" s="135">
        <f t="shared" si="559"/>
        <v>0</v>
      </c>
      <c r="R1082" s="135">
        <f t="shared" si="559"/>
        <v>0</v>
      </c>
      <c r="S1082" s="135">
        <f t="shared" si="559"/>
        <v>0</v>
      </c>
      <c r="T1082" s="135">
        <f t="shared" si="559"/>
        <v>0</v>
      </c>
      <c r="U1082" s="135">
        <f t="shared" si="559"/>
        <v>0</v>
      </c>
      <c r="V1082" s="135">
        <f t="shared" si="559"/>
        <v>0</v>
      </c>
      <c r="W1082" s="135">
        <f t="shared" si="559"/>
        <v>0</v>
      </c>
      <c r="X1082" s="135">
        <f t="shared" si="559"/>
        <v>0</v>
      </c>
    </row>
    <row r="1083" spans="2:24" hidden="1">
      <c r="B1083" s="133" t="str">
        <f t="shared" si="542"/>
        <v/>
      </c>
      <c r="C1083" s="133" t="str">
        <f t="shared" si="542"/>
        <v/>
      </c>
      <c r="D1083" s="133" t="str">
        <f t="shared" si="542"/>
        <v/>
      </c>
      <c r="E1083" s="133" t="str">
        <f t="shared" si="542"/>
        <v/>
      </c>
      <c r="F1083" s="133"/>
      <c r="G1083" s="133"/>
      <c r="H1083" s="133"/>
      <c r="I1083" s="133"/>
      <c r="J1083" s="133"/>
      <c r="K1083" s="135">
        <f t="shared" ref="K1083:X1083" si="560">IF(AND($C1083="B+R",$D1083="nie",$E1083="prace rozwojowe",LataProjekcji&lt;=Koniec_PR,Modul_badawczo_rozwojowy=tak),ROUND(K473,0),0)</f>
        <v>0</v>
      </c>
      <c r="L1083" s="135">
        <f t="shared" si="560"/>
        <v>0</v>
      </c>
      <c r="M1083" s="135">
        <f t="shared" si="560"/>
        <v>0</v>
      </c>
      <c r="N1083" s="135">
        <f t="shared" si="560"/>
        <v>0</v>
      </c>
      <c r="O1083" s="135">
        <f t="shared" si="560"/>
        <v>0</v>
      </c>
      <c r="P1083" s="135">
        <f t="shared" si="560"/>
        <v>0</v>
      </c>
      <c r="Q1083" s="135">
        <f t="shared" si="560"/>
        <v>0</v>
      </c>
      <c r="R1083" s="135">
        <f t="shared" si="560"/>
        <v>0</v>
      </c>
      <c r="S1083" s="135">
        <f t="shared" si="560"/>
        <v>0</v>
      </c>
      <c r="T1083" s="135">
        <f t="shared" si="560"/>
        <v>0</v>
      </c>
      <c r="U1083" s="135">
        <f t="shared" si="560"/>
        <v>0</v>
      </c>
      <c r="V1083" s="135">
        <f t="shared" si="560"/>
        <v>0</v>
      </c>
      <c r="W1083" s="135">
        <f t="shared" si="560"/>
        <v>0</v>
      </c>
      <c r="X1083" s="135">
        <f t="shared" si="560"/>
        <v>0</v>
      </c>
    </row>
    <row r="1084" spans="2:24" hidden="1">
      <c r="B1084" s="133" t="str">
        <f t="shared" si="542"/>
        <v/>
      </c>
      <c r="C1084" s="133" t="str">
        <f t="shared" si="542"/>
        <v/>
      </c>
      <c r="D1084" s="133" t="str">
        <f t="shared" si="542"/>
        <v/>
      </c>
      <c r="E1084" s="133" t="str">
        <f t="shared" si="542"/>
        <v/>
      </c>
      <c r="F1084" s="133"/>
      <c r="G1084" s="133"/>
      <c r="H1084" s="133"/>
      <c r="I1084" s="133"/>
      <c r="J1084" s="133"/>
      <c r="K1084" s="135">
        <f t="shared" ref="K1084:X1084" si="561">IF(AND($C1084="B+R",$D1084="nie",$E1084="prace rozwojowe",LataProjekcji&lt;=Koniec_PR,Modul_badawczo_rozwojowy=tak),ROUND(K474,0),0)</f>
        <v>0</v>
      </c>
      <c r="L1084" s="135">
        <f t="shared" si="561"/>
        <v>0</v>
      </c>
      <c r="M1084" s="135">
        <f t="shared" si="561"/>
        <v>0</v>
      </c>
      <c r="N1084" s="135">
        <f t="shared" si="561"/>
        <v>0</v>
      </c>
      <c r="O1084" s="135">
        <f t="shared" si="561"/>
        <v>0</v>
      </c>
      <c r="P1084" s="135">
        <f t="shared" si="561"/>
        <v>0</v>
      </c>
      <c r="Q1084" s="135">
        <f t="shared" si="561"/>
        <v>0</v>
      </c>
      <c r="R1084" s="135">
        <f t="shared" si="561"/>
        <v>0</v>
      </c>
      <c r="S1084" s="135">
        <f t="shared" si="561"/>
        <v>0</v>
      </c>
      <c r="T1084" s="135">
        <f t="shared" si="561"/>
        <v>0</v>
      </c>
      <c r="U1084" s="135">
        <f t="shared" si="561"/>
        <v>0</v>
      </c>
      <c r="V1084" s="135">
        <f t="shared" si="561"/>
        <v>0</v>
      </c>
      <c r="W1084" s="135">
        <f t="shared" si="561"/>
        <v>0</v>
      </c>
      <c r="X1084" s="135">
        <f t="shared" si="561"/>
        <v>0</v>
      </c>
    </row>
    <row r="1085" spans="2:24" hidden="1">
      <c r="B1085" s="133" t="str">
        <f t="shared" si="542"/>
        <v/>
      </c>
      <c r="C1085" s="133" t="str">
        <f t="shared" si="542"/>
        <v/>
      </c>
      <c r="D1085" s="133" t="str">
        <f t="shared" si="542"/>
        <v/>
      </c>
      <c r="E1085" s="133" t="str">
        <f t="shared" si="542"/>
        <v/>
      </c>
      <c r="F1085" s="133"/>
      <c r="G1085" s="133"/>
      <c r="H1085" s="133"/>
      <c r="I1085" s="133"/>
      <c r="J1085" s="133"/>
      <c r="K1085" s="135">
        <f t="shared" ref="K1085:X1085" si="562">IF(AND($C1085="B+R",$D1085="nie",$E1085="prace rozwojowe",LataProjekcji&lt;=Koniec_PR,Modul_badawczo_rozwojowy=tak),ROUND(K475,0),0)</f>
        <v>0</v>
      </c>
      <c r="L1085" s="135">
        <f t="shared" si="562"/>
        <v>0</v>
      </c>
      <c r="M1085" s="135">
        <f t="shared" si="562"/>
        <v>0</v>
      </c>
      <c r="N1085" s="135">
        <f t="shared" si="562"/>
        <v>0</v>
      </c>
      <c r="O1085" s="135">
        <f t="shared" si="562"/>
        <v>0</v>
      </c>
      <c r="P1085" s="135">
        <f t="shared" si="562"/>
        <v>0</v>
      </c>
      <c r="Q1085" s="135">
        <f t="shared" si="562"/>
        <v>0</v>
      </c>
      <c r="R1085" s="135">
        <f t="shared" si="562"/>
        <v>0</v>
      </c>
      <c r="S1085" s="135">
        <f t="shared" si="562"/>
        <v>0</v>
      </c>
      <c r="T1085" s="135">
        <f t="shared" si="562"/>
        <v>0</v>
      </c>
      <c r="U1085" s="135">
        <f t="shared" si="562"/>
        <v>0</v>
      </c>
      <c r="V1085" s="135">
        <f t="shared" si="562"/>
        <v>0</v>
      </c>
      <c r="W1085" s="135">
        <f t="shared" si="562"/>
        <v>0</v>
      </c>
      <c r="X1085" s="135">
        <f t="shared" si="562"/>
        <v>0</v>
      </c>
    </row>
    <row r="1086" spans="2:24" hidden="1">
      <c r="B1086" s="127" t="s">
        <v>322</v>
      </c>
      <c r="C1086" s="127"/>
      <c r="D1086" s="128"/>
      <c r="E1086" s="129"/>
      <c r="F1086" s="129"/>
      <c r="G1086" s="129"/>
      <c r="H1086" s="129"/>
      <c r="I1086" s="129"/>
      <c r="J1086" s="129"/>
      <c r="K1086" s="136">
        <f t="shared" ref="K1086:X1086" si="563">ROUND(SUM(K1046:K1085),0)</f>
        <v>0</v>
      </c>
      <c r="L1086" s="136">
        <f t="shared" si="563"/>
        <v>0</v>
      </c>
      <c r="M1086" s="136">
        <f t="shared" si="563"/>
        <v>0</v>
      </c>
      <c r="N1086" s="136">
        <f t="shared" si="563"/>
        <v>0</v>
      </c>
      <c r="O1086" s="136">
        <f t="shared" si="563"/>
        <v>0</v>
      </c>
      <c r="P1086" s="136">
        <f t="shared" si="563"/>
        <v>0</v>
      </c>
      <c r="Q1086" s="136">
        <f t="shared" si="563"/>
        <v>0</v>
      </c>
      <c r="R1086" s="136">
        <f t="shared" si="563"/>
        <v>0</v>
      </c>
      <c r="S1086" s="136">
        <f t="shared" si="563"/>
        <v>0</v>
      </c>
      <c r="T1086" s="136">
        <f t="shared" si="563"/>
        <v>0</v>
      </c>
      <c r="U1086" s="136">
        <f t="shared" si="563"/>
        <v>0</v>
      </c>
      <c r="V1086" s="136">
        <f t="shared" si="563"/>
        <v>0</v>
      </c>
      <c r="W1086" s="136">
        <f t="shared" si="563"/>
        <v>0</v>
      </c>
      <c r="X1086" s="136">
        <f t="shared" si="563"/>
        <v>0</v>
      </c>
    </row>
    <row r="1087" spans="2:24" hidden="1">
      <c r="B1087" s="129"/>
      <c r="C1087" s="129"/>
      <c r="D1087" s="128"/>
      <c r="E1087" s="129"/>
      <c r="F1087" s="129"/>
      <c r="G1087" s="129"/>
      <c r="H1087" s="129"/>
      <c r="I1087" s="129"/>
      <c r="J1087" s="129"/>
      <c r="K1087" s="137"/>
      <c r="L1087" s="137"/>
      <c r="M1087" s="137"/>
      <c r="N1087" s="137"/>
      <c r="O1087" s="137"/>
      <c r="P1087" s="137"/>
      <c r="Q1087" s="137"/>
      <c r="R1087" s="137"/>
      <c r="S1087" s="137"/>
      <c r="T1087" s="137"/>
      <c r="U1087" s="137"/>
      <c r="V1087" s="137"/>
      <c r="W1087" s="137"/>
      <c r="X1087" s="137"/>
    </row>
    <row r="1088" spans="2:24" hidden="1">
      <c r="B1088" s="129"/>
      <c r="C1088" s="129"/>
      <c r="D1088" s="128"/>
      <c r="E1088" s="129"/>
      <c r="F1088" s="129"/>
      <c r="G1088" s="129"/>
      <c r="H1088" s="129"/>
      <c r="I1088" s="129"/>
      <c r="J1088" s="129"/>
      <c r="K1088" s="137"/>
      <c r="L1088" s="137"/>
      <c r="M1088" s="137"/>
      <c r="N1088" s="137"/>
      <c r="O1088" s="137"/>
      <c r="P1088" s="137"/>
      <c r="Q1088" s="137"/>
      <c r="R1088" s="137"/>
      <c r="S1088" s="137"/>
      <c r="T1088" s="137"/>
      <c r="U1088" s="137"/>
      <c r="V1088" s="137"/>
      <c r="W1088" s="137"/>
      <c r="X1088" s="137"/>
    </row>
    <row r="1089" spans="2:24" hidden="1">
      <c r="B1089" s="127" t="s">
        <v>323</v>
      </c>
      <c r="C1089" s="127"/>
      <c r="D1089" s="138" t="s">
        <v>336</v>
      </c>
      <c r="E1089" s="127" t="s">
        <v>337</v>
      </c>
      <c r="F1089" s="129"/>
      <c r="G1089" s="129"/>
      <c r="H1089" s="129"/>
      <c r="I1089" s="129"/>
      <c r="J1089" s="129"/>
      <c r="K1089" s="137"/>
      <c r="L1089" s="137"/>
      <c r="M1089" s="137"/>
      <c r="N1089" s="137"/>
      <c r="O1089" s="137"/>
      <c r="P1089" s="137"/>
      <c r="Q1089" s="137"/>
      <c r="R1089" s="137"/>
      <c r="S1089" s="137"/>
      <c r="T1089" s="137"/>
      <c r="U1089" s="137"/>
      <c r="V1089" s="137"/>
      <c r="W1089" s="137"/>
      <c r="X1089" s="137"/>
    </row>
    <row r="1090" spans="2:24" hidden="1">
      <c r="B1090" s="133" t="str">
        <f t="shared" ref="B1090:E1119" si="564">B848</f>
        <v/>
      </c>
      <c r="C1090" s="133" t="str">
        <f t="shared" si="564"/>
        <v/>
      </c>
      <c r="D1090" s="133" t="str">
        <f t="shared" si="564"/>
        <v/>
      </c>
      <c r="E1090" s="133" t="str">
        <f t="shared" si="564"/>
        <v/>
      </c>
      <c r="F1090" s="133"/>
      <c r="G1090" s="133"/>
      <c r="H1090" s="133"/>
      <c r="I1090" s="133"/>
      <c r="J1090" s="133"/>
      <c r="K1090" s="135">
        <f t="shared" ref="K1090:X1090" si="565">IF(AND($C1090="B+R",$D1090="nie",$E1090="prace rozwojowe",LataProjekcji&lt;=Koniec_PR,Modul_badawczo_rozwojowy=tak),ROUND(K521,0),0)</f>
        <v>0</v>
      </c>
      <c r="L1090" s="135">
        <f t="shared" si="565"/>
        <v>0</v>
      </c>
      <c r="M1090" s="135">
        <f t="shared" si="565"/>
        <v>0</v>
      </c>
      <c r="N1090" s="135">
        <f t="shared" si="565"/>
        <v>0</v>
      </c>
      <c r="O1090" s="135">
        <f t="shared" si="565"/>
        <v>0</v>
      </c>
      <c r="P1090" s="135">
        <f t="shared" si="565"/>
        <v>0</v>
      </c>
      <c r="Q1090" s="135">
        <f t="shared" si="565"/>
        <v>0</v>
      </c>
      <c r="R1090" s="135">
        <f t="shared" si="565"/>
        <v>0</v>
      </c>
      <c r="S1090" s="135">
        <f t="shared" si="565"/>
        <v>0</v>
      </c>
      <c r="T1090" s="135">
        <f t="shared" si="565"/>
        <v>0</v>
      </c>
      <c r="U1090" s="135">
        <f t="shared" si="565"/>
        <v>0</v>
      </c>
      <c r="V1090" s="135">
        <f t="shared" si="565"/>
        <v>0</v>
      </c>
      <c r="W1090" s="135">
        <f t="shared" si="565"/>
        <v>0</v>
      </c>
      <c r="X1090" s="135">
        <f t="shared" si="565"/>
        <v>0</v>
      </c>
    </row>
    <row r="1091" spans="2:24" hidden="1">
      <c r="B1091" s="133" t="str">
        <f t="shared" si="564"/>
        <v/>
      </c>
      <c r="C1091" s="133" t="str">
        <f t="shared" si="564"/>
        <v/>
      </c>
      <c r="D1091" s="133" t="str">
        <f t="shared" si="564"/>
        <v/>
      </c>
      <c r="E1091" s="133" t="str">
        <f t="shared" si="564"/>
        <v/>
      </c>
      <c r="F1091" s="133"/>
      <c r="G1091" s="133"/>
      <c r="H1091" s="133"/>
      <c r="I1091" s="133"/>
      <c r="J1091" s="133"/>
      <c r="K1091" s="135">
        <f t="shared" ref="K1091:X1091" si="566">IF(AND($C1091="B+R",$D1091="nie",$E1091="prace rozwojowe",LataProjekcji&lt;=Koniec_PR,Modul_badawczo_rozwojowy=tak),ROUND(K522,0),0)</f>
        <v>0</v>
      </c>
      <c r="L1091" s="135">
        <f t="shared" si="566"/>
        <v>0</v>
      </c>
      <c r="M1091" s="135">
        <f t="shared" si="566"/>
        <v>0</v>
      </c>
      <c r="N1091" s="135">
        <f t="shared" si="566"/>
        <v>0</v>
      </c>
      <c r="O1091" s="135">
        <f t="shared" si="566"/>
        <v>0</v>
      </c>
      <c r="P1091" s="135">
        <f t="shared" si="566"/>
        <v>0</v>
      </c>
      <c r="Q1091" s="135">
        <f t="shared" si="566"/>
        <v>0</v>
      </c>
      <c r="R1091" s="135">
        <f t="shared" si="566"/>
        <v>0</v>
      </c>
      <c r="S1091" s="135">
        <f t="shared" si="566"/>
        <v>0</v>
      </c>
      <c r="T1091" s="135">
        <f t="shared" si="566"/>
        <v>0</v>
      </c>
      <c r="U1091" s="135">
        <f t="shared" si="566"/>
        <v>0</v>
      </c>
      <c r="V1091" s="135">
        <f t="shared" si="566"/>
        <v>0</v>
      </c>
      <c r="W1091" s="135">
        <f t="shared" si="566"/>
        <v>0</v>
      </c>
      <c r="X1091" s="135">
        <f t="shared" si="566"/>
        <v>0</v>
      </c>
    </row>
    <row r="1092" spans="2:24" hidden="1">
      <c r="B1092" s="133" t="str">
        <f t="shared" si="564"/>
        <v/>
      </c>
      <c r="C1092" s="133" t="str">
        <f t="shared" si="564"/>
        <v/>
      </c>
      <c r="D1092" s="133" t="str">
        <f t="shared" si="564"/>
        <v/>
      </c>
      <c r="E1092" s="133" t="str">
        <f t="shared" si="564"/>
        <v/>
      </c>
      <c r="F1092" s="133"/>
      <c r="G1092" s="133"/>
      <c r="H1092" s="133"/>
      <c r="I1092" s="133"/>
      <c r="J1092" s="133"/>
      <c r="K1092" s="135">
        <f t="shared" ref="K1092:X1092" si="567">IF(AND($C1092="B+R",$D1092="nie",$E1092="prace rozwojowe",LataProjekcji&lt;=Koniec_PR,Modul_badawczo_rozwojowy=tak),ROUND(K523,0),0)</f>
        <v>0</v>
      </c>
      <c r="L1092" s="135">
        <f t="shared" si="567"/>
        <v>0</v>
      </c>
      <c r="M1092" s="135">
        <f t="shared" si="567"/>
        <v>0</v>
      </c>
      <c r="N1092" s="135">
        <f t="shared" si="567"/>
        <v>0</v>
      </c>
      <c r="O1092" s="135">
        <f t="shared" si="567"/>
        <v>0</v>
      </c>
      <c r="P1092" s="135">
        <f t="shared" si="567"/>
        <v>0</v>
      </c>
      <c r="Q1092" s="135">
        <f t="shared" si="567"/>
        <v>0</v>
      </c>
      <c r="R1092" s="135">
        <f t="shared" si="567"/>
        <v>0</v>
      </c>
      <c r="S1092" s="135">
        <f t="shared" si="567"/>
        <v>0</v>
      </c>
      <c r="T1092" s="135">
        <f t="shared" si="567"/>
        <v>0</v>
      </c>
      <c r="U1092" s="135">
        <f t="shared" si="567"/>
        <v>0</v>
      </c>
      <c r="V1092" s="135">
        <f t="shared" si="567"/>
        <v>0</v>
      </c>
      <c r="W1092" s="135">
        <f t="shared" si="567"/>
        <v>0</v>
      </c>
      <c r="X1092" s="135">
        <f t="shared" si="567"/>
        <v>0</v>
      </c>
    </row>
    <row r="1093" spans="2:24" hidden="1">
      <c r="B1093" s="133" t="str">
        <f t="shared" si="564"/>
        <v/>
      </c>
      <c r="C1093" s="133" t="str">
        <f t="shared" si="564"/>
        <v/>
      </c>
      <c r="D1093" s="133" t="str">
        <f t="shared" si="564"/>
        <v/>
      </c>
      <c r="E1093" s="133" t="str">
        <f t="shared" si="564"/>
        <v/>
      </c>
      <c r="F1093" s="133"/>
      <c r="G1093" s="133"/>
      <c r="H1093" s="133"/>
      <c r="I1093" s="133"/>
      <c r="J1093" s="133"/>
      <c r="K1093" s="135">
        <f t="shared" ref="K1093:X1093" si="568">IF(AND($C1093="B+R",$D1093="nie",$E1093="prace rozwojowe",LataProjekcji&lt;=Koniec_PR,Modul_badawczo_rozwojowy=tak),ROUND(K524,0),0)</f>
        <v>0</v>
      </c>
      <c r="L1093" s="135">
        <f t="shared" si="568"/>
        <v>0</v>
      </c>
      <c r="M1093" s="135">
        <f t="shared" si="568"/>
        <v>0</v>
      </c>
      <c r="N1093" s="135">
        <f t="shared" si="568"/>
        <v>0</v>
      </c>
      <c r="O1093" s="135">
        <f t="shared" si="568"/>
        <v>0</v>
      </c>
      <c r="P1093" s="135">
        <f t="shared" si="568"/>
        <v>0</v>
      </c>
      <c r="Q1093" s="135">
        <f t="shared" si="568"/>
        <v>0</v>
      </c>
      <c r="R1093" s="135">
        <f t="shared" si="568"/>
        <v>0</v>
      </c>
      <c r="S1093" s="135">
        <f t="shared" si="568"/>
        <v>0</v>
      </c>
      <c r="T1093" s="135">
        <f t="shared" si="568"/>
        <v>0</v>
      </c>
      <c r="U1093" s="135">
        <f t="shared" si="568"/>
        <v>0</v>
      </c>
      <c r="V1093" s="135">
        <f t="shared" si="568"/>
        <v>0</v>
      </c>
      <c r="W1093" s="135">
        <f t="shared" si="568"/>
        <v>0</v>
      </c>
      <c r="X1093" s="135">
        <f t="shared" si="568"/>
        <v>0</v>
      </c>
    </row>
    <row r="1094" spans="2:24" hidden="1">
      <c r="B1094" s="133" t="str">
        <f t="shared" si="564"/>
        <v/>
      </c>
      <c r="C1094" s="133" t="str">
        <f t="shared" si="564"/>
        <v/>
      </c>
      <c r="D1094" s="133" t="str">
        <f t="shared" si="564"/>
        <v/>
      </c>
      <c r="E1094" s="133" t="str">
        <f t="shared" si="564"/>
        <v/>
      </c>
      <c r="F1094" s="133"/>
      <c r="G1094" s="133"/>
      <c r="H1094" s="133"/>
      <c r="I1094" s="133"/>
      <c r="J1094" s="133"/>
      <c r="K1094" s="135">
        <f t="shared" ref="K1094:X1094" si="569">IF(AND($C1094="B+R",$D1094="nie",$E1094="prace rozwojowe",LataProjekcji&lt;=Koniec_PR,Modul_badawczo_rozwojowy=tak),ROUND(K525,0),0)</f>
        <v>0</v>
      </c>
      <c r="L1094" s="135">
        <f t="shared" si="569"/>
        <v>0</v>
      </c>
      <c r="M1094" s="135">
        <f t="shared" si="569"/>
        <v>0</v>
      </c>
      <c r="N1094" s="135">
        <f t="shared" si="569"/>
        <v>0</v>
      </c>
      <c r="O1094" s="135">
        <f t="shared" si="569"/>
        <v>0</v>
      </c>
      <c r="P1094" s="135">
        <f t="shared" si="569"/>
        <v>0</v>
      </c>
      <c r="Q1094" s="135">
        <f t="shared" si="569"/>
        <v>0</v>
      </c>
      <c r="R1094" s="135">
        <f t="shared" si="569"/>
        <v>0</v>
      </c>
      <c r="S1094" s="135">
        <f t="shared" si="569"/>
        <v>0</v>
      </c>
      <c r="T1094" s="135">
        <f t="shared" si="569"/>
        <v>0</v>
      </c>
      <c r="U1094" s="135">
        <f t="shared" si="569"/>
        <v>0</v>
      </c>
      <c r="V1094" s="135">
        <f t="shared" si="569"/>
        <v>0</v>
      </c>
      <c r="W1094" s="135">
        <f t="shared" si="569"/>
        <v>0</v>
      </c>
      <c r="X1094" s="135">
        <f t="shared" si="569"/>
        <v>0</v>
      </c>
    </row>
    <row r="1095" spans="2:24" hidden="1">
      <c r="B1095" s="133" t="str">
        <f t="shared" si="564"/>
        <v/>
      </c>
      <c r="C1095" s="133" t="str">
        <f t="shared" si="564"/>
        <v/>
      </c>
      <c r="D1095" s="133" t="str">
        <f t="shared" si="564"/>
        <v/>
      </c>
      <c r="E1095" s="133" t="str">
        <f t="shared" si="564"/>
        <v/>
      </c>
      <c r="F1095" s="133"/>
      <c r="G1095" s="133"/>
      <c r="H1095" s="133"/>
      <c r="I1095" s="133"/>
      <c r="J1095" s="133"/>
      <c r="K1095" s="135">
        <f t="shared" ref="K1095:X1095" si="570">IF(AND($C1095="B+R",$D1095="nie",$E1095="prace rozwojowe",LataProjekcji&lt;=Koniec_PR,Modul_badawczo_rozwojowy=tak),ROUND(K526,0),0)</f>
        <v>0</v>
      </c>
      <c r="L1095" s="135">
        <f t="shared" si="570"/>
        <v>0</v>
      </c>
      <c r="M1095" s="135">
        <f t="shared" si="570"/>
        <v>0</v>
      </c>
      <c r="N1095" s="135">
        <f t="shared" si="570"/>
        <v>0</v>
      </c>
      <c r="O1095" s="135">
        <f t="shared" si="570"/>
        <v>0</v>
      </c>
      <c r="P1095" s="135">
        <f t="shared" si="570"/>
        <v>0</v>
      </c>
      <c r="Q1095" s="135">
        <f t="shared" si="570"/>
        <v>0</v>
      </c>
      <c r="R1095" s="135">
        <f t="shared" si="570"/>
        <v>0</v>
      </c>
      <c r="S1095" s="135">
        <f t="shared" si="570"/>
        <v>0</v>
      </c>
      <c r="T1095" s="135">
        <f t="shared" si="570"/>
        <v>0</v>
      </c>
      <c r="U1095" s="135">
        <f t="shared" si="570"/>
        <v>0</v>
      </c>
      <c r="V1095" s="135">
        <f t="shared" si="570"/>
        <v>0</v>
      </c>
      <c r="W1095" s="135">
        <f t="shared" si="570"/>
        <v>0</v>
      </c>
      <c r="X1095" s="135">
        <f t="shared" si="570"/>
        <v>0</v>
      </c>
    </row>
    <row r="1096" spans="2:24" hidden="1">
      <c r="B1096" s="133" t="str">
        <f t="shared" si="564"/>
        <v/>
      </c>
      <c r="C1096" s="133" t="str">
        <f t="shared" si="564"/>
        <v/>
      </c>
      <c r="D1096" s="133" t="str">
        <f t="shared" si="564"/>
        <v/>
      </c>
      <c r="E1096" s="133" t="str">
        <f t="shared" si="564"/>
        <v/>
      </c>
      <c r="F1096" s="133"/>
      <c r="G1096" s="133"/>
      <c r="H1096" s="133"/>
      <c r="I1096" s="133"/>
      <c r="J1096" s="133"/>
      <c r="K1096" s="135">
        <f t="shared" ref="K1096:X1096" si="571">IF(AND($C1096="B+R",$D1096="nie",$E1096="prace rozwojowe",LataProjekcji&lt;=Koniec_PR,Modul_badawczo_rozwojowy=tak),ROUND(K527,0),0)</f>
        <v>0</v>
      </c>
      <c r="L1096" s="135">
        <f t="shared" si="571"/>
        <v>0</v>
      </c>
      <c r="M1096" s="135">
        <f t="shared" si="571"/>
        <v>0</v>
      </c>
      <c r="N1096" s="135">
        <f t="shared" si="571"/>
        <v>0</v>
      </c>
      <c r="O1096" s="135">
        <f t="shared" si="571"/>
        <v>0</v>
      </c>
      <c r="P1096" s="135">
        <f t="shared" si="571"/>
        <v>0</v>
      </c>
      <c r="Q1096" s="135">
        <f t="shared" si="571"/>
        <v>0</v>
      </c>
      <c r="R1096" s="135">
        <f t="shared" si="571"/>
        <v>0</v>
      </c>
      <c r="S1096" s="135">
        <f t="shared" si="571"/>
        <v>0</v>
      </c>
      <c r="T1096" s="135">
        <f t="shared" si="571"/>
        <v>0</v>
      </c>
      <c r="U1096" s="135">
        <f t="shared" si="571"/>
        <v>0</v>
      </c>
      <c r="V1096" s="135">
        <f t="shared" si="571"/>
        <v>0</v>
      </c>
      <c r="W1096" s="135">
        <f t="shared" si="571"/>
        <v>0</v>
      </c>
      <c r="X1096" s="135">
        <f t="shared" si="571"/>
        <v>0</v>
      </c>
    </row>
    <row r="1097" spans="2:24" hidden="1">
      <c r="B1097" s="133" t="str">
        <f t="shared" si="564"/>
        <v/>
      </c>
      <c r="C1097" s="133" t="str">
        <f t="shared" si="564"/>
        <v/>
      </c>
      <c r="D1097" s="133" t="str">
        <f t="shared" si="564"/>
        <v/>
      </c>
      <c r="E1097" s="133" t="str">
        <f t="shared" si="564"/>
        <v/>
      </c>
      <c r="F1097" s="133"/>
      <c r="G1097" s="133"/>
      <c r="H1097" s="133"/>
      <c r="I1097" s="133"/>
      <c r="J1097" s="133"/>
      <c r="K1097" s="135">
        <f t="shared" ref="K1097:X1097" si="572">IF(AND($C1097="B+R",$D1097="nie",$E1097="prace rozwojowe",LataProjekcji&lt;=Koniec_PR,Modul_badawczo_rozwojowy=tak),ROUND(K528,0),0)</f>
        <v>0</v>
      </c>
      <c r="L1097" s="135">
        <f t="shared" si="572"/>
        <v>0</v>
      </c>
      <c r="M1097" s="135">
        <f t="shared" si="572"/>
        <v>0</v>
      </c>
      <c r="N1097" s="135">
        <f t="shared" si="572"/>
        <v>0</v>
      </c>
      <c r="O1097" s="135">
        <f t="shared" si="572"/>
        <v>0</v>
      </c>
      <c r="P1097" s="135">
        <f t="shared" si="572"/>
        <v>0</v>
      </c>
      <c r="Q1097" s="135">
        <f t="shared" si="572"/>
        <v>0</v>
      </c>
      <c r="R1097" s="135">
        <f t="shared" si="572"/>
        <v>0</v>
      </c>
      <c r="S1097" s="135">
        <f t="shared" si="572"/>
        <v>0</v>
      </c>
      <c r="T1097" s="135">
        <f t="shared" si="572"/>
        <v>0</v>
      </c>
      <c r="U1097" s="135">
        <f t="shared" si="572"/>
        <v>0</v>
      </c>
      <c r="V1097" s="135">
        <f t="shared" si="572"/>
        <v>0</v>
      </c>
      <c r="W1097" s="135">
        <f t="shared" si="572"/>
        <v>0</v>
      </c>
      <c r="X1097" s="135">
        <f t="shared" si="572"/>
        <v>0</v>
      </c>
    </row>
    <row r="1098" spans="2:24" hidden="1">
      <c r="B1098" s="133" t="str">
        <f t="shared" si="564"/>
        <v/>
      </c>
      <c r="C1098" s="133" t="str">
        <f t="shared" si="564"/>
        <v/>
      </c>
      <c r="D1098" s="133" t="str">
        <f t="shared" si="564"/>
        <v/>
      </c>
      <c r="E1098" s="133" t="str">
        <f t="shared" si="564"/>
        <v/>
      </c>
      <c r="F1098" s="133"/>
      <c r="G1098" s="133"/>
      <c r="H1098" s="133"/>
      <c r="I1098" s="133"/>
      <c r="J1098" s="133"/>
      <c r="K1098" s="135">
        <f t="shared" ref="K1098:X1098" si="573">IF(AND($C1098="B+R",$D1098="nie",$E1098="prace rozwojowe",LataProjekcji&lt;=Koniec_PR,Modul_badawczo_rozwojowy=tak),ROUND(K529,0),0)</f>
        <v>0</v>
      </c>
      <c r="L1098" s="135">
        <f t="shared" si="573"/>
        <v>0</v>
      </c>
      <c r="M1098" s="135">
        <f t="shared" si="573"/>
        <v>0</v>
      </c>
      <c r="N1098" s="135">
        <f t="shared" si="573"/>
        <v>0</v>
      </c>
      <c r="O1098" s="135">
        <f t="shared" si="573"/>
        <v>0</v>
      </c>
      <c r="P1098" s="135">
        <f t="shared" si="573"/>
        <v>0</v>
      </c>
      <c r="Q1098" s="135">
        <f t="shared" si="573"/>
        <v>0</v>
      </c>
      <c r="R1098" s="135">
        <f t="shared" si="573"/>
        <v>0</v>
      </c>
      <c r="S1098" s="135">
        <f t="shared" si="573"/>
        <v>0</v>
      </c>
      <c r="T1098" s="135">
        <f t="shared" si="573"/>
        <v>0</v>
      </c>
      <c r="U1098" s="135">
        <f t="shared" si="573"/>
        <v>0</v>
      </c>
      <c r="V1098" s="135">
        <f t="shared" si="573"/>
        <v>0</v>
      </c>
      <c r="W1098" s="135">
        <f t="shared" si="573"/>
        <v>0</v>
      </c>
      <c r="X1098" s="135">
        <f t="shared" si="573"/>
        <v>0</v>
      </c>
    </row>
    <row r="1099" spans="2:24" hidden="1">
      <c r="B1099" s="133" t="str">
        <f t="shared" si="564"/>
        <v/>
      </c>
      <c r="C1099" s="133" t="str">
        <f t="shared" si="564"/>
        <v/>
      </c>
      <c r="D1099" s="133" t="str">
        <f t="shared" si="564"/>
        <v/>
      </c>
      <c r="E1099" s="133" t="str">
        <f t="shared" si="564"/>
        <v/>
      </c>
      <c r="F1099" s="133"/>
      <c r="G1099" s="133"/>
      <c r="H1099" s="133"/>
      <c r="I1099" s="133"/>
      <c r="J1099" s="133"/>
      <c r="K1099" s="135">
        <f t="shared" ref="K1099:X1099" si="574">IF(AND($C1099="B+R",$D1099="nie",$E1099="prace rozwojowe",LataProjekcji&lt;=Koniec_PR,Modul_badawczo_rozwojowy=tak),ROUND(K530,0),0)</f>
        <v>0</v>
      </c>
      <c r="L1099" s="135">
        <f t="shared" si="574"/>
        <v>0</v>
      </c>
      <c r="M1099" s="135">
        <f t="shared" si="574"/>
        <v>0</v>
      </c>
      <c r="N1099" s="135">
        <f t="shared" si="574"/>
        <v>0</v>
      </c>
      <c r="O1099" s="135">
        <f t="shared" si="574"/>
        <v>0</v>
      </c>
      <c r="P1099" s="135">
        <f t="shared" si="574"/>
        <v>0</v>
      </c>
      <c r="Q1099" s="135">
        <f t="shared" si="574"/>
        <v>0</v>
      </c>
      <c r="R1099" s="135">
        <f t="shared" si="574"/>
        <v>0</v>
      </c>
      <c r="S1099" s="135">
        <f t="shared" si="574"/>
        <v>0</v>
      </c>
      <c r="T1099" s="135">
        <f t="shared" si="574"/>
        <v>0</v>
      </c>
      <c r="U1099" s="135">
        <f t="shared" si="574"/>
        <v>0</v>
      </c>
      <c r="V1099" s="135">
        <f t="shared" si="574"/>
        <v>0</v>
      </c>
      <c r="W1099" s="135">
        <f t="shared" si="574"/>
        <v>0</v>
      </c>
      <c r="X1099" s="135">
        <f t="shared" si="574"/>
        <v>0</v>
      </c>
    </row>
    <row r="1100" spans="2:24" hidden="1">
      <c r="B1100" s="133" t="str">
        <f t="shared" si="564"/>
        <v/>
      </c>
      <c r="C1100" s="133" t="str">
        <f t="shared" si="564"/>
        <v/>
      </c>
      <c r="D1100" s="133" t="str">
        <f t="shared" si="564"/>
        <v/>
      </c>
      <c r="E1100" s="133" t="str">
        <f t="shared" si="564"/>
        <v/>
      </c>
      <c r="F1100" s="133"/>
      <c r="G1100" s="133"/>
      <c r="H1100" s="133"/>
      <c r="I1100" s="133"/>
      <c r="J1100" s="133"/>
      <c r="K1100" s="135">
        <f t="shared" ref="K1100:X1100" si="575">IF(AND($C1100="B+R",$D1100="nie",$E1100="prace rozwojowe",LataProjekcji&lt;=Koniec_PR,Modul_badawczo_rozwojowy=tak),ROUND(K531,0),0)</f>
        <v>0</v>
      </c>
      <c r="L1100" s="135">
        <f t="shared" si="575"/>
        <v>0</v>
      </c>
      <c r="M1100" s="135">
        <f t="shared" si="575"/>
        <v>0</v>
      </c>
      <c r="N1100" s="135">
        <f t="shared" si="575"/>
        <v>0</v>
      </c>
      <c r="O1100" s="135">
        <f t="shared" si="575"/>
        <v>0</v>
      </c>
      <c r="P1100" s="135">
        <f t="shared" si="575"/>
        <v>0</v>
      </c>
      <c r="Q1100" s="135">
        <f t="shared" si="575"/>
        <v>0</v>
      </c>
      <c r="R1100" s="135">
        <f t="shared" si="575"/>
        <v>0</v>
      </c>
      <c r="S1100" s="135">
        <f t="shared" si="575"/>
        <v>0</v>
      </c>
      <c r="T1100" s="135">
        <f t="shared" si="575"/>
        <v>0</v>
      </c>
      <c r="U1100" s="135">
        <f t="shared" si="575"/>
        <v>0</v>
      </c>
      <c r="V1100" s="135">
        <f t="shared" si="575"/>
        <v>0</v>
      </c>
      <c r="W1100" s="135">
        <f t="shared" si="575"/>
        <v>0</v>
      </c>
      <c r="X1100" s="135">
        <f t="shared" si="575"/>
        <v>0</v>
      </c>
    </row>
    <row r="1101" spans="2:24" hidden="1">
      <c r="B1101" s="133" t="str">
        <f t="shared" si="564"/>
        <v/>
      </c>
      <c r="C1101" s="133" t="str">
        <f t="shared" si="564"/>
        <v/>
      </c>
      <c r="D1101" s="133" t="str">
        <f t="shared" si="564"/>
        <v/>
      </c>
      <c r="E1101" s="133" t="str">
        <f t="shared" si="564"/>
        <v/>
      </c>
      <c r="F1101" s="133"/>
      <c r="G1101" s="133"/>
      <c r="H1101" s="133"/>
      <c r="I1101" s="133"/>
      <c r="J1101" s="133"/>
      <c r="K1101" s="135">
        <f t="shared" ref="K1101:X1101" si="576">IF(AND($C1101="B+R",$D1101="nie",$E1101="prace rozwojowe",LataProjekcji&lt;=Koniec_PR,Modul_badawczo_rozwojowy=tak),ROUND(K532,0),0)</f>
        <v>0</v>
      </c>
      <c r="L1101" s="135">
        <f t="shared" si="576"/>
        <v>0</v>
      </c>
      <c r="M1101" s="135">
        <f t="shared" si="576"/>
        <v>0</v>
      </c>
      <c r="N1101" s="135">
        <f t="shared" si="576"/>
        <v>0</v>
      </c>
      <c r="O1101" s="135">
        <f t="shared" si="576"/>
        <v>0</v>
      </c>
      <c r="P1101" s="135">
        <f t="shared" si="576"/>
        <v>0</v>
      </c>
      <c r="Q1101" s="135">
        <f t="shared" si="576"/>
        <v>0</v>
      </c>
      <c r="R1101" s="135">
        <f t="shared" si="576"/>
        <v>0</v>
      </c>
      <c r="S1101" s="135">
        <f t="shared" si="576"/>
        <v>0</v>
      </c>
      <c r="T1101" s="135">
        <f t="shared" si="576"/>
        <v>0</v>
      </c>
      <c r="U1101" s="135">
        <f t="shared" si="576"/>
        <v>0</v>
      </c>
      <c r="V1101" s="135">
        <f t="shared" si="576"/>
        <v>0</v>
      </c>
      <c r="W1101" s="135">
        <f t="shared" si="576"/>
        <v>0</v>
      </c>
      <c r="X1101" s="135">
        <f t="shared" si="576"/>
        <v>0</v>
      </c>
    </row>
    <row r="1102" spans="2:24" hidden="1">
      <c r="B1102" s="133" t="str">
        <f t="shared" si="564"/>
        <v/>
      </c>
      <c r="C1102" s="133" t="str">
        <f t="shared" si="564"/>
        <v/>
      </c>
      <c r="D1102" s="133" t="str">
        <f t="shared" si="564"/>
        <v/>
      </c>
      <c r="E1102" s="133" t="str">
        <f t="shared" si="564"/>
        <v/>
      </c>
      <c r="F1102" s="133"/>
      <c r="G1102" s="133"/>
      <c r="H1102" s="133"/>
      <c r="I1102" s="133"/>
      <c r="J1102" s="133"/>
      <c r="K1102" s="135">
        <f t="shared" ref="K1102:X1102" si="577">IF(AND($C1102="B+R",$D1102="nie",$E1102="prace rozwojowe",LataProjekcji&lt;=Koniec_PR,Modul_badawczo_rozwojowy=tak),ROUND(K533,0),0)</f>
        <v>0</v>
      </c>
      <c r="L1102" s="135">
        <f t="shared" si="577"/>
        <v>0</v>
      </c>
      <c r="M1102" s="135">
        <f t="shared" si="577"/>
        <v>0</v>
      </c>
      <c r="N1102" s="135">
        <f t="shared" si="577"/>
        <v>0</v>
      </c>
      <c r="O1102" s="135">
        <f t="shared" si="577"/>
        <v>0</v>
      </c>
      <c r="P1102" s="135">
        <f t="shared" si="577"/>
        <v>0</v>
      </c>
      <c r="Q1102" s="135">
        <f t="shared" si="577"/>
        <v>0</v>
      </c>
      <c r="R1102" s="135">
        <f t="shared" si="577"/>
        <v>0</v>
      </c>
      <c r="S1102" s="135">
        <f t="shared" si="577"/>
        <v>0</v>
      </c>
      <c r="T1102" s="135">
        <f t="shared" si="577"/>
        <v>0</v>
      </c>
      <c r="U1102" s="135">
        <f t="shared" si="577"/>
        <v>0</v>
      </c>
      <c r="V1102" s="135">
        <f t="shared" si="577"/>
        <v>0</v>
      </c>
      <c r="W1102" s="135">
        <f t="shared" si="577"/>
        <v>0</v>
      </c>
      <c r="X1102" s="135">
        <f t="shared" si="577"/>
        <v>0</v>
      </c>
    </row>
    <row r="1103" spans="2:24" hidden="1">
      <c r="B1103" s="133" t="str">
        <f t="shared" si="564"/>
        <v/>
      </c>
      <c r="C1103" s="133" t="str">
        <f t="shared" si="564"/>
        <v/>
      </c>
      <c r="D1103" s="133" t="str">
        <f t="shared" si="564"/>
        <v/>
      </c>
      <c r="E1103" s="133" t="str">
        <f t="shared" si="564"/>
        <v/>
      </c>
      <c r="F1103" s="133"/>
      <c r="G1103" s="133"/>
      <c r="H1103" s="133"/>
      <c r="I1103" s="133"/>
      <c r="J1103" s="133"/>
      <c r="K1103" s="135">
        <f t="shared" ref="K1103:X1103" si="578">IF(AND($C1103="B+R",$D1103="nie",$E1103="prace rozwojowe",LataProjekcji&lt;=Koniec_PR,Modul_badawczo_rozwojowy=tak),ROUND(K534,0),0)</f>
        <v>0</v>
      </c>
      <c r="L1103" s="135">
        <f t="shared" si="578"/>
        <v>0</v>
      </c>
      <c r="M1103" s="135">
        <f t="shared" si="578"/>
        <v>0</v>
      </c>
      <c r="N1103" s="135">
        <f t="shared" si="578"/>
        <v>0</v>
      </c>
      <c r="O1103" s="135">
        <f t="shared" si="578"/>
        <v>0</v>
      </c>
      <c r="P1103" s="135">
        <f t="shared" si="578"/>
        <v>0</v>
      </c>
      <c r="Q1103" s="135">
        <f t="shared" si="578"/>
        <v>0</v>
      </c>
      <c r="R1103" s="135">
        <f t="shared" si="578"/>
        <v>0</v>
      </c>
      <c r="S1103" s="135">
        <f t="shared" si="578"/>
        <v>0</v>
      </c>
      <c r="T1103" s="135">
        <f t="shared" si="578"/>
        <v>0</v>
      </c>
      <c r="U1103" s="135">
        <f t="shared" si="578"/>
        <v>0</v>
      </c>
      <c r="V1103" s="135">
        <f t="shared" si="578"/>
        <v>0</v>
      </c>
      <c r="W1103" s="135">
        <f t="shared" si="578"/>
        <v>0</v>
      </c>
      <c r="X1103" s="135">
        <f t="shared" si="578"/>
        <v>0</v>
      </c>
    </row>
    <row r="1104" spans="2:24" hidden="1">
      <c r="B1104" s="133" t="str">
        <f t="shared" si="564"/>
        <v/>
      </c>
      <c r="C1104" s="133" t="str">
        <f t="shared" si="564"/>
        <v/>
      </c>
      <c r="D1104" s="133" t="str">
        <f t="shared" si="564"/>
        <v/>
      </c>
      <c r="E1104" s="133" t="str">
        <f t="shared" si="564"/>
        <v/>
      </c>
      <c r="F1104" s="133"/>
      <c r="G1104" s="133"/>
      <c r="H1104" s="133"/>
      <c r="I1104" s="133"/>
      <c r="J1104" s="133"/>
      <c r="K1104" s="135">
        <f t="shared" ref="K1104:X1104" si="579">IF(AND($C1104="B+R",$D1104="nie",$E1104="prace rozwojowe",LataProjekcji&lt;=Koniec_PR,Modul_badawczo_rozwojowy=tak),ROUND(K535,0),0)</f>
        <v>0</v>
      </c>
      <c r="L1104" s="135">
        <f t="shared" si="579"/>
        <v>0</v>
      </c>
      <c r="M1104" s="135">
        <f t="shared" si="579"/>
        <v>0</v>
      </c>
      <c r="N1104" s="135">
        <f t="shared" si="579"/>
        <v>0</v>
      </c>
      <c r="O1104" s="135">
        <f t="shared" si="579"/>
        <v>0</v>
      </c>
      <c r="P1104" s="135">
        <f t="shared" si="579"/>
        <v>0</v>
      </c>
      <c r="Q1104" s="135">
        <f t="shared" si="579"/>
        <v>0</v>
      </c>
      <c r="R1104" s="135">
        <f t="shared" si="579"/>
        <v>0</v>
      </c>
      <c r="S1104" s="135">
        <f t="shared" si="579"/>
        <v>0</v>
      </c>
      <c r="T1104" s="135">
        <f t="shared" si="579"/>
        <v>0</v>
      </c>
      <c r="U1104" s="135">
        <f t="shared" si="579"/>
        <v>0</v>
      </c>
      <c r="V1104" s="135">
        <f t="shared" si="579"/>
        <v>0</v>
      </c>
      <c r="W1104" s="135">
        <f t="shared" si="579"/>
        <v>0</v>
      </c>
      <c r="X1104" s="135">
        <f t="shared" si="579"/>
        <v>0</v>
      </c>
    </row>
    <row r="1105" spans="2:24" hidden="1">
      <c r="B1105" s="133" t="str">
        <f t="shared" si="564"/>
        <v/>
      </c>
      <c r="C1105" s="133" t="str">
        <f t="shared" si="564"/>
        <v/>
      </c>
      <c r="D1105" s="133" t="str">
        <f t="shared" si="564"/>
        <v/>
      </c>
      <c r="E1105" s="133" t="str">
        <f t="shared" si="564"/>
        <v/>
      </c>
      <c r="F1105" s="133"/>
      <c r="G1105" s="133"/>
      <c r="H1105" s="133"/>
      <c r="I1105" s="133"/>
      <c r="J1105" s="133"/>
      <c r="K1105" s="135">
        <f t="shared" ref="K1105:X1105" si="580">IF(AND($C1105="B+R",$D1105="nie",$E1105="prace rozwojowe",LataProjekcji&lt;=Koniec_PR,Modul_badawczo_rozwojowy=tak),ROUND(K536,0),0)</f>
        <v>0</v>
      </c>
      <c r="L1105" s="135">
        <f t="shared" si="580"/>
        <v>0</v>
      </c>
      <c r="M1105" s="135">
        <f t="shared" si="580"/>
        <v>0</v>
      </c>
      <c r="N1105" s="135">
        <f t="shared" si="580"/>
        <v>0</v>
      </c>
      <c r="O1105" s="135">
        <f t="shared" si="580"/>
        <v>0</v>
      </c>
      <c r="P1105" s="135">
        <f t="shared" si="580"/>
        <v>0</v>
      </c>
      <c r="Q1105" s="135">
        <f t="shared" si="580"/>
        <v>0</v>
      </c>
      <c r="R1105" s="135">
        <f t="shared" si="580"/>
        <v>0</v>
      </c>
      <c r="S1105" s="135">
        <f t="shared" si="580"/>
        <v>0</v>
      </c>
      <c r="T1105" s="135">
        <f t="shared" si="580"/>
        <v>0</v>
      </c>
      <c r="U1105" s="135">
        <f t="shared" si="580"/>
        <v>0</v>
      </c>
      <c r="V1105" s="135">
        <f t="shared" si="580"/>
        <v>0</v>
      </c>
      <c r="W1105" s="135">
        <f t="shared" si="580"/>
        <v>0</v>
      </c>
      <c r="X1105" s="135">
        <f t="shared" si="580"/>
        <v>0</v>
      </c>
    </row>
    <row r="1106" spans="2:24" hidden="1">
      <c r="B1106" s="133" t="str">
        <f t="shared" si="564"/>
        <v/>
      </c>
      <c r="C1106" s="133" t="str">
        <f t="shared" si="564"/>
        <v/>
      </c>
      <c r="D1106" s="133" t="str">
        <f t="shared" si="564"/>
        <v/>
      </c>
      <c r="E1106" s="133" t="str">
        <f t="shared" si="564"/>
        <v/>
      </c>
      <c r="F1106" s="133"/>
      <c r="G1106" s="133"/>
      <c r="H1106" s="133"/>
      <c r="I1106" s="133"/>
      <c r="J1106" s="133"/>
      <c r="K1106" s="135">
        <f t="shared" ref="K1106:X1106" si="581">IF(AND($C1106="B+R",$D1106="nie",$E1106="prace rozwojowe",LataProjekcji&lt;=Koniec_PR,Modul_badawczo_rozwojowy=tak),ROUND(K537,0),0)</f>
        <v>0</v>
      </c>
      <c r="L1106" s="135">
        <f t="shared" si="581"/>
        <v>0</v>
      </c>
      <c r="M1106" s="135">
        <f t="shared" si="581"/>
        <v>0</v>
      </c>
      <c r="N1106" s="135">
        <f t="shared" si="581"/>
        <v>0</v>
      </c>
      <c r="O1106" s="135">
        <f t="shared" si="581"/>
        <v>0</v>
      </c>
      <c r="P1106" s="135">
        <f t="shared" si="581"/>
        <v>0</v>
      </c>
      <c r="Q1106" s="135">
        <f t="shared" si="581"/>
        <v>0</v>
      </c>
      <c r="R1106" s="135">
        <f t="shared" si="581"/>
        <v>0</v>
      </c>
      <c r="S1106" s="135">
        <f t="shared" si="581"/>
        <v>0</v>
      </c>
      <c r="T1106" s="135">
        <f t="shared" si="581"/>
        <v>0</v>
      </c>
      <c r="U1106" s="135">
        <f t="shared" si="581"/>
        <v>0</v>
      </c>
      <c r="V1106" s="135">
        <f t="shared" si="581"/>
        <v>0</v>
      </c>
      <c r="W1106" s="135">
        <f t="shared" si="581"/>
        <v>0</v>
      </c>
      <c r="X1106" s="135">
        <f t="shared" si="581"/>
        <v>0</v>
      </c>
    </row>
    <row r="1107" spans="2:24" hidden="1">
      <c r="B1107" s="133" t="str">
        <f t="shared" si="564"/>
        <v/>
      </c>
      <c r="C1107" s="133" t="str">
        <f t="shared" si="564"/>
        <v/>
      </c>
      <c r="D1107" s="133" t="str">
        <f t="shared" si="564"/>
        <v/>
      </c>
      <c r="E1107" s="133" t="str">
        <f t="shared" si="564"/>
        <v/>
      </c>
      <c r="F1107" s="133"/>
      <c r="G1107" s="133"/>
      <c r="H1107" s="133"/>
      <c r="I1107" s="133"/>
      <c r="J1107" s="133"/>
      <c r="K1107" s="135">
        <f t="shared" ref="K1107:X1107" si="582">IF(AND($C1107="B+R",$D1107="nie",$E1107="prace rozwojowe",LataProjekcji&lt;=Koniec_PR,Modul_badawczo_rozwojowy=tak),ROUND(K538,0),0)</f>
        <v>0</v>
      </c>
      <c r="L1107" s="135">
        <f t="shared" si="582"/>
        <v>0</v>
      </c>
      <c r="M1107" s="135">
        <f t="shared" si="582"/>
        <v>0</v>
      </c>
      <c r="N1107" s="135">
        <f t="shared" si="582"/>
        <v>0</v>
      </c>
      <c r="O1107" s="135">
        <f t="shared" si="582"/>
        <v>0</v>
      </c>
      <c r="P1107" s="135">
        <f t="shared" si="582"/>
        <v>0</v>
      </c>
      <c r="Q1107" s="135">
        <f t="shared" si="582"/>
        <v>0</v>
      </c>
      <c r="R1107" s="135">
        <f t="shared" si="582"/>
        <v>0</v>
      </c>
      <c r="S1107" s="135">
        <f t="shared" si="582"/>
        <v>0</v>
      </c>
      <c r="T1107" s="135">
        <f t="shared" si="582"/>
        <v>0</v>
      </c>
      <c r="U1107" s="135">
        <f t="shared" si="582"/>
        <v>0</v>
      </c>
      <c r="V1107" s="135">
        <f t="shared" si="582"/>
        <v>0</v>
      </c>
      <c r="W1107" s="135">
        <f t="shared" si="582"/>
        <v>0</v>
      </c>
      <c r="X1107" s="135">
        <f t="shared" si="582"/>
        <v>0</v>
      </c>
    </row>
    <row r="1108" spans="2:24" hidden="1">
      <c r="B1108" s="133" t="str">
        <f t="shared" si="564"/>
        <v/>
      </c>
      <c r="C1108" s="133" t="str">
        <f t="shared" si="564"/>
        <v/>
      </c>
      <c r="D1108" s="133" t="str">
        <f t="shared" si="564"/>
        <v/>
      </c>
      <c r="E1108" s="133" t="str">
        <f t="shared" si="564"/>
        <v/>
      </c>
      <c r="F1108" s="133"/>
      <c r="G1108" s="133"/>
      <c r="H1108" s="133"/>
      <c r="I1108" s="133"/>
      <c r="J1108" s="133"/>
      <c r="K1108" s="135">
        <f t="shared" ref="K1108:X1108" si="583">IF(AND($C1108="B+R",$D1108="nie",$E1108="prace rozwojowe",LataProjekcji&lt;=Koniec_PR,Modul_badawczo_rozwojowy=tak),ROUND(K539,0),0)</f>
        <v>0</v>
      </c>
      <c r="L1108" s="135">
        <f t="shared" si="583"/>
        <v>0</v>
      </c>
      <c r="M1108" s="135">
        <f t="shared" si="583"/>
        <v>0</v>
      </c>
      <c r="N1108" s="135">
        <f t="shared" si="583"/>
        <v>0</v>
      </c>
      <c r="O1108" s="135">
        <f t="shared" si="583"/>
        <v>0</v>
      </c>
      <c r="P1108" s="135">
        <f t="shared" si="583"/>
        <v>0</v>
      </c>
      <c r="Q1108" s="135">
        <f t="shared" si="583"/>
        <v>0</v>
      </c>
      <c r="R1108" s="135">
        <f t="shared" si="583"/>
        <v>0</v>
      </c>
      <c r="S1108" s="135">
        <f t="shared" si="583"/>
        <v>0</v>
      </c>
      <c r="T1108" s="135">
        <f t="shared" si="583"/>
        <v>0</v>
      </c>
      <c r="U1108" s="135">
        <f t="shared" si="583"/>
        <v>0</v>
      </c>
      <c r="V1108" s="135">
        <f t="shared" si="583"/>
        <v>0</v>
      </c>
      <c r="W1108" s="135">
        <f t="shared" si="583"/>
        <v>0</v>
      </c>
      <c r="X1108" s="135">
        <f t="shared" si="583"/>
        <v>0</v>
      </c>
    </row>
    <row r="1109" spans="2:24" hidden="1">
      <c r="B1109" s="133" t="str">
        <f t="shared" si="564"/>
        <v/>
      </c>
      <c r="C1109" s="133" t="str">
        <f t="shared" si="564"/>
        <v/>
      </c>
      <c r="D1109" s="133" t="str">
        <f t="shared" si="564"/>
        <v/>
      </c>
      <c r="E1109" s="133" t="str">
        <f t="shared" si="564"/>
        <v/>
      </c>
      <c r="F1109" s="133"/>
      <c r="G1109" s="133"/>
      <c r="H1109" s="133"/>
      <c r="I1109" s="133"/>
      <c r="J1109" s="133"/>
      <c r="K1109" s="135">
        <f t="shared" ref="K1109:X1109" si="584">IF(AND($C1109="B+R",$D1109="nie",$E1109="prace rozwojowe",LataProjekcji&lt;=Koniec_PR,Modul_badawczo_rozwojowy=tak),ROUND(K540,0),0)</f>
        <v>0</v>
      </c>
      <c r="L1109" s="135">
        <f t="shared" si="584"/>
        <v>0</v>
      </c>
      <c r="M1109" s="135">
        <f t="shared" si="584"/>
        <v>0</v>
      </c>
      <c r="N1109" s="135">
        <f t="shared" si="584"/>
        <v>0</v>
      </c>
      <c r="O1109" s="135">
        <f t="shared" si="584"/>
        <v>0</v>
      </c>
      <c r="P1109" s="135">
        <f t="shared" si="584"/>
        <v>0</v>
      </c>
      <c r="Q1109" s="135">
        <f t="shared" si="584"/>
        <v>0</v>
      </c>
      <c r="R1109" s="135">
        <f t="shared" si="584"/>
        <v>0</v>
      </c>
      <c r="S1109" s="135">
        <f t="shared" si="584"/>
        <v>0</v>
      </c>
      <c r="T1109" s="135">
        <f t="shared" si="584"/>
        <v>0</v>
      </c>
      <c r="U1109" s="135">
        <f t="shared" si="584"/>
        <v>0</v>
      </c>
      <c r="V1109" s="135">
        <f t="shared" si="584"/>
        <v>0</v>
      </c>
      <c r="W1109" s="135">
        <f t="shared" si="584"/>
        <v>0</v>
      </c>
      <c r="X1109" s="135">
        <f t="shared" si="584"/>
        <v>0</v>
      </c>
    </row>
    <row r="1110" spans="2:24" hidden="1">
      <c r="B1110" s="133" t="str">
        <f t="shared" si="564"/>
        <v/>
      </c>
      <c r="C1110" s="133" t="str">
        <f t="shared" si="564"/>
        <v/>
      </c>
      <c r="D1110" s="133" t="str">
        <f t="shared" si="564"/>
        <v/>
      </c>
      <c r="E1110" s="133" t="str">
        <f t="shared" si="564"/>
        <v/>
      </c>
      <c r="F1110" s="133"/>
      <c r="G1110" s="133"/>
      <c r="H1110" s="133"/>
      <c r="I1110" s="133"/>
      <c r="J1110" s="133"/>
      <c r="K1110" s="135">
        <f t="shared" ref="K1110:X1110" si="585">IF(AND($C1110="B+R",$D1110="nie",$E1110="prace rozwojowe",LataProjekcji&lt;=Koniec_PR,Modul_badawczo_rozwojowy=tak),ROUND(K541,0),0)</f>
        <v>0</v>
      </c>
      <c r="L1110" s="135">
        <f t="shared" si="585"/>
        <v>0</v>
      </c>
      <c r="M1110" s="135">
        <f t="shared" si="585"/>
        <v>0</v>
      </c>
      <c r="N1110" s="135">
        <f t="shared" si="585"/>
        <v>0</v>
      </c>
      <c r="O1110" s="135">
        <f t="shared" si="585"/>
        <v>0</v>
      </c>
      <c r="P1110" s="135">
        <f t="shared" si="585"/>
        <v>0</v>
      </c>
      <c r="Q1110" s="135">
        <f t="shared" si="585"/>
        <v>0</v>
      </c>
      <c r="R1110" s="135">
        <f t="shared" si="585"/>
        <v>0</v>
      </c>
      <c r="S1110" s="135">
        <f t="shared" si="585"/>
        <v>0</v>
      </c>
      <c r="T1110" s="135">
        <f t="shared" si="585"/>
        <v>0</v>
      </c>
      <c r="U1110" s="135">
        <f t="shared" si="585"/>
        <v>0</v>
      </c>
      <c r="V1110" s="135">
        <f t="shared" si="585"/>
        <v>0</v>
      </c>
      <c r="W1110" s="135">
        <f t="shared" si="585"/>
        <v>0</v>
      </c>
      <c r="X1110" s="135">
        <f t="shared" si="585"/>
        <v>0</v>
      </c>
    </row>
    <row r="1111" spans="2:24" hidden="1">
      <c r="B1111" s="133" t="str">
        <f t="shared" si="564"/>
        <v/>
      </c>
      <c r="C1111" s="133" t="str">
        <f t="shared" si="564"/>
        <v/>
      </c>
      <c r="D1111" s="133" t="str">
        <f t="shared" si="564"/>
        <v/>
      </c>
      <c r="E1111" s="133" t="str">
        <f t="shared" si="564"/>
        <v/>
      </c>
      <c r="F1111" s="133"/>
      <c r="G1111" s="133"/>
      <c r="H1111" s="133"/>
      <c r="I1111" s="133"/>
      <c r="J1111" s="133"/>
      <c r="K1111" s="135">
        <f t="shared" ref="K1111:X1111" si="586">IF(AND($C1111="B+R",$D1111="nie",$E1111="prace rozwojowe",LataProjekcji&lt;=Koniec_PR,Modul_badawczo_rozwojowy=tak),ROUND(K542,0),0)</f>
        <v>0</v>
      </c>
      <c r="L1111" s="135">
        <f t="shared" si="586"/>
        <v>0</v>
      </c>
      <c r="M1111" s="135">
        <f t="shared" si="586"/>
        <v>0</v>
      </c>
      <c r="N1111" s="135">
        <f t="shared" si="586"/>
        <v>0</v>
      </c>
      <c r="O1111" s="135">
        <f t="shared" si="586"/>
        <v>0</v>
      </c>
      <c r="P1111" s="135">
        <f t="shared" si="586"/>
        <v>0</v>
      </c>
      <c r="Q1111" s="135">
        <f t="shared" si="586"/>
        <v>0</v>
      </c>
      <c r="R1111" s="135">
        <f t="shared" si="586"/>
        <v>0</v>
      </c>
      <c r="S1111" s="135">
        <f t="shared" si="586"/>
        <v>0</v>
      </c>
      <c r="T1111" s="135">
        <f t="shared" si="586"/>
        <v>0</v>
      </c>
      <c r="U1111" s="135">
        <f t="shared" si="586"/>
        <v>0</v>
      </c>
      <c r="V1111" s="135">
        <f t="shared" si="586"/>
        <v>0</v>
      </c>
      <c r="W1111" s="135">
        <f t="shared" si="586"/>
        <v>0</v>
      </c>
      <c r="X1111" s="135">
        <f t="shared" si="586"/>
        <v>0</v>
      </c>
    </row>
    <row r="1112" spans="2:24" hidden="1">
      <c r="B1112" s="133" t="str">
        <f t="shared" si="564"/>
        <v/>
      </c>
      <c r="C1112" s="133" t="str">
        <f t="shared" si="564"/>
        <v/>
      </c>
      <c r="D1112" s="133" t="str">
        <f t="shared" si="564"/>
        <v/>
      </c>
      <c r="E1112" s="133" t="str">
        <f t="shared" si="564"/>
        <v/>
      </c>
      <c r="F1112" s="133"/>
      <c r="G1112" s="133"/>
      <c r="H1112" s="133"/>
      <c r="I1112" s="133"/>
      <c r="J1112" s="133"/>
      <c r="K1112" s="135">
        <f t="shared" ref="K1112:X1112" si="587">IF(AND($C1112="B+R",$D1112="nie",$E1112="prace rozwojowe",LataProjekcji&lt;=Koniec_PR,Modul_badawczo_rozwojowy=tak),ROUND(K543,0),0)</f>
        <v>0</v>
      </c>
      <c r="L1112" s="135">
        <f t="shared" si="587"/>
        <v>0</v>
      </c>
      <c r="M1112" s="135">
        <f t="shared" si="587"/>
        <v>0</v>
      </c>
      <c r="N1112" s="135">
        <f t="shared" si="587"/>
        <v>0</v>
      </c>
      <c r="O1112" s="135">
        <f t="shared" si="587"/>
        <v>0</v>
      </c>
      <c r="P1112" s="135">
        <f t="shared" si="587"/>
        <v>0</v>
      </c>
      <c r="Q1112" s="135">
        <f t="shared" si="587"/>
        <v>0</v>
      </c>
      <c r="R1112" s="135">
        <f t="shared" si="587"/>
        <v>0</v>
      </c>
      <c r="S1112" s="135">
        <f t="shared" si="587"/>
        <v>0</v>
      </c>
      <c r="T1112" s="135">
        <f t="shared" si="587"/>
        <v>0</v>
      </c>
      <c r="U1112" s="135">
        <f t="shared" si="587"/>
        <v>0</v>
      </c>
      <c r="V1112" s="135">
        <f t="shared" si="587"/>
        <v>0</v>
      </c>
      <c r="W1112" s="135">
        <f t="shared" si="587"/>
        <v>0</v>
      </c>
      <c r="X1112" s="135">
        <f t="shared" si="587"/>
        <v>0</v>
      </c>
    </row>
    <row r="1113" spans="2:24" hidden="1">
      <c r="B1113" s="133" t="str">
        <f t="shared" si="564"/>
        <v/>
      </c>
      <c r="C1113" s="133" t="str">
        <f t="shared" si="564"/>
        <v/>
      </c>
      <c r="D1113" s="133" t="str">
        <f t="shared" si="564"/>
        <v/>
      </c>
      <c r="E1113" s="133" t="str">
        <f t="shared" si="564"/>
        <v/>
      </c>
      <c r="F1113" s="133"/>
      <c r="G1113" s="133"/>
      <c r="H1113" s="133"/>
      <c r="I1113" s="133"/>
      <c r="J1113" s="133"/>
      <c r="K1113" s="135">
        <f t="shared" ref="K1113:X1113" si="588">IF(AND($C1113="B+R",$D1113="nie",$E1113="prace rozwojowe",LataProjekcji&lt;=Koniec_PR,Modul_badawczo_rozwojowy=tak),ROUND(K544,0),0)</f>
        <v>0</v>
      </c>
      <c r="L1113" s="135">
        <f t="shared" si="588"/>
        <v>0</v>
      </c>
      <c r="M1113" s="135">
        <f t="shared" si="588"/>
        <v>0</v>
      </c>
      <c r="N1113" s="135">
        <f t="shared" si="588"/>
        <v>0</v>
      </c>
      <c r="O1113" s="135">
        <f t="shared" si="588"/>
        <v>0</v>
      </c>
      <c r="P1113" s="135">
        <f t="shared" si="588"/>
        <v>0</v>
      </c>
      <c r="Q1113" s="135">
        <f t="shared" si="588"/>
        <v>0</v>
      </c>
      <c r="R1113" s="135">
        <f t="shared" si="588"/>
        <v>0</v>
      </c>
      <c r="S1113" s="135">
        <f t="shared" si="588"/>
        <v>0</v>
      </c>
      <c r="T1113" s="135">
        <f t="shared" si="588"/>
        <v>0</v>
      </c>
      <c r="U1113" s="135">
        <f t="shared" si="588"/>
        <v>0</v>
      </c>
      <c r="V1113" s="135">
        <f t="shared" si="588"/>
        <v>0</v>
      </c>
      <c r="W1113" s="135">
        <f t="shared" si="588"/>
        <v>0</v>
      </c>
      <c r="X1113" s="135">
        <f t="shared" si="588"/>
        <v>0</v>
      </c>
    </row>
    <row r="1114" spans="2:24" hidden="1">
      <c r="B1114" s="133" t="str">
        <f t="shared" si="564"/>
        <v/>
      </c>
      <c r="C1114" s="133" t="str">
        <f t="shared" si="564"/>
        <v/>
      </c>
      <c r="D1114" s="133" t="str">
        <f t="shared" si="564"/>
        <v/>
      </c>
      <c r="E1114" s="133" t="str">
        <f t="shared" si="564"/>
        <v/>
      </c>
      <c r="F1114" s="133"/>
      <c r="G1114" s="133"/>
      <c r="H1114" s="133"/>
      <c r="I1114" s="133"/>
      <c r="J1114" s="133"/>
      <c r="K1114" s="135">
        <f t="shared" ref="K1114:X1114" si="589">IF(AND($C1114="B+R",$D1114="nie",$E1114="prace rozwojowe",LataProjekcji&lt;=Koniec_PR,Modul_badawczo_rozwojowy=tak),ROUND(K545,0),0)</f>
        <v>0</v>
      </c>
      <c r="L1114" s="135">
        <f t="shared" si="589"/>
        <v>0</v>
      </c>
      <c r="M1114" s="135">
        <f t="shared" si="589"/>
        <v>0</v>
      </c>
      <c r="N1114" s="135">
        <f t="shared" si="589"/>
        <v>0</v>
      </c>
      <c r="O1114" s="135">
        <f t="shared" si="589"/>
        <v>0</v>
      </c>
      <c r="P1114" s="135">
        <f t="shared" si="589"/>
        <v>0</v>
      </c>
      <c r="Q1114" s="135">
        <f t="shared" si="589"/>
        <v>0</v>
      </c>
      <c r="R1114" s="135">
        <f t="shared" si="589"/>
        <v>0</v>
      </c>
      <c r="S1114" s="135">
        <f t="shared" si="589"/>
        <v>0</v>
      </c>
      <c r="T1114" s="135">
        <f t="shared" si="589"/>
        <v>0</v>
      </c>
      <c r="U1114" s="135">
        <f t="shared" si="589"/>
        <v>0</v>
      </c>
      <c r="V1114" s="135">
        <f t="shared" si="589"/>
        <v>0</v>
      </c>
      <c r="W1114" s="135">
        <f t="shared" si="589"/>
        <v>0</v>
      </c>
      <c r="X1114" s="135">
        <f t="shared" si="589"/>
        <v>0</v>
      </c>
    </row>
    <row r="1115" spans="2:24" hidden="1">
      <c r="B1115" s="133" t="str">
        <f t="shared" si="564"/>
        <v/>
      </c>
      <c r="C1115" s="133" t="str">
        <f t="shared" si="564"/>
        <v/>
      </c>
      <c r="D1115" s="133" t="str">
        <f t="shared" si="564"/>
        <v/>
      </c>
      <c r="E1115" s="133" t="str">
        <f t="shared" si="564"/>
        <v/>
      </c>
      <c r="F1115" s="133"/>
      <c r="G1115" s="133"/>
      <c r="H1115" s="133"/>
      <c r="I1115" s="133"/>
      <c r="J1115" s="133"/>
      <c r="K1115" s="135">
        <f t="shared" ref="K1115:X1115" si="590">IF(AND($C1115="B+R",$D1115="nie",$E1115="prace rozwojowe",LataProjekcji&lt;=Koniec_PR,Modul_badawczo_rozwojowy=tak),ROUND(K546,0),0)</f>
        <v>0</v>
      </c>
      <c r="L1115" s="135">
        <f t="shared" si="590"/>
        <v>0</v>
      </c>
      <c r="M1115" s="135">
        <f t="shared" si="590"/>
        <v>0</v>
      </c>
      <c r="N1115" s="135">
        <f t="shared" si="590"/>
        <v>0</v>
      </c>
      <c r="O1115" s="135">
        <f t="shared" si="590"/>
        <v>0</v>
      </c>
      <c r="P1115" s="135">
        <f t="shared" si="590"/>
        <v>0</v>
      </c>
      <c r="Q1115" s="135">
        <f t="shared" si="590"/>
        <v>0</v>
      </c>
      <c r="R1115" s="135">
        <f t="shared" si="590"/>
        <v>0</v>
      </c>
      <c r="S1115" s="135">
        <f t="shared" si="590"/>
        <v>0</v>
      </c>
      <c r="T1115" s="135">
        <f t="shared" si="590"/>
        <v>0</v>
      </c>
      <c r="U1115" s="135">
        <f t="shared" si="590"/>
        <v>0</v>
      </c>
      <c r="V1115" s="135">
        <f t="shared" si="590"/>
        <v>0</v>
      </c>
      <c r="W1115" s="135">
        <f t="shared" si="590"/>
        <v>0</v>
      </c>
      <c r="X1115" s="135">
        <f t="shared" si="590"/>
        <v>0</v>
      </c>
    </row>
    <row r="1116" spans="2:24" hidden="1">
      <c r="B1116" s="133" t="str">
        <f t="shared" si="564"/>
        <v/>
      </c>
      <c r="C1116" s="133" t="str">
        <f t="shared" si="564"/>
        <v/>
      </c>
      <c r="D1116" s="133" t="str">
        <f t="shared" si="564"/>
        <v/>
      </c>
      <c r="E1116" s="133" t="str">
        <f t="shared" si="564"/>
        <v/>
      </c>
      <c r="F1116" s="133"/>
      <c r="G1116" s="133"/>
      <c r="H1116" s="133"/>
      <c r="I1116" s="133"/>
      <c r="J1116" s="133"/>
      <c r="K1116" s="135">
        <f t="shared" ref="K1116:X1116" si="591">IF(AND($C1116="B+R",$D1116="nie",$E1116="prace rozwojowe",LataProjekcji&lt;=Koniec_PR,Modul_badawczo_rozwojowy=tak),ROUND(K547,0),0)</f>
        <v>0</v>
      </c>
      <c r="L1116" s="135">
        <f t="shared" si="591"/>
        <v>0</v>
      </c>
      <c r="M1116" s="135">
        <f t="shared" si="591"/>
        <v>0</v>
      </c>
      <c r="N1116" s="135">
        <f t="shared" si="591"/>
        <v>0</v>
      </c>
      <c r="O1116" s="135">
        <f t="shared" si="591"/>
        <v>0</v>
      </c>
      <c r="P1116" s="135">
        <f t="shared" si="591"/>
        <v>0</v>
      </c>
      <c r="Q1116" s="135">
        <f t="shared" si="591"/>
        <v>0</v>
      </c>
      <c r="R1116" s="135">
        <f t="shared" si="591"/>
        <v>0</v>
      </c>
      <c r="S1116" s="135">
        <f t="shared" si="591"/>
        <v>0</v>
      </c>
      <c r="T1116" s="135">
        <f t="shared" si="591"/>
        <v>0</v>
      </c>
      <c r="U1116" s="135">
        <f t="shared" si="591"/>
        <v>0</v>
      </c>
      <c r="V1116" s="135">
        <f t="shared" si="591"/>
        <v>0</v>
      </c>
      <c r="W1116" s="135">
        <f t="shared" si="591"/>
        <v>0</v>
      </c>
      <c r="X1116" s="135">
        <f t="shared" si="591"/>
        <v>0</v>
      </c>
    </row>
    <row r="1117" spans="2:24" hidden="1">
      <c r="B1117" s="133" t="str">
        <f t="shared" si="564"/>
        <v/>
      </c>
      <c r="C1117" s="133" t="str">
        <f t="shared" si="564"/>
        <v/>
      </c>
      <c r="D1117" s="133" t="str">
        <f t="shared" si="564"/>
        <v/>
      </c>
      <c r="E1117" s="133" t="str">
        <f t="shared" si="564"/>
        <v/>
      </c>
      <c r="F1117" s="133"/>
      <c r="G1117" s="133"/>
      <c r="H1117" s="133"/>
      <c r="I1117" s="133"/>
      <c r="J1117" s="133"/>
      <c r="K1117" s="135">
        <f t="shared" ref="K1117:X1117" si="592">IF(AND($C1117="B+R",$D1117="nie",$E1117="prace rozwojowe",LataProjekcji&lt;=Koniec_PR,Modul_badawczo_rozwojowy=tak),ROUND(K548,0),0)</f>
        <v>0</v>
      </c>
      <c r="L1117" s="135">
        <f t="shared" si="592"/>
        <v>0</v>
      </c>
      <c r="M1117" s="135">
        <f t="shared" si="592"/>
        <v>0</v>
      </c>
      <c r="N1117" s="135">
        <f t="shared" si="592"/>
        <v>0</v>
      </c>
      <c r="O1117" s="135">
        <f t="shared" si="592"/>
        <v>0</v>
      </c>
      <c r="P1117" s="135">
        <f t="shared" si="592"/>
        <v>0</v>
      </c>
      <c r="Q1117" s="135">
        <f t="shared" si="592"/>
        <v>0</v>
      </c>
      <c r="R1117" s="135">
        <f t="shared" si="592"/>
        <v>0</v>
      </c>
      <c r="S1117" s="135">
        <f t="shared" si="592"/>
        <v>0</v>
      </c>
      <c r="T1117" s="135">
        <f t="shared" si="592"/>
        <v>0</v>
      </c>
      <c r="U1117" s="135">
        <f t="shared" si="592"/>
        <v>0</v>
      </c>
      <c r="V1117" s="135">
        <f t="shared" si="592"/>
        <v>0</v>
      </c>
      <c r="W1117" s="135">
        <f t="shared" si="592"/>
        <v>0</v>
      </c>
      <c r="X1117" s="135">
        <f t="shared" si="592"/>
        <v>0</v>
      </c>
    </row>
    <row r="1118" spans="2:24" hidden="1">
      <c r="B1118" s="133" t="str">
        <f t="shared" si="564"/>
        <v/>
      </c>
      <c r="C1118" s="133" t="str">
        <f t="shared" si="564"/>
        <v/>
      </c>
      <c r="D1118" s="133" t="str">
        <f t="shared" si="564"/>
        <v/>
      </c>
      <c r="E1118" s="133" t="str">
        <f t="shared" si="564"/>
        <v/>
      </c>
      <c r="F1118" s="133"/>
      <c r="G1118" s="133"/>
      <c r="H1118" s="133"/>
      <c r="I1118" s="133"/>
      <c r="J1118" s="133"/>
      <c r="K1118" s="135">
        <f t="shared" ref="K1118:X1118" si="593">IF(AND($C1118="B+R",$D1118="nie",$E1118="prace rozwojowe",LataProjekcji&lt;=Koniec_PR,Modul_badawczo_rozwojowy=tak),ROUND(K549,0),0)</f>
        <v>0</v>
      </c>
      <c r="L1118" s="135">
        <f t="shared" si="593"/>
        <v>0</v>
      </c>
      <c r="M1118" s="135">
        <f t="shared" si="593"/>
        <v>0</v>
      </c>
      <c r="N1118" s="135">
        <f t="shared" si="593"/>
        <v>0</v>
      </c>
      <c r="O1118" s="135">
        <f t="shared" si="593"/>
        <v>0</v>
      </c>
      <c r="P1118" s="135">
        <f t="shared" si="593"/>
        <v>0</v>
      </c>
      <c r="Q1118" s="135">
        <f t="shared" si="593"/>
        <v>0</v>
      </c>
      <c r="R1118" s="135">
        <f t="shared" si="593"/>
        <v>0</v>
      </c>
      <c r="S1118" s="135">
        <f t="shared" si="593"/>
        <v>0</v>
      </c>
      <c r="T1118" s="135">
        <f t="shared" si="593"/>
        <v>0</v>
      </c>
      <c r="U1118" s="135">
        <f t="shared" si="593"/>
        <v>0</v>
      </c>
      <c r="V1118" s="135">
        <f t="shared" si="593"/>
        <v>0</v>
      </c>
      <c r="W1118" s="135">
        <f t="shared" si="593"/>
        <v>0</v>
      </c>
      <c r="X1118" s="135">
        <f t="shared" si="593"/>
        <v>0</v>
      </c>
    </row>
    <row r="1119" spans="2:24" hidden="1">
      <c r="B1119" s="133" t="str">
        <f t="shared" si="564"/>
        <v/>
      </c>
      <c r="C1119" s="133" t="str">
        <f t="shared" si="564"/>
        <v/>
      </c>
      <c r="D1119" s="133" t="str">
        <f t="shared" si="564"/>
        <v/>
      </c>
      <c r="E1119" s="133" t="str">
        <f t="shared" si="564"/>
        <v/>
      </c>
      <c r="F1119" s="133"/>
      <c r="G1119" s="133"/>
      <c r="H1119" s="133"/>
      <c r="I1119" s="133"/>
      <c r="J1119" s="133"/>
      <c r="K1119" s="135">
        <f t="shared" ref="K1119:X1119" si="594">IF(AND($C1119="B+R",$D1119="nie",$E1119="prace rozwojowe",LataProjekcji&lt;=Koniec_PR,Modul_badawczo_rozwojowy=tak),ROUND(K550,0),0)</f>
        <v>0</v>
      </c>
      <c r="L1119" s="135">
        <f t="shared" si="594"/>
        <v>0</v>
      </c>
      <c r="M1119" s="135">
        <f t="shared" si="594"/>
        <v>0</v>
      </c>
      <c r="N1119" s="135">
        <f t="shared" si="594"/>
        <v>0</v>
      </c>
      <c r="O1119" s="135">
        <f t="shared" si="594"/>
        <v>0</v>
      </c>
      <c r="P1119" s="135">
        <f t="shared" si="594"/>
        <v>0</v>
      </c>
      <c r="Q1119" s="135">
        <f t="shared" si="594"/>
        <v>0</v>
      </c>
      <c r="R1119" s="135">
        <f t="shared" si="594"/>
        <v>0</v>
      </c>
      <c r="S1119" s="135">
        <f t="shared" si="594"/>
        <v>0</v>
      </c>
      <c r="T1119" s="135">
        <f t="shared" si="594"/>
        <v>0</v>
      </c>
      <c r="U1119" s="135">
        <f t="shared" si="594"/>
        <v>0</v>
      </c>
      <c r="V1119" s="135">
        <f t="shared" si="594"/>
        <v>0</v>
      </c>
      <c r="W1119" s="135">
        <f t="shared" si="594"/>
        <v>0</v>
      </c>
      <c r="X1119" s="135">
        <f t="shared" si="594"/>
        <v>0</v>
      </c>
    </row>
    <row r="1120" spans="2:24" hidden="1">
      <c r="B1120" s="127" t="s">
        <v>350</v>
      </c>
      <c r="C1120" s="127"/>
      <c r="D1120" s="128"/>
      <c r="E1120" s="129"/>
      <c r="F1120" s="129"/>
      <c r="G1120" s="129"/>
      <c r="H1120" s="129"/>
      <c r="I1120" s="129"/>
      <c r="J1120" s="129"/>
      <c r="K1120" s="136">
        <f t="shared" ref="K1120:X1120" si="595">ROUND(SUM(K1090:K1119),0)</f>
        <v>0</v>
      </c>
      <c r="L1120" s="136">
        <f t="shared" si="595"/>
        <v>0</v>
      </c>
      <c r="M1120" s="136">
        <f t="shared" si="595"/>
        <v>0</v>
      </c>
      <c r="N1120" s="136">
        <f t="shared" si="595"/>
        <v>0</v>
      </c>
      <c r="O1120" s="136">
        <f t="shared" si="595"/>
        <v>0</v>
      </c>
      <c r="P1120" s="136">
        <f t="shared" si="595"/>
        <v>0</v>
      </c>
      <c r="Q1120" s="136">
        <f t="shared" si="595"/>
        <v>0</v>
      </c>
      <c r="R1120" s="136">
        <f t="shared" si="595"/>
        <v>0</v>
      </c>
      <c r="S1120" s="136">
        <f t="shared" si="595"/>
        <v>0</v>
      </c>
      <c r="T1120" s="136">
        <f t="shared" si="595"/>
        <v>0</v>
      </c>
      <c r="U1120" s="136">
        <f t="shared" si="595"/>
        <v>0</v>
      </c>
      <c r="V1120" s="136">
        <f t="shared" si="595"/>
        <v>0</v>
      </c>
      <c r="W1120" s="136">
        <f t="shared" si="595"/>
        <v>0</v>
      </c>
      <c r="X1120" s="136">
        <f t="shared" si="595"/>
        <v>0</v>
      </c>
    </row>
    <row r="1121" spans="2:24" hidden="1">
      <c r="B1121" s="129"/>
      <c r="C1121" s="129"/>
      <c r="D1121" s="128"/>
      <c r="E1121" s="129"/>
      <c r="F1121" s="129"/>
      <c r="G1121" s="129"/>
      <c r="H1121" s="129"/>
      <c r="I1121" s="129"/>
      <c r="J1121" s="129"/>
      <c r="K1121" s="137"/>
      <c r="L1121" s="137"/>
      <c r="M1121" s="137"/>
      <c r="N1121" s="137"/>
      <c r="O1121" s="137"/>
      <c r="P1121" s="137"/>
      <c r="Q1121" s="137"/>
      <c r="R1121" s="137"/>
      <c r="S1121" s="137"/>
      <c r="T1121" s="137"/>
      <c r="U1121" s="137"/>
      <c r="V1121" s="137"/>
      <c r="W1121" s="137"/>
      <c r="X1121" s="137"/>
    </row>
    <row r="1122" spans="2:24" hidden="1">
      <c r="B1122" s="129"/>
      <c r="C1122" s="129"/>
      <c r="D1122" s="128"/>
      <c r="E1122" s="129"/>
      <c r="F1122" s="129"/>
      <c r="G1122" s="129"/>
      <c r="H1122" s="129"/>
      <c r="I1122" s="129"/>
      <c r="J1122" s="129"/>
      <c r="K1122" s="137"/>
      <c r="L1122" s="137"/>
      <c r="M1122" s="137"/>
      <c r="N1122" s="137"/>
      <c r="O1122" s="137"/>
      <c r="P1122" s="137"/>
      <c r="Q1122" s="137"/>
      <c r="R1122" s="137"/>
      <c r="S1122" s="137"/>
      <c r="T1122" s="137"/>
      <c r="U1122" s="137"/>
      <c r="V1122" s="137"/>
      <c r="W1122" s="137"/>
      <c r="X1122" s="137"/>
    </row>
    <row r="1123" spans="2:24" hidden="1">
      <c r="B1123" s="127" t="s">
        <v>334</v>
      </c>
      <c r="C1123" s="127"/>
      <c r="D1123" s="138" t="s">
        <v>336</v>
      </c>
      <c r="E1123" s="127" t="s">
        <v>337</v>
      </c>
      <c r="F1123" s="129"/>
      <c r="G1123" s="129"/>
      <c r="H1123" s="129"/>
      <c r="I1123" s="129"/>
      <c r="J1123" s="129"/>
      <c r="K1123" s="137"/>
      <c r="L1123" s="137"/>
      <c r="M1123" s="137"/>
      <c r="N1123" s="137"/>
      <c r="O1123" s="137"/>
      <c r="P1123" s="137"/>
      <c r="Q1123" s="137"/>
      <c r="R1123" s="137"/>
      <c r="S1123" s="137"/>
      <c r="T1123" s="137"/>
      <c r="U1123" s="137"/>
      <c r="V1123" s="137"/>
      <c r="W1123" s="137"/>
      <c r="X1123" s="137"/>
    </row>
    <row r="1124" spans="2:24" hidden="1">
      <c r="B1124" s="133" t="str">
        <f>IF(ISBLANK(Przychody!B331),"",Przychody!B331)</f>
        <v/>
      </c>
      <c r="C1124" s="133"/>
      <c r="D1124" s="134">
        <f t="shared" ref="D1124:E1128" si="596">D882</f>
        <v>0</v>
      </c>
      <c r="E1124" s="134">
        <f t="shared" si="596"/>
        <v>0</v>
      </c>
      <c r="F1124" s="133"/>
      <c r="G1124" s="133"/>
      <c r="H1124" s="133"/>
      <c r="I1124" s="133"/>
      <c r="J1124" s="133"/>
      <c r="K1124" s="135"/>
      <c r="L1124" s="135"/>
      <c r="M1124" s="135"/>
      <c r="N1124" s="135"/>
      <c r="O1124" s="135"/>
      <c r="P1124" s="135"/>
      <c r="Q1124" s="135"/>
      <c r="R1124" s="135"/>
      <c r="S1124" s="135"/>
      <c r="T1124" s="135"/>
      <c r="U1124" s="135"/>
      <c r="V1124" s="135"/>
      <c r="W1124" s="135"/>
      <c r="X1124" s="135"/>
    </row>
    <row r="1125" spans="2:24" hidden="1">
      <c r="B1125" s="133" t="str">
        <f>IF(ISBLANK(Przychody!B332),"",Przychody!B332)</f>
        <v/>
      </c>
      <c r="C1125" s="133"/>
      <c r="D1125" s="134">
        <f t="shared" si="596"/>
        <v>0</v>
      </c>
      <c r="E1125" s="134">
        <f t="shared" si="596"/>
        <v>0</v>
      </c>
      <c r="F1125" s="133"/>
      <c r="G1125" s="133"/>
      <c r="H1125" s="133"/>
      <c r="I1125" s="133"/>
      <c r="J1125" s="133"/>
      <c r="K1125" s="135"/>
      <c r="L1125" s="135"/>
      <c r="M1125" s="135"/>
      <c r="N1125" s="135"/>
      <c r="O1125" s="135"/>
      <c r="P1125" s="135"/>
      <c r="Q1125" s="135"/>
      <c r="R1125" s="135"/>
      <c r="S1125" s="135"/>
      <c r="T1125" s="135"/>
      <c r="U1125" s="135"/>
      <c r="V1125" s="135"/>
      <c r="W1125" s="135"/>
      <c r="X1125" s="135"/>
    </row>
    <row r="1126" spans="2:24" hidden="1">
      <c r="B1126" s="133" t="str">
        <f>IF(ISBLANK(Przychody!B333),"",Przychody!B333)</f>
        <v/>
      </c>
      <c r="C1126" s="133"/>
      <c r="D1126" s="134">
        <f t="shared" si="596"/>
        <v>0</v>
      </c>
      <c r="E1126" s="134">
        <f t="shared" si="596"/>
        <v>0</v>
      </c>
      <c r="F1126" s="133"/>
      <c r="G1126" s="133"/>
      <c r="H1126" s="133"/>
      <c r="I1126" s="133"/>
      <c r="J1126" s="133"/>
      <c r="K1126" s="135"/>
      <c r="L1126" s="135"/>
      <c r="M1126" s="135"/>
      <c r="N1126" s="135"/>
      <c r="O1126" s="135"/>
      <c r="P1126" s="135"/>
      <c r="Q1126" s="135"/>
      <c r="R1126" s="135"/>
      <c r="S1126" s="135"/>
      <c r="T1126" s="135"/>
      <c r="U1126" s="135"/>
      <c r="V1126" s="135"/>
      <c r="W1126" s="135"/>
      <c r="X1126" s="135"/>
    </row>
    <row r="1127" spans="2:24" hidden="1">
      <c r="B1127" s="133" t="str">
        <f>IF(ISBLANK(Przychody!B334),"",Przychody!B334)</f>
        <v/>
      </c>
      <c r="C1127" s="133"/>
      <c r="D1127" s="134">
        <f t="shared" si="596"/>
        <v>0</v>
      </c>
      <c r="E1127" s="134">
        <f t="shared" si="596"/>
        <v>0</v>
      </c>
      <c r="F1127" s="133"/>
      <c r="G1127" s="133"/>
      <c r="H1127" s="133"/>
      <c r="I1127" s="133"/>
      <c r="J1127" s="133"/>
      <c r="K1127" s="135"/>
      <c r="L1127" s="135"/>
      <c r="M1127" s="135"/>
      <c r="N1127" s="135"/>
      <c r="O1127" s="135"/>
      <c r="P1127" s="135"/>
      <c r="Q1127" s="135"/>
      <c r="R1127" s="135"/>
      <c r="S1127" s="135"/>
      <c r="T1127" s="135"/>
      <c r="U1127" s="135"/>
      <c r="V1127" s="135"/>
      <c r="W1127" s="135"/>
      <c r="X1127" s="135"/>
    </row>
    <row r="1128" spans="2:24" hidden="1">
      <c r="B1128" s="133" t="str">
        <f>IF(ISBLANK(Przychody!B335),"",Przychody!B335)</f>
        <v/>
      </c>
      <c r="C1128" s="133"/>
      <c r="D1128" s="134">
        <f t="shared" si="596"/>
        <v>0</v>
      </c>
      <c r="E1128" s="134">
        <f t="shared" si="596"/>
        <v>0</v>
      </c>
      <c r="F1128" s="133"/>
      <c r="G1128" s="133"/>
      <c r="H1128" s="133"/>
      <c r="I1128" s="133"/>
      <c r="J1128" s="133"/>
      <c r="K1128" s="135"/>
      <c r="L1128" s="135"/>
      <c r="M1128" s="135"/>
      <c r="N1128" s="135"/>
      <c r="O1128" s="135"/>
      <c r="P1128" s="135"/>
      <c r="Q1128" s="135"/>
      <c r="R1128" s="135"/>
      <c r="S1128" s="135"/>
      <c r="T1128" s="135"/>
      <c r="U1128" s="135"/>
      <c r="V1128" s="135"/>
      <c r="W1128" s="135"/>
      <c r="X1128" s="135"/>
    </row>
    <row r="1129" spans="2:24" hidden="1">
      <c r="B1129" s="127" t="s">
        <v>280</v>
      </c>
      <c r="C1129" s="127"/>
      <c r="D1129" s="128"/>
      <c r="E1129" s="129"/>
      <c r="F1129" s="129"/>
      <c r="G1129" s="129"/>
      <c r="H1129" s="129"/>
      <c r="I1129" s="129"/>
      <c r="J1129" s="129"/>
      <c r="K1129" s="136">
        <f>ROUND(SUM(K1124:K1128),0)</f>
        <v>0</v>
      </c>
      <c r="L1129" s="136">
        <f t="shared" ref="L1129:X1129" si="597">ROUND(SUM(L1124:L1128),0)</f>
        <v>0</v>
      </c>
      <c r="M1129" s="136">
        <f t="shared" si="597"/>
        <v>0</v>
      </c>
      <c r="N1129" s="136">
        <f t="shared" si="597"/>
        <v>0</v>
      </c>
      <c r="O1129" s="136">
        <f t="shared" si="597"/>
        <v>0</v>
      </c>
      <c r="P1129" s="136">
        <f t="shared" si="597"/>
        <v>0</v>
      </c>
      <c r="Q1129" s="136">
        <f t="shared" si="597"/>
        <v>0</v>
      </c>
      <c r="R1129" s="136">
        <f t="shared" si="597"/>
        <v>0</v>
      </c>
      <c r="S1129" s="136">
        <f t="shared" si="597"/>
        <v>0</v>
      </c>
      <c r="T1129" s="136">
        <f t="shared" si="597"/>
        <v>0</v>
      </c>
      <c r="U1129" s="136">
        <f t="shared" si="597"/>
        <v>0</v>
      </c>
      <c r="V1129" s="136">
        <f t="shared" si="597"/>
        <v>0</v>
      </c>
      <c r="W1129" s="136">
        <f t="shared" si="597"/>
        <v>0</v>
      </c>
      <c r="X1129" s="136">
        <f t="shared" si="597"/>
        <v>0</v>
      </c>
    </row>
    <row r="1130" spans="2:24" hidden="1">
      <c r="B1130" s="129"/>
      <c r="C1130" s="129"/>
      <c r="D1130" s="128"/>
      <c r="E1130" s="129"/>
      <c r="F1130" s="129"/>
      <c r="G1130" s="129"/>
      <c r="H1130" s="129"/>
      <c r="I1130" s="129"/>
      <c r="J1130" s="129"/>
      <c r="K1130" s="137"/>
      <c r="L1130" s="137"/>
      <c r="M1130" s="137"/>
      <c r="N1130" s="137"/>
      <c r="O1130" s="137"/>
      <c r="P1130" s="137"/>
      <c r="Q1130" s="137"/>
      <c r="R1130" s="137"/>
      <c r="S1130" s="137"/>
      <c r="T1130" s="137"/>
      <c r="U1130" s="137"/>
      <c r="V1130" s="137"/>
      <c r="W1130" s="137"/>
      <c r="X1130" s="137"/>
    </row>
    <row r="1131" spans="2:24" hidden="1">
      <c r="B1131" s="129"/>
      <c r="C1131" s="129"/>
      <c r="D1131" s="128"/>
      <c r="E1131" s="129"/>
      <c r="F1131" s="129"/>
      <c r="G1131" s="129"/>
      <c r="H1131" s="129"/>
      <c r="I1131" s="129"/>
      <c r="J1131" s="129"/>
      <c r="K1131" s="137"/>
      <c r="L1131" s="137"/>
      <c r="M1131" s="137"/>
      <c r="N1131" s="137"/>
      <c r="O1131" s="137"/>
      <c r="P1131" s="137"/>
      <c r="Q1131" s="137"/>
      <c r="R1131" s="137"/>
      <c r="S1131" s="137"/>
      <c r="T1131" s="137"/>
      <c r="U1131" s="137"/>
      <c r="V1131" s="137"/>
      <c r="W1131" s="137"/>
      <c r="X1131" s="137"/>
    </row>
    <row r="1132" spans="2:24" hidden="1">
      <c r="B1132" s="127" t="s">
        <v>325</v>
      </c>
      <c r="C1132" s="127"/>
      <c r="D1132" s="138" t="s">
        <v>336</v>
      </c>
      <c r="E1132" s="127" t="s">
        <v>337</v>
      </c>
      <c r="F1132" s="129"/>
      <c r="G1132" s="129"/>
      <c r="H1132" s="129"/>
      <c r="I1132" s="129"/>
      <c r="J1132" s="129"/>
      <c r="K1132" s="137"/>
      <c r="L1132" s="137"/>
      <c r="M1132" s="137"/>
      <c r="N1132" s="137"/>
      <c r="O1132" s="137"/>
      <c r="P1132" s="137"/>
      <c r="Q1132" s="137"/>
      <c r="R1132" s="137"/>
      <c r="S1132" s="137"/>
      <c r="T1132" s="137"/>
      <c r="U1132" s="137"/>
      <c r="V1132" s="137"/>
      <c r="W1132" s="137"/>
      <c r="X1132" s="137"/>
    </row>
    <row r="1133" spans="2:24" hidden="1">
      <c r="B1133" s="133" t="str">
        <f t="shared" ref="B1133:E1137" si="598">B891</f>
        <v/>
      </c>
      <c r="C1133" s="133" t="str">
        <f t="shared" si="598"/>
        <v/>
      </c>
      <c r="D1133" s="133" t="str">
        <f t="shared" si="598"/>
        <v/>
      </c>
      <c r="E1133" s="133" t="str">
        <f t="shared" si="598"/>
        <v/>
      </c>
      <c r="F1133" s="133"/>
      <c r="G1133" s="133"/>
      <c r="H1133" s="133"/>
      <c r="I1133" s="133"/>
      <c r="J1133" s="133"/>
      <c r="K1133" s="135">
        <f t="shared" ref="K1133:X1133" si="599">IF(AND($C1133="B+R",$D1133="nie",$E1133="prace rozwojowe",LataProjekcji&lt;=Koniec_PR,Modul_badawczo_rozwojowy=tak),ROUND(K586,0),0)</f>
        <v>0</v>
      </c>
      <c r="L1133" s="135">
        <f t="shared" si="599"/>
        <v>0</v>
      </c>
      <c r="M1133" s="135">
        <f t="shared" si="599"/>
        <v>0</v>
      </c>
      <c r="N1133" s="135">
        <f t="shared" si="599"/>
        <v>0</v>
      </c>
      <c r="O1133" s="135">
        <f t="shared" si="599"/>
        <v>0</v>
      </c>
      <c r="P1133" s="135">
        <f t="shared" si="599"/>
        <v>0</v>
      </c>
      <c r="Q1133" s="135">
        <f t="shared" si="599"/>
        <v>0</v>
      </c>
      <c r="R1133" s="135">
        <f t="shared" si="599"/>
        <v>0</v>
      </c>
      <c r="S1133" s="135">
        <f t="shared" si="599"/>
        <v>0</v>
      </c>
      <c r="T1133" s="135">
        <f t="shared" si="599"/>
        <v>0</v>
      </c>
      <c r="U1133" s="135">
        <f t="shared" si="599"/>
        <v>0</v>
      </c>
      <c r="V1133" s="135">
        <f t="shared" si="599"/>
        <v>0</v>
      </c>
      <c r="W1133" s="135">
        <f t="shared" si="599"/>
        <v>0</v>
      </c>
      <c r="X1133" s="135">
        <f t="shared" si="599"/>
        <v>0</v>
      </c>
    </row>
    <row r="1134" spans="2:24" hidden="1">
      <c r="B1134" s="133" t="str">
        <f t="shared" si="598"/>
        <v/>
      </c>
      <c r="C1134" s="133" t="str">
        <f t="shared" si="598"/>
        <v/>
      </c>
      <c r="D1134" s="133" t="str">
        <f t="shared" si="598"/>
        <v/>
      </c>
      <c r="E1134" s="133" t="str">
        <f t="shared" si="598"/>
        <v/>
      </c>
      <c r="F1134" s="133"/>
      <c r="G1134" s="133"/>
      <c r="H1134" s="133"/>
      <c r="I1134" s="133"/>
      <c r="J1134" s="133"/>
      <c r="K1134" s="135">
        <f t="shared" ref="K1134:X1134" si="600">IF(AND($C1134="B+R",$D1134="nie",$E1134="prace rozwojowe",LataProjekcji&lt;=Koniec_PR,Modul_badawczo_rozwojowy=tak),ROUND(K587,0),0)</f>
        <v>0</v>
      </c>
      <c r="L1134" s="135">
        <f t="shared" si="600"/>
        <v>0</v>
      </c>
      <c r="M1134" s="135">
        <f t="shared" si="600"/>
        <v>0</v>
      </c>
      <c r="N1134" s="135">
        <f t="shared" si="600"/>
        <v>0</v>
      </c>
      <c r="O1134" s="135">
        <f t="shared" si="600"/>
        <v>0</v>
      </c>
      <c r="P1134" s="135">
        <f t="shared" si="600"/>
        <v>0</v>
      </c>
      <c r="Q1134" s="135">
        <f t="shared" si="600"/>
        <v>0</v>
      </c>
      <c r="R1134" s="135">
        <f t="shared" si="600"/>
        <v>0</v>
      </c>
      <c r="S1134" s="135">
        <f t="shared" si="600"/>
        <v>0</v>
      </c>
      <c r="T1134" s="135">
        <f t="shared" si="600"/>
        <v>0</v>
      </c>
      <c r="U1134" s="135">
        <f t="shared" si="600"/>
        <v>0</v>
      </c>
      <c r="V1134" s="135">
        <f t="shared" si="600"/>
        <v>0</v>
      </c>
      <c r="W1134" s="135">
        <f t="shared" si="600"/>
        <v>0</v>
      </c>
      <c r="X1134" s="135">
        <f t="shared" si="600"/>
        <v>0</v>
      </c>
    </row>
    <row r="1135" spans="2:24" hidden="1">
      <c r="B1135" s="133" t="str">
        <f t="shared" si="598"/>
        <v/>
      </c>
      <c r="C1135" s="133" t="str">
        <f t="shared" si="598"/>
        <v/>
      </c>
      <c r="D1135" s="133" t="str">
        <f t="shared" si="598"/>
        <v/>
      </c>
      <c r="E1135" s="133" t="str">
        <f t="shared" si="598"/>
        <v/>
      </c>
      <c r="F1135" s="133"/>
      <c r="G1135" s="133"/>
      <c r="H1135" s="133"/>
      <c r="I1135" s="133"/>
      <c r="J1135" s="133"/>
      <c r="K1135" s="135">
        <f t="shared" ref="K1135:X1135" si="601">IF(AND($C1135="B+R",$D1135="nie",$E1135="prace rozwojowe",LataProjekcji&lt;=Koniec_PR,Modul_badawczo_rozwojowy=tak),ROUND(K588,0),0)</f>
        <v>0</v>
      </c>
      <c r="L1135" s="135">
        <f t="shared" si="601"/>
        <v>0</v>
      </c>
      <c r="M1135" s="135">
        <f t="shared" si="601"/>
        <v>0</v>
      </c>
      <c r="N1135" s="135">
        <f t="shared" si="601"/>
        <v>0</v>
      </c>
      <c r="O1135" s="135">
        <f t="shared" si="601"/>
        <v>0</v>
      </c>
      <c r="P1135" s="135">
        <f t="shared" si="601"/>
        <v>0</v>
      </c>
      <c r="Q1135" s="135">
        <f t="shared" si="601"/>
        <v>0</v>
      </c>
      <c r="R1135" s="135">
        <f t="shared" si="601"/>
        <v>0</v>
      </c>
      <c r="S1135" s="135">
        <f t="shared" si="601"/>
        <v>0</v>
      </c>
      <c r="T1135" s="135">
        <f t="shared" si="601"/>
        <v>0</v>
      </c>
      <c r="U1135" s="135">
        <f t="shared" si="601"/>
        <v>0</v>
      </c>
      <c r="V1135" s="135">
        <f t="shared" si="601"/>
        <v>0</v>
      </c>
      <c r="W1135" s="135">
        <f t="shared" si="601"/>
        <v>0</v>
      </c>
      <c r="X1135" s="135">
        <f t="shared" si="601"/>
        <v>0</v>
      </c>
    </row>
    <row r="1136" spans="2:24" hidden="1">
      <c r="B1136" s="133" t="str">
        <f t="shared" si="598"/>
        <v/>
      </c>
      <c r="C1136" s="133" t="str">
        <f t="shared" si="598"/>
        <v/>
      </c>
      <c r="D1136" s="133" t="str">
        <f t="shared" si="598"/>
        <v/>
      </c>
      <c r="E1136" s="133" t="str">
        <f t="shared" si="598"/>
        <v/>
      </c>
      <c r="F1136" s="133"/>
      <c r="G1136" s="133"/>
      <c r="H1136" s="133"/>
      <c r="I1136" s="133"/>
      <c r="J1136" s="133"/>
      <c r="K1136" s="135">
        <f t="shared" ref="K1136:X1136" si="602">IF(AND($C1136="B+R",$D1136="nie",$E1136="prace rozwojowe",LataProjekcji&lt;=Koniec_PR,Modul_badawczo_rozwojowy=tak),ROUND(K589,0),0)</f>
        <v>0</v>
      </c>
      <c r="L1136" s="135">
        <f t="shared" si="602"/>
        <v>0</v>
      </c>
      <c r="M1136" s="135">
        <f t="shared" si="602"/>
        <v>0</v>
      </c>
      <c r="N1136" s="135">
        <f t="shared" si="602"/>
        <v>0</v>
      </c>
      <c r="O1136" s="135">
        <f t="shared" si="602"/>
        <v>0</v>
      </c>
      <c r="P1136" s="135">
        <f t="shared" si="602"/>
        <v>0</v>
      </c>
      <c r="Q1136" s="135">
        <f t="shared" si="602"/>
        <v>0</v>
      </c>
      <c r="R1136" s="135">
        <f t="shared" si="602"/>
        <v>0</v>
      </c>
      <c r="S1136" s="135">
        <f t="shared" si="602"/>
        <v>0</v>
      </c>
      <c r="T1136" s="135">
        <f t="shared" si="602"/>
        <v>0</v>
      </c>
      <c r="U1136" s="135">
        <f t="shared" si="602"/>
        <v>0</v>
      </c>
      <c r="V1136" s="135">
        <f t="shared" si="602"/>
        <v>0</v>
      </c>
      <c r="W1136" s="135">
        <f t="shared" si="602"/>
        <v>0</v>
      </c>
      <c r="X1136" s="135">
        <f t="shared" si="602"/>
        <v>0</v>
      </c>
    </row>
    <row r="1137" spans="2:24" hidden="1">
      <c r="B1137" s="133" t="str">
        <f t="shared" si="598"/>
        <v/>
      </c>
      <c r="C1137" s="133" t="str">
        <f t="shared" si="598"/>
        <v/>
      </c>
      <c r="D1137" s="133" t="str">
        <f t="shared" si="598"/>
        <v/>
      </c>
      <c r="E1137" s="133" t="str">
        <f t="shared" si="598"/>
        <v/>
      </c>
      <c r="F1137" s="133"/>
      <c r="G1137" s="133"/>
      <c r="H1137" s="133"/>
      <c r="I1137" s="133"/>
      <c r="J1137" s="133"/>
      <c r="K1137" s="135">
        <f t="shared" ref="K1137:X1137" si="603">IF(AND($C1137="B+R",$D1137="nie",$E1137="prace rozwojowe",LataProjekcji&lt;=Koniec_PR,Modul_badawczo_rozwojowy=tak),ROUND(K590,0),0)</f>
        <v>0</v>
      </c>
      <c r="L1137" s="135">
        <f t="shared" si="603"/>
        <v>0</v>
      </c>
      <c r="M1137" s="135">
        <f t="shared" si="603"/>
        <v>0</v>
      </c>
      <c r="N1137" s="135">
        <f t="shared" si="603"/>
        <v>0</v>
      </c>
      <c r="O1137" s="135">
        <f t="shared" si="603"/>
        <v>0</v>
      </c>
      <c r="P1137" s="135">
        <f t="shared" si="603"/>
        <v>0</v>
      </c>
      <c r="Q1137" s="135">
        <f t="shared" si="603"/>
        <v>0</v>
      </c>
      <c r="R1137" s="135">
        <f t="shared" si="603"/>
        <v>0</v>
      </c>
      <c r="S1137" s="135">
        <f t="shared" si="603"/>
        <v>0</v>
      </c>
      <c r="T1137" s="135">
        <f t="shared" si="603"/>
        <v>0</v>
      </c>
      <c r="U1137" s="135">
        <f t="shared" si="603"/>
        <v>0</v>
      </c>
      <c r="V1137" s="135">
        <f t="shared" si="603"/>
        <v>0</v>
      </c>
      <c r="W1137" s="135">
        <f t="shared" si="603"/>
        <v>0</v>
      </c>
      <c r="X1137" s="135">
        <f t="shared" si="603"/>
        <v>0</v>
      </c>
    </row>
    <row r="1138" spans="2:24" hidden="1">
      <c r="B1138" s="127" t="s">
        <v>326</v>
      </c>
      <c r="C1138" s="127"/>
      <c r="D1138" s="128"/>
      <c r="E1138" s="129"/>
      <c r="F1138" s="129"/>
      <c r="G1138" s="129"/>
      <c r="H1138" s="129"/>
      <c r="I1138" s="129"/>
      <c r="J1138" s="129"/>
      <c r="K1138" s="136">
        <f>ROUND(SUM(K1133:K1137),0)</f>
        <v>0</v>
      </c>
      <c r="L1138" s="136">
        <f t="shared" ref="L1138:X1138" si="604">ROUND(SUM(L1133:L1137),0)</f>
        <v>0</v>
      </c>
      <c r="M1138" s="136">
        <f t="shared" si="604"/>
        <v>0</v>
      </c>
      <c r="N1138" s="136">
        <f t="shared" si="604"/>
        <v>0</v>
      </c>
      <c r="O1138" s="136">
        <f t="shared" si="604"/>
        <v>0</v>
      </c>
      <c r="P1138" s="136">
        <f t="shared" si="604"/>
        <v>0</v>
      </c>
      <c r="Q1138" s="136">
        <f t="shared" si="604"/>
        <v>0</v>
      </c>
      <c r="R1138" s="136">
        <f t="shared" si="604"/>
        <v>0</v>
      </c>
      <c r="S1138" s="136">
        <f t="shared" si="604"/>
        <v>0</v>
      </c>
      <c r="T1138" s="136">
        <f t="shared" si="604"/>
        <v>0</v>
      </c>
      <c r="U1138" s="136">
        <f t="shared" si="604"/>
        <v>0</v>
      </c>
      <c r="V1138" s="136">
        <f t="shared" si="604"/>
        <v>0</v>
      </c>
      <c r="W1138" s="136">
        <f t="shared" si="604"/>
        <v>0</v>
      </c>
      <c r="X1138" s="136">
        <f t="shared" si="604"/>
        <v>0</v>
      </c>
    </row>
    <row r="1139" spans="2:24" hidden="1">
      <c r="B1139" s="129"/>
      <c r="C1139" s="129"/>
      <c r="D1139" s="128"/>
      <c r="E1139" s="129"/>
      <c r="F1139" s="129"/>
      <c r="G1139" s="129"/>
      <c r="H1139" s="129"/>
      <c r="I1139" s="129"/>
      <c r="J1139" s="129"/>
      <c r="K1139" s="137"/>
      <c r="L1139" s="137"/>
      <c r="M1139" s="137"/>
      <c r="N1139" s="137"/>
      <c r="O1139" s="137"/>
      <c r="P1139" s="137"/>
      <c r="Q1139" s="137"/>
      <c r="R1139" s="137"/>
      <c r="S1139" s="137"/>
      <c r="T1139" s="137"/>
      <c r="U1139" s="137"/>
      <c r="V1139" s="137"/>
      <c r="W1139" s="137"/>
      <c r="X1139" s="137"/>
    </row>
    <row r="1140" spans="2:24" hidden="1">
      <c r="B1140" s="129"/>
      <c r="C1140" s="129"/>
      <c r="D1140" s="128"/>
      <c r="E1140" s="129"/>
      <c r="F1140" s="129"/>
      <c r="G1140" s="129"/>
      <c r="H1140" s="129"/>
      <c r="I1140" s="129"/>
      <c r="J1140" s="129"/>
      <c r="K1140" s="137"/>
      <c r="L1140" s="137"/>
      <c r="M1140" s="137"/>
      <c r="N1140" s="137"/>
      <c r="O1140" s="137"/>
      <c r="P1140" s="137"/>
      <c r="Q1140" s="137"/>
      <c r="R1140" s="137"/>
      <c r="S1140" s="137"/>
      <c r="T1140" s="137"/>
      <c r="U1140" s="137"/>
      <c r="V1140" s="137"/>
      <c r="W1140" s="137"/>
      <c r="X1140" s="137"/>
    </row>
    <row r="1141" spans="2:24" hidden="1">
      <c r="B1141" s="127" t="s">
        <v>327</v>
      </c>
      <c r="C1141" s="127"/>
      <c r="D1141" s="138" t="s">
        <v>336</v>
      </c>
      <c r="E1141" s="127" t="s">
        <v>337</v>
      </c>
      <c r="F1141" s="129"/>
      <c r="G1141" s="129"/>
      <c r="H1141" s="129"/>
      <c r="I1141" s="129"/>
      <c r="J1141" s="129"/>
      <c r="K1141" s="137"/>
      <c r="L1141" s="137"/>
      <c r="M1141" s="137"/>
      <c r="N1141" s="137"/>
      <c r="O1141" s="137"/>
      <c r="P1141" s="137"/>
      <c r="Q1141" s="137"/>
      <c r="R1141" s="137"/>
      <c r="S1141" s="137"/>
      <c r="T1141" s="137"/>
      <c r="U1141" s="137"/>
      <c r="V1141" s="137"/>
      <c r="W1141" s="137"/>
      <c r="X1141" s="137"/>
    </row>
    <row r="1142" spans="2:24" hidden="1">
      <c r="B1142" s="133" t="str">
        <f t="shared" ref="B1142:E1146" si="605">B900</f>
        <v>Koszty z tytułu oprocentowania kredytów i pożyczek</v>
      </c>
      <c r="C1142" s="133" t="str">
        <f t="shared" si="605"/>
        <v/>
      </c>
      <c r="D1142" s="133" t="str">
        <f t="shared" si="605"/>
        <v/>
      </c>
      <c r="E1142" s="133" t="str">
        <f t="shared" si="605"/>
        <v/>
      </c>
      <c r="F1142" s="133"/>
      <c r="G1142" s="133"/>
      <c r="H1142" s="133"/>
      <c r="I1142" s="133"/>
      <c r="J1142" s="133"/>
      <c r="K1142" s="135">
        <f t="shared" ref="K1142:X1142" si="606">IF(AND($C1142="B+R",$D1142="nie",$E1142="prace rozwojowe",LataProjekcji&lt;=Koniec_PR,Modul_badawczo_rozwojowy=tak),ROUND(K595,0),0)</f>
        <v>0</v>
      </c>
      <c r="L1142" s="135">
        <f t="shared" si="606"/>
        <v>0</v>
      </c>
      <c r="M1142" s="135">
        <f t="shared" si="606"/>
        <v>0</v>
      </c>
      <c r="N1142" s="135">
        <f t="shared" si="606"/>
        <v>0</v>
      </c>
      <c r="O1142" s="135">
        <f t="shared" si="606"/>
        <v>0</v>
      </c>
      <c r="P1142" s="135">
        <f t="shared" si="606"/>
        <v>0</v>
      </c>
      <c r="Q1142" s="135">
        <f t="shared" si="606"/>
        <v>0</v>
      </c>
      <c r="R1142" s="135">
        <f t="shared" si="606"/>
        <v>0</v>
      </c>
      <c r="S1142" s="135">
        <f t="shared" si="606"/>
        <v>0</v>
      </c>
      <c r="T1142" s="135">
        <f t="shared" si="606"/>
        <v>0</v>
      </c>
      <c r="U1142" s="135">
        <f t="shared" si="606"/>
        <v>0</v>
      </c>
      <c r="V1142" s="135">
        <f t="shared" si="606"/>
        <v>0</v>
      </c>
      <c r="W1142" s="135">
        <f t="shared" si="606"/>
        <v>0</v>
      </c>
      <c r="X1142" s="135">
        <f t="shared" si="606"/>
        <v>0</v>
      </c>
    </row>
    <row r="1143" spans="2:24" hidden="1">
      <c r="B1143" s="133" t="str">
        <f t="shared" si="605"/>
        <v/>
      </c>
      <c r="C1143" s="133" t="str">
        <f t="shared" si="605"/>
        <v/>
      </c>
      <c r="D1143" s="133" t="str">
        <f t="shared" si="605"/>
        <v/>
      </c>
      <c r="E1143" s="133" t="str">
        <f t="shared" si="605"/>
        <v/>
      </c>
      <c r="F1143" s="133"/>
      <c r="G1143" s="133"/>
      <c r="H1143" s="133"/>
      <c r="I1143" s="133"/>
      <c r="J1143" s="133"/>
      <c r="K1143" s="135">
        <f t="shared" ref="K1143:X1143" si="607">IF(AND($C1143="B+R",$D1143="nie",$E1143="prace rozwojowe",LataProjekcji&lt;=Koniec_PR,Modul_badawczo_rozwojowy=tak),ROUND(K596,0),0)</f>
        <v>0</v>
      </c>
      <c r="L1143" s="135">
        <f t="shared" si="607"/>
        <v>0</v>
      </c>
      <c r="M1143" s="135">
        <f t="shared" si="607"/>
        <v>0</v>
      </c>
      <c r="N1143" s="135">
        <f t="shared" si="607"/>
        <v>0</v>
      </c>
      <c r="O1143" s="135">
        <f t="shared" si="607"/>
        <v>0</v>
      </c>
      <c r="P1143" s="135">
        <f t="shared" si="607"/>
        <v>0</v>
      </c>
      <c r="Q1143" s="135">
        <f t="shared" si="607"/>
        <v>0</v>
      </c>
      <c r="R1143" s="135">
        <f t="shared" si="607"/>
        <v>0</v>
      </c>
      <c r="S1143" s="135">
        <f t="shared" si="607"/>
        <v>0</v>
      </c>
      <c r="T1143" s="135">
        <f t="shared" si="607"/>
        <v>0</v>
      </c>
      <c r="U1143" s="135">
        <f t="shared" si="607"/>
        <v>0</v>
      </c>
      <c r="V1143" s="135">
        <f t="shared" si="607"/>
        <v>0</v>
      </c>
      <c r="W1143" s="135">
        <f t="shared" si="607"/>
        <v>0</v>
      </c>
      <c r="X1143" s="135">
        <f t="shared" si="607"/>
        <v>0</v>
      </c>
    </row>
    <row r="1144" spans="2:24" hidden="1">
      <c r="B1144" s="133" t="str">
        <f t="shared" si="605"/>
        <v/>
      </c>
      <c r="C1144" s="133" t="str">
        <f t="shared" si="605"/>
        <v/>
      </c>
      <c r="D1144" s="133" t="str">
        <f t="shared" si="605"/>
        <v/>
      </c>
      <c r="E1144" s="133" t="str">
        <f t="shared" si="605"/>
        <v/>
      </c>
      <c r="F1144" s="133"/>
      <c r="G1144" s="133"/>
      <c r="H1144" s="133"/>
      <c r="I1144" s="133"/>
      <c r="J1144" s="133"/>
      <c r="K1144" s="135">
        <f t="shared" ref="K1144:X1144" si="608">IF(AND($C1144="B+R",$D1144="nie",$E1144="prace rozwojowe",LataProjekcji&lt;=Koniec_PR,Modul_badawczo_rozwojowy=tak),ROUND(K597,0),0)</f>
        <v>0</v>
      </c>
      <c r="L1144" s="135">
        <f t="shared" si="608"/>
        <v>0</v>
      </c>
      <c r="M1144" s="135">
        <f t="shared" si="608"/>
        <v>0</v>
      </c>
      <c r="N1144" s="135">
        <f t="shared" si="608"/>
        <v>0</v>
      </c>
      <c r="O1144" s="135">
        <f t="shared" si="608"/>
        <v>0</v>
      </c>
      <c r="P1144" s="135">
        <f t="shared" si="608"/>
        <v>0</v>
      </c>
      <c r="Q1144" s="135">
        <f t="shared" si="608"/>
        <v>0</v>
      </c>
      <c r="R1144" s="135">
        <f t="shared" si="608"/>
        <v>0</v>
      </c>
      <c r="S1144" s="135">
        <f t="shared" si="608"/>
        <v>0</v>
      </c>
      <c r="T1144" s="135">
        <f t="shared" si="608"/>
        <v>0</v>
      </c>
      <c r="U1144" s="135">
        <f t="shared" si="608"/>
        <v>0</v>
      </c>
      <c r="V1144" s="135">
        <f t="shared" si="608"/>
        <v>0</v>
      </c>
      <c r="W1144" s="135">
        <f t="shared" si="608"/>
        <v>0</v>
      </c>
      <c r="X1144" s="135">
        <f t="shared" si="608"/>
        <v>0</v>
      </c>
    </row>
    <row r="1145" spans="2:24" hidden="1">
      <c r="B1145" s="133" t="str">
        <f t="shared" si="605"/>
        <v/>
      </c>
      <c r="C1145" s="133" t="str">
        <f t="shared" si="605"/>
        <v/>
      </c>
      <c r="D1145" s="133" t="str">
        <f t="shared" si="605"/>
        <v/>
      </c>
      <c r="E1145" s="133" t="str">
        <f t="shared" si="605"/>
        <v/>
      </c>
      <c r="F1145" s="133"/>
      <c r="G1145" s="133"/>
      <c r="H1145" s="133"/>
      <c r="I1145" s="133"/>
      <c r="J1145" s="133"/>
      <c r="K1145" s="135">
        <f t="shared" ref="K1145:X1145" si="609">IF(AND($C1145="B+R",$D1145="nie",$E1145="prace rozwojowe",LataProjekcji&lt;=Koniec_PR,Modul_badawczo_rozwojowy=tak),ROUND(K598,0),0)</f>
        <v>0</v>
      </c>
      <c r="L1145" s="135">
        <f t="shared" si="609"/>
        <v>0</v>
      </c>
      <c r="M1145" s="135">
        <f t="shared" si="609"/>
        <v>0</v>
      </c>
      <c r="N1145" s="135">
        <f t="shared" si="609"/>
        <v>0</v>
      </c>
      <c r="O1145" s="135">
        <f t="shared" si="609"/>
        <v>0</v>
      </c>
      <c r="P1145" s="135">
        <f t="shared" si="609"/>
        <v>0</v>
      </c>
      <c r="Q1145" s="135">
        <f t="shared" si="609"/>
        <v>0</v>
      </c>
      <c r="R1145" s="135">
        <f t="shared" si="609"/>
        <v>0</v>
      </c>
      <c r="S1145" s="135">
        <f t="shared" si="609"/>
        <v>0</v>
      </c>
      <c r="T1145" s="135">
        <f t="shared" si="609"/>
        <v>0</v>
      </c>
      <c r="U1145" s="135">
        <f t="shared" si="609"/>
        <v>0</v>
      </c>
      <c r="V1145" s="135">
        <f t="shared" si="609"/>
        <v>0</v>
      </c>
      <c r="W1145" s="135">
        <f t="shared" si="609"/>
        <v>0</v>
      </c>
      <c r="X1145" s="135">
        <f t="shared" si="609"/>
        <v>0</v>
      </c>
    </row>
    <row r="1146" spans="2:24" hidden="1">
      <c r="B1146" s="133" t="str">
        <f t="shared" si="605"/>
        <v/>
      </c>
      <c r="C1146" s="133" t="str">
        <f t="shared" si="605"/>
        <v/>
      </c>
      <c r="D1146" s="133" t="str">
        <f t="shared" si="605"/>
        <v/>
      </c>
      <c r="E1146" s="133" t="str">
        <f t="shared" si="605"/>
        <v/>
      </c>
      <c r="F1146" s="133"/>
      <c r="G1146" s="133"/>
      <c r="H1146" s="133"/>
      <c r="I1146" s="133"/>
      <c r="J1146" s="133"/>
      <c r="K1146" s="135">
        <f t="shared" ref="K1146:X1146" si="610">IF(AND($C1146="B+R",$D1146="nie",$E1146="prace rozwojowe",LataProjekcji&lt;=Koniec_PR,Modul_badawczo_rozwojowy=tak),ROUND(K599,0),0)</f>
        <v>0</v>
      </c>
      <c r="L1146" s="135">
        <f t="shared" si="610"/>
        <v>0</v>
      </c>
      <c r="M1146" s="135">
        <f t="shared" si="610"/>
        <v>0</v>
      </c>
      <c r="N1146" s="135">
        <f t="shared" si="610"/>
        <v>0</v>
      </c>
      <c r="O1146" s="135">
        <f t="shared" si="610"/>
        <v>0</v>
      </c>
      <c r="P1146" s="135">
        <f t="shared" si="610"/>
        <v>0</v>
      </c>
      <c r="Q1146" s="135">
        <f t="shared" si="610"/>
        <v>0</v>
      </c>
      <c r="R1146" s="135">
        <f t="shared" si="610"/>
        <v>0</v>
      </c>
      <c r="S1146" s="135">
        <f t="shared" si="610"/>
        <v>0</v>
      </c>
      <c r="T1146" s="135">
        <f t="shared" si="610"/>
        <v>0</v>
      </c>
      <c r="U1146" s="135">
        <f t="shared" si="610"/>
        <v>0</v>
      </c>
      <c r="V1146" s="135">
        <f t="shared" si="610"/>
        <v>0</v>
      </c>
      <c r="W1146" s="135">
        <f t="shared" si="610"/>
        <v>0</v>
      </c>
      <c r="X1146" s="135">
        <f t="shared" si="610"/>
        <v>0</v>
      </c>
    </row>
    <row r="1147" spans="2:24" hidden="1">
      <c r="B1147" s="127" t="s">
        <v>329</v>
      </c>
      <c r="C1147" s="127"/>
      <c r="D1147" s="128"/>
      <c r="E1147" s="129"/>
      <c r="F1147" s="129"/>
      <c r="G1147" s="129"/>
      <c r="H1147" s="129"/>
      <c r="I1147" s="129"/>
      <c r="J1147" s="129"/>
      <c r="K1147" s="136">
        <f>ROUND(SUM(K1142:K1146),0)</f>
        <v>0</v>
      </c>
      <c r="L1147" s="136">
        <f t="shared" ref="L1147:X1147" si="611">ROUND(SUM(L1142:L1146),0)</f>
        <v>0</v>
      </c>
      <c r="M1147" s="136">
        <f t="shared" si="611"/>
        <v>0</v>
      </c>
      <c r="N1147" s="136">
        <f t="shared" si="611"/>
        <v>0</v>
      </c>
      <c r="O1147" s="136">
        <f t="shared" si="611"/>
        <v>0</v>
      </c>
      <c r="P1147" s="136">
        <f t="shared" si="611"/>
        <v>0</v>
      </c>
      <c r="Q1147" s="136">
        <f t="shared" si="611"/>
        <v>0</v>
      </c>
      <c r="R1147" s="136">
        <f t="shared" si="611"/>
        <v>0</v>
      </c>
      <c r="S1147" s="136">
        <f t="shared" si="611"/>
        <v>0</v>
      </c>
      <c r="T1147" s="136">
        <f t="shared" si="611"/>
        <v>0</v>
      </c>
      <c r="U1147" s="136">
        <f t="shared" si="611"/>
        <v>0</v>
      </c>
      <c r="V1147" s="136">
        <f t="shared" si="611"/>
        <v>0</v>
      </c>
      <c r="W1147" s="136">
        <f t="shared" si="611"/>
        <v>0</v>
      </c>
      <c r="X1147" s="136">
        <f t="shared" si="611"/>
        <v>0</v>
      </c>
    </row>
    <row r="1148" spans="2:24" hidden="1">
      <c r="B1148" s="127"/>
      <c r="C1148" s="127"/>
      <c r="D1148" s="128"/>
      <c r="E1148" s="129"/>
      <c r="F1148" s="129"/>
      <c r="G1148" s="129"/>
      <c r="H1148" s="129"/>
      <c r="I1148" s="129"/>
      <c r="J1148" s="129"/>
      <c r="K1148" s="136"/>
      <c r="L1148" s="136"/>
      <c r="M1148" s="136"/>
      <c r="N1148" s="136"/>
      <c r="O1148" s="136"/>
      <c r="P1148" s="136"/>
      <c r="Q1148" s="136"/>
      <c r="R1148" s="136"/>
      <c r="S1148" s="136"/>
      <c r="T1148" s="136"/>
      <c r="U1148" s="136"/>
      <c r="V1148" s="136"/>
      <c r="W1148" s="136"/>
      <c r="X1148" s="136"/>
    </row>
    <row r="1149" spans="2:24" hidden="1">
      <c r="B1149" s="127"/>
      <c r="C1149" s="127"/>
      <c r="D1149" s="128"/>
      <c r="E1149" s="129"/>
      <c r="F1149" s="129"/>
      <c r="G1149" s="129"/>
      <c r="H1149" s="129"/>
      <c r="I1149" s="129"/>
      <c r="J1149" s="129"/>
      <c r="K1149" s="136"/>
      <c r="L1149" s="136"/>
      <c r="M1149" s="136"/>
      <c r="N1149" s="136"/>
      <c r="O1149" s="136"/>
      <c r="P1149" s="136"/>
      <c r="Q1149" s="136"/>
      <c r="R1149" s="136"/>
      <c r="S1149" s="136"/>
      <c r="T1149" s="136"/>
      <c r="U1149" s="136"/>
      <c r="V1149" s="136"/>
      <c r="W1149" s="136"/>
      <c r="X1149" s="136"/>
    </row>
    <row r="1150" spans="2:24" hidden="1">
      <c r="B1150" s="127" t="s">
        <v>352</v>
      </c>
      <c r="C1150" s="127"/>
      <c r="D1150" s="128"/>
      <c r="E1150" s="129"/>
      <c r="F1150" s="129"/>
      <c r="G1150" s="129"/>
      <c r="H1150" s="129"/>
      <c r="I1150" s="129"/>
      <c r="J1150" s="129"/>
      <c r="K1150" s="129"/>
      <c r="L1150" s="129"/>
      <c r="M1150" s="129"/>
      <c r="N1150" s="129"/>
      <c r="O1150" s="129"/>
      <c r="P1150" s="129"/>
      <c r="Q1150" s="129"/>
      <c r="R1150" s="129"/>
      <c r="S1150" s="129"/>
      <c r="T1150" s="129"/>
      <c r="U1150" s="129"/>
      <c r="V1150" s="129"/>
      <c r="W1150" s="129"/>
      <c r="X1150" s="129"/>
    </row>
    <row r="1151" spans="2:24" hidden="1">
      <c r="B1151" s="129" t="s">
        <v>332</v>
      </c>
      <c r="C1151" s="129"/>
      <c r="D1151" s="128"/>
      <c r="E1151" s="129"/>
      <c r="F1151" s="129"/>
      <c r="G1151" s="129"/>
      <c r="H1151" s="129"/>
      <c r="I1151" s="129"/>
      <c r="J1151" s="129"/>
      <c r="K1151" s="137">
        <f t="shared" ref="K1151:X1151" si="612">IF(LataProjekcji&lt;=Koniec_Projekt,ROUND(K963,0),0)</f>
        <v>0</v>
      </c>
      <c r="L1151" s="137">
        <f t="shared" si="612"/>
        <v>0</v>
      </c>
      <c r="M1151" s="137">
        <f t="shared" si="612"/>
        <v>0</v>
      </c>
      <c r="N1151" s="137">
        <f t="shared" si="612"/>
        <v>0</v>
      </c>
      <c r="O1151" s="137">
        <f t="shared" si="612"/>
        <v>0</v>
      </c>
      <c r="P1151" s="137">
        <f t="shared" si="612"/>
        <v>0</v>
      </c>
      <c r="Q1151" s="137">
        <f t="shared" si="612"/>
        <v>0</v>
      </c>
      <c r="R1151" s="137">
        <f t="shared" si="612"/>
        <v>0</v>
      </c>
      <c r="S1151" s="137">
        <f t="shared" si="612"/>
        <v>0</v>
      </c>
      <c r="T1151" s="137">
        <f t="shared" si="612"/>
        <v>0</v>
      </c>
      <c r="U1151" s="137">
        <f t="shared" si="612"/>
        <v>0</v>
      </c>
      <c r="V1151" s="137">
        <f t="shared" si="612"/>
        <v>0</v>
      </c>
      <c r="W1151" s="137">
        <f t="shared" si="612"/>
        <v>0</v>
      </c>
      <c r="X1151" s="137">
        <f t="shared" si="612"/>
        <v>0</v>
      </c>
    </row>
    <row r="1152" spans="2:24" hidden="1">
      <c r="B1152" s="129" t="s">
        <v>312</v>
      </c>
      <c r="C1152" s="129"/>
      <c r="D1152" s="128"/>
      <c r="E1152" s="129"/>
      <c r="F1152" s="129"/>
      <c r="G1152" s="129"/>
      <c r="H1152" s="129"/>
      <c r="I1152" s="129"/>
      <c r="J1152" s="129"/>
      <c r="K1152" s="137">
        <f t="shared" ref="K1152:X1152" si="613">IF(LataProjekcji&lt;=Koniec_Projekt,ROUND(K987,0),0)</f>
        <v>0</v>
      </c>
      <c r="L1152" s="137">
        <f t="shared" si="613"/>
        <v>0</v>
      </c>
      <c r="M1152" s="137">
        <f t="shared" si="613"/>
        <v>0</v>
      </c>
      <c r="N1152" s="137">
        <f t="shared" si="613"/>
        <v>0</v>
      </c>
      <c r="O1152" s="137">
        <f t="shared" si="613"/>
        <v>0</v>
      </c>
      <c r="P1152" s="137">
        <f t="shared" si="613"/>
        <v>0</v>
      </c>
      <c r="Q1152" s="137">
        <f t="shared" si="613"/>
        <v>0</v>
      </c>
      <c r="R1152" s="137">
        <f t="shared" si="613"/>
        <v>0</v>
      </c>
      <c r="S1152" s="137">
        <f t="shared" si="613"/>
        <v>0</v>
      </c>
      <c r="T1152" s="137">
        <f t="shared" si="613"/>
        <v>0</v>
      </c>
      <c r="U1152" s="137">
        <f t="shared" si="613"/>
        <v>0</v>
      </c>
      <c r="V1152" s="137">
        <f t="shared" si="613"/>
        <v>0</v>
      </c>
      <c r="W1152" s="137">
        <f t="shared" si="613"/>
        <v>0</v>
      </c>
      <c r="X1152" s="137">
        <f t="shared" si="613"/>
        <v>0</v>
      </c>
    </row>
    <row r="1153" spans="1:24" hidden="1">
      <c r="B1153" s="129" t="s">
        <v>314</v>
      </c>
      <c r="C1153" s="129"/>
      <c r="D1153" s="128"/>
      <c r="E1153" s="129"/>
      <c r="F1153" s="129"/>
      <c r="G1153" s="129"/>
      <c r="H1153" s="129"/>
      <c r="I1153" s="129"/>
      <c r="J1153" s="129"/>
      <c r="K1153" s="137">
        <f t="shared" ref="K1153:X1153" si="614">IF(LataProjekcji&lt;=Koniec_Projekt,ROUND(K996,0),0)</f>
        <v>0</v>
      </c>
      <c r="L1153" s="137">
        <f t="shared" si="614"/>
        <v>0</v>
      </c>
      <c r="M1153" s="137">
        <f t="shared" si="614"/>
        <v>0</v>
      </c>
      <c r="N1153" s="137">
        <f t="shared" si="614"/>
        <v>0</v>
      </c>
      <c r="O1153" s="137">
        <f t="shared" si="614"/>
        <v>0</v>
      </c>
      <c r="P1153" s="137">
        <f t="shared" si="614"/>
        <v>0</v>
      </c>
      <c r="Q1153" s="137">
        <f t="shared" si="614"/>
        <v>0</v>
      </c>
      <c r="R1153" s="137">
        <f t="shared" si="614"/>
        <v>0</v>
      </c>
      <c r="S1153" s="137">
        <f t="shared" si="614"/>
        <v>0</v>
      </c>
      <c r="T1153" s="137">
        <f t="shared" si="614"/>
        <v>0</v>
      </c>
      <c r="U1153" s="137">
        <f t="shared" si="614"/>
        <v>0</v>
      </c>
      <c r="V1153" s="137">
        <f t="shared" si="614"/>
        <v>0</v>
      </c>
      <c r="W1153" s="137">
        <f t="shared" si="614"/>
        <v>0</v>
      </c>
      <c r="X1153" s="137">
        <f t="shared" si="614"/>
        <v>0</v>
      </c>
    </row>
    <row r="1154" spans="1:24" hidden="1">
      <c r="B1154" s="129" t="s">
        <v>333</v>
      </c>
      <c r="C1154" s="129"/>
      <c r="D1154" s="128"/>
      <c r="E1154" s="129"/>
      <c r="F1154" s="129"/>
      <c r="G1154" s="129"/>
      <c r="H1154" s="129"/>
      <c r="I1154" s="129"/>
      <c r="J1154" s="129"/>
      <c r="K1154" s="137">
        <f t="shared" ref="K1154:X1154" si="615">IF(LataProjekcji&lt;=Koniec_Projekt,ROUND(K1041,0),0)</f>
        <v>0</v>
      </c>
      <c r="L1154" s="137">
        <f t="shared" si="615"/>
        <v>0</v>
      </c>
      <c r="M1154" s="137">
        <f t="shared" si="615"/>
        <v>0</v>
      </c>
      <c r="N1154" s="137">
        <f t="shared" si="615"/>
        <v>0</v>
      </c>
      <c r="O1154" s="137">
        <f t="shared" si="615"/>
        <v>0</v>
      </c>
      <c r="P1154" s="137">
        <f t="shared" si="615"/>
        <v>0</v>
      </c>
      <c r="Q1154" s="137">
        <f t="shared" si="615"/>
        <v>0</v>
      </c>
      <c r="R1154" s="137">
        <f t="shared" si="615"/>
        <v>0</v>
      </c>
      <c r="S1154" s="137">
        <f t="shared" si="615"/>
        <v>0</v>
      </c>
      <c r="T1154" s="137">
        <f t="shared" si="615"/>
        <v>0</v>
      </c>
      <c r="U1154" s="137">
        <f t="shared" si="615"/>
        <v>0</v>
      </c>
      <c r="V1154" s="137">
        <f t="shared" si="615"/>
        <v>0</v>
      </c>
      <c r="W1154" s="137">
        <f t="shared" si="615"/>
        <v>0</v>
      </c>
      <c r="X1154" s="137">
        <f t="shared" si="615"/>
        <v>0</v>
      </c>
    </row>
    <row r="1155" spans="1:24" hidden="1">
      <c r="B1155" s="129" t="s">
        <v>320</v>
      </c>
      <c r="C1155" s="129"/>
      <c r="D1155" s="128"/>
      <c r="E1155" s="129"/>
      <c r="F1155" s="129"/>
      <c r="G1155" s="129"/>
      <c r="H1155" s="129"/>
      <c r="I1155" s="129"/>
      <c r="J1155" s="129"/>
      <c r="K1155" s="137">
        <f t="shared" ref="K1155:X1155" si="616">IF(LataProjekcji&lt;=Koniec_Projekt,ROUND(K1086,0),0)</f>
        <v>0</v>
      </c>
      <c r="L1155" s="137">
        <f t="shared" si="616"/>
        <v>0</v>
      </c>
      <c r="M1155" s="137">
        <f t="shared" si="616"/>
        <v>0</v>
      </c>
      <c r="N1155" s="137">
        <f t="shared" si="616"/>
        <v>0</v>
      </c>
      <c r="O1155" s="137">
        <f t="shared" si="616"/>
        <v>0</v>
      </c>
      <c r="P1155" s="137">
        <f t="shared" si="616"/>
        <v>0</v>
      </c>
      <c r="Q1155" s="137">
        <f t="shared" si="616"/>
        <v>0</v>
      </c>
      <c r="R1155" s="137">
        <f t="shared" si="616"/>
        <v>0</v>
      </c>
      <c r="S1155" s="137">
        <f t="shared" si="616"/>
        <v>0</v>
      </c>
      <c r="T1155" s="137">
        <f t="shared" si="616"/>
        <v>0</v>
      </c>
      <c r="U1155" s="137">
        <f t="shared" si="616"/>
        <v>0</v>
      </c>
      <c r="V1155" s="137">
        <f t="shared" si="616"/>
        <v>0</v>
      </c>
      <c r="W1155" s="137">
        <f t="shared" si="616"/>
        <v>0</v>
      </c>
      <c r="X1155" s="137">
        <f t="shared" si="616"/>
        <v>0</v>
      </c>
    </row>
    <row r="1156" spans="1:24" hidden="1">
      <c r="B1156" s="129" t="s">
        <v>323</v>
      </c>
      <c r="C1156" s="129"/>
      <c r="D1156" s="128"/>
      <c r="E1156" s="129"/>
      <c r="F1156" s="129"/>
      <c r="G1156" s="129"/>
      <c r="H1156" s="129"/>
      <c r="I1156" s="129"/>
      <c r="J1156" s="129"/>
      <c r="K1156" s="137">
        <f t="shared" ref="K1156:X1156" si="617">IF(LataProjekcji&lt;=Koniec_Projekt,ROUND(K1120,0),0)</f>
        <v>0</v>
      </c>
      <c r="L1156" s="137">
        <f t="shared" si="617"/>
        <v>0</v>
      </c>
      <c r="M1156" s="137">
        <f t="shared" si="617"/>
        <v>0</v>
      </c>
      <c r="N1156" s="137">
        <f t="shared" si="617"/>
        <v>0</v>
      </c>
      <c r="O1156" s="137">
        <f t="shared" si="617"/>
        <v>0</v>
      </c>
      <c r="P1156" s="137">
        <f t="shared" si="617"/>
        <v>0</v>
      </c>
      <c r="Q1156" s="137">
        <f t="shared" si="617"/>
        <v>0</v>
      </c>
      <c r="R1156" s="137">
        <f t="shared" si="617"/>
        <v>0</v>
      </c>
      <c r="S1156" s="137">
        <f t="shared" si="617"/>
        <v>0</v>
      </c>
      <c r="T1156" s="137">
        <f t="shared" si="617"/>
        <v>0</v>
      </c>
      <c r="U1156" s="137">
        <f t="shared" si="617"/>
        <v>0</v>
      </c>
      <c r="V1156" s="137">
        <f t="shared" si="617"/>
        <v>0</v>
      </c>
      <c r="W1156" s="137">
        <f t="shared" si="617"/>
        <v>0</v>
      </c>
      <c r="X1156" s="137">
        <f t="shared" si="617"/>
        <v>0</v>
      </c>
    </row>
    <row r="1157" spans="1:24" hidden="1">
      <c r="B1157" s="129" t="s">
        <v>334</v>
      </c>
      <c r="C1157" s="129"/>
      <c r="D1157" s="128"/>
      <c r="E1157" s="129"/>
      <c r="F1157" s="129"/>
      <c r="G1157" s="129"/>
      <c r="H1157" s="129"/>
      <c r="I1157" s="129"/>
      <c r="J1157" s="129"/>
      <c r="K1157" s="137">
        <f t="shared" ref="K1157:X1157" si="618">IF(LataProjekcji&lt;=Koniec_Projekt,K1129,0)</f>
        <v>0</v>
      </c>
      <c r="L1157" s="137">
        <f t="shared" si="618"/>
        <v>0</v>
      </c>
      <c r="M1157" s="137">
        <f t="shared" si="618"/>
        <v>0</v>
      </c>
      <c r="N1157" s="137">
        <f t="shared" si="618"/>
        <v>0</v>
      </c>
      <c r="O1157" s="137">
        <f t="shared" si="618"/>
        <v>0</v>
      </c>
      <c r="P1157" s="137">
        <f t="shared" si="618"/>
        <v>0</v>
      </c>
      <c r="Q1157" s="137">
        <f t="shared" si="618"/>
        <v>0</v>
      </c>
      <c r="R1157" s="137">
        <f t="shared" si="618"/>
        <v>0</v>
      </c>
      <c r="S1157" s="137">
        <f t="shared" si="618"/>
        <v>0</v>
      </c>
      <c r="T1157" s="137">
        <f t="shared" si="618"/>
        <v>0</v>
      </c>
      <c r="U1157" s="137">
        <f t="shared" si="618"/>
        <v>0</v>
      </c>
      <c r="V1157" s="137">
        <f t="shared" si="618"/>
        <v>0</v>
      </c>
      <c r="W1157" s="137">
        <f t="shared" si="618"/>
        <v>0</v>
      </c>
      <c r="X1157" s="137">
        <f t="shared" si="618"/>
        <v>0</v>
      </c>
    </row>
    <row r="1158" spans="1:24" hidden="1">
      <c r="B1158" s="129" t="s">
        <v>325</v>
      </c>
      <c r="C1158" s="129"/>
      <c r="D1158" s="128"/>
      <c r="E1158" s="129"/>
      <c r="F1158" s="129"/>
      <c r="G1158" s="129"/>
      <c r="H1158" s="129"/>
      <c r="I1158" s="129"/>
      <c r="J1158" s="129"/>
      <c r="K1158" s="137">
        <f t="shared" ref="K1158:X1158" si="619">IF(LataProjekcji&lt;=Koniec_Projekt,ROUND(K1138,0),0)</f>
        <v>0</v>
      </c>
      <c r="L1158" s="137">
        <f t="shared" si="619"/>
        <v>0</v>
      </c>
      <c r="M1158" s="137">
        <f t="shared" si="619"/>
        <v>0</v>
      </c>
      <c r="N1158" s="137">
        <f t="shared" si="619"/>
        <v>0</v>
      </c>
      <c r="O1158" s="137">
        <f t="shared" si="619"/>
        <v>0</v>
      </c>
      <c r="P1158" s="137">
        <f t="shared" si="619"/>
        <v>0</v>
      </c>
      <c r="Q1158" s="137">
        <f t="shared" si="619"/>
        <v>0</v>
      </c>
      <c r="R1158" s="137">
        <f t="shared" si="619"/>
        <v>0</v>
      </c>
      <c r="S1158" s="137">
        <f t="shared" si="619"/>
        <v>0</v>
      </c>
      <c r="T1158" s="137">
        <f t="shared" si="619"/>
        <v>0</v>
      </c>
      <c r="U1158" s="137">
        <f t="shared" si="619"/>
        <v>0</v>
      </c>
      <c r="V1158" s="137">
        <f t="shared" si="619"/>
        <v>0</v>
      </c>
      <c r="W1158" s="137">
        <f t="shared" si="619"/>
        <v>0</v>
      </c>
      <c r="X1158" s="137">
        <f t="shared" si="619"/>
        <v>0</v>
      </c>
    </row>
    <row r="1159" spans="1:24" hidden="1">
      <c r="B1159" s="129" t="s">
        <v>327</v>
      </c>
      <c r="C1159" s="129"/>
      <c r="D1159" s="128"/>
      <c r="E1159" s="129"/>
      <c r="F1159" s="129"/>
      <c r="G1159" s="129"/>
      <c r="H1159" s="129"/>
      <c r="I1159" s="129"/>
      <c r="J1159" s="129"/>
      <c r="K1159" s="137">
        <f t="shared" ref="K1159:X1159" si="620">IF(LataProjekcji&lt;=Koniec_Projekt,ROUND(K1147,0),0)</f>
        <v>0</v>
      </c>
      <c r="L1159" s="137">
        <f t="shared" si="620"/>
        <v>0</v>
      </c>
      <c r="M1159" s="137">
        <f t="shared" si="620"/>
        <v>0</v>
      </c>
      <c r="N1159" s="137">
        <f t="shared" si="620"/>
        <v>0</v>
      </c>
      <c r="O1159" s="137">
        <f t="shared" si="620"/>
        <v>0</v>
      </c>
      <c r="P1159" s="137">
        <f t="shared" si="620"/>
        <v>0</v>
      </c>
      <c r="Q1159" s="137">
        <f t="shared" si="620"/>
        <v>0</v>
      </c>
      <c r="R1159" s="137">
        <f t="shared" si="620"/>
        <v>0</v>
      </c>
      <c r="S1159" s="137">
        <f t="shared" si="620"/>
        <v>0</v>
      </c>
      <c r="T1159" s="137">
        <f t="shared" si="620"/>
        <v>0</v>
      </c>
      <c r="U1159" s="137">
        <f t="shared" si="620"/>
        <v>0</v>
      </c>
      <c r="V1159" s="137">
        <f t="shared" si="620"/>
        <v>0</v>
      </c>
      <c r="W1159" s="137">
        <f t="shared" si="620"/>
        <v>0</v>
      </c>
      <c r="X1159" s="137">
        <f t="shared" si="620"/>
        <v>0</v>
      </c>
    </row>
    <row r="1160" spans="1:24" hidden="1">
      <c r="B1160" s="139" t="s">
        <v>335</v>
      </c>
      <c r="C1160" s="139"/>
      <c r="D1160" s="132"/>
      <c r="E1160" s="131"/>
      <c r="F1160" s="131"/>
      <c r="G1160" s="131"/>
      <c r="H1160" s="131"/>
      <c r="I1160" s="131"/>
      <c r="J1160" s="131"/>
      <c r="K1160" s="140">
        <f>ROUND(SUM(K1151:K1159),0)</f>
        <v>0</v>
      </c>
      <c r="L1160" s="140">
        <f t="shared" ref="L1160:X1160" si="621">ROUND(SUM(L1151:L1159),0)</f>
        <v>0</v>
      </c>
      <c r="M1160" s="140">
        <f t="shared" si="621"/>
        <v>0</v>
      </c>
      <c r="N1160" s="140">
        <f t="shared" si="621"/>
        <v>0</v>
      </c>
      <c r="O1160" s="140">
        <f t="shared" si="621"/>
        <v>0</v>
      </c>
      <c r="P1160" s="140">
        <f t="shared" si="621"/>
        <v>0</v>
      </c>
      <c r="Q1160" s="140">
        <f t="shared" si="621"/>
        <v>0</v>
      </c>
      <c r="R1160" s="140">
        <f t="shared" si="621"/>
        <v>0</v>
      </c>
      <c r="S1160" s="140">
        <f t="shared" si="621"/>
        <v>0</v>
      </c>
      <c r="T1160" s="140">
        <f t="shared" si="621"/>
        <v>0</v>
      </c>
      <c r="U1160" s="140">
        <f t="shared" si="621"/>
        <v>0</v>
      </c>
      <c r="V1160" s="140">
        <f t="shared" si="621"/>
        <v>0</v>
      </c>
      <c r="W1160" s="140">
        <f t="shared" si="621"/>
        <v>0</v>
      </c>
      <c r="X1160" s="140">
        <f t="shared" si="621"/>
        <v>0</v>
      </c>
    </row>
    <row r="1161" spans="1:24" hidden="1">
      <c r="B1161" s="131"/>
      <c r="C1161" s="131"/>
      <c r="D1161" s="132"/>
      <c r="E1161" s="131"/>
      <c r="F1161" s="131"/>
      <c r="G1161" s="131"/>
      <c r="H1161" s="131"/>
      <c r="I1161" s="131"/>
      <c r="J1161" s="131"/>
      <c r="K1161" s="131"/>
      <c r="L1161" s="131"/>
      <c r="M1161" s="131"/>
      <c r="N1161" s="131"/>
      <c r="O1161" s="131"/>
      <c r="P1161" s="131"/>
      <c r="Q1161" s="131"/>
      <c r="R1161" s="131"/>
      <c r="S1161" s="131"/>
      <c r="T1161" s="131"/>
      <c r="U1161" s="131"/>
      <c r="V1161" s="131"/>
      <c r="W1161" s="131"/>
      <c r="X1161" s="131"/>
    </row>
    <row r="1162" spans="1:24" hidden="1">
      <c r="B1162" s="141"/>
      <c r="C1162" s="141"/>
      <c r="D1162" s="142"/>
      <c r="E1162" s="141"/>
      <c r="F1162" s="141"/>
      <c r="G1162" s="141"/>
      <c r="H1162" s="141"/>
      <c r="I1162" s="141"/>
      <c r="J1162" s="141"/>
      <c r="K1162" s="141"/>
      <c r="L1162" s="141"/>
      <c r="M1162" s="141"/>
      <c r="N1162" s="141"/>
      <c r="O1162" s="141"/>
      <c r="P1162" s="141"/>
      <c r="Q1162" s="141"/>
      <c r="R1162" s="141"/>
      <c r="S1162" s="141"/>
      <c r="T1162" s="141"/>
      <c r="U1162" s="141"/>
      <c r="V1162" s="141"/>
      <c r="W1162" s="141"/>
      <c r="X1162" s="141"/>
    </row>
    <row r="1163" spans="1:24" hidden="1">
      <c r="B1163" s="141"/>
      <c r="C1163" s="141"/>
      <c r="D1163" s="142"/>
      <c r="E1163" s="141"/>
      <c r="F1163" s="141"/>
      <c r="G1163" s="141"/>
      <c r="H1163" s="141"/>
      <c r="I1163" s="141"/>
      <c r="J1163" s="141"/>
      <c r="K1163" s="130" t="str">
        <f t="shared" ref="K1163:X1163" si="622">LataProjekcji</f>
        <v>Uzupełnij dane</v>
      </c>
      <c r="L1163" s="130" t="str">
        <f t="shared" si="622"/>
        <v/>
      </c>
      <c r="M1163" s="130" t="str">
        <f t="shared" si="622"/>
        <v/>
      </c>
      <c r="N1163" s="130" t="str">
        <f t="shared" si="622"/>
        <v/>
      </c>
      <c r="O1163" s="130" t="str">
        <f t="shared" si="622"/>
        <v/>
      </c>
      <c r="P1163" s="130" t="str">
        <f t="shared" si="622"/>
        <v/>
      </c>
      <c r="Q1163" s="130" t="str">
        <f t="shared" si="622"/>
        <v/>
      </c>
      <c r="R1163" s="130" t="str">
        <f t="shared" si="622"/>
        <v/>
      </c>
      <c r="S1163" s="130" t="str">
        <f t="shared" si="622"/>
        <v/>
      </c>
      <c r="T1163" s="130" t="str">
        <f t="shared" si="622"/>
        <v/>
      </c>
      <c r="U1163" s="130" t="str">
        <f t="shared" si="622"/>
        <v/>
      </c>
      <c r="V1163" s="130" t="str">
        <f t="shared" si="622"/>
        <v/>
      </c>
      <c r="W1163" s="130" t="str">
        <f t="shared" si="622"/>
        <v/>
      </c>
      <c r="X1163" s="130" t="str">
        <f t="shared" si="622"/>
        <v/>
      </c>
    </row>
    <row r="1164" spans="1:24" hidden="1">
      <c r="B1164" s="141"/>
      <c r="C1164" s="141"/>
      <c r="D1164" s="142"/>
      <c r="E1164" s="141"/>
      <c r="F1164" s="141"/>
      <c r="G1164" s="141"/>
      <c r="H1164" s="141"/>
      <c r="I1164" s="141"/>
      <c r="J1164" s="141"/>
      <c r="K1164" s="141"/>
      <c r="L1164" s="141"/>
      <c r="M1164" s="141"/>
      <c r="N1164" s="141"/>
      <c r="O1164" s="141"/>
      <c r="P1164" s="141"/>
      <c r="Q1164" s="141"/>
      <c r="R1164" s="141"/>
      <c r="S1164" s="141"/>
      <c r="T1164" s="141"/>
      <c r="U1164" s="141"/>
      <c r="V1164" s="141"/>
      <c r="W1164" s="141"/>
      <c r="X1164" s="141"/>
    </row>
    <row r="1165" spans="1:24" hidden="1">
      <c r="B1165" s="143" t="s">
        <v>353</v>
      </c>
      <c r="C1165" s="143"/>
      <c r="D1165" s="142"/>
      <c r="E1165" s="141"/>
      <c r="F1165" s="141"/>
      <c r="G1165" s="141"/>
      <c r="H1165" s="141"/>
      <c r="I1165" s="141"/>
      <c r="J1165" s="141"/>
      <c r="K1165" s="140">
        <f>ROUND(K1160,0)</f>
        <v>0</v>
      </c>
      <c r="L1165" s="140">
        <f t="shared" ref="L1165:X1165" si="623">ROUND(K1165+L1160,0)</f>
        <v>0</v>
      </c>
      <c r="M1165" s="140">
        <f t="shared" si="623"/>
        <v>0</v>
      </c>
      <c r="N1165" s="140">
        <f t="shared" si="623"/>
        <v>0</v>
      </c>
      <c r="O1165" s="140">
        <f t="shared" si="623"/>
        <v>0</v>
      </c>
      <c r="P1165" s="140">
        <f t="shared" si="623"/>
        <v>0</v>
      </c>
      <c r="Q1165" s="140">
        <f t="shared" si="623"/>
        <v>0</v>
      </c>
      <c r="R1165" s="140">
        <f t="shared" si="623"/>
        <v>0</v>
      </c>
      <c r="S1165" s="140">
        <f t="shared" si="623"/>
        <v>0</v>
      </c>
      <c r="T1165" s="140">
        <f t="shared" si="623"/>
        <v>0</v>
      </c>
      <c r="U1165" s="140">
        <f t="shared" si="623"/>
        <v>0</v>
      </c>
      <c r="V1165" s="140">
        <f t="shared" si="623"/>
        <v>0</v>
      </c>
      <c r="W1165" s="140">
        <f t="shared" si="623"/>
        <v>0</v>
      </c>
      <c r="X1165" s="140">
        <f t="shared" si="623"/>
        <v>0</v>
      </c>
    </row>
    <row r="1166" spans="1:24" hidden="1">
      <c r="B1166" s="141"/>
      <c r="C1166" s="141"/>
      <c r="D1166" s="142"/>
      <c r="E1166" s="141" t="s">
        <v>354</v>
      </c>
      <c r="F1166" s="141" t="s">
        <v>355</v>
      </c>
      <c r="G1166" s="141" t="s">
        <v>356</v>
      </c>
      <c r="H1166" s="141"/>
      <c r="I1166" s="141"/>
      <c r="J1166" s="141"/>
      <c r="K1166" s="141"/>
      <c r="L1166" s="141"/>
      <c r="M1166" s="141"/>
      <c r="N1166" s="141"/>
      <c r="O1166" s="141"/>
      <c r="P1166" s="141"/>
      <c r="Q1166" s="141"/>
      <c r="R1166" s="141"/>
      <c r="S1166" s="141"/>
      <c r="T1166" s="141"/>
      <c r="U1166" s="141"/>
      <c r="V1166" s="141"/>
      <c r="W1166" s="141"/>
      <c r="X1166" s="141"/>
    </row>
    <row r="1167" spans="1:24" hidden="1">
      <c r="B1167" s="141" t="s">
        <v>357</v>
      </c>
      <c r="C1167" s="141"/>
      <c r="D1167" s="142">
        <f>Poczatek</f>
        <v>0</v>
      </c>
      <c r="E1167" s="141" t="e">
        <f>MATCH($D1167,$A$921:$X$921,0)</f>
        <v>#N/A</v>
      </c>
      <c r="F1167" s="141">
        <f>ROW($K$918)</f>
        <v>918</v>
      </c>
      <c r="G1167" s="141" t="e">
        <f>ADDRESS(F1167,E1167)</f>
        <v>#N/A</v>
      </c>
      <c r="H1167" s="141"/>
      <c r="I1167" s="141"/>
      <c r="J1167" s="141"/>
      <c r="K1167" s="141"/>
      <c r="L1167" s="141"/>
      <c r="M1167" s="141"/>
      <c r="N1167" s="141"/>
      <c r="O1167" s="141"/>
      <c r="P1167" s="141"/>
      <c r="Q1167" s="141"/>
      <c r="R1167" s="141"/>
      <c r="S1167" s="141"/>
      <c r="T1167" s="141"/>
      <c r="U1167" s="141"/>
      <c r="V1167" s="141"/>
      <c r="W1167" s="141"/>
      <c r="X1167" s="141"/>
    </row>
    <row r="1168" spans="1:24" hidden="1">
      <c r="A1168" s="259"/>
      <c r="B1168" s="141" t="s">
        <v>777</v>
      </c>
      <c r="C1168" s="141"/>
      <c r="D1168" s="493">
        <f>Koniec_PR</f>
        <v>0</v>
      </c>
      <c r="E1168" s="141" t="e">
        <f>MATCH($D1168,$A$921:$X$921,0)</f>
        <v>#N/A</v>
      </c>
      <c r="F1168" s="141">
        <f>ROW($K$918)</f>
        <v>918</v>
      </c>
      <c r="G1168" s="141" t="e">
        <f>ADDRESS(F1168,E1168)</f>
        <v>#N/A</v>
      </c>
      <c r="H1168" s="141"/>
      <c r="I1168" s="141"/>
      <c r="J1168" s="141"/>
      <c r="K1168" s="141"/>
      <c r="L1168" s="141"/>
      <c r="M1168" s="141"/>
      <c r="N1168" s="141"/>
      <c r="O1168" s="141"/>
      <c r="P1168" s="141"/>
      <c r="Q1168" s="141"/>
      <c r="R1168" s="141"/>
      <c r="S1168" s="141"/>
      <c r="T1168" s="141"/>
      <c r="U1168" s="141"/>
      <c r="V1168" s="141"/>
      <c r="W1168" s="141"/>
      <c r="X1168" s="141"/>
    </row>
    <row r="1169" spans="1:24" hidden="1">
      <c r="B1169" s="141"/>
      <c r="C1169" s="141"/>
      <c r="D1169" s="142"/>
      <c r="E1169" s="141"/>
      <c r="F1169" s="141"/>
      <c r="G1169" s="141"/>
      <c r="H1169" s="141"/>
      <c r="I1169" s="141"/>
      <c r="J1169" s="141"/>
      <c r="K1169" s="141"/>
      <c r="L1169" s="141"/>
      <c r="M1169" s="141"/>
      <c r="N1169" s="141"/>
      <c r="O1169" s="141"/>
      <c r="P1169" s="141"/>
      <c r="Q1169" s="141"/>
      <c r="R1169" s="141"/>
      <c r="S1169" s="141"/>
      <c r="T1169" s="141"/>
      <c r="U1169" s="141"/>
      <c r="V1169" s="141"/>
      <c r="W1169" s="141"/>
      <c r="X1169" s="141"/>
    </row>
    <row r="1170" spans="1:24" hidden="1">
      <c r="A1170" s="259"/>
      <c r="B1170" s="141" t="s">
        <v>359</v>
      </c>
      <c r="C1170" s="141"/>
      <c r="D1170" s="142"/>
      <c r="E1170" s="141"/>
      <c r="F1170" s="141"/>
      <c r="G1170" s="141"/>
      <c r="H1170" s="141"/>
      <c r="I1170" s="141"/>
      <c r="J1170" s="141"/>
      <c r="K1170" s="144">
        <f t="shared" ref="K1170:X1170" si="624">IF(LataProjekcji&lt;=Koniec_PR,K1160,0)</f>
        <v>0</v>
      </c>
      <c r="L1170" s="144">
        <f t="shared" si="624"/>
        <v>0</v>
      </c>
      <c r="M1170" s="144">
        <f t="shared" si="624"/>
        <v>0</v>
      </c>
      <c r="N1170" s="144">
        <f t="shared" si="624"/>
        <v>0</v>
      </c>
      <c r="O1170" s="144">
        <f t="shared" si="624"/>
        <v>0</v>
      </c>
      <c r="P1170" s="144">
        <f t="shared" si="624"/>
        <v>0</v>
      </c>
      <c r="Q1170" s="144">
        <f t="shared" si="624"/>
        <v>0</v>
      </c>
      <c r="R1170" s="144">
        <f t="shared" si="624"/>
        <v>0</v>
      </c>
      <c r="S1170" s="144">
        <f t="shared" si="624"/>
        <v>0</v>
      </c>
      <c r="T1170" s="144">
        <f t="shared" si="624"/>
        <v>0</v>
      </c>
      <c r="U1170" s="144">
        <f t="shared" si="624"/>
        <v>0</v>
      </c>
      <c r="V1170" s="144">
        <f t="shared" si="624"/>
        <v>0</v>
      </c>
      <c r="W1170" s="144">
        <f t="shared" si="624"/>
        <v>0</v>
      </c>
      <c r="X1170" s="144">
        <f t="shared" si="624"/>
        <v>0</v>
      </c>
    </row>
    <row r="1171" spans="1:24" hidden="1">
      <c r="A1171" s="259"/>
      <c r="B1171" s="145" t="s">
        <v>360</v>
      </c>
      <c r="C1171" s="145"/>
      <c r="D1171" s="146"/>
      <c r="E1171" s="145"/>
      <c r="F1171" s="145"/>
      <c r="G1171" s="145"/>
      <c r="H1171" s="145"/>
      <c r="I1171" s="145"/>
      <c r="J1171" s="145"/>
      <c r="K1171" s="147">
        <f t="shared" ref="K1171:X1171" si="625">IF(LataProjekcji&lt;Koniec_PR,K1170,0)</f>
        <v>0</v>
      </c>
      <c r="L1171" s="147">
        <f t="shared" si="625"/>
        <v>0</v>
      </c>
      <c r="M1171" s="147">
        <f t="shared" si="625"/>
        <v>0</v>
      </c>
      <c r="N1171" s="147">
        <f t="shared" si="625"/>
        <v>0</v>
      </c>
      <c r="O1171" s="147">
        <f t="shared" si="625"/>
        <v>0</v>
      </c>
      <c r="P1171" s="147">
        <f t="shared" si="625"/>
        <v>0</v>
      </c>
      <c r="Q1171" s="147">
        <f t="shared" si="625"/>
        <v>0</v>
      </c>
      <c r="R1171" s="147">
        <f t="shared" si="625"/>
        <v>0</v>
      </c>
      <c r="S1171" s="147">
        <f t="shared" si="625"/>
        <v>0</v>
      </c>
      <c r="T1171" s="147">
        <f t="shared" si="625"/>
        <v>0</v>
      </c>
      <c r="U1171" s="147">
        <f t="shared" si="625"/>
        <v>0</v>
      </c>
      <c r="V1171" s="147">
        <f t="shared" si="625"/>
        <v>0</v>
      </c>
      <c r="W1171" s="147">
        <f t="shared" si="625"/>
        <v>0</v>
      </c>
      <c r="X1171" s="147">
        <f t="shared" si="625"/>
        <v>0</v>
      </c>
    </row>
    <row r="1172" spans="1:24" hidden="1">
      <c r="A1172" s="259"/>
      <c r="B1172" s="145" t="s">
        <v>361</v>
      </c>
      <c r="C1172" s="145"/>
      <c r="D1172" s="146"/>
      <c r="E1172" s="145"/>
      <c r="F1172" s="145"/>
      <c r="G1172" s="145"/>
      <c r="H1172" s="145"/>
      <c r="I1172" s="145"/>
      <c r="J1172" s="145"/>
      <c r="K1172" s="147">
        <f t="shared" ref="K1172:X1172" si="626">IF(K1163=Koniec_PR,K1165,0)</f>
        <v>0</v>
      </c>
      <c r="L1172" s="147">
        <f t="shared" si="626"/>
        <v>0</v>
      </c>
      <c r="M1172" s="147">
        <f t="shared" si="626"/>
        <v>0</v>
      </c>
      <c r="N1172" s="147">
        <f t="shared" si="626"/>
        <v>0</v>
      </c>
      <c r="O1172" s="147">
        <f t="shared" si="626"/>
        <v>0</v>
      </c>
      <c r="P1172" s="147">
        <f t="shared" si="626"/>
        <v>0</v>
      </c>
      <c r="Q1172" s="147">
        <f t="shared" si="626"/>
        <v>0</v>
      </c>
      <c r="R1172" s="147">
        <f t="shared" si="626"/>
        <v>0</v>
      </c>
      <c r="S1172" s="147">
        <f t="shared" si="626"/>
        <v>0</v>
      </c>
      <c r="T1172" s="147">
        <f t="shared" si="626"/>
        <v>0</v>
      </c>
      <c r="U1172" s="147">
        <f t="shared" si="626"/>
        <v>0</v>
      </c>
      <c r="V1172" s="147">
        <f t="shared" si="626"/>
        <v>0</v>
      </c>
      <c r="W1172" s="147">
        <f t="shared" si="626"/>
        <v>0</v>
      </c>
      <c r="X1172" s="147">
        <f t="shared" si="626"/>
        <v>0</v>
      </c>
    </row>
    <row r="1173" spans="1:24" hidden="1">
      <c r="B1173" s="62"/>
      <c r="C1173" s="62"/>
      <c r="D1173" s="86"/>
      <c r="E1173" s="62"/>
      <c r="F1173" s="62"/>
      <c r="G1173" s="62"/>
      <c r="H1173" s="62"/>
      <c r="I1173" s="62"/>
      <c r="J1173" s="62"/>
      <c r="K1173" s="62"/>
      <c r="L1173" s="62"/>
      <c r="M1173" s="62"/>
      <c r="N1173" s="62"/>
      <c r="O1173" s="62"/>
      <c r="P1173" s="62"/>
      <c r="Q1173" s="62"/>
      <c r="R1173" s="62"/>
      <c r="S1173" s="62"/>
      <c r="T1173" s="62"/>
      <c r="U1173" s="62"/>
      <c r="V1173" s="62"/>
      <c r="W1173" s="62"/>
      <c r="X1173" s="62"/>
    </row>
    <row r="1174" spans="1:24" hidden="1">
      <c r="B1174" s="62"/>
      <c r="C1174" s="62"/>
      <c r="D1174" s="86"/>
      <c r="E1174" s="62"/>
      <c r="F1174" s="62"/>
      <c r="G1174" s="62"/>
      <c r="H1174" s="62"/>
      <c r="I1174" s="62"/>
      <c r="J1174" s="62"/>
      <c r="K1174" s="62"/>
      <c r="L1174" s="62"/>
      <c r="M1174" s="62"/>
      <c r="N1174" s="62"/>
      <c r="O1174" s="62"/>
      <c r="P1174" s="62"/>
      <c r="Q1174" s="62"/>
      <c r="R1174" s="62"/>
      <c r="S1174" s="62"/>
      <c r="T1174" s="62"/>
      <c r="U1174" s="62"/>
      <c r="V1174" s="62"/>
      <c r="W1174" s="62"/>
      <c r="X1174" s="62"/>
    </row>
    <row r="1175" spans="1:24" hidden="1">
      <c r="B1175" s="62"/>
      <c r="C1175" s="62"/>
      <c r="D1175" s="86"/>
      <c r="E1175" s="62"/>
      <c r="F1175" s="62"/>
      <c r="G1175" s="62"/>
      <c r="H1175" s="62"/>
      <c r="I1175" s="62"/>
      <c r="J1175" s="62"/>
      <c r="K1175" s="62"/>
      <c r="L1175" s="62"/>
      <c r="M1175" s="62"/>
      <c r="N1175" s="62"/>
      <c r="O1175" s="62"/>
      <c r="P1175" s="62"/>
      <c r="Q1175" s="62"/>
      <c r="R1175" s="62"/>
      <c r="S1175" s="62"/>
      <c r="T1175" s="62"/>
      <c r="U1175" s="62"/>
      <c r="V1175" s="62"/>
      <c r="W1175" s="62"/>
      <c r="X1175" s="62"/>
    </row>
    <row r="1176" spans="1:24" hidden="1">
      <c r="B1176" s="62"/>
      <c r="C1176" s="62"/>
      <c r="D1176" s="86"/>
      <c r="E1176" s="62"/>
      <c r="F1176" s="62"/>
      <c r="G1176" s="62"/>
      <c r="H1176" s="62"/>
      <c r="I1176" s="62"/>
      <c r="J1176" s="62"/>
      <c r="K1176" s="62"/>
      <c r="L1176" s="62"/>
      <c r="M1176" s="62"/>
      <c r="N1176" s="62"/>
      <c r="O1176" s="62"/>
      <c r="P1176" s="62"/>
      <c r="Q1176" s="62"/>
      <c r="R1176" s="62"/>
      <c r="S1176" s="62"/>
      <c r="T1176" s="62"/>
      <c r="U1176" s="62"/>
      <c r="V1176" s="62"/>
      <c r="W1176" s="62"/>
      <c r="X1176" s="62"/>
    </row>
    <row r="1177" spans="1:24" hidden="1">
      <c r="B1177" s="62"/>
      <c r="C1177" s="62"/>
      <c r="D1177" s="86"/>
      <c r="E1177" s="62"/>
      <c r="F1177" s="62"/>
      <c r="G1177" s="62"/>
      <c r="H1177" s="62"/>
      <c r="I1177" s="62"/>
      <c r="J1177" s="62"/>
      <c r="K1177" s="62"/>
      <c r="L1177" s="62"/>
      <c r="M1177" s="62"/>
      <c r="N1177" s="62"/>
      <c r="O1177" s="62"/>
      <c r="P1177" s="62"/>
      <c r="Q1177" s="62"/>
      <c r="R1177" s="62"/>
      <c r="S1177" s="62"/>
      <c r="T1177" s="62"/>
      <c r="U1177" s="62"/>
      <c r="V1177" s="62"/>
      <c r="W1177" s="62"/>
      <c r="X1177" s="62"/>
    </row>
    <row r="1178" spans="1:24" hidden="1">
      <c r="B1178" s="62"/>
      <c r="C1178" s="62"/>
      <c r="D1178" s="86"/>
      <c r="E1178" s="62"/>
      <c r="F1178" s="62"/>
      <c r="G1178" s="62"/>
      <c r="H1178" s="62"/>
      <c r="I1178" s="62"/>
      <c r="J1178" s="62"/>
      <c r="K1178" s="62"/>
      <c r="L1178" s="62"/>
      <c r="M1178" s="62"/>
      <c r="N1178" s="62"/>
      <c r="O1178" s="62"/>
      <c r="P1178" s="62"/>
      <c r="Q1178" s="62"/>
      <c r="R1178" s="62"/>
      <c r="S1178" s="62"/>
      <c r="T1178" s="62"/>
      <c r="U1178" s="62"/>
      <c r="V1178" s="62"/>
      <c r="W1178" s="62"/>
      <c r="X1178" s="62"/>
    </row>
    <row r="1179" spans="1:24" hidden="1">
      <c r="B1179" s="62"/>
      <c r="C1179" s="62"/>
      <c r="D1179" s="86"/>
      <c r="E1179" s="62"/>
      <c r="F1179" s="62"/>
      <c r="G1179" s="62"/>
      <c r="H1179" s="62"/>
      <c r="I1179" s="62"/>
      <c r="J1179" s="62"/>
      <c r="K1179" s="62"/>
      <c r="L1179" s="62"/>
      <c r="M1179" s="62"/>
      <c r="N1179" s="62"/>
      <c r="O1179" s="62"/>
      <c r="P1179" s="62"/>
      <c r="Q1179" s="62"/>
      <c r="R1179" s="62"/>
      <c r="S1179" s="62"/>
      <c r="T1179" s="62"/>
      <c r="U1179" s="62"/>
      <c r="V1179" s="62"/>
      <c r="W1179" s="62"/>
      <c r="X1179" s="62"/>
    </row>
    <row r="1180" spans="1:24" hidden="1">
      <c r="B1180" s="62"/>
      <c r="C1180" s="62"/>
      <c r="D1180" s="86"/>
      <c r="E1180" s="62"/>
      <c r="F1180" s="62"/>
      <c r="G1180" s="62"/>
      <c r="H1180" s="62"/>
      <c r="I1180" s="62"/>
      <c r="J1180" s="62"/>
      <c r="K1180" s="62"/>
      <c r="L1180" s="62"/>
      <c r="M1180" s="62"/>
      <c r="N1180" s="62"/>
      <c r="O1180" s="62"/>
      <c r="P1180" s="62"/>
      <c r="Q1180" s="62"/>
      <c r="R1180" s="62"/>
      <c r="S1180" s="62"/>
      <c r="T1180" s="62"/>
      <c r="U1180" s="62"/>
      <c r="V1180" s="62"/>
      <c r="W1180" s="62"/>
      <c r="X1180" s="62"/>
    </row>
    <row r="1181" spans="1:24" hidden="1">
      <c r="B1181" s="20" t="s">
        <v>675</v>
      </c>
      <c r="C1181" s="20"/>
      <c r="D1181" s="80"/>
      <c r="E1181" s="21"/>
      <c r="F1181" s="21"/>
      <c r="G1181" s="21"/>
      <c r="H1181" s="21"/>
      <c r="I1181" s="21"/>
      <c r="J1181" s="21"/>
      <c r="K1181" s="64" t="str">
        <f t="shared" ref="K1181:X1181" si="627">LataProjekcji</f>
        <v>Uzupełnij dane</v>
      </c>
      <c r="L1181" s="64" t="str">
        <f t="shared" si="627"/>
        <v/>
      </c>
      <c r="M1181" s="64" t="str">
        <f t="shared" si="627"/>
        <v/>
      </c>
      <c r="N1181" s="64" t="str">
        <f t="shared" si="627"/>
        <v/>
      </c>
      <c r="O1181" s="64" t="str">
        <f t="shared" si="627"/>
        <v/>
      </c>
      <c r="P1181" s="64" t="str">
        <f t="shared" si="627"/>
        <v/>
      </c>
      <c r="Q1181" s="64" t="str">
        <f t="shared" si="627"/>
        <v/>
      </c>
      <c r="R1181" s="64" t="str">
        <f t="shared" si="627"/>
        <v/>
      </c>
      <c r="S1181" s="64" t="str">
        <f t="shared" si="627"/>
        <v/>
      </c>
      <c r="T1181" s="64" t="str">
        <f t="shared" si="627"/>
        <v/>
      </c>
      <c r="U1181" s="64" t="str">
        <f t="shared" si="627"/>
        <v/>
      </c>
      <c r="V1181" s="64" t="str">
        <f t="shared" si="627"/>
        <v/>
      </c>
      <c r="W1181" s="64" t="str">
        <f t="shared" si="627"/>
        <v/>
      </c>
      <c r="X1181" s="64" t="str">
        <f t="shared" si="627"/>
        <v/>
      </c>
    </row>
    <row r="1182" spans="1:24" hidden="1">
      <c r="B1182" s="58"/>
      <c r="C1182" s="58"/>
      <c r="D1182" s="83"/>
      <c r="E1182" s="58"/>
      <c r="F1182" s="58"/>
      <c r="G1182" s="58"/>
      <c r="H1182" s="58"/>
      <c r="I1182" s="58"/>
      <c r="J1182" s="58"/>
      <c r="K1182" s="58"/>
      <c r="L1182" s="58"/>
      <c r="M1182" s="58"/>
      <c r="N1182" s="58"/>
      <c r="O1182" s="58"/>
      <c r="P1182" s="58"/>
      <c r="Q1182" s="58"/>
      <c r="R1182" s="58"/>
      <c r="S1182" s="58"/>
      <c r="T1182" s="58"/>
      <c r="U1182" s="58"/>
      <c r="V1182" s="58"/>
      <c r="W1182" s="58"/>
      <c r="X1182" s="58"/>
    </row>
    <row r="1183" spans="1:24" hidden="1">
      <c r="B1183" s="20" t="s">
        <v>338</v>
      </c>
      <c r="C1183" s="20"/>
      <c r="D1183" s="82" t="s">
        <v>336</v>
      </c>
      <c r="E1183" s="20" t="s">
        <v>337</v>
      </c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259"/>
      <c r="B1184" s="59" t="str">
        <f t="shared" ref="B1184:E1203" si="628">IF(ISBLANK(B701),"",B701)</f>
        <v/>
      </c>
      <c r="C1184" s="59" t="str">
        <f t="shared" si="628"/>
        <v/>
      </c>
      <c r="D1184" s="59" t="str">
        <f t="shared" si="628"/>
        <v/>
      </c>
      <c r="E1184" s="59" t="str">
        <f t="shared" si="628"/>
        <v/>
      </c>
      <c r="F1184" s="59"/>
      <c r="G1184" s="59"/>
      <c r="H1184" s="59"/>
      <c r="I1184" s="59"/>
      <c r="J1184" s="59"/>
      <c r="K1184" s="60">
        <f t="shared" ref="K1184:X1184" si="629">IF(AND($D1184="tak",$E1184="prace rozwojowe",Modul_badawczo_rozwojowy=tak),ROUND(K701*K139,0),0)</f>
        <v>0</v>
      </c>
      <c r="L1184" s="60">
        <f t="shared" si="629"/>
        <v>0</v>
      </c>
      <c r="M1184" s="60">
        <f t="shared" si="629"/>
        <v>0</v>
      </c>
      <c r="N1184" s="60">
        <f t="shared" si="629"/>
        <v>0</v>
      </c>
      <c r="O1184" s="60">
        <f t="shared" si="629"/>
        <v>0</v>
      </c>
      <c r="P1184" s="60">
        <f t="shared" si="629"/>
        <v>0</v>
      </c>
      <c r="Q1184" s="60">
        <f t="shared" si="629"/>
        <v>0</v>
      </c>
      <c r="R1184" s="60">
        <f t="shared" si="629"/>
        <v>0</v>
      </c>
      <c r="S1184" s="60">
        <f t="shared" si="629"/>
        <v>0</v>
      </c>
      <c r="T1184" s="60">
        <f t="shared" si="629"/>
        <v>0</v>
      </c>
      <c r="U1184" s="60">
        <f t="shared" si="629"/>
        <v>0</v>
      </c>
      <c r="V1184" s="60">
        <f t="shared" si="629"/>
        <v>0</v>
      </c>
      <c r="W1184" s="60">
        <f t="shared" si="629"/>
        <v>0</v>
      </c>
      <c r="X1184" s="60">
        <f t="shared" si="629"/>
        <v>0</v>
      </c>
    </row>
    <row r="1185" spans="1:24" hidden="1">
      <c r="A1185" s="259"/>
      <c r="B1185" s="59" t="str">
        <f t="shared" si="628"/>
        <v/>
      </c>
      <c r="C1185" s="59" t="str">
        <f t="shared" si="628"/>
        <v/>
      </c>
      <c r="D1185" s="59" t="str">
        <f t="shared" si="628"/>
        <v/>
      </c>
      <c r="E1185" s="59" t="str">
        <f t="shared" si="628"/>
        <v/>
      </c>
      <c r="F1185" s="59"/>
      <c r="G1185" s="59"/>
      <c r="H1185" s="59"/>
      <c r="I1185" s="59"/>
      <c r="J1185" s="59"/>
      <c r="K1185" s="60">
        <f t="shared" ref="K1185:X1185" si="630">IF(AND($D1185="tak",$E1185="prace rozwojowe",Modul_badawczo_rozwojowy=tak),ROUND(K702*K140,0),0)</f>
        <v>0</v>
      </c>
      <c r="L1185" s="60">
        <f t="shared" si="630"/>
        <v>0</v>
      </c>
      <c r="M1185" s="60">
        <f t="shared" si="630"/>
        <v>0</v>
      </c>
      <c r="N1185" s="60">
        <f t="shared" si="630"/>
        <v>0</v>
      </c>
      <c r="O1185" s="60">
        <f t="shared" si="630"/>
        <v>0</v>
      </c>
      <c r="P1185" s="60">
        <f t="shared" si="630"/>
        <v>0</v>
      </c>
      <c r="Q1185" s="60">
        <f t="shared" si="630"/>
        <v>0</v>
      </c>
      <c r="R1185" s="60">
        <f t="shared" si="630"/>
        <v>0</v>
      </c>
      <c r="S1185" s="60">
        <f t="shared" si="630"/>
        <v>0</v>
      </c>
      <c r="T1185" s="60">
        <f t="shared" si="630"/>
        <v>0</v>
      </c>
      <c r="U1185" s="60">
        <f t="shared" si="630"/>
        <v>0</v>
      </c>
      <c r="V1185" s="60">
        <f t="shared" si="630"/>
        <v>0</v>
      </c>
      <c r="W1185" s="60">
        <f t="shared" si="630"/>
        <v>0</v>
      </c>
      <c r="X1185" s="60">
        <f t="shared" si="630"/>
        <v>0</v>
      </c>
    </row>
    <row r="1186" spans="1:24" hidden="1">
      <c r="A1186" s="259"/>
      <c r="B1186" s="59" t="str">
        <f t="shared" si="628"/>
        <v/>
      </c>
      <c r="C1186" s="59" t="str">
        <f t="shared" si="628"/>
        <v/>
      </c>
      <c r="D1186" s="59" t="str">
        <f t="shared" si="628"/>
        <v/>
      </c>
      <c r="E1186" s="59" t="str">
        <f t="shared" si="628"/>
        <v/>
      </c>
      <c r="F1186" s="59"/>
      <c r="G1186" s="59"/>
      <c r="H1186" s="59"/>
      <c r="I1186" s="59"/>
      <c r="J1186" s="59"/>
      <c r="K1186" s="60">
        <f t="shared" ref="K1186:X1186" si="631">IF(AND($D1186="tak",$E1186="prace rozwojowe",Modul_badawczo_rozwojowy=tak),ROUND(K703*K141,0),0)</f>
        <v>0</v>
      </c>
      <c r="L1186" s="60">
        <f t="shared" si="631"/>
        <v>0</v>
      </c>
      <c r="M1186" s="60">
        <f t="shared" si="631"/>
        <v>0</v>
      </c>
      <c r="N1186" s="60">
        <f t="shared" si="631"/>
        <v>0</v>
      </c>
      <c r="O1186" s="60">
        <f t="shared" si="631"/>
        <v>0</v>
      </c>
      <c r="P1186" s="60">
        <f t="shared" si="631"/>
        <v>0</v>
      </c>
      <c r="Q1186" s="60">
        <f t="shared" si="631"/>
        <v>0</v>
      </c>
      <c r="R1186" s="60">
        <f t="shared" si="631"/>
        <v>0</v>
      </c>
      <c r="S1186" s="60">
        <f t="shared" si="631"/>
        <v>0</v>
      </c>
      <c r="T1186" s="60">
        <f t="shared" si="631"/>
        <v>0</v>
      </c>
      <c r="U1186" s="60">
        <f t="shared" si="631"/>
        <v>0</v>
      </c>
      <c r="V1186" s="60">
        <f t="shared" si="631"/>
        <v>0</v>
      </c>
      <c r="W1186" s="60">
        <f t="shared" si="631"/>
        <v>0</v>
      </c>
      <c r="X1186" s="60">
        <f t="shared" si="631"/>
        <v>0</v>
      </c>
    </row>
    <row r="1187" spans="1:24" hidden="1">
      <c r="A1187" s="259"/>
      <c r="B1187" s="59" t="str">
        <f t="shared" si="628"/>
        <v/>
      </c>
      <c r="C1187" s="59" t="str">
        <f t="shared" si="628"/>
        <v/>
      </c>
      <c r="D1187" s="59" t="str">
        <f t="shared" si="628"/>
        <v/>
      </c>
      <c r="E1187" s="59" t="str">
        <f t="shared" si="628"/>
        <v/>
      </c>
      <c r="F1187" s="59"/>
      <c r="G1187" s="59"/>
      <c r="H1187" s="59"/>
      <c r="I1187" s="59"/>
      <c r="J1187" s="59"/>
      <c r="K1187" s="60">
        <f t="shared" ref="K1187:X1187" si="632">IF(AND($D1187="tak",$E1187="prace rozwojowe",Modul_badawczo_rozwojowy=tak),ROUND(K704*K142,0),0)</f>
        <v>0</v>
      </c>
      <c r="L1187" s="60">
        <f t="shared" si="632"/>
        <v>0</v>
      </c>
      <c r="M1187" s="60">
        <f t="shared" si="632"/>
        <v>0</v>
      </c>
      <c r="N1187" s="60">
        <f t="shared" si="632"/>
        <v>0</v>
      </c>
      <c r="O1187" s="60">
        <f t="shared" si="632"/>
        <v>0</v>
      </c>
      <c r="P1187" s="60">
        <f t="shared" si="632"/>
        <v>0</v>
      </c>
      <c r="Q1187" s="60">
        <f t="shared" si="632"/>
        <v>0</v>
      </c>
      <c r="R1187" s="60">
        <f t="shared" si="632"/>
        <v>0</v>
      </c>
      <c r="S1187" s="60">
        <f t="shared" si="632"/>
        <v>0</v>
      </c>
      <c r="T1187" s="60">
        <f t="shared" si="632"/>
        <v>0</v>
      </c>
      <c r="U1187" s="60">
        <f t="shared" si="632"/>
        <v>0</v>
      </c>
      <c r="V1187" s="60">
        <f t="shared" si="632"/>
        <v>0</v>
      </c>
      <c r="W1187" s="60">
        <f t="shared" si="632"/>
        <v>0</v>
      </c>
      <c r="X1187" s="60">
        <f t="shared" si="632"/>
        <v>0</v>
      </c>
    </row>
    <row r="1188" spans="1:24" hidden="1">
      <c r="A1188" s="259"/>
      <c r="B1188" s="59" t="str">
        <f t="shared" si="628"/>
        <v/>
      </c>
      <c r="C1188" s="59" t="str">
        <f t="shared" si="628"/>
        <v/>
      </c>
      <c r="D1188" s="59" t="str">
        <f t="shared" si="628"/>
        <v/>
      </c>
      <c r="E1188" s="59" t="str">
        <f t="shared" si="628"/>
        <v/>
      </c>
      <c r="F1188" s="59"/>
      <c r="G1188" s="59"/>
      <c r="H1188" s="59"/>
      <c r="I1188" s="59"/>
      <c r="J1188" s="59"/>
      <c r="K1188" s="60">
        <f t="shared" ref="K1188:X1188" si="633">IF(AND($D1188="tak",$E1188="prace rozwojowe",Modul_badawczo_rozwojowy=tak),ROUND(K705*K143,0),0)</f>
        <v>0</v>
      </c>
      <c r="L1188" s="60">
        <f t="shared" si="633"/>
        <v>0</v>
      </c>
      <c r="M1188" s="60">
        <f t="shared" si="633"/>
        <v>0</v>
      </c>
      <c r="N1188" s="60">
        <f t="shared" si="633"/>
        <v>0</v>
      </c>
      <c r="O1188" s="60">
        <f t="shared" si="633"/>
        <v>0</v>
      </c>
      <c r="P1188" s="60">
        <f t="shared" si="633"/>
        <v>0</v>
      </c>
      <c r="Q1188" s="60">
        <f t="shared" si="633"/>
        <v>0</v>
      </c>
      <c r="R1188" s="60">
        <f t="shared" si="633"/>
        <v>0</v>
      </c>
      <c r="S1188" s="60">
        <f t="shared" si="633"/>
        <v>0</v>
      </c>
      <c r="T1188" s="60">
        <f t="shared" si="633"/>
        <v>0</v>
      </c>
      <c r="U1188" s="60">
        <f t="shared" si="633"/>
        <v>0</v>
      </c>
      <c r="V1188" s="60">
        <f t="shared" si="633"/>
        <v>0</v>
      </c>
      <c r="W1188" s="60">
        <f t="shared" si="633"/>
        <v>0</v>
      </c>
      <c r="X1188" s="60">
        <f t="shared" si="633"/>
        <v>0</v>
      </c>
    </row>
    <row r="1189" spans="1:24" hidden="1">
      <c r="A1189" s="259"/>
      <c r="B1189" s="59" t="str">
        <f t="shared" si="628"/>
        <v/>
      </c>
      <c r="C1189" s="59" t="str">
        <f t="shared" si="628"/>
        <v/>
      </c>
      <c r="D1189" s="59" t="str">
        <f t="shared" si="628"/>
        <v/>
      </c>
      <c r="E1189" s="59" t="str">
        <f t="shared" si="628"/>
        <v/>
      </c>
      <c r="F1189" s="59"/>
      <c r="G1189" s="59"/>
      <c r="H1189" s="59"/>
      <c r="I1189" s="59"/>
      <c r="J1189" s="59"/>
      <c r="K1189" s="60">
        <f t="shared" ref="K1189:X1189" si="634">IF(AND($D1189="tak",$E1189="prace rozwojowe",Modul_badawczo_rozwojowy=tak),ROUND(K706*K144,0),0)</f>
        <v>0</v>
      </c>
      <c r="L1189" s="60">
        <f t="shared" si="634"/>
        <v>0</v>
      </c>
      <c r="M1189" s="60">
        <f t="shared" si="634"/>
        <v>0</v>
      </c>
      <c r="N1189" s="60">
        <f t="shared" si="634"/>
        <v>0</v>
      </c>
      <c r="O1189" s="60">
        <f t="shared" si="634"/>
        <v>0</v>
      </c>
      <c r="P1189" s="60">
        <f t="shared" si="634"/>
        <v>0</v>
      </c>
      <c r="Q1189" s="60">
        <f t="shared" si="634"/>
        <v>0</v>
      </c>
      <c r="R1189" s="60">
        <f t="shared" si="634"/>
        <v>0</v>
      </c>
      <c r="S1189" s="60">
        <f t="shared" si="634"/>
        <v>0</v>
      </c>
      <c r="T1189" s="60">
        <f t="shared" si="634"/>
        <v>0</v>
      </c>
      <c r="U1189" s="60">
        <f t="shared" si="634"/>
        <v>0</v>
      </c>
      <c r="V1189" s="60">
        <f t="shared" si="634"/>
        <v>0</v>
      </c>
      <c r="W1189" s="60">
        <f t="shared" si="634"/>
        <v>0</v>
      </c>
      <c r="X1189" s="60">
        <f t="shared" si="634"/>
        <v>0</v>
      </c>
    </row>
    <row r="1190" spans="1:24" hidden="1">
      <c r="A1190" s="259"/>
      <c r="B1190" s="59" t="str">
        <f t="shared" si="628"/>
        <v/>
      </c>
      <c r="C1190" s="59" t="str">
        <f t="shared" si="628"/>
        <v/>
      </c>
      <c r="D1190" s="59" t="str">
        <f t="shared" si="628"/>
        <v/>
      </c>
      <c r="E1190" s="59" t="str">
        <f t="shared" si="628"/>
        <v/>
      </c>
      <c r="F1190" s="59"/>
      <c r="G1190" s="59"/>
      <c r="H1190" s="59"/>
      <c r="I1190" s="59"/>
      <c r="J1190" s="59"/>
      <c r="K1190" s="60">
        <f t="shared" ref="K1190:X1190" si="635">IF(AND($D1190="tak",$E1190="prace rozwojowe",Modul_badawczo_rozwojowy=tak),ROUND(K707*K145,0),0)</f>
        <v>0</v>
      </c>
      <c r="L1190" s="60">
        <f t="shared" si="635"/>
        <v>0</v>
      </c>
      <c r="M1190" s="60">
        <f t="shared" si="635"/>
        <v>0</v>
      </c>
      <c r="N1190" s="60">
        <f t="shared" si="635"/>
        <v>0</v>
      </c>
      <c r="O1190" s="60">
        <f t="shared" si="635"/>
        <v>0</v>
      </c>
      <c r="P1190" s="60">
        <f t="shared" si="635"/>
        <v>0</v>
      </c>
      <c r="Q1190" s="60">
        <f t="shared" si="635"/>
        <v>0</v>
      </c>
      <c r="R1190" s="60">
        <f t="shared" si="635"/>
        <v>0</v>
      </c>
      <c r="S1190" s="60">
        <f t="shared" si="635"/>
        <v>0</v>
      </c>
      <c r="T1190" s="60">
        <f t="shared" si="635"/>
        <v>0</v>
      </c>
      <c r="U1190" s="60">
        <f t="shared" si="635"/>
        <v>0</v>
      </c>
      <c r="V1190" s="60">
        <f t="shared" si="635"/>
        <v>0</v>
      </c>
      <c r="W1190" s="60">
        <f t="shared" si="635"/>
        <v>0</v>
      </c>
      <c r="X1190" s="60">
        <f t="shared" si="635"/>
        <v>0</v>
      </c>
    </row>
    <row r="1191" spans="1:24" hidden="1">
      <c r="A1191" s="259"/>
      <c r="B1191" s="59" t="str">
        <f t="shared" si="628"/>
        <v/>
      </c>
      <c r="C1191" s="59" t="str">
        <f t="shared" si="628"/>
        <v/>
      </c>
      <c r="D1191" s="59" t="str">
        <f t="shared" si="628"/>
        <v/>
      </c>
      <c r="E1191" s="59" t="str">
        <f t="shared" si="628"/>
        <v/>
      </c>
      <c r="F1191" s="59"/>
      <c r="G1191" s="59"/>
      <c r="H1191" s="59"/>
      <c r="I1191" s="59"/>
      <c r="J1191" s="59"/>
      <c r="K1191" s="60">
        <f t="shared" ref="K1191:X1191" si="636">IF(AND($D1191="tak",$E1191="prace rozwojowe",Modul_badawczo_rozwojowy=tak),ROUND(K708*K146,0),0)</f>
        <v>0</v>
      </c>
      <c r="L1191" s="60">
        <f t="shared" si="636"/>
        <v>0</v>
      </c>
      <c r="M1191" s="60">
        <f t="shared" si="636"/>
        <v>0</v>
      </c>
      <c r="N1191" s="60">
        <f t="shared" si="636"/>
        <v>0</v>
      </c>
      <c r="O1191" s="60">
        <f t="shared" si="636"/>
        <v>0</v>
      </c>
      <c r="P1191" s="60">
        <f t="shared" si="636"/>
        <v>0</v>
      </c>
      <c r="Q1191" s="60">
        <f t="shared" si="636"/>
        <v>0</v>
      </c>
      <c r="R1191" s="60">
        <f t="shared" si="636"/>
        <v>0</v>
      </c>
      <c r="S1191" s="60">
        <f t="shared" si="636"/>
        <v>0</v>
      </c>
      <c r="T1191" s="60">
        <f t="shared" si="636"/>
        <v>0</v>
      </c>
      <c r="U1191" s="60">
        <f t="shared" si="636"/>
        <v>0</v>
      </c>
      <c r="V1191" s="60">
        <f t="shared" si="636"/>
        <v>0</v>
      </c>
      <c r="W1191" s="60">
        <f t="shared" si="636"/>
        <v>0</v>
      </c>
      <c r="X1191" s="60">
        <f t="shared" si="636"/>
        <v>0</v>
      </c>
    </row>
    <row r="1192" spans="1:24" hidden="1">
      <c r="A1192" s="259"/>
      <c r="B1192" s="59" t="str">
        <f t="shared" si="628"/>
        <v/>
      </c>
      <c r="C1192" s="59" t="str">
        <f t="shared" si="628"/>
        <v/>
      </c>
      <c r="D1192" s="59" t="str">
        <f t="shared" si="628"/>
        <v/>
      </c>
      <c r="E1192" s="59" t="str">
        <f t="shared" si="628"/>
        <v/>
      </c>
      <c r="F1192" s="59"/>
      <c r="G1192" s="59"/>
      <c r="H1192" s="59"/>
      <c r="I1192" s="59"/>
      <c r="J1192" s="59"/>
      <c r="K1192" s="60">
        <f t="shared" ref="K1192:X1192" si="637">IF(AND($D1192="tak",$E1192="prace rozwojowe",Modul_badawczo_rozwojowy=tak),ROUND(K709*K147,0),0)</f>
        <v>0</v>
      </c>
      <c r="L1192" s="60">
        <f t="shared" si="637"/>
        <v>0</v>
      </c>
      <c r="M1192" s="60">
        <f t="shared" si="637"/>
        <v>0</v>
      </c>
      <c r="N1192" s="60">
        <f t="shared" si="637"/>
        <v>0</v>
      </c>
      <c r="O1192" s="60">
        <f t="shared" si="637"/>
        <v>0</v>
      </c>
      <c r="P1192" s="60">
        <f t="shared" si="637"/>
        <v>0</v>
      </c>
      <c r="Q1192" s="60">
        <f t="shared" si="637"/>
        <v>0</v>
      </c>
      <c r="R1192" s="60">
        <f t="shared" si="637"/>
        <v>0</v>
      </c>
      <c r="S1192" s="60">
        <f t="shared" si="637"/>
        <v>0</v>
      </c>
      <c r="T1192" s="60">
        <f t="shared" si="637"/>
        <v>0</v>
      </c>
      <c r="U1192" s="60">
        <f t="shared" si="637"/>
        <v>0</v>
      </c>
      <c r="V1192" s="60">
        <f t="shared" si="637"/>
        <v>0</v>
      </c>
      <c r="W1192" s="60">
        <f t="shared" si="637"/>
        <v>0</v>
      </c>
      <c r="X1192" s="60">
        <f t="shared" si="637"/>
        <v>0</v>
      </c>
    </row>
    <row r="1193" spans="1:24" hidden="1">
      <c r="A1193" s="259"/>
      <c r="B1193" s="59" t="str">
        <f t="shared" si="628"/>
        <v/>
      </c>
      <c r="C1193" s="59" t="str">
        <f t="shared" si="628"/>
        <v/>
      </c>
      <c r="D1193" s="59" t="str">
        <f t="shared" si="628"/>
        <v/>
      </c>
      <c r="E1193" s="59" t="str">
        <f t="shared" si="628"/>
        <v/>
      </c>
      <c r="F1193" s="59"/>
      <c r="G1193" s="59"/>
      <c r="H1193" s="59"/>
      <c r="I1193" s="59"/>
      <c r="J1193" s="59"/>
      <c r="K1193" s="60">
        <f t="shared" ref="K1193:X1193" si="638">IF(AND($D1193="tak",$E1193="prace rozwojowe",Modul_badawczo_rozwojowy=tak),ROUND(K710*K148,0),0)</f>
        <v>0</v>
      </c>
      <c r="L1193" s="60">
        <f t="shared" si="638"/>
        <v>0</v>
      </c>
      <c r="M1193" s="60">
        <f t="shared" si="638"/>
        <v>0</v>
      </c>
      <c r="N1193" s="60">
        <f t="shared" si="638"/>
        <v>0</v>
      </c>
      <c r="O1193" s="60">
        <f t="shared" si="638"/>
        <v>0</v>
      </c>
      <c r="P1193" s="60">
        <f t="shared" si="638"/>
        <v>0</v>
      </c>
      <c r="Q1193" s="60">
        <f t="shared" si="638"/>
        <v>0</v>
      </c>
      <c r="R1193" s="60">
        <f t="shared" si="638"/>
        <v>0</v>
      </c>
      <c r="S1193" s="60">
        <f t="shared" si="638"/>
        <v>0</v>
      </c>
      <c r="T1193" s="60">
        <f t="shared" si="638"/>
        <v>0</v>
      </c>
      <c r="U1193" s="60">
        <f t="shared" si="638"/>
        <v>0</v>
      </c>
      <c r="V1193" s="60">
        <f t="shared" si="638"/>
        <v>0</v>
      </c>
      <c r="W1193" s="60">
        <f t="shared" si="638"/>
        <v>0</v>
      </c>
      <c r="X1193" s="60">
        <f t="shared" si="638"/>
        <v>0</v>
      </c>
    </row>
    <row r="1194" spans="1:24" hidden="1">
      <c r="A1194" s="259"/>
      <c r="B1194" s="59" t="str">
        <f t="shared" si="628"/>
        <v/>
      </c>
      <c r="C1194" s="59" t="str">
        <f t="shared" si="628"/>
        <v/>
      </c>
      <c r="D1194" s="59" t="str">
        <f t="shared" si="628"/>
        <v/>
      </c>
      <c r="E1194" s="59" t="str">
        <f t="shared" si="628"/>
        <v/>
      </c>
      <c r="F1194" s="59"/>
      <c r="G1194" s="59"/>
      <c r="H1194" s="59"/>
      <c r="I1194" s="59"/>
      <c r="J1194" s="59"/>
      <c r="K1194" s="60">
        <f t="shared" ref="K1194:X1194" si="639">IF(AND($D1194="tak",$E1194="prace rozwojowe",Modul_badawczo_rozwojowy=tak),ROUND(K711*K149,0),0)</f>
        <v>0</v>
      </c>
      <c r="L1194" s="60">
        <f t="shared" si="639"/>
        <v>0</v>
      </c>
      <c r="M1194" s="60">
        <f t="shared" si="639"/>
        <v>0</v>
      </c>
      <c r="N1194" s="60">
        <f t="shared" si="639"/>
        <v>0</v>
      </c>
      <c r="O1194" s="60">
        <f t="shared" si="639"/>
        <v>0</v>
      </c>
      <c r="P1194" s="60">
        <f t="shared" si="639"/>
        <v>0</v>
      </c>
      <c r="Q1194" s="60">
        <f t="shared" si="639"/>
        <v>0</v>
      </c>
      <c r="R1194" s="60">
        <f t="shared" si="639"/>
        <v>0</v>
      </c>
      <c r="S1194" s="60">
        <f t="shared" si="639"/>
        <v>0</v>
      </c>
      <c r="T1194" s="60">
        <f t="shared" si="639"/>
        <v>0</v>
      </c>
      <c r="U1194" s="60">
        <f t="shared" si="639"/>
        <v>0</v>
      </c>
      <c r="V1194" s="60">
        <f t="shared" si="639"/>
        <v>0</v>
      </c>
      <c r="W1194" s="60">
        <f t="shared" si="639"/>
        <v>0</v>
      </c>
      <c r="X1194" s="60">
        <f t="shared" si="639"/>
        <v>0</v>
      </c>
    </row>
    <row r="1195" spans="1:24" hidden="1">
      <c r="A1195" s="259"/>
      <c r="B1195" s="59" t="str">
        <f t="shared" si="628"/>
        <v/>
      </c>
      <c r="C1195" s="59" t="str">
        <f t="shared" si="628"/>
        <v/>
      </c>
      <c r="D1195" s="59" t="str">
        <f t="shared" si="628"/>
        <v/>
      </c>
      <c r="E1195" s="59" t="str">
        <f t="shared" si="628"/>
        <v/>
      </c>
      <c r="F1195" s="59"/>
      <c r="G1195" s="59"/>
      <c r="H1195" s="59"/>
      <c r="I1195" s="59"/>
      <c r="J1195" s="59"/>
      <c r="K1195" s="60">
        <f t="shared" ref="K1195:X1195" si="640">IF(AND($D1195="tak",$E1195="prace rozwojowe",Modul_badawczo_rozwojowy=tak),ROUND(K712*K150,0),0)</f>
        <v>0</v>
      </c>
      <c r="L1195" s="60">
        <f t="shared" si="640"/>
        <v>0</v>
      </c>
      <c r="M1195" s="60">
        <f t="shared" si="640"/>
        <v>0</v>
      </c>
      <c r="N1195" s="60">
        <f t="shared" si="640"/>
        <v>0</v>
      </c>
      <c r="O1195" s="60">
        <f t="shared" si="640"/>
        <v>0</v>
      </c>
      <c r="P1195" s="60">
        <f t="shared" si="640"/>
        <v>0</v>
      </c>
      <c r="Q1195" s="60">
        <f t="shared" si="640"/>
        <v>0</v>
      </c>
      <c r="R1195" s="60">
        <f t="shared" si="640"/>
        <v>0</v>
      </c>
      <c r="S1195" s="60">
        <f t="shared" si="640"/>
        <v>0</v>
      </c>
      <c r="T1195" s="60">
        <f t="shared" si="640"/>
        <v>0</v>
      </c>
      <c r="U1195" s="60">
        <f t="shared" si="640"/>
        <v>0</v>
      </c>
      <c r="V1195" s="60">
        <f t="shared" si="640"/>
        <v>0</v>
      </c>
      <c r="W1195" s="60">
        <f t="shared" si="640"/>
        <v>0</v>
      </c>
      <c r="X1195" s="60">
        <f t="shared" si="640"/>
        <v>0</v>
      </c>
    </row>
    <row r="1196" spans="1:24" hidden="1">
      <c r="A1196" s="259"/>
      <c r="B1196" s="59" t="str">
        <f t="shared" si="628"/>
        <v/>
      </c>
      <c r="C1196" s="59" t="str">
        <f t="shared" si="628"/>
        <v/>
      </c>
      <c r="D1196" s="59" t="str">
        <f t="shared" si="628"/>
        <v/>
      </c>
      <c r="E1196" s="59" t="str">
        <f t="shared" si="628"/>
        <v/>
      </c>
      <c r="F1196" s="59"/>
      <c r="G1196" s="59"/>
      <c r="H1196" s="59"/>
      <c r="I1196" s="59"/>
      <c r="J1196" s="59"/>
      <c r="K1196" s="60">
        <f t="shared" ref="K1196:X1196" si="641">IF(AND($D1196="tak",$E1196="prace rozwojowe",Modul_badawczo_rozwojowy=tak),ROUND(K713*K151,0),0)</f>
        <v>0</v>
      </c>
      <c r="L1196" s="60">
        <f t="shared" si="641"/>
        <v>0</v>
      </c>
      <c r="M1196" s="60">
        <f t="shared" si="641"/>
        <v>0</v>
      </c>
      <c r="N1196" s="60">
        <f t="shared" si="641"/>
        <v>0</v>
      </c>
      <c r="O1196" s="60">
        <f t="shared" si="641"/>
        <v>0</v>
      </c>
      <c r="P1196" s="60">
        <f t="shared" si="641"/>
        <v>0</v>
      </c>
      <c r="Q1196" s="60">
        <f t="shared" si="641"/>
        <v>0</v>
      </c>
      <c r="R1196" s="60">
        <f t="shared" si="641"/>
        <v>0</v>
      </c>
      <c r="S1196" s="60">
        <f t="shared" si="641"/>
        <v>0</v>
      </c>
      <c r="T1196" s="60">
        <f t="shared" si="641"/>
        <v>0</v>
      </c>
      <c r="U1196" s="60">
        <f t="shared" si="641"/>
        <v>0</v>
      </c>
      <c r="V1196" s="60">
        <f t="shared" si="641"/>
        <v>0</v>
      </c>
      <c r="W1196" s="60">
        <f t="shared" si="641"/>
        <v>0</v>
      </c>
      <c r="X1196" s="60">
        <f t="shared" si="641"/>
        <v>0</v>
      </c>
    </row>
    <row r="1197" spans="1:24" hidden="1">
      <c r="A1197" s="259"/>
      <c r="B1197" s="59" t="str">
        <f t="shared" si="628"/>
        <v/>
      </c>
      <c r="C1197" s="59" t="str">
        <f t="shared" si="628"/>
        <v/>
      </c>
      <c r="D1197" s="59" t="str">
        <f t="shared" si="628"/>
        <v/>
      </c>
      <c r="E1197" s="59" t="str">
        <f t="shared" si="628"/>
        <v/>
      </c>
      <c r="F1197" s="59"/>
      <c r="G1197" s="59"/>
      <c r="H1197" s="59"/>
      <c r="I1197" s="59"/>
      <c r="J1197" s="59"/>
      <c r="K1197" s="60">
        <f t="shared" ref="K1197:X1197" si="642">IF(AND($D1197="tak",$E1197="prace rozwojowe",Modul_badawczo_rozwojowy=tak),ROUND(K714*K152,0),0)</f>
        <v>0</v>
      </c>
      <c r="L1197" s="60">
        <f t="shared" si="642"/>
        <v>0</v>
      </c>
      <c r="M1197" s="60">
        <f t="shared" si="642"/>
        <v>0</v>
      </c>
      <c r="N1197" s="60">
        <f t="shared" si="642"/>
        <v>0</v>
      </c>
      <c r="O1197" s="60">
        <f t="shared" si="642"/>
        <v>0</v>
      </c>
      <c r="P1197" s="60">
        <f t="shared" si="642"/>
        <v>0</v>
      </c>
      <c r="Q1197" s="60">
        <f t="shared" si="642"/>
        <v>0</v>
      </c>
      <c r="R1197" s="60">
        <f t="shared" si="642"/>
        <v>0</v>
      </c>
      <c r="S1197" s="60">
        <f t="shared" si="642"/>
        <v>0</v>
      </c>
      <c r="T1197" s="60">
        <f t="shared" si="642"/>
        <v>0</v>
      </c>
      <c r="U1197" s="60">
        <f t="shared" si="642"/>
        <v>0</v>
      </c>
      <c r="V1197" s="60">
        <f t="shared" si="642"/>
        <v>0</v>
      </c>
      <c r="W1197" s="60">
        <f t="shared" si="642"/>
        <v>0</v>
      </c>
      <c r="X1197" s="60">
        <f t="shared" si="642"/>
        <v>0</v>
      </c>
    </row>
    <row r="1198" spans="1:24" hidden="1">
      <c r="A1198" s="259"/>
      <c r="B1198" s="59" t="str">
        <f t="shared" si="628"/>
        <v/>
      </c>
      <c r="C1198" s="59" t="str">
        <f t="shared" si="628"/>
        <v/>
      </c>
      <c r="D1198" s="59" t="str">
        <f t="shared" si="628"/>
        <v/>
      </c>
      <c r="E1198" s="59" t="str">
        <f t="shared" si="628"/>
        <v/>
      </c>
      <c r="F1198" s="59"/>
      <c r="G1198" s="59"/>
      <c r="H1198" s="59"/>
      <c r="I1198" s="59"/>
      <c r="J1198" s="59"/>
      <c r="K1198" s="60">
        <f t="shared" ref="K1198:X1198" si="643">IF(AND($D1198="tak",$E1198="prace rozwojowe",Modul_badawczo_rozwojowy=tak),ROUND(K715*K153,0),0)</f>
        <v>0</v>
      </c>
      <c r="L1198" s="60">
        <f t="shared" si="643"/>
        <v>0</v>
      </c>
      <c r="M1198" s="60">
        <f t="shared" si="643"/>
        <v>0</v>
      </c>
      <c r="N1198" s="60">
        <f t="shared" si="643"/>
        <v>0</v>
      </c>
      <c r="O1198" s="60">
        <f t="shared" si="643"/>
        <v>0</v>
      </c>
      <c r="P1198" s="60">
        <f t="shared" si="643"/>
        <v>0</v>
      </c>
      <c r="Q1198" s="60">
        <f t="shared" si="643"/>
        <v>0</v>
      </c>
      <c r="R1198" s="60">
        <f t="shared" si="643"/>
        <v>0</v>
      </c>
      <c r="S1198" s="60">
        <f t="shared" si="643"/>
        <v>0</v>
      </c>
      <c r="T1198" s="60">
        <f t="shared" si="643"/>
        <v>0</v>
      </c>
      <c r="U1198" s="60">
        <f t="shared" si="643"/>
        <v>0</v>
      </c>
      <c r="V1198" s="60">
        <f t="shared" si="643"/>
        <v>0</v>
      </c>
      <c r="W1198" s="60">
        <f t="shared" si="643"/>
        <v>0</v>
      </c>
      <c r="X1198" s="60">
        <f t="shared" si="643"/>
        <v>0</v>
      </c>
    </row>
    <row r="1199" spans="1:24" hidden="1">
      <c r="A1199" s="259"/>
      <c r="B1199" s="59" t="str">
        <f t="shared" si="628"/>
        <v/>
      </c>
      <c r="C1199" s="59" t="str">
        <f t="shared" si="628"/>
        <v/>
      </c>
      <c r="D1199" s="59" t="str">
        <f t="shared" si="628"/>
        <v/>
      </c>
      <c r="E1199" s="59" t="str">
        <f t="shared" si="628"/>
        <v/>
      </c>
      <c r="F1199" s="59"/>
      <c r="G1199" s="59"/>
      <c r="H1199" s="59"/>
      <c r="I1199" s="59"/>
      <c r="J1199" s="59"/>
      <c r="K1199" s="60">
        <f t="shared" ref="K1199:X1199" si="644">IF(AND($D1199="tak",$E1199="prace rozwojowe",Modul_badawczo_rozwojowy=tak),ROUND(K716*K154,0),0)</f>
        <v>0</v>
      </c>
      <c r="L1199" s="60">
        <f t="shared" si="644"/>
        <v>0</v>
      </c>
      <c r="M1199" s="60">
        <f t="shared" si="644"/>
        <v>0</v>
      </c>
      <c r="N1199" s="60">
        <f t="shared" si="644"/>
        <v>0</v>
      </c>
      <c r="O1199" s="60">
        <f t="shared" si="644"/>
        <v>0</v>
      </c>
      <c r="P1199" s="60">
        <f t="shared" si="644"/>
        <v>0</v>
      </c>
      <c r="Q1199" s="60">
        <f t="shared" si="644"/>
        <v>0</v>
      </c>
      <c r="R1199" s="60">
        <f t="shared" si="644"/>
        <v>0</v>
      </c>
      <c r="S1199" s="60">
        <f t="shared" si="644"/>
        <v>0</v>
      </c>
      <c r="T1199" s="60">
        <f t="shared" si="644"/>
        <v>0</v>
      </c>
      <c r="U1199" s="60">
        <f t="shared" si="644"/>
        <v>0</v>
      </c>
      <c r="V1199" s="60">
        <f t="shared" si="644"/>
        <v>0</v>
      </c>
      <c r="W1199" s="60">
        <f t="shared" si="644"/>
        <v>0</v>
      </c>
      <c r="X1199" s="60">
        <f t="shared" si="644"/>
        <v>0</v>
      </c>
    </row>
    <row r="1200" spans="1:24" hidden="1">
      <c r="A1200" s="259"/>
      <c r="B1200" s="59" t="str">
        <f t="shared" si="628"/>
        <v/>
      </c>
      <c r="C1200" s="59" t="str">
        <f t="shared" si="628"/>
        <v/>
      </c>
      <c r="D1200" s="59" t="str">
        <f t="shared" si="628"/>
        <v/>
      </c>
      <c r="E1200" s="59" t="str">
        <f t="shared" si="628"/>
        <v/>
      </c>
      <c r="F1200" s="59"/>
      <c r="G1200" s="59"/>
      <c r="H1200" s="59"/>
      <c r="I1200" s="59"/>
      <c r="J1200" s="59"/>
      <c r="K1200" s="60">
        <f t="shared" ref="K1200:X1200" si="645">IF(AND($D1200="tak",$E1200="prace rozwojowe",Modul_badawczo_rozwojowy=tak),ROUND(K717*K155,0),0)</f>
        <v>0</v>
      </c>
      <c r="L1200" s="60">
        <f t="shared" si="645"/>
        <v>0</v>
      </c>
      <c r="M1200" s="60">
        <f t="shared" si="645"/>
        <v>0</v>
      </c>
      <c r="N1200" s="60">
        <f t="shared" si="645"/>
        <v>0</v>
      </c>
      <c r="O1200" s="60">
        <f t="shared" si="645"/>
        <v>0</v>
      </c>
      <c r="P1200" s="60">
        <f t="shared" si="645"/>
        <v>0</v>
      </c>
      <c r="Q1200" s="60">
        <f t="shared" si="645"/>
        <v>0</v>
      </c>
      <c r="R1200" s="60">
        <f t="shared" si="645"/>
        <v>0</v>
      </c>
      <c r="S1200" s="60">
        <f t="shared" si="645"/>
        <v>0</v>
      </c>
      <c r="T1200" s="60">
        <f t="shared" si="645"/>
        <v>0</v>
      </c>
      <c r="U1200" s="60">
        <f t="shared" si="645"/>
        <v>0</v>
      </c>
      <c r="V1200" s="60">
        <f t="shared" si="645"/>
        <v>0</v>
      </c>
      <c r="W1200" s="60">
        <f t="shared" si="645"/>
        <v>0</v>
      </c>
      <c r="X1200" s="60">
        <f t="shared" si="645"/>
        <v>0</v>
      </c>
    </row>
    <row r="1201" spans="1:24" hidden="1">
      <c r="A1201" s="259"/>
      <c r="B1201" s="59" t="str">
        <f t="shared" si="628"/>
        <v/>
      </c>
      <c r="C1201" s="59" t="str">
        <f t="shared" si="628"/>
        <v/>
      </c>
      <c r="D1201" s="59" t="str">
        <f t="shared" si="628"/>
        <v/>
      </c>
      <c r="E1201" s="59" t="str">
        <f t="shared" si="628"/>
        <v/>
      </c>
      <c r="F1201" s="59"/>
      <c r="G1201" s="59"/>
      <c r="H1201" s="59"/>
      <c r="I1201" s="59"/>
      <c r="J1201" s="59"/>
      <c r="K1201" s="60">
        <f t="shared" ref="K1201:X1201" si="646">IF(AND($D1201="tak",$E1201="prace rozwojowe",Modul_badawczo_rozwojowy=tak),ROUND(K718*K156,0),0)</f>
        <v>0</v>
      </c>
      <c r="L1201" s="60">
        <f t="shared" si="646"/>
        <v>0</v>
      </c>
      <c r="M1201" s="60">
        <f t="shared" si="646"/>
        <v>0</v>
      </c>
      <c r="N1201" s="60">
        <f t="shared" si="646"/>
        <v>0</v>
      </c>
      <c r="O1201" s="60">
        <f t="shared" si="646"/>
        <v>0</v>
      </c>
      <c r="P1201" s="60">
        <f t="shared" si="646"/>
        <v>0</v>
      </c>
      <c r="Q1201" s="60">
        <f t="shared" si="646"/>
        <v>0</v>
      </c>
      <c r="R1201" s="60">
        <f t="shared" si="646"/>
        <v>0</v>
      </c>
      <c r="S1201" s="60">
        <f t="shared" si="646"/>
        <v>0</v>
      </c>
      <c r="T1201" s="60">
        <f t="shared" si="646"/>
        <v>0</v>
      </c>
      <c r="U1201" s="60">
        <f t="shared" si="646"/>
        <v>0</v>
      </c>
      <c r="V1201" s="60">
        <f t="shared" si="646"/>
        <v>0</v>
      </c>
      <c r="W1201" s="60">
        <f t="shared" si="646"/>
        <v>0</v>
      </c>
      <c r="X1201" s="60">
        <f t="shared" si="646"/>
        <v>0</v>
      </c>
    </row>
    <row r="1202" spans="1:24" hidden="1">
      <c r="A1202" s="259"/>
      <c r="B1202" s="59" t="str">
        <f t="shared" si="628"/>
        <v/>
      </c>
      <c r="C1202" s="59" t="str">
        <f t="shared" si="628"/>
        <v/>
      </c>
      <c r="D1202" s="59" t="str">
        <f t="shared" si="628"/>
        <v/>
      </c>
      <c r="E1202" s="59" t="str">
        <f t="shared" si="628"/>
        <v/>
      </c>
      <c r="F1202" s="59"/>
      <c r="G1202" s="59"/>
      <c r="H1202" s="59"/>
      <c r="I1202" s="59"/>
      <c r="J1202" s="59"/>
      <c r="K1202" s="60">
        <f t="shared" ref="K1202:X1202" si="647">IF(AND($D1202="tak",$E1202="prace rozwojowe",Modul_badawczo_rozwojowy=tak),ROUND(K719*K157,0),0)</f>
        <v>0</v>
      </c>
      <c r="L1202" s="60">
        <f t="shared" si="647"/>
        <v>0</v>
      </c>
      <c r="M1202" s="60">
        <f t="shared" si="647"/>
        <v>0</v>
      </c>
      <c r="N1202" s="60">
        <f t="shared" si="647"/>
        <v>0</v>
      </c>
      <c r="O1202" s="60">
        <f t="shared" si="647"/>
        <v>0</v>
      </c>
      <c r="P1202" s="60">
        <f t="shared" si="647"/>
        <v>0</v>
      </c>
      <c r="Q1202" s="60">
        <f t="shared" si="647"/>
        <v>0</v>
      </c>
      <c r="R1202" s="60">
        <f t="shared" si="647"/>
        <v>0</v>
      </c>
      <c r="S1202" s="60">
        <f t="shared" si="647"/>
        <v>0</v>
      </c>
      <c r="T1202" s="60">
        <f t="shared" si="647"/>
        <v>0</v>
      </c>
      <c r="U1202" s="60">
        <f t="shared" si="647"/>
        <v>0</v>
      </c>
      <c r="V1202" s="60">
        <f t="shared" si="647"/>
        <v>0</v>
      </c>
      <c r="W1202" s="60">
        <f t="shared" si="647"/>
        <v>0</v>
      </c>
      <c r="X1202" s="60">
        <f t="shared" si="647"/>
        <v>0</v>
      </c>
    </row>
    <row r="1203" spans="1:24" hidden="1">
      <c r="A1203" s="259"/>
      <c r="B1203" s="59" t="str">
        <f t="shared" si="628"/>
        <v/>
      </c>
      <c r="C1203" s="59" t="str">
        <f t="shared" si="628"/>
        <v/>
      </c>
      <c r="D1203" s="59" t="str">
        <f t="shared" si="628"/>
        <v/>
      </c>
      <c r="E1203" s="59" t="str">
        <f t="shared" si="628"/>
        <v/>
      </c>
      <c r="F1203" s="59"/>
      <c r="G1203" s="59"/>
      <c r="H1203" s="59"/>
      <c r="I1203" s="59"/>
      <c r="J1203" s="59"/>
      <c r="K1203" s="60">
        <f t="shared" ref="K1203:X1203" si="648">IF(AND($D1203="tak",$E1203="prace rozwojowe",Modul_badawczo_rozwojowy=tak),ROUND(K720*K158,0),0)</f>
        <v>0</v>
      </c>
      <c r="L1203" s="60">
        <f t="shared" si="648"/>
        <v>0</v>
      </c>
      <c r="M1203" s="60">
        <f t="shared" si="648"/>
        <v>0</v>
      </c>
      <c r="N1203" s="60">
        <f t="shared" si="648"/>
        <v>0</v>
      </c>
      <c r="O1203" s="60">
        <f t="shared" si="648"/>
        <v>0</v>
      </c>
      <c r="P1203" s="60">
        <f t="shared" si="648"/>
        <v>0</v>
      </c>
      <c r="Q1203" s="60">
        <f t="shared" si="648"/>
        <v>0</v>
      </c>
      <c r="R1203" s="60">
        <f t="shared" si="648"/>
        <v>0</v>
      </c>
      <c r="S1203" s="60">
        <f t="shared" si="648"/>
        <v>0</v>
      </c>
      <c r="T1203" s="60">
        <f t="shared" si="648"/>
        <v>0</v>
      </c>
      <c r="U1203" s="60">
        <f t="shared" si="648"/>
        <v>0</v>
      </c>
      <c r="V1203" s="60">
        <f t="shared" si="648"/>
        <v>0</v>
      </c>
      <c r="W1203" s="60">
        <f t="shared" si="648"/>
        <v>0</v>
      </c>
      <c r="X1203" s="60">
        <f t="shared" si="648"/>
        <v>0</v>
      </c>
    </row>
    <row r="1204" spans="1:24" hidden="1">
      <c r="B1204" s="20" t="s">
        <v>339</v>
      </c>
      <c r="C1204" s="20"/>
      <c r="D1204" s="80"/>
      <c r="E1204" s="21"/>
      <c r="F1204" s="21"/>
      <c r="G1204" s="21"/>
      <c r="H1204" s="21"/>
      <c r="I1204" s="21"/>
      <c r="J1204" s="21"/>
      <c r="K1204" s="61">
        <f t="shared" ref="K1204:X1204" si="649">ROUND(SUM(K1184:K1203),0)</f>
        <v>0</v>
      </c>
      <c r="L1204" s="61">
        <f t="shared" si="649"/>
        <v>0</v>
      </c>
      <c r="M1204" s="61">
        <f t="shared" si="649"/>
        <v>0</v>
      </c>
      <c r="N1204" s="61">
        <f t="shared" si="649"/>
        <v>0</v>
      </c>
      <c r="O1204" s="61">
        <f t="shared" si="649"/>
        <v>0</v>
      </c>
      <c r="P1204" s="61">
        <f t="shared" si="649"/>
        <v>0</v>
      </c>
      <c r="Q1204" s="61">
        <f t="shared" si="649"/>
        <v>0</v>
      </c>
      <c r="R1204" s="61">
        <f t="shared" si="649"/>
        <v>0</v>
      </c>
      <c r="S1204" s="61">
        <f t="shared" si="649"/>
        <v>0</v>
      </c>
      <c r="T1204" s="61">
        <f t="shared" si="649"/>
        <v>0</v>
      </c>
      <c r="U1204" s="61">
        <f t="shared" si="649"/>
        <v>0</v>
      </c>
      <c r="V1204" s="61">
        <f t="shared" si="649"/>
        <v>0</v>
      </c>
      <c r="W1204" s="61">
        <f t="shared" si="649"/>
        <v>0</v>
      </c>
      <c r="X1204" s="61">
        <f t="shared" si="649"/>
        <v>0</v>
      </c>
    </row>
    <row r="1205" spans="1:24" hidden="1">
      <c r="B1205" s="21"/>
      <c r="C1205" s="21"/>
      <c r="D1205" s="80"/>
      <c r="E1205" s="21"/>
      <c r="F1205" s="21"/>
      <c r="G1205" s="21"/>
      <c r="H1205" s="21"/>
      <c r="I1205" s="21"/>
      <c r="J1205" s="21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</row>
    <row r="1206" spans="1:24" hidden="1">
      <c r="B1206" s="21"/>
      <c r="C1206" s="21"/>
      <c r="D1206" s="80"/>
      <c r="E1206" s="21"/>
      <c r="F1206" s="21"/>
      <c r="G1206" s="21"/>
      <c r="H1206" s="21"/>
      <c r="I1206" s="21"/>
      <c r="J1206" s="21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</row>
    <row r="1207" spans="1:24" hidden="1">
      <c r="B1207" s="20" t="s">
        <v>342</v>
      </c>
      <c r="C1207" s="20"/>
      <c r="D1207" s="82" t="s">
        <v>336</v>
      </c>
      <c r="E1207" s="20" t="s">
        <v>337</v>
      </c>
      <c r="F1207" s="21"/>
      <c r="G1207" s="21"/>
      <c r="H1207" s="21"/>
      <c r="I1207" s="21"/>
      <c r="J1207" s="21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</row>
    <row r="1208" spans="1:24" hidden="1">
      <c r="B1208" s="59" t="str">
        <f t="shared" ref="B1208:E1227" si="650">IF(ISBLANK(B725),"",B725)</f>
        <v/>
      </c>
      <c r="C1208" s="59" t="str">
        <f t="shared" si="650"/>
        <v/>
      </c>
      <c r="D1208" s="59" t="str">
        <f t="shared" si="650"/>
        <v/>
      </c>
      <c r="E1208" s="59" t="str">
        <f t="shared" si="650"/>
        <v/>
      </c>
      <c r="F1208" s="59"/>
      <c r="G1208" s="59"/>
      <c r="H1208" s="59"/>
      <c r="I1208" s="59"/>
      <c r="J1208" s="59"/>
      <c r="K1208" s="60">
        <f t="shared" ref="K1208:X1208" si="651">IF(AND($D1208="tak",$E1208="prace rozwojowe",Modul_badawczo_rozwojowy=tak),ROUND(K725*K184,0),0)</f>
        <v>0</v>
      </c>
      <c r="L1208" s="60">
        <f t="shared" si="651"/>
        <v>0</v>
      </c>
      <c r="M1208" s="60">
        <f t="shared" si="651"/>
        <v>0</v>
      </c>
      <c r="N1208" s="60">
        <f t="shared" si="651"/>
        <v>0</v>
      </c>
      <c r="O1208" s="60">
        <f t="shared" si="651"/>
        <v>0</v>
      </c>
      <c r="P1208" s="60">
        <f t="shared" si="651"/>
        <v>0</v>
      </c>
      <c r="Q1208" s="60">
        <f t="shared" si="651"/>
        <v>0</v>
      </c>
      <c r="R1208" s="60">
        <f t="shared" si="651"/>
        <v>0</v>
      </c>
      <c r="S1208" s="60">
        <f t="shared" si="651"/>
        <v>0</v>
      </c>
      <c r="T1208" s="60">
        <f t="shared" si="651"/>
        <v>0</v>
      </c>
      <c r="U1208" s="60">
        <f t="shared" si="651"/>
        <v>0</v>
      </c>
      <c r="V1208" s="60">
        <f t="shared" si="651"/>
        <v>0</v>
      </c>
      <c r="W1208" s="60">
        <f t="shared" si="651"/>
        <v>0</v>
      </c>
      <c r="X1208" s="60">
        <f t="shared" si="651"/>
        <v>0</v>
      </c>
    </row>
    <row r="1209" spans="1:24" hidden="1">
      <c r="B1209" s="59" t="str">
        <f t="shared" si="650"/>
        <v/>
      </c>
      <c r="C1209" s="59" t="str">
        <f t="shared" si="650"/>
        <v/>
      </c>
      <c r="D1209" s="59" t="str">
        <f t="shared" si="650"/>
        <v/>
      </c>
      <c r="E1209" s="59" t="str">
        <f t="shared" si="650"/>
        <v/>
      </c>
      <c r="F1209" s="59"/>
      <c r="G1209" s="59"/>
      <c r="H1209" s="59"/>
      <c r="I1209" s="59"/>
      <c r="J1209" s="59"/>
      <c r="K1209" s="60">
        <f t="shared" ref="K1209:X1209" si="652">IF(AND($D1209="tak",$E1209="prace rozwojowe",Modul_badawczo_rozwojowy=tak),ROUND(K726*K185,0),0)</f>
        <v>0</v>
      </c>
      <c r="L1209" s="60">
        <f t="shared" si="652"/>
        <v>0</v>
      </c>
      <c r="M1209" s="60">
        <f t="shared" si="652"/>
        <v>0</v>
      </c>
      <c r="N1209" s="60">
        <f t="shared" si="652"/>
        <v>0</v>
      </c>
      <c r="O1209" s="60">
        <f t="shared" si="652"/>
        <v>0</v>
      </c>
      <c r="P1209" s="60">
        <f t="shared" si="652"/>
        <v>0</v>
      </c>
      <c r="Q1209" s="60">
        <f t="shared" si="652"/>
        <v>0</v>
      </c>
      <c r="R1209" s="60">
        <f t="shared" si="652"/>
        <v>0</v>
      </c>
      <c r="S1209" s="60">
        <f t="shared" si="652"/>
        <v>0</v>
      </c>
      <c r="T1209" s="60">
        <f t="shared" si="652"/>
        <v>0</v>
      </c>
      <c r="U1209" s="60">
        <f t="shared" si="652"/>
        <v>0</v>
      </c>
      <c r="V1209" s="60">
        <f t="shared" si="652"/>
        <v>0</v>
      </c>
      <c r="W1209" s="60">
        <f t="shared" si="652"/>
        <v>0</v>
      </c>
      <c r="X1209" s="60">
        <f t="shared" si="652"/>
        <v>0</v>
      </c>
    </row>
    <row r="1210" spans="1:24" hidden="1">
      <c r="B1210" s="59" t="str">
        <f t="shared" si="650"/>
        <v/>
      </c>
      <c r="C1210" s="59" t="str">
        <f t="shared" si="650"/>
        <v/>
      </c>
      <c r="D1210" s="59" t="str">
        <f t="shared" si="650"/>
        <v/>
      </c>
      <c r="E1210" s="59" t="str">
        <f t="shared" si="650"/>
        <v/>
      </c>
      <c r="F1210" s="59"/>
      <c r="G1210" s="59"/>
      <c r="H1210" s="59"/>
      <c r="I1210" s="59"/>
      <c r="J1210" s="59"/>
      <c r="K1210" s="60">
        <f t="shared" ref="K1210:X1210" si="653">IF(AND($D1210="tak",$E1210="prace rozwojowe",Modul_badawczo_rozwojowy=tak),ROUND(K727*K186,0),0)</f>
        <v>0</v>
      </c>
      <c r="L1210" s="60">
        <f t="shared" si="653"/>
        <v>0</v>
      </c>
      <c r="M1210" s="60">
        <f t="shared" si="653"/>
        <v>0</v>
      </c>
      <c r="N1210" s="60">
        <f t="shared" si="653"/>
        <v>0</v>
      </c>
      <c r="O1210" s="60">
        <f t="shared" si="653"/>
        <v>0</v>
      </c>
      <c r="P1210" s="60">
        <f t="shared" si="653"/>
        <v>0</v>
      </c>
      <c r="Q1210" s="60">
        <f t="shared" si="653"/>
        <v>0</v>
      </c>
      <c r="R1210" s="60">
        <f t="shared" si="653"/>
        <v>0</v>
      </c>
      <c r="S1210" s="60">
        <f t="shared" si="653"/>
        <v>0</v>
      </c>
      <c r="T1210" s="60">
        <f t="shared" si="653"/>
        <v>0</v>
      </c>
      <c r="U1210" s="60">
        <f t="shared" si="653"/>
        <v>0</v>
      </c>
      <c r="V1210" s="60">
        <f t="shared" si="653"/>
        <v>0</v>
      </c>
      <c r="W1210" s="60">
        <f t="shared" si="653"/>
        <v>0</v>
      </c>
      <c r="X1210" s="60">
        <f t="shared" si="653"/>
        <v>0</v>
      </c>
    </row>
    <row r="1211" spans="1:24" hidden="1">
      <c r="B1211" s="59" t="str">
        <f t="shared" si="650"/>
        <v/>
      </c>
      <c r="C1211" s="59" t="str">
        <f t="shared" si="650"/>
        <v/>
      </c>
      <c r="D1211" s="59" t="str">
        <f t="shared" si="650"/>
        <v/>
      </c>
      <c r="E1211" s="59" t="str">
        <f t="shared" si="650"/>
        <v/>
      </c>
      <c r="F1211" s="59"/>
      <c r="G1211" s="59"/>
      <c r="H1211" s="59"/>
      <c r="I1211" s="59"/>
      <c r="J1211" s="59"/>
      <c r="K1211" s="60">
        <f t="shared" ref="K1211:X1211" si="654">IF(AND($D1211="tak",$E1211="prace rozwojowe",Modul_badawczo_rozwojowy=tak),ROUND(K728*K187,0),0)</f>
        <v>0</v>
      </c>
      <c r="L1211" s="60">
        <f t="shared" si="654"/>
        <v>0</v>
      </c>
      <c r="M1211" s="60">
        <f t="shared" si="654"/>
        <v>0</v>
      </c>
      <c r="N1211" s="60">
        <f t="shared" si="654"/>
        <v>0</v>
      </c>
      <c r="O1211" s="60">
        <f t="shared" si="654"/>
        <v>0</v>
      </c>
      <c r="P1211" s="60">
        <f t="shared" si="654"/>
        <v>0</v>
      </c>
      <c r="Q1211" s="60">
        <f t="shared" si="654"/>
        <v>0</v>
      </c>
      <c r="R1211" s="60">
        <f t="shared" si="654"/>
        <v>0</v>
      </c>
      <c r="S1211" s="60">
        <f t="shared" si="654"/>
        <v>0</v>
      </c>
      <c r="T1211" s="60">
        <f t="shared" si="654"/>
        <v>0</v>
      </c>
      <c r="U1211" s="60">
        <f t="shared" si="654"/>
        <v>0</v>
      </c>
      <c r="V1211" s="60">
        <f t="shared" si="654"/>
        <v>0</v>
      </c>
      <c r="W1211" s="60">
        <f t="shared" si="654"/>
        <v>0</v>
      </c>
      <c r="X1211" s="60">
        <f t="shared" si="654"/>
        <v>0</v>
      </c>
    </row>
    <row r="1212" spans="1:24" hidden="1">
      <c r="B1212" s="59" t="str">
        <f t="shared" si="650"/>
        <v/>
      </c>
      <c r="C1212" s="59" t="str">
        <f t="shared" si="650"/>
        <v/>
      </c>
      <c r="D1212" s="59" t="str">
        <f t="shared" si="650"/>
        <v/>
      </c>
      <c r="E1212" s="59" t="str">
        <f t="shared" si="650"/>
        <v/>
      </c>
      <c r="F1212" s="59"/>
      <c r="G1212" s="59"/>
      <c r="H1212" s="59"/>
      <c r="I1212" s="59"/>
      <c r="J1212" s="59"/>
      <c r="K1212" s="60">
        <f t="shared" ref="K1212:X1212" si="655">IF(AND($D1212="tak",$E1212="prace rozwojowe",Modul_badawczo_rozwojowy=tak),ROUND(K729*K188,0),0)</f>
        <v>0</v>
      </c>
      <c r="L1212" s="60">
        <f t="shared" si="655"/>
        <v>0</v>
      </c>
      <c r="M1212" s="60">
        <f t="shared" si="655"/>
        <v>0</v>
      </c>
      <c r="N1212" s="60">
        <f t="shared" si="655"/>
        <v>0</v>
      </c>
      <c r="O1212" s="60">
        <f t="shared" si="655"/>
        <v>0</v>
      </c>
      <c r="P1212" s="60">
        <f t="shared" si="655"/>
        <v>0</v>
      </c>
      <c r="Q1212" s="60">
        <f t="shared" si="655"/>
        <v>0</v>
      </c>
      <c r="R1212" s="60">
        <f t="shared" si="655"/>
        <v>0</v>
      </c>
      <c r="S1212" s="60">
        <f t="shared" si="655"/>
        <v>0</v>
      </c>
      <c r="T1212" s="60">
        <f t="shared" si="655"/>
        <v>0</v>
      </c>
      <c r="U1212" s="60">
        <f t="shared" si="655"/>
        <v>0</v>
      </c>
      <c r="V1212" s="60">
        <f t="shared" si="655"/>
        <v>0</v>
      </c>
      <c r="W1212" s="60">
        <f t="shared" si="655"/>
        <v>0</v>
      </c>
      <c r="X1212" s="60">
        <f t="shared" si="655"/>
        <v>0</v>
      </c>
    </row>
    <row r="1213" spans="1:24" hidden="1">
      <c r="B1213" s="59" t="str">
        <f t="shared" si="650"/>
        <v/>
      </c>
      <c r="C1213" s="59" t="str">
        <f t="shared" si="650"/>
        <v/>
      </c>
      <c r="D1213" s="59" t="str">
        <f t="shared" si="650"/>
        <v/>
      </c>
      <c r="E1213" s="59" t="str">
        <f t="shared" si="650"/>
        <v/>
      </c>
      <c r="F1213" s="59"/>
      <c r="G1213" s="59"/>
      <c r="H1213" s="59"/>
      <c r="I1213" s="59"/>
      <c r="J1213" s="59"/>
      <c r="K1213" s="60">
        <f t="shared" ref="K1213:X1213" si="656">IF(AND($D1213="tak",$E1213="prace rozwojowe",Modul_badawczo_rozwojowy=tak),ROUND(K730*K189,0),0)</f>
        <v>0</v>
      </c>
      <c r="L1213" s="60">
        <f t="shared" si="656"/>
        <v>0</v>
      </c>
      <c r="M1213" s="60">
        <f t="shared" si="656"/>
        <v>0</v>
      </c>
      <c r="N1213" s="60">
        <f t="shared" si="656"/>
        <v>0</v>
      </c>
      <c r="O1213" s="60">
        <f t="shared" si="656"/>
        <v>0</v>
      </c>
      <c r="P1213" s="60">
        <f t="shared" si="656"/>
        <v>0</v>
      </c>
      <c r="Q1213" s="60">
        <f t="shared" si="656"/>
        <v>0</v>
      </c>
      <c r="R1213" s="60">
        <f t="shared" si="656"/>
        <v>0</v>
      </c>
      <c r="S1213" s="60">
        <f t="shared" si="656"/>
        <v>0</v>
      </c>
      <c r="T1213" s="60">
        <f t="shared" si="656"/>
        <v>0</v>
      </c>
      <c r="U1213" s="60">
        <f t="shared" si="656"/>
        <v>0</v>
      </c>
      <c r="V1213" s="60">
        <f t="shared" si="656"/>
        <v>0</v>
      </c>
      <c r="W1213" s="60">
        <f t="shared" si="656"/>
        <v>0</v>
      </c>
      <c r="X1213" s="60">
        <f t="shared" si="656"/>
        <v>0</v>
      </c>
    </row>
    <row r="1214" spans="1:24" hidden="1">
      <c r="B1214" s="59" t="str">
        <f t="shared" si="650"/>
        <v/>
      </c>
      <c r="C1214" s="59" t="str">
        <f t="shared" si="650"/>
        <v/>
      </c>
      <c r="D1214" s="59" t="str">
        <f t="shared" si="650"/>
        <v/>
      </c>
      <c r="E1214" s="59" t="str">
        <f t="shared" si="650"/>
        <v/>
      </c>
      <c r="F1214" s="59"/>
      <c r="G1214" s="59"/>
      <c r="H1214" s="59"/>
      <c r="I1214" s="59"/>
      <c r="J1214" s="59"/>
      <c r="K1214" s="60">
        <f t="shared" ref="K1214:X1214" si="657">IF(AND($D1214="tak",$E1214="prace rozwojowe",Modul_badawczo_rozwojowy=tak),ROUND(K731*K190,0),0)</f>
        <v>0</v>
      </c>
      <c r="L1214" s="60">
        <f t="shared" si="657"/>
        <v>0</v>
      </c>
      <c r="M1214" s="60">
        <f t="shared" si="657"/>
        <v>0</v>
      </c>
      <c r="N1214" s="60">
        <f t="shared" si="657"/>
        <v>0</v>
      </c>
      <c r="O1214" s="60">
        <f t="shared" si="657"/>
        <v>0</v>
      </c>
      <c r="P1214" s="60">
        <f t="shared" si="657"/>
        <v>0</v>
      </c>
      <c r="Q1214" s="60">
        <f t="shared" si="657"/>
        <v>0</v>
      </c>
      <c r="R1214" s="60">
        <f t="shared" si="657"/>
        <v>0</v>
      </c>
      <c r="S1214" s="60">
        <f t="shared" si="657"/>
        <v>0</v>
      </c>
      <c r="T1214" s="60">
        <f t="shared" si="657"/>
        <v>0</v>
      </c>
      <c r="U1214" s="60">
        <f t="shared" si="657"/>
        <v>0</v>
      </c>
      <c r="V1214" s="60">
        <f t="shared" si="657"/>
        <v>0</v>
      </c>
      <c r="W1214" s="60">
        <f t="shared" si="657"/>
        <v>0</v>
      </c>
      <c r="X1214" s="60">
        <f t="shared" si="657"/>
        <v>0</v>
      </c>
    </row>
    <row r="1215" spans="1:24" hidden="1">
      <c r="B1215" s="59" t="str">
        <f t="shared" si="650"/>
        <v/>
      </c>
      <c r="C1215" s="59" t="str">
        <f t="shared" si="650"/>
        <v/>
      </c>
      <c r="D1215" s="59" t="str">
        <f t="shared" si="650"/>
        <v/>
      </c>
      <c r="E1215" s="59" t="str">
        <f t="shared" si="650"/>
        <v/>
      </c>
      <c r="F1215" s="59"/>
      <c r="G1215" s="59"/>
      <c r="H1215" s="59"/>
      <c r="I1215" s="59"/>
      <c r="J1215" s="59"/>
      <c r="K1215" s="60">
        <f t="shared" ref="K1215:X1215" si="658">IF(AND($D1215="tak",$E1215="prace rozwojowe",Modul_badawczo_rozwojowy=tak),ROUND(K732*K191,0),0)</f>
        <v>0</v>
      </c>
      <c r="L1215" s="60">
        <f t="shared" si="658"/>
        <v>0</v>
      </c>
      <c r="M1215" s="60">
        <f t="shared" si="658"/>
        <v>0</v>
      </c>
      <c r="N1215" s="60">
        <f t="shared" si="658"/>
        <v>0</v>
      </c>
      <c r="O1215" s="60">
        <f t="shared" si="658"/>
        <v>0</v>
      </c>
      <c r="P1215" s="60">
        <f t="shared" si="658"/>
        <v>0</v>
      </c>
      <c r="Q1215" s="60">
        <f t="shared" si="658"/>
        <v>0</v>
      </c>
      <c r="R1215" s="60">
        <f t="shared" si="658"/>
        <v>0</v>
      </c>
      <c r="S1215" s="60">
        <f t="shared" si="658"/>
        <v>0</v>
      </c>
      <c r="T1215" s="60">
        <f t="shared" si="658"/>
        <v>0</v>
      </c>
      <c r="U1215" s="60">
        <f t="shared" si="658"/>
        <v>0</v>
      </c>
      <c r="V1215" s="60">
        <f t="shared" si="658"/>
        <v>0</v>
      </c>
      <c r="W1215" s="60">
        <f t="shared" si="658"/>
        <v>0</v>
      </c>
      <c r="X1215" s="60">
        <f t="shared" si="658"/>
        <v>0</v>
      </c>
    </row>
    <row r="1216" spans="1:24" hidden="1">
      <c r="B1216" s="59" t="str">
        <f t="shared" si="650"/>
        <v/>
      </c>
      <c r="C1216" s="59" t="str">
        <f t="shared" si="650"/>
        <v/>
      </c>
      <c r="D1216" s="59" t="str">
        <f t="shared" si="650"/>
        <v/>
      </c>
      <c r="E1216" s="59" t="str">
        <f t="shared" si="650"/>
        <v/>
      </c>
      <c r="F1216" s="59"/>
      <c r="G1216" s="59"/>
      <c r="H1216" s="59"/>
      <c r="I1216" s="59"/>
      <c r="J1216" s="59"/>
      <c r="K1216" s="60">
        <f t="shared" ref="K1216:X1216" si="659">IF(AND($D1216="tak",$E1216="prace rozwojowe",Modul_badawczo_rozwojowy=tak),ROUND(K733*K192,0),0)</f>
        <v>0</v>
      </c>
      <c r="L1216" s="60">
        <f t="shared" si="659"/>
        <v>0</v>
      </c>
      <c r="M1216" s="60">
        <f t="shared" si="659"/>
        <v>0</v>
      </c>
      <c r="N1216" s="60">
        <f t="shared" si="659"/>
        <v>0</v>
      </c>
      <c r="O1216" s="60">
        <f t="shared" si="659"/>
        <v>0</v>
      </c>
      <c r="P1216" s="60">
        <f t="shared" si="659"/>
        <v>0</v>
      </c>
      <c r="Q1216" s="60">
        <f t="shared" si="659"/>
        <v>0</v>
      </c>
      <c r="R1216" s="60">
        <f t="shared" si="659"/>
        <v>0</v>
      </c>
      <c r="S1216" s="60">
        <f t="shared" si="659"/>
        <v>0</v>
      </c>
      <c r="T1216" s="60">
        <f t="shared" si="659"/>
        <v>0</v>
      </c>
      <c r="U1216" s="60">
        <f t="shared" si="659"/>
        <v>0</v>
      </c>
      <c r="V1216" s="60">
        <f t="shared" si="659"/>
        <v>0</v>
      </c>
      <c r="W1216" s="60">
        <f t="shared" si="659"/>
        <v>0</v>
      </c>
      <c r="X1216" s="60">
        <f t="shared" si="659"/>
        <v>0</v>
      </c>
    </row>
    <row r="1217" spans="2:24" hidden="1">
      <c r="B1217" s="59" t="str">
        <f t="shared" si="650"/>
        <v/>
      </c>
      <c r="C1217" s="59" t="str">
        <f t="shared" si="650"/>
        <v/>
      </c>
      <c r="D1217" s="59" t="str">
        <f t="shared" si="650"/>
        <v/>
      </c>
      <c r="E1217" s="59" t="str">
        <f t="shared" si="650"/>
        <v/>
      </c>
      <c r="F1217" s="59"/>
      <c r="G1217" s="59"/>
      <c r="H1217" s="59"/>
      <c r="I1217" s="59"/>
      <c r="J1217" s="59"/>
      <c r="K1217" s="60">
        <f t="shared" ref="K1217:X1217" si="660">IF(AND($D1217="tak",$E1217="prace rozwojowe",Modul_badawczo_rozwojowy=tak),ROUND(K734*K193,0),0)</f>
        <v>0</v>
      </c>
      <c r="L1217" s="60">
        <f t="shared" si="660"/>
        <v>0</v>
      </c>
      <c r="M1217" s="60">
        <f t="shared" si="660"/>
        <v>0</v>
      </c>
      <c r="N1217" s="60">
        <f t="shared" si="660"/>
        <v>0</v>
      </c>
      <c r="O1217" s="60">
        <f t="shared" si="660"/>
        <v>0</v>
      </c>
      <c r="P1217" s="60">
        <f t="shared" si="660"/>
        <v>0</v>
      </c>
      <c r="Q1217" s="60">
        <f t="shared" si="660"/>
        <v>0</v>
      </c>
      <c r="R1217" s="60">
        <f t="shared" si="660"/>
        <v>0</v>
      </c>
      <c r="S1217" s="60">
        <f t="shared" si="660"/>
        <v>0</v>
      </c>
      <c r="T1217" s="60">
        <f t="shared" si="660"/>
        <v>0</v>
      </c>
      <c r="U1217" s="60">
        <f t="shared" si="660"/>
        <v>0</v>
      </c>
      <c r="V1217" s="60">
        <f t="shared" si="660"/>
        <v>0</v>
      </c>
      <c r="W1217" s="60">
        <f t="shared" si="660"/>
        <v>0</v>
      </c>
      <c r="X1217" s="60">
        <f t="shared" si="660"/>
        <v>0</v>
      </c>
    </row>
    <row r="1218" spans="2:24" hidden="1">
      <c r="B1218" s="59" t="str">
        <f t="shared" si="650"/>
        <v/>
      </c>
      <c r="C1218" s="59" t="str">
        <f t="shared" si="650"/>
        <v/>
      </c>
      <c r="D1218" s="59" t="str">
        <f t="shared" si="650"/>
        <v/>
      </c>
      <c r="E1218" s="59" t="str">
        <f t="shared" si="650"/>
        <v/>
      </c>
      <c r="F1218" s="59"/>
      <c r="G1218" s="59"/>
      <c r="H1218" s="59"/>
      <c r="I1218" s="59"/>
      <c r="J1218" s="59"/>
      <c r="K1218" s="60">
        <f t="shared" ref="K1218:X1218" si="661">IF(AND($D1218="tak",$E1218="prace rozwojowe",Modul_badawczo_rozwojowy=tak),ROUND(K735*K194,0),0)</f>
        <v>0</v>
      </c>
      <c r="L1218" s="60">
        <f t="shared" si="661"/>
        <v>0</v>
      </c>
      <c r="M1218" s="60">
        <f t="shared" si="661"/>
        <v>0</v>
      </c>
      <c r="N1218" s="60">
        <f t="shared" si="661"/>
        <v>0</v>
      </c>
      <c r="O1218" s="60">
        <f t="shared" si="661"/>
        <v>0</v>
      </c>
      <c r="P1218" s="60">
        <f t="shared" si="661"/>
        <v>0</v>
      </c>
      <c r="Q1218" s="60">
        <f t="shared" si="661"/>
        <v>0</v>
      </c>
      <c r="R1218" s="60">
        <f t="shared" si="661"/>
        <v>0</v>
      </c>
      <c r="S1218" s="60">
        <f t="shared" si="661"/>
        <v>0</v>
      </c>
      <c r="T1218" s="60">
        <f t="shared" si="661"/>
        <v>0</v>
      </c>
      <c r="U1218" s="60">
        <f t="shared" si="661"/>
        <v>0</v>
      </c>
      <c r="V1218" s="60">
        <f t="shared" si="661"/>
        <v>0</v>
      </c>
      <c r="W1218" s="60">
        <f t="shared" si="661"/>
        <v>0</v>
      </c>
      <c r="X1218" s="60">
        <f t="shared" si="661"/>
        <v>0</v>
      </c>
    </row>
    <row r="1219" spans="2:24" hidden="1">
      <c r="B1219" s="59" t="str">
        <f t="shared" si="650"/>
        <v/>
      </c>
      <c r="C1219" s="59" t="str">
        <f t="shared" si="650"/>
        <v/>
      </c>
      <c r="D1219" s="59" t="str">
        <f t="shared" si="650"/>
        <v/>
      </c>
      <c r="E1219" s="59" t="str">
        <f t="shared" si="650"/>
        <v/>
      </c>
      <c r="F1219" s="59"/>
      <c r="G1219" s="59"/>
      <c r="H1219" s="59"/>
      <c r="I1219" s="59"/>
      <c r="J1219" s="59"/>
      <c r="K1219" s="60">
        <f t="shared" ref="K1219:X1219" si="662">IF(AND($D1219="tak",$E1219="prace rozwojowe",Modul_badawczo_rozwojowy=tak),ROUND(K736*K195,0),0)</f>
        <v>0</v>
      </c>
      <c r="L1219" s="60">
        <f t="shared" si="662"/>
        <v>0</v>
      </c>
      <c r="M1219" s="60">
        <f t="shared" si="662"/>
        <v>0</v>
      </c>
      <c r="N1219" s="60">
        <f t="shared" si="662"/>
        <v>0</v>
      </c>
      <c r="O1219" s="60">
        <f t="shared" si="662"/>
        <v>0</v>
      </c>
      <c r="P1219" s="60">
        <f t="shared" si="662"/>
        <v>0</v>
      </c>
      <c r="Q1219" s="60">
        <f t="shared" si="662"/>
        <v>0</v>
      </c>
      <c r="R1219" s="60">
        <f t="shared" si="662"/>
        <v>0</v>
      </c>
      <c r="S1219" s="60">
        <f t="shared" si="662"/>
        <v>0</v>
      </c>
      <c r="T1219" s="60">
        <f t="shared" si="662"/>
        <v>0</v>
      </c>
      <c r="U1219" s="60">
        <f t="shared" si="662"/>
        <v>0</v>
      </c>
      <c r="V1219" s="60">
        <f t="shared" si="662"/>
        <v>0</v>
      </c>
      <c r="W1219" s="60">
        <f t="shared" si="662"/>
        <v>0</v>
      </c>
      <c r="X1219" s="60">
        <f t="shared" si="662"/>
        <v>0</v>
      </c>
    </row>
    <row r="1220" spans="2:24" hidden="1">
      <c r="B1220" s="59" t="str">
        <f t="shared" si="650"/>
        <v/>
      </c>
      <c r="C1220" s="59" t="str">
        <f t="shared" si="650"/>
        <v/>
      </c>
      <c r="D1220" s="59" t="str">
        <f t="shared" si="650"/>
        <v/>
      </c>
      <c r="E1220" s="59" t="str">
        <f t="shared" si="650"/>
        <v/>
      </c>
      <c r="F1220" s="59"/>
      <c r="G1220" s="59"/>
      <c r="H1220" s="59"/>
      <c r="I1220" s="59"/>
      <c r="J1220" s="59"/>
      <c r="K1220" s="60">
        <f t="shared" ref="K1220:X1220" si="663">IF(AND($D1220="tak",$E1220="prace rozwojowe",Modul_badawczo_rozwojowy=tak),ROUND(K737*K196,0),0)</f>
        <v>0</v>
      </c>
      <c r="L1220" s="60">
        <f t="shared" si="663"/>
        <v>0</v>
      </c>
      <c r="M1220" s="60">
        <f t="shared" si="663"/>
        <v>0</v>
      </c>
      <c r="N1220" s="60">
        <f t="shared" si="663"/>
        <v>0</v>
      </c>
      <c r="O1220" s="60">
        <f t="shared" si="663"/>
        <v>0</v>
      </c>
      <c r="P1220" s="60">
        <f t="shared" si="663"/>
        <v>0</v>
      </c>
      <c r="Q1220" s="60">
        <f t="shared" si="663"/>
        <v>0</v>
      </c>
      <c r="R1220" s="60">
        <f t="shared" si="663"/>
        <v>0</v>
      </c>
      <c r="S1220" s="60">
        <f t="shared" si="663"/>
        <v>0</v>
      </c>
      <c r="T1220" s="60">
        <f t="shared" si="663"/>
        <v>0</v>
      </c>
      <c r="U1220" s="60">
        <f t="shared" si="663"/>
        <v>0</v>
      </c>
      <c r="V1220" s="60">
        <f t="shared" si="663"/>
        <v>0</v>
      </c>
      <c r="W1220" s="60">
        <f t="shared" si="663"/>
        <v>0</v>
      </c>
      <c r="X1220" s="60">
        <f t="shared" si="663"/>
        <v>0</v>
      </c>
    </row>
    <row r="1221" spans="2:24" hidden="1">
      <c r="B1221" s="59" t="str">
        <f t="shared" si="650"/>
        <v/>
      </c>
      <c r="C1221" s="59" t="str">
        <f t="shared" si="650"/>
        <v/>
      </c>
      <c r="D1221" s="59" t="str">
        <f t="shared" si="650"/>
        <v/>
      </c>
      <c r="E1221" s="59" t="str">
        <f t="shared" si="650"/>
        <v/>
      </c>
      <c r="F1221" s="59"/>
      <c r="G1221" s="59"/>
      <c r="H1221" s="59"/>
      <c r="I1221" s="59"/>
      <c r="J1221" s="59"/>
      <c r="K1221" s="60">
        <f t="shared" ref="K1221:X1221" si="664">IF(AND($D1221="tak",$E1221="prace rozwojowe",Modul_badawczo_rozwojowy=tak),ROUND(K738*K197,0),0)</f>
        <v>0</v>
      </c>
      <c r="L1221" s="60">
        <f t="shared" si="664"/>
        <v>0</v>
      </c>
      <c r="M1221" s="60">
        <f t="shared" si="664"/>
        <v>0</v>
      </c>
      <c r="N1221" s="60">
        <f t="shared" si="664"/>
        <v>0</v>
      </c>
      <c r="O1221" s="60">
        <f t="shared" si="664"/>
        <v>0</v>
      </c>
      <c r="P1221" s="60">
        <f t="shared" si="664"/>
        <v>0</v>
      </c>
      <c r="Q1221" s="60">
        <f t="shared" si="664"/>
        <v>0</v>
      </c>
      <c r="R1221" s="60">
        <f t="shared" si="664"/>
        <v>0</v>
      </c>
      <c r="S1221" s="60">
        <f t="shared" si="664"/>
        <v>0</v>
      </c>
      <c r="T1221" s="60">
        <f t="shared" si="664"/>
        <v>0</v>
      </c>
      <c r="U1221" s="60">
        <f t="shared" si="664"/>
        <v>0</v>
      </c>
      <c r="V1221" s="60">
        <f t="shared" si="664"/>
        <v>0</v>
      </c>
      <c r="W1221" s="60">
        <f t="shared" si="664"/>
        <v>0</v>
      </c>
      <c r="X1221" s="60">
        <f t="shared" si="664"/>
        <v>0</v>
      </c>
    </row>
    <row r="1222" spans="2:24" hidden="1">
      <c r="B1222" s="59" t="str">
        <f t="shared" si="650"/>
        <v/>
      </c>
      <c r="C1222" s="59" t="str">
        <f t="shared" si="650"/>
        <v/>
      </c>
      <c r="D1222" s="59" t="str">
        <f t="shared" si="650"/>
        <v/>
      </c>
      <c r="E1222" s="59" t="str">
        <f t="shared" si="650"/>
        <v/>
      </c>
      <c r="F1222" s="59"/>
      <c r="G1222" s="59"/>
      <c r="H1222" s="59"/>
      <c r="I1222" s="59"/>
      <c r="J1222" s="59"/>
      <c r="K1222" s="60">
        <f t="shared" ref="K1222:X1222" si="665">IF(AND($D1222="tak",$E1222="prace rozwojowe",Modul_badawczo_rozwojowy=tak),ROUND(K739*K198,0),0)</f>
        <v>0</v>
      </c>
      <c r="L1222" s="60">
        <f t="shared" si="665"/>
        <v>0</v>
      </c>
      <c r="M1222" s="60">
        <f t="shared" si="665"/>
        <v>0</v>
      </c>
      <c r="N1222" s="60">
        <f t="shared" si="665"/>
        <v>0</v>
      </c>
      <c r="O1222" s="60">
        <f t="shared" si="665"/>
        <v>0</v>
      </c>
      <c r="P1222" s="60">
        <f t="shared" si="665"/>
        <v>0</v>
      </c>
      <c r="Q1222" s="60">
        <f t="shared" si="665"/>
        <v>0</v>
      </c>
      <c r="R1222" s="60">
        <f t="shared" si="665"/>
        <v>0</v>
      </c>
      <c r="S1222" s="60">
        <f t="shared" si="665"/>
        <v>0</v>
      </c>
      <c r="T1222" s="60">
        <f t="shared" si="665"/>
        <v>0</v>
      </c>
      <c r="U1222" s="60">
        <f t="shared" si="665"/>
        <v>0</v>
      </c>
      <c r="V1222" s="60">
        <f t="shared" si="665"/>
        <v>0</v>
      </c>
      <c r="W1222" s="60">
        <f t="shared" si="665"/>
        <v>0</v>
      </c>
      <c r="X1222" s="60">
        <f t="shared" si="665"/>
        <v>0</v>
      </c>
    </row>
    <row r="1223" spans="2:24" hidden="1">
      <c r="B1223" s="59" t="str">
        <f t="shared" si="650"/>
        <v/>
      </c>
      <c r="C1223" s="59" t="str">
        <f t="shared" si="650"/>
        <v/>
      </c>
      <c r="D1223" s="59" t="str">
        <f t="shared" si="650"/>
        <v/>
      </c>
      <c r="E1223" s="59" t="str">
        <f t="shared" si="650"/>
        <v/>
      </c>
      <c r="F1223" s="59"/>
      <c r="G1223" s="59"/>
      <c r="H1223" s="59"/>
      <c r="I1223" s="59"/>
      <c r="J1223" s="59"/>
      <c r="K1223" s="60">
        <f t="shared" ref="K1223:X1223" si="666">IF(AND($D1223="tak",$E1223="prace rozwojowe",Modul_badawczo_rozwojowy=tak),ROUND(K740*K199,0),0)</f>
        <v>0</v>
      </c>
      <c r="L1223" s="60">
        <f t="shared" si="666"/>
        <v>0</v>
      </c>
      <c r="M1223" s="60">
        <f t="shared" si="666"/>
        <v>0</v>
      </c>
      <c r="N1223" s="60">
        <f t="shared" si="666"/>
        <v>0</v>
      </c>
      <c r="O1223" s="60">
        <f t="shared" si="666"/>
        <v>0</v>
      </c>
      <c r="P1223" s="60">
        <f t="shared" si="666"/>
        <v>0</v>
      </c>
      <c r="Q1223" s="60">
        <f t="shared" si="666"/>
        <v>0</v>
      </c>
      <c r="R1223" s="60">
        <f t="shared" si="666"/>
        <v>0</v>
      </c>
      <c r="S1223" s="60">
        <f t="shared" si="666"/>
        <v>0</v>
      </c>
      <c r="T1223" s="60">
        <f t="shared" si="666"/>
        <v>0</v>
      </c>
      <c r="U1223" s="60">
        <f t="shared" si="666"/>
        <v>0</v>
      </c>
      <c r="V1223" s="60">
        <f t="shared" si="666"/>
        <v>0</v>
      </c>
      <c r="W1223" s="60">
        <f t="shared" si="666"/>
        <v>0</v>
      </c>
      <c r="X1223" s="60">
        <f t="shared" si="666"/>
        <v>0</v>
      </c>
    </row>
    <row r="1224" spans="2:24" hidden="1">
      <c r="B1224" s="59" t="str">
        <f t="shared" si="650"/>
        <v/>
      </c>
      <c r="C1224" s="59" t="str">
        <f t="shared" si="650"/>
        <v/>
      </c>
      <c r="D1224" s="59" t="str">
        <f t="shared" si="650"/>
        <v/>
      </c>
      <c r="E1224" s="59" t="str">
        <f t="shared" si="650"/>
        <v/>
      </c>
      <c r="F1224" s="59"/>
      <c r="G1224" s="59"/>
      <c r="H1224" s="59"/>
      <c r="I1224" s="59"/>
      <c r="J1224" s="59"/>
      <c r="K1224" s="60">
        <f t="shared" ref="K1224:X1224" si="667">IF(AND($D1224="tak",$E1224="prace rozwojowe",Modul_badawczo_rozwojowy=tak),ROUND(K741*K200,0),0)</f>
        <v>0</v>
      </c>
      <c r="L1224" s="60">
        <f t="shared" si="667"/>
        <v>0</v>
      </c>
      <c r="M1224" s="60">
        <f t="shared" si="667"/>
        <v>0</v>
      </c>
      <c r="N1224" s="60">
        <f t="shared" si="667"/>
        <v>0</v>
      </c>
      <c r="O1224" s="60">
        <f t="shared" si="667"/>
        <v>0</v>
      </c>
      <c r="P1224" s="60">
        <f t="shared" si="667"/>
        <v>0</v>
      </c>
      <c r="Q1224" s="60">
        <f t="shared" si="667"/>
        <v>0</v>
      </c>
      <c r="R1224" s="60">
        <f t="shared" si="667"/>
        <v>0</v>
      </c>
      <c r="S1224" s="60">
        <f t="shared" si="667"/>
        <v>0</v>
      </c>
      <c r="T1224" s="60">
        <f t="shared" si="667"/>
        <v>0</v>
      </c>
      <c r="U1224" s="60">
        <f t="shared" si="667"/>
        <v>0</v>
      </c>
      <c r="V1224" s="60">
        <f t="shared" si="667"/>
        <v>0</v>
      </c>
      <c r="W1224" s="60">
        <f t="shared" si="667"/>
        <v>0</v>
      </c>
      <c r="X1224" s="60">
        <f t="shared" si="667"/>
        <v>0</v>
      </c>
    </row>
    <row r="1225" spans="2:24" hidden="1">
      <c r="B1225" s="59" t="str">
        <f t="shared" si="650"/>
        <v/>
      </c>
      <c r="C1225" s="59" t="str">
        <f t="shared" si="650"/>
        <v/>
      </c>
      <c r="D1225" s="59" t="str">
        <f t="shared" si="650"/>
        <v/>
      </c>
      <c r="E1225" s="59" t="str">
        <f t="shared" si="650"/>
        <v/>
      </c>
      <c r="F1225" s="59"/>
      <c r="G1225" s="59"/>
      <c r="H1225" s="59"/>
      <c r="I1225" s="59"/>
      <c r="J1225" s="59"/>
      <c r="K1225" s="60">
        <f t="shared" ref="K1225:X1225" si="668">IF(AND($D1225="tak",$E1225="prace rozwojowe",Modul_badawczo_rozwojowy=tak),ROUND(K742*K201,0),0)</f>
        <v>0</v>
      </c>
      <c r="L1225" s="60">
        <f t="shared" si="668"/>
        <v>0</v>
      </c>
      <c r="M1225" s="60">
        <f t="shared" si="668"/>
        <v>0</v>
      </c>
      <c r="N1225" s="60">
        <f t="shared" si="668"/>
        <v>0</v>
      </c>
      <c r="O1225" s="60">
        <f t="shared" si="668"/>
        <v>0</v>
      </c>
      <c r="P1225" s="60">
        <f t="shared" si="668"/>
        <v>0</v>
      </c>
      <c r="Q1225" s="60">
        <f t="shared" si="668"/>
        <v>0</v>
      </c>
      <c r="R1225" s="60">
        <f t="shared" si="668"/>
        <v>0</v>
      </c>
      <c r="S1225" s="60">
        <f t="shared" si="668"/>
        <v>0</v>
      </c>
      <c r="T1225" s="60">
        <f t="shared" si="668"/>
        <v>0</v>
      </c>
      <c r="U1225" s="60">
        <f t="shared" si="668"/>
        <v>0</v>
      </c>
      <c r="V1225" s="60">
        <f t="shared" si="668"/>
        <v>0</v>
      </c>
      <c r="W1225" s="60">
        <f t="shared" si="668"/>
        <v>0</v>
      </c>
      <c r="X1225" s="60">
        <f t="shared" si="668"/>
        <v>0</v>
      </c>
    </row>
    <row r="1226" spans="2:24" hidden="1">
      <c r="B1226" s="59" t="str">
        <f t="shared" si="650"/>
        <v/>
      </c>
      <c r="C1226" s="59" t="str">
        <f t="shared" si="650"/>
        <v/>
      </c>
      <c r="D1226" s="59" t="str">
        <f t="shared" si="650"/>
        <v/>
      </c>
      <c r="E1226" s="59" t="str">
        <f t="shared" si="650"/>
        <v/>
      </c>
      <c r="F1226" s="59"/>
      <c r="G1226" s="59"/>
      <c r="H1226" s="59"/>
      <c r="I1226" s="59"/>
      <c r="J1226" s="59"/>
      <c r="K1226" s="60">
        <f t="shared" ref="K1226:X1226" si="669">IF(AND($D1226="tak",$E1226="prace rozwojowe",Modul_badawczo_rozwojowy=tak),ROUND(K743*K202,0),0)</f>
        <v>0</v>
      </c>
      <c r="L1226" s="60">
        <f t="shared" si="669"/>
        <v>0</v>
      </c>
      <c r="M1226" s="60">
        <f t="shared" si="669"/>
        <v>0</v>
      </c>
      <c r="N1226" s="60">
        <f t="shared" si="669"/>
        <v>0</v>
      </c>
      <c r="O1226" s="60">
        <f t="shared" si="669"/>
        <v>0</v>
      </c>
      <c r="P1226" s="60">
        <f t="shared" si="669"/>
        <v>0</v>
      </c>
      <c r="Q1226" s="60">
        <f t="shared" si="669"/>
        <v>0</v>
      </c>
      <c r="R1226" s="60">
        <f t="shared" si="669"/>
        <v>0</v>
      </c>
      <c r="S1226" s="60">
        <f t="shared" si="669"/>
        <v>0</v>
      </c>
      <c r="T1226" s="60">
        <f t="shared" si="669"/>
        <v>0</v>
      </c>
      <c r="U1226" s="60">
        <f t="shared" si="669"/>
        <v>0</v>
      </c>
      <c r="V1226" s="60">
        <f t="shared" si="669"/>
        <v>0</v>
      </c>
      <c r="W1226" s="60">
        <f t="shared" si="669"/>
        <v>0</v>
      </c>
      <c r="X1226" s="60">
        <f t="shared" si="669"/>
        <v>0</v>
      </c>
    </row>
    <row r="1227" spans="2:24" hidden="1">
      <c r="B1227" s="59" t="str">
        <f t="shared" si="650"/>
        <v/>
      </c>
      <c r="C1227" s="59" t="str">
        <f t="shared" si="650"/>
        <v/>
      </c>
      <c r="D1227" s="59" t="str">
        <f t="shared" si="650"/>
        <v/>
      </c>
      <c r="E1227" s="59" t="str">
        <f t="shared" si="650"/>
        <v/>
      </c>
      <c r="F1227" s="59"/>
      <c r="G1227" s="59"/>
      <c r="H1227" s="59"/>
      <c r="I1227" s="59"/>
      <c r="J1227" s="59"/>
      <c r="K1227" s="60">
        <f t="shared" ref="K1227:X1227" si="670">IF(AND($D1227="tak",$E1227="prace rozwojowe",Modul_badawczo_rozwojowy=tak),ROUND(K744*K203,0),0)</f>
        <v>0</v>
      </c>
      <c r="L1227" s="60">
        <f t="shared" si="670"/>
        <v>0</v>
      </c>
      <c r="M1227" s="60">
        <f t="shared" si="670"/>
        <v>0</v>
      </c>
      <c r="N1227" s="60">
        <f t="shared" si="670"/>
        <v>0</v>
      </c>
      <c r="O1227" s="60">
        <f t="shared" si="670"/>
        <v>0</v>
      </c>
      <c r="P1227" s="60">
        <f t="shared" si="670"/>
        <v>0</v>
      </c>
      <c r="Q1227" s="60">
        <f t="shared" si="670"/>
        <v>0</v>
      </c>
      <c r="R1227" s="60">
        <f t="shared" si="670"/>
        <v>0</v>
      </c>
      <c r="S1227" s="60">
        <f t="shared" si="670"/>
        <v>0</v>
      </c>
      <c r="T1227" s="60">
        <f t="shared" si="670"/>
        <v>0</v>
      </c>
      <c r="U1227" s="60">
        <f t="shared" si="670"/>
        <v>0</v>
      </c>
      <c r="V1227" s="60">
        <f t="shared" si="670"/>
        <v>0</v>
      </c>
      <c r="W1227" s="60">
        <f t="shared" si="670"/>
        <v>0</v>
      </c>
      <c r="X1227" s="60">
        <f t="shared" si="670"/>
        <v>0</v>
      </c>
    </row>
    <row r="1228" spans="2:24" hidden="1">
      <c r="B1228" s="20" t="s">
        <v>343</v>
      </c>
      <c r="C1228" s="20"/>
      <c r="D1228" s="80"/>
      <c r="E1228" s="21"/>
      <c r="F1228" s="21"/>
      <c r="G1228" s="21"/>
      <c r="H1228" s="21"/>
      <c r="I1228" s="21"/>
      <c r="J1228" s="21"/>
      <c r="K1228" s="61">
        <f t="shared" ref="K1228:X1228" si="671">ROUND(SUM(K1208:K1227),0)</f>
        <v>0</v>
      </c>
      <c r="L1228" s="61">
        <f t="shared" si="671"/>
        <v>0</v>
      </c>
      <c r="M1228" s="61">
        <f t="shared" si="671"/>
        <v>0</v>
      </c>
      <c r="N1228" s="61">
        <f t="shared" si="671"/>
        <v>0</v>
      </c>
      <c r="O1228" s="61">
        <f t="shared" si="671"/>
        <v>0</v>
      </c>
      <c r="P1228" s="61">
        <f t="shared" si="671"/>
        <v>0</v>
      </c>
      <c r="Q1228" s="61">
        <f t="shared" si="671"/>
        <v>0</v>
      </c>
      <c r="R1228" s="61">
        <f t="shared" si="671"/>
        <v>0</v>
      </c>
      <c r="S1228" s="61">
        <f t="shared" si="671"/>
        <v>0</v>
      </c>
      <c r="T1228" s="61">
        <f t="shared" si="671"/>
        <v>0</v>
      </c>
      <c r="U1228" s="61">
        <f t="shared" si="671"/>
        <v>0</v>
      </c>
      <c r="V1228" s="61">
        <f t="shared" si="671"/>
        <v>0</v>
      </c>
      <c r="W1228" s="61">
        <f t="shared" si="671"/>
        <v>0</v>
      </c>
      <c r="X1228" s="61">
        <f t="shared" si="671"/>
        <v>0</v>
      </c>
    </row>
    <row r="1229" spans="2:24" hidden="1">
      <c r="B1229" s="21"/>
      <c r="C1229" s="21"/>
      <c r="D1229" s="80"/>
      <c r="E1229" s="21"/>
      <c r="F1229" s="21"/>
      <c r="G1229" s="21"/>
      <c r="H1229" s="21"/>
      <c r="I1229" s="21"/>
      <c r="J1229" s="21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</row>
    <row r="1230" spans="2:24" hidden="1">
      <c r="B1230" s="21"/>
      <c r="C1230" s="21"/>
      <c r="D1230" s="80"/>
      <c r="E1230" s="21"/>
      <c r="F1230" s="21"/>
      <c r="G1230" s="21"/>
      <c r="H1230" s="21"/>
      <c r="I1230" s="21"/>
      <c r="J1230" s="21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</row>
    <row r="1231" spans="2:24" hidden="1">
      <c r="B1231" s="20" t="s">
        <v>344</v>
      </c>
      <c r="C1231" s="20"/>
      <c r="D1231" s="82" t="s">
        <v>336</v>
      </c>
      <c r="E1231" s="20" t="s">
        <v>337</v>
      </c>
      <c r="F1231" s="21"/>
      <c r="G1231" s="21"/>
      <c r="H1231" s="21"/>
      <c r="I1231" s="21"/>
      <c r="J1231" s="21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</row>
    <row r="1232" spans="2:24" hidden="1">
      <c r="B1232" s="59" t="str">
        <f t="shared" ref="B1232:E1236" si="672">IF(ISBLANK(B749),"",B749)</f>
        <v/>
      </c>
      <c r="C1232" s="59" t="str">
        <f t="shared" si="672"/>
        <v/>
      </c>
      <c r="D1232" s="59" t="str">
        <f t="shared" si="672"/>
        <v/>
      </c>
      <c r="E1232" s="59" t="str">
        <f t="shared" si="672"/>
        <v/>
      </c>
      <c r="F1232" s="59"/>
      <c r="G1232" s="59"/>
      <c r="H1232" s="59"/>
      <c r="I1232" s="59"/>
      <c r="J1232" s="59"/>
      <c r="K1232" s="60">
        <f t="shared" ref="K1232:X1232" si="673">IF(AND($D1232="tak",$E1232="prace rozwojowe",Modul_badawczo_rozwojowy=tak),ROUND(K749*K214,0),0)</f>
        <v>0</v>
      </c>
      <c r="L1232" s="60">
        <f t="shared" si="673"/>
        <v>0</v>
      </c>
      <c r="M1232" s="60">
        <f t="shared" si="673"/>
        <v>0</v>
      </c>
      <c r="N1232" s="60">
        <f t="shared" si="673"/>
        <v>0</v>
      </c>
      <c r="O1232" s="60">
        <f t="shared" si="673"/>
        <v>0</v>
      </c>
      <c r="P1232" s="60">
        <f t="shared" si="673"/>
        <v>0</v>
      </c>
      <c r="Q1232" s="60">
        <f t="shared" si="673"/>
        <v>0</v>
      </c>
      <c r="R1232" s="60">
        <f t="shared" si="673"/>
        <v>0</v>
      </c>
      <c r="S1232" s="60">
        <f t="shared" si="673"/>
        <v>0</v>
      </c>
      <c r="T1232" s="60">
        <f t="shared" si="673"/>
        <v>0</v>
      </c>
      <c r="U1232" s="60">
        <f t="shared" si="673"/>
        <v>0</v>
      </c>
      <c r="V1232" s="60">
        <f t="shared" si="673"/>
        <v>0</v>
      </c>
      <c r="W1232" s="60">
        <f t="shared" si="673"/>
        <v>0</v>
      </c>
      <c r="X1232" s="60">
        <f t="shared" si="673"/>
        <v>0</v>
      </c>
    </row>
    <row r="1233" spans="2:24" hidden="1">
      <c r="B1233" s="59" t="str">
        <f t="shared" si="672"/>
        <v/>
      </c>
      <c r="C1233" s="59" t="str">
        <f t="shared" si="672"/>
        <v/>
      </c>
      <c r="D1233" s="59" t="str">
        <f t="shared" si="672"/>
        <v/>
      </c>
      <c r="E1233" s="59" t="str">
        <f t="shared" si="672"/>
        <v/>
      </c>
      <c r="F1233" s="59"/>
      <c r="G1233" s="59"/>
      <c r="H1233" s="59"/>
      <c r="I1233" s="59"/>
      <c r="J1233" s="59"/>
      <c r="K1233" s="60">
        <f t="shared" ref="K1233:X1233" si="674">IF(AND($D1233="tak",$E1233="prace rozwojowe",Modul_badawczo_rozwojowy=tak),ROUND(K750*K215,0),0)</f>
        <v>0</v>
      </c>
      <c r="L1233" s="60">
        <f t="shared" si="674"/>
        <v>0</v>
      </c>
      <c r="M1233" s="60">
        <f t="shared" si="674"/>
        <v>0</v>
      </c>
      <c r="N1233" s="60">
        <f t="shared" si="674"/>
        <v>0</v>
      </c>
      <c r="O1233" s="60">
        <f t="shared" si="674"/>
        <v>0</v>
      </c>
      <c r="P1233" s="60">
        <f t="shared" si="674"/>
        <v>0</v>
      </c>
      <c r="Q1233" s="60">
        <f t="shared" si="674"/>
        <v>0</v>
      </c>
      <c r="R1233" s="60">
        <f t="shared" si="674"/>
        <v>0</v>
      </c>
      <c r="S1233" s="60">
        <f t="shared" si="674"/>
        <v>0</v>
      </c>
      <c r="T1233" s="60">
        <f t="shared" si="674"/>
        <v>0</v>
      </c>
      <c r="U1233" s="60">
        <f t="shared" si="674"/>
        <v>0</v>
      </c>
      <c r="V1233" s="60">
        <f t="shared" si="674"/>
        <v>0</v>
      </c>
      <c r="W1233" s="60">
        <f t="shared" si="674"/>
        <v>0</v>
      </c>
      <c r="X1233" s="60">
        <f t="shared" si="674"/>
        <v>0</v>
      </c>
    </row>
    <row r="1234" spans="2:24" hidden="1">
      <c r="B1234" s="59" t="str">
        <f t="shared" si="672"/>
        <v/>
      </c>
      <c r="C1234" s="59" t="str">
        <f t="shared" si="672"/>
        <v/>
      </c>
      <c r="D1234" s="59" t="str">
        <f t="shared" si="672"/>
        <v/>
      </c>
      <c r="E1234" s="59" t="str">
        <f t="shared" si="672"/>
        <v/>
      </c>
      <c r="F1234" s="59"/>
      <c r="G1234" s="59"/>
      <c r="H1234" s="59"/>
      <c r="I1234" s="59"/>
      <c r="J1234" s="59"/>
      <c r="K1234" s="60">
        <f t="shared" ref="K1234:X1234" si="675">IF(AND($D1234="tak",$E1234="prace rozwojowe",Modul_badawczo_rozwojowy=tak),ROUND(K751*K216,0),0)</f>
        <v>0</v>
      </c>
      <c r="L1234" s="60">
        <f t="shared" si="675"/>
        <v>0</v>
      </c>
      <c r="M1234" s="60">
        <f t="shared" si="675"/>
        <v>0</v>
      </c>
      <c r="N1234" s="60">
        <f t="shared" si="675"/>
        <v>0</v>
      </c>
      <c r="O1234" s="60">
        <f t="shared" si="675"/>
        <v>0</v>
      </c>
      <c r="P1234" s="60">
        <f t="shared" si="675"/>
        <v>0</v>
      </c>
      <c r="Q1234" s="60">
        <f t="shared" si="675"/>
        <v>0</v>
      </c>
      <c r="R1234" s="60">
        <f t="shared" si="675"/>
        <v>0</v>
      </c>
      <c r="S1234" s="60">
        <f t="shared" si="675"/>
        <v>0</v>
      </c>
      <c r="T1234" s="60">
        <f t="shared" si="675"/>
        <v>0</v>
      </c>
      <c r="U1234" s="60">
        <f t="shared" si="675"/>
        <v>0</v>
      </c>
      <c r="V1234" s="60">
        <f t="shared" si="675"/>
        <v>0</v>
      </c>
      <c r="W1234" s="60">
        <f t="shared" si="675"/>
        <v>0</v>
      </c>
      <c r="X1234" s="60">
        <f t="shared" si="675"/>
        <v>0</v>
      </c>
    </row>
    <row r="1235" spans="2:24" hidden="1">
      <c r="B1235" s="59" t="str">
        <f t="shared" si="672"/>
        <v/>
      </c>
      <c r="C1235" s="59" t="str">
        <f t="shared" si="672"/>
        <v/>
      </c>
      <c r="D1235" s="59" t="str">
        <f t="shared" si="672"/>
        <v/>
      </c>
      <c r="E1235" s="59" t="str">
        <f t="shared" si="672"/>
        <v/>
      </c>
      <c r="F1235" s="59"/>
      <c r="G1235" s="59"/>
      <c r="H1235" s="59"/>
      <c r="I1235" s="59"/>
      <c r="J1235" s="59"/>
      <c r="K1235" s="60">
        <f t="shared" ref="K1235:X1235" si="676">IF(AND($D1235="tak",$E1235="prace rozwojowe",Modul_badawczo_rozwojowy=tak),ROUND(K752*K217,0),0)</f>
        <v>0</v>
      </c>
      <c r="L1235" s="60">
        <f t="shared" si="676"/>
        <v>0</v>
      </c>
      <c r="M1235" s="60">
        <f t="shared" si="676"/>
        <v>0</v>
      </c>
      <c r="N1235" s="60">
        <f t="shared" si="676"/>
        <v>0</v>
      </c>
      <c r="O1235" s="60">
        <f t="shared" si="676"/>
        <v>0</v>
      </c>
      <c r="P1235" s="60">
        <f t="shared" si="676"/>
        <v>0</v>
      </c>
      <c r="Q1235" s="60">
        <f t="shared" si="676"/>
        <v>0</v>
      </c>
      <c r="R1235" s="60">
        <f t="shared" si="676"/>
        <v>0</v>
      </c>
      <c r="S1235" s="60">
        <f t="shared" si="676"/>
        <v>0</v>
      </c>
      <c r="T1235" s="60">
        <f t="shared" si="676"/>
        <v>0</v>
      </c>
      <c r="U1235" s="60">
        <f t="shared" si="676"/>
        <v>0</v>
      </c>
      <c r="V1235" s="60">
        <f t="shared" si="676"/>
        <v>0</v>
      </c>
      <c r="W1235" s="60">
        <f t="shared" si="676"/>
        <v>0</v>
      </c>
      <c r="X1235" s="60">
        <f t="shared" si="676"/>
        <v>0</v>
      </c>
    </row>
    <row r="1236" spans="2:24" hidden="1">
      <c r="B1236" s="59" t="str">
        <f t="shared" si="672"/>
        <v/>
      </c>
      <c r="C1236" s="59" t="str">
        <f t="shared" si="672"/>
        <v/>
      </c>
      <c r="D1236" s="59" t="str">
        <f t="shared" si="672"/>
        <v/>
      </c>
      <c r="E1236" s="59" t="str">
        <f t="shared" si="672"/>
        <v/>
      </c>
      <c r="F1236" s="59"/>
      <c r="G1236" s="59"/>
      <c r="H1236" s="59"/>
      <c r="I1236" s="59"/>
      <c r="J1236" s="59"/>
      <c r="K1236" s="60">
        <f t="shared" ref="K1236:X1236" si="677">IF(AND($D1236="tak",$E1236="prace rozwojowe",Modul_badawczo_rozwojowy=tak),ROUND(K753*K218,0),0)</f>
        <v>0</v>
      </c>
      <c r="L1236" s="60">
        <f t="shared" si="677"/>
        <v>0</v>
      </c>
      <c r="M1236" s="60">
        <f t="shared" si="677"/>
        <v>0</v>
      </c>
      <c r="N1236" s="60">
        <f t="shared" si="677"/>
        <v>0</v>
      </c>
      <c r="O1236" s="60">
        <f t="shared" si="677"/>
        <v>0</v>
      </c>
      <c r="P1236" s="60">
        <f t="shared" si="677"/>
        <v>0</v>
      </c>
      <c r="Q1236" s="60">
        <f t="shared" si="677"/>
        <v>0</v>
      </c>
      <c r="R1236" s="60">
        <f t="shared" si="677"/>
        <v>0</v>
      </c>
      <c r="S1236" s="60">
        <f t="shared" si="677"/>
        <v>0</v>
      </c>
      <c r="T1236" s="60">
        <f t="shared" si="677"/>
        <v>0</v>
      </c>
      <c r="U1236" s="60">
        <f t="shared" si="677"/>
        <v>0</v>
      </c>
      <c r="V1236" s="60">
        <f t="shared" si="677"/>
        <v>0</v>
      </c>
      <c r="W1236" s="60">
        <f t="shared" si="677"/>
        <v>0</v>
      </c>
      <c r="X1236" s="60">
        <f t="shared" si="677"/>
        <v>0</v>
      </c>
    </row>
    <row r="1237" spans="2:24" hidden="1">
      <c r="B1237" s="20" t="s">
        <v>345</v>
      </c>
      <c r="C1237" s="20"/>
      <c r="D1237" s="80"/>
      <c r="E1237" s="21"/>
      <c r="F1237" s="21"/>
      <c r="G1237" s="21"/>
      <c r="H1237" s="21"/>
      <c r="I1237" s="21"/>
      <c r="J1237" s="21"/>
      <c r="K1237" s="61">
        <f t="shared" ref="K1237:X1237" si="678">ROUND(SUM(K1232:K1236),0)</f>
        <v>0</v>
      </c>
      <c r="L1237" s="61">
        <f t="shared" si="678"/>
        <v>0</v>
      </c>
      <c r="M1237" s="61">
        <f t="shared" si="678"/>
        <v>0</v>
      </c>
      <c r="N1237" s="61">
        <f t="shared" si="678"/>
        <v>0</v>
      </c>
      <c r="O1237" s="61">
        <f t="shared" si="678"/>
        <v>0</v>
      </c>
      <c r="P1237" s="61">
        <f t="shared" si="678"/>
        <v>0</v>
      </c>
      <c r="Q1237" s="61">
        <f t="shared" si="678"/>
        <v>0</v>
      </c>
      <c r="R1237" s="61">
        <f t="shared" si="678"/>
        <v>0</v>
      </c>
      <c r="S1237" s="61">
        <f t="shared" si="678"/>
        <v>0</v>
      </c>
      <c r="T1237" s="61">
        <f t="shared" si="678"/>
        <v>0</v>
      </c>
      <c r="U1237" s="61">
        <f t="shared" si="678"/>
        <v>0</v>
      </c>
      <c r="V1237" s="61">
        <f t="shared" si="678"/>
        <v>0</v>
      </c>
      <c r="W1237" s="61">
        <f t="shared" si="678"/>
        <v>0</v>
      </c>
      <c r="X1237" s="61">
        <f t="shared" si="678"/>
        <v>0</v>
      </c>
    </row>
    <row r="1238" spans="2:24" hidden="1">
      <c r="B1238" s="21"/>
      <c r="C1238" s="21"/>
      <c r="D1238" s="80"/>
      <c r="E1238" s="21"/>
      <c r="F1238" s="21"/>
      <c r="G1238" s="21"/>
      <c r="H1238" s="21"/>
      <c r="I1238" s="21"/>
      <c r="J1238" s="21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</row>
    <row r="1239" spans="2:24" hidden="1">
      <c r="B1239" s="21"/>
      <c r="C1239" s="21"/>
      <c r="D1239" s="80"/>
      <c r="E1239" s="21"/>
      <c r="F1239" s="21"/>
      <c r="G1239" s="21"/>
      <c r="H1239" s="21"/>
      <c r="I1239" s="21"/>
      <c r="J1239" s="21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</row>
    <row r="1240" spans="2:24" hidden="1">
      <c r="B1240" s="20" t="s">
        <v>346</v>
      </c>
      <c r="C1240" s="20"/>
      <c r="D1240" s="80"/>
      <c r="E1240" s="21"/>
      <c r="F1240" s="21"/>
      <c r="G1240" s="21"/>
      <c r="H1240" s="21"/>
      <c r="I1240" s="21"/>
      <c r="J1240" s="21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</row>
    <row r="1241" spans="2:24" hidden="1">
      <c r="B1241" s="20" t="s">
        <v>321</v>
      </c>
      <c r="C1241" s="20"/>
      <c r="D1241" s="82" t="s">
        <v>336</v>
      </c>
      <c r="E1241" s="20" t="s">
        <v>337</v>
      </c>
      <c r="F1241" s="21"/>
      <c r="G1241" s="21"/>
      <c r="H1241" s="21"/>
      <c r="I1241" s="21"/>
      <c r="J1241" s="21"/>
      <c r="K1241" s="61" t="s">
        <v>318</v>
      </c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</row>
    <row r="1242" spans="2:24" hidden="1">
      <c r="B1242" s="59" t="str">
        <f t="shared" ref="B1242:E1261" si="679">IF(ISBLANK(B759),"",B759)</f>
        <v/>
      </c>
      <c r="C1242" s="59" t="str">
        <f t="shared" si="679"/>
        <v/>
      </c>
      <c r="D1242" s="59" t="str">
        <f t="shared" si="679"/>
        <v/>
      </c>
      <c r="E1242" s="59" t="str">
        <f t="shared" si="679"/>
        <v/>
      </c>
      <c r="F1242" s="59"/>
      <c r="G1242" s="59"/>
      <c r="H1242" s="59"/>
      <c r="I1242" s="59"/>
      <c r="J1242" s="59"/>
      <c r="K1242" s="60">
        <f t="shared" ref="K1242:X1242" si="680">IF(AND($D1242="tak",$E1242="prace rozwojowe",Modul_badawczo_rozwojowy=tak),ROUND(K759*K349,0),0)</f>
        <v>0</v>
      </c>
      <c r="L1242" s="60">
        <f t="shared" si="680"/>
        <v>0</v>
      </c>
      <c r="M1242" s="60">
        <f t="shared" si="680"/>
        <v>0</v>
      </c>
      <c r="N1242" s="60">
        <f t="shared" si="680"/>
        <v>0</v>
      </c>
      <c r="O1242" s="60">
        <f t="shared" si="680"/>
        <v>0</v>
      </c>
      <c r="P1242" s="60">
        <f t="shared" si="680"/>
        <v>0</v>
      </c>
      <c r="Q1242" s="60">
        <f t="shared" si="680"/>
        <v>0</v>
      </c>
      <c r="R1242" s="60">
        <f t="shared" si="680"/>
        <v>0</v>
      </c>
      <c r="S1242" s="60">
        <f t="shared" si="680"/>
        <v>0</v>
      </c>
      <c r="T1242" s="60">
        <f t="shared" si="680"/>
        <v>0</v>
      </c>
      <c r="U1242" s="60">
        <f t="shared" si="680"/>
        <v>0</v>
      </c>
      <c r="V1242" s="60">
        <f t="shared" si="680"/>
        <v>0</v>
      </c>
      <c r="W1242" s="60">
        <f t="shared" si="680"/>
        <v>0</v>
      </c>
      <c r="X1242" s="60">
        <f t="shared" si="680"/>
        <v>0</v>
      </c>
    </row>
    <row r="1243" spans="2:24" hidden="1">
      <c r="B1243" s="59" t="str">
        <f t="shared" si="679"/>
        <v/>
      </c>
      <c r="C1243" s="59" t="str">
        <f t="shared" si="679"/>
        <v/>
      </c>
      <c r="D1243" s="59" t="str">
        <f t="shared" si="679"/>
        <v/>
      </c>
      <c r="E1243" s="59" t="str">
        <f t="shared" si="679"/>
        <v/>
      </c>
      <c r="F1243" s="59"/>
      <c r="G1243" s="59"/>
      <c r="H1243" s="59"/>
      <c r="I1243" s="59"/>
      <c r="J1243" s="59"/>
      <c r="K1243" s="60">
        <f t="shared" ref="K1243:X1243" si="681">IF(AND($D1243="tak",$E1243="prace rozwojowe",Modul_badawczo_rozwojowy=tak),ROUND(K760*K350,0),0)</f>
        <v>0</v>
      </c>
      <c r="L1243" s="60">
        <f t="shared" si="681"/>
        <v>0</v>
      </c>
      <c r="M1243" s="60">
        <f t="shared" si="681"/>
        <v>0</v>
      </c>
      <c r="N1243" s="60">
        <f t="shared" si="681"/>
        <v>0</v>
      </c>
      <c r="O1243" s="60">
        <f t="shared" si="681"/>
        <v>0</v>
      </c>
      <c r="P1243" s="60">
        <f t="shared" si="681"/>
        <v>0</v>
      </c>
      <c r="Q1243" s="60">
        <f t="shared" si="681"/>
        <v>0</v>
      </c>
      <c r="R1243" s="60">
        <f t="shared" si="681"/>
        <v>0</v>
      </c>
      <c r="S1243" s="60">
        <f t="shared" si="681"/>
        <v>0</v>
      </c>
      <c r="T1243" s="60">
        <f t="shared" si="681"/>
        <v>0</v>
      </c>
      <c r="U1243" s="60">
        <f t="shared" si="681"/>
        <v>0</v>
      </c>
      <c r="V1243" s="60">
        <f t="shared" si="681"/>
        <v>0</v>
      </c>
      <c r="W1243" s="60">
        <f t="shared" si="681"/>
        <v>0</v>
      </c>
      <c r="X1243" s="60">
        <f t="shared" si="681"/>
        <v>0</v>
      </c>
    </row>
    <row r="1244" spans="2:24" hidden="1">
      <c r="B1244" s="59" t="str">
        <f t="shared" si="679"/>
        <v/>
      </c>
      <c r="C1244" s="59" t="str">
        <f t="shared" si="679"/>
        <v/>
      </c>
      <c r="D1244" s="59" t="str">
        <f t="shared" si="679"/>
        <v/>
      </c>
      <c r="E1244" s="59" t="str">
        <f t="shared" si="679"/>
        <v/>
      </c>
      <c r="F1244" s="59"/>
      <c r="G1244" s="59"/>
      <c r="H1244" s="59"/>
      <c r="I1244" s="59"/>
      <c r="J1244" s="59"/>
      <c r="K1244" s="60">
        <f t="shared" ref="K1244:X1244" si="682">IF(AND($D1244="tak",$E1244="prace rozwojowe",Modul_badawczo_rozwojowy=tak),ROUND(K761*K351,0),0)</f>
        <v>0</v>
      </c>
      <c r="L1244" s="60">
        <f t="shared" si="682"/>
        <v>0</v>
      </c>
      <c r="M1244" s="60">
        <f t="shared" si="682"/>
        <v>0</v>
      </c>
      <c r="N1244" s="60">
        <f t="shared" si="682"/>
        <v>0</v>
      </c>
      <c r="O1244" s="60">
        <f t="shared" si="682"/>
        <v>0</v>
      </c>
      <c r="P1244" s="60">
        <f t="shared" si="682"/>
        <v>0</v>
      </c>
      <c r="Q1244" s="60">
        <f t="shared" si="682"/>
        <v>0</v>
      </c>
      <c r="R1244" s="60">
        <f t="shared" si="682"/>
        <v>0</v>
      </c>
      <c r="S1244" s="60">
        <f t="shared" si="682"/>
        <v>0</v>
      </c>
      <c r="T1244" s="60">
        <f t="shared" si="682"/>
        <v>0</v>
      </c>
      <c r="U1244" s="60">
        <f t="shared" si="682"/>
        <v>0</v>
      </c>
      <c r="V1244" s="60">
        <f t="shared" si="682"/>
        <v>0</v>
      </c>
      <c r="W1244" s="60">
        <f t="shared" si="682"/>
        <v>0</v>
      </c>
      <c r="X1244" s="60">
        <f t="shared" si="682"/>
        <v>0</v>
      </c>
    </row>
    <row r="1245" spans="2:24" hidden="1">
      <c r="B1245" s="59" t="str">
        <f t="shared" si="679"/>
        <v/>
      </c>
      <c r="C1245" s="59" t="str">
        <f t="shared" si="679"/>
        <v/>
      </c>
      <c r="D1245" s="59" t="str">
        <f t="shared" si="679"/>
        <v/>
      </c>
      <c r="E1245" s="59" t="str">
        <f t="shared" si="679"/>
        <v/>
      </c>
      <c r="F1245" s="59"/>
      <c r="G1245" s="59"/>
      <c r="H1245" s="59"/>
      <c r="I1245" s="59"/>
      <c r="J1245" s="59"/>
      <c r="K1245" s="60">
        <f t="shared" ref="K1245:X1245" si="683">IF(AND($D1245="tak",$E1245="prace rozwojowe",Modul_badawczo_rozwojowy=tak),ROUND(K762*K352,0),0)</f>
        <v>0</v>
      </c>
      <c r="L1245" s="60">
        <f t="shared" si="683"/>
        <v>0</v>
      </c>
      <c r="M1245" s="60">
        <f t="shared" si="683"/>
        <v>0</v>
      </c>
      <c r="N1245" s="60">
        <f t="shared" si="683"/>
        <v>0</v>
      </c>
      <c r="O1245" s="60">
        <f t="shared" si="683"/>
        <v>0</v>
      </c>
      <c r="P1245" s="60">
        <f t="shared" si="683"/>
        <v>0</v>
      </c>
      <c r="Q1245" s="60">
        <f t="shared" si="683"/>
        <v>0</v>
      </c>
      <c r="R1245" s="60">
        <f t="shared" si="683"/>
        <v>0</v>
      </c>
      <c r="S1245" s="60">
        <f t="shared" si="683"/>
        <v>0</v>
      </c>
      <c r="T1245" s="60">
        <f t="shared" si="683"/>
        <v>0</v>
      </c>
      <c r="U1245" s="60">
        <f t="shared" si="683"/>
        <v>0</v>
      </c>
      <c r="V1245" s="60">
        <f t="shared" si="683"/>
        <v>0</v>
      </c>
      <c r="W1245" s="60">
        <f t="shared" si="683"/>
        <v>0</v>
      </c>
      <c r="X1245" s="60">
        <f t="shared" si="683"/>
        <v>0</v>
      </c>
    </row>
    <row r="1246" spans="2:24" hidden="1">
      <c r="B1246" s="59" t="str">
        <f t="shared" si="679"/>
        <v/>
      </c>
      <c r="C1246" s="59" t="str">
        <f t="shared" si="679"/>
        <v/>
      </c>
      <c r="D1246" s="59" t="str">
        <f t="shared" si="679"/>
        <v/>
      </c>
      <c r="E1246" s="59" t="str">
        <f t="shared" si="679"/>
        <v/>
      </c>
      <c r="F1246" s="59"/>
      <c r="G1246" s="59"/>
      <c r="H1246" s="59"/>
      <c r="I1246" s="59"/>
      <c r="J1246" s="59"/>
      <c r="K1246" s="60">
        <f t="shared" ref="K1246:X1246" si="684">IF(AND($D1246="tak",$E1246="prace rozwojowe",Modul_badawczo_rozwojowy=tak),ROUND(K763*K353,0),0)</f>
        <v>0</v>
      </c>
      <c r="L1246" s="60">
        <f t="shared" si="684"/>
        <v>0</v>
      </c>
      <c r="M1246" s="60">
        <f t="shared" si="684"/>
        <v>0</v>
      </c>
      <c r="N1246" s="60">
        <f t="shared" si="684"/>
        <v>0</v>
      </c>
      <c r="O1246" s="60">
        <f t="shared" si="684"/>
        <v>0</v>
      </c>
      <c r="P1246" s="60">
        <f t="shared" si="684"/>
        <v>0</v>
      </c>
      <c r="Q1246" s="60">
        <f t="shared" si="684"/>
        <v>0</v>
      </c>
      <c r="R1246" s="60">
        <f t="shared" si="684"/>
        <v>0</v>
      </c>
      <c r="S1246" s="60">
        <f t="shared" si="684"/>
        <v>0</v>
      </c>
      <c r="T1246" s="60">
        <f t="shared" si="684"/>
        <v>0</v>
      </c>
      <c r="U1246" s="60">
        <f t="shared" si="684"/>
        <v>0</v>
      </c>
      <c r="V1246" s="60">
        <f t="shared" si="684"/>
        <v>0</v>
      </c>
      <c r="W1246" s="60">
        <f t="shared" si="684"/>
        <v>0</v>
      </c>
      <c r="X1246" s="60">
        <f t="shared" si="684"/>
        <v>0</v>
      </c>
    </row>
    <row r="1247" spans="2:24" hidden="1">
      <c r="B1247" s="59" t="str">
        <f t="shared" si="679"/>
        <v/>
      </c>
      <c r="C1247" s="59" t="str">
        <f t="shared" si="679"/>
        <v/>
      </c>
      <c r="D1247" s="59" t="str">
        <f t="shared" si="679"/>
        <v/>
      </c>
      <c r="E1247" s="59" t="str">
        <f t="shared" si="679"/>
        <v/>
      </c>
      <c r="F1247" s="59"/>
      <c r="G1247" s="59"/>
      <c r="H1247" s="59"/>
      <c r="I1247" s="59"/>
      <c r="J1247" s="59"/>
      <c r="K1247" s="60">
        <f t="shared" ref="K1247:X1247" si="685">IF(AND($D1247="tak",$E1247="prace rozwojowe",Modul_badawczo_rozwojowy=tak),ROUND(K764*K354,0),0)</f>
        <v>0</v>
      </c>
      <c r="L1247" s="60">
        <f t="shared" si="685"/>
        <v>0</v>
      </c>
      <c r="M1247" s="60">
        <f t="shared" si="685"/>
        <v>0</v>
      </c>
      <c r="N1247" s="60">
        <f t="shared" si="685"/>
        <v>0</v>
      </c>
      <c r="O1247" s="60">
        <f t="shared" si="685"/>
        <v>0</v>
      </c>
      <c r="P1247" s="60">
        <f t="shared" si="685"/>
        <v>0</v>
      </c>
      <c r="Q1247" s="60">
        <f t="shared" si="685"/>
        <v>0</v>
      </c>
      <c r="R1247" s="60">
        <f t="shared" si="685"/>
        <v>0</v>
      </c>
      <c r="S1247" s="60">
        <f t="shared" si="685"/>
        <v>0</v>
      </c>
      <c r="T1247" s="60">
        <f t="shared" si="685"/>
        <v>0</v>
      </c>
      <c r="U1247" s="60">
        <f t="shared" si="685"/>
        <v>0</v>
      </c>
      <c r="V1247" s="60">
        <f t="shared" si="685"/>
        <v>0</v>
      </c>
      <c r="W1247" s="60">
        <f t="shared" si="685"/>
        <v>0</v>
      </c>
      <c r="X1247" s="60">
        <f t="shared" si="685"/>
        <v>0</v>
      </c>
    </row>
    <row r="1248" spans="2:24" hidden="1">
      <c r="B1248" s="59" t="str">
        <f t="shared" si="679"/>
        <v/>
      </c>
      <c r="C1248" s="59" t="str">
        <f t="shared" si="679"/>
        <v/>
      </c>
      <c r="D1248" s="59" t="str">
        <f t="shared" si="679"/>
        <v/>
      </c>
      <c r="E1248" s="59" t="str">
        <f t="shared" si="679"/>
        <v/>
      </c>
      <c r="F1248" s="59"/>
      <c r="G1248" s="59"/>
      <c r="H1248" s="59"/>
      <c r="I1248" s="59"/>
      <c r="J1248" s="59"/>
      <c r="K1248" s="60">
        <f t="shared" ref="K1248:X1248" si="686">IF(AND($D1248="tak",$E1248="prace rozwojowe",Modul_badawczo_rozwojowy=tak),ROUND(K765*K355,0),0)</f>
        <v>0</v>
      </c>
      <c r="L1248" s="60">
        <f t="shared" si="686"/>
        <v>0</v>
      </c>
      <c r="M1248" s="60">
        <f t="shared" si="686"/>
        <v>0</v>
      </c>
      <c r="N1248" s="60">
        <f t="shared" si="686"/>
        <v>0</v>
      </c>
      <c r="O1248" s="60">
        <f t="shared" si="686"/>
        <v>0</v>
      </c>
      <c r="P1248" s="60">
        <f t="shared" si="686"/>
        <v>0</v>
      </c>
      <c r="Q1248" s="60">
        <f t="shared" si="686"/>
        <v>0</v>
      </c>
      <c r="R1248" s="60">
        <f t="shared" si="686"/>
        <v>0</v>
      </c>
      <c r="S1248" s="60">
        <f t="shared" si="686"/>
        <v>0</v>
      </c>
      <c r="T1248" s="60">
        <f t="shared" si="686"/>
        <v>0</v>
      </c>
      <c r="U1248" s="60">
        <f t="shared" si="686"/>
        <v>0</v>
      </c>
      <c r="V1248" s="60">
        <f t="shared" si="686"/>
        <v>0</v>
      </c>
      <c r="W1248" s="60">
        <f t="shared" si="686"/>
        <v>0</v>
      </c>
      <c r="X1248" s="60">
        <f t="shared" si="686"/>
        <v>0</v>
      </c>
    </row>
    <row r="1249" spans="2:24" hidden="1">
      <c r="B1249" s="59" t="str">
        <f t="shared" si="679"/>
        <v/>
      </c>
      <c r="C1249" s="59" t="str">
        <f t="shared" si="679"/>
        <v/>
      </c>
      <c r="D1249" s="59" t="str">
        <f t="shared" si="679"/>
        <v/>
      </c>
      <c r="E1249" s="59" t="str">
        <f t="shared" si="679"/>
        <v/>
      </c>
      <c r="F1249" s="59"/>
      <c r="G1249" s="59"/>
      <c r="H1249" s="59"/>
      <c r="I1249" s="59"/>
      <c r="J1249" s="59"/>
      <c r="K1249" s="60">
        <f t="shared" ref="K1249:X1249" si="687">IF(AND($D1249="tak",$E1249="prace rozwojowe",Modul_badawczo_rozwojowy=tak),ROUND(K766*K356,0),0)</f>
        <v>0</v>
      </c>
      <c r="L1249" s="60">
        <f t="shared" si="687"/>
        <v>0</v>
      </c>
      <c r="M1249" s="60">
        <f t="shared" si="687"/>
        <v>0</v>
      </c>
      <c r="N1249" s="60">
        <f t="shared" si="687"/>
        <v>0</v>
      </c>
      <c r="O1249" s="60">
        <f t="shared" si="687"/>
        <v>0</v>
      </c>
      <c r="P1249" s="60">
        <f t="shared" si="687"/>
        <v>0</v>
      </c>
      <c r="Q1249" s="60">
        <f t="shared" si="687"/>
        <v>0</v>
      </c>
      <c r="R1249" s="60">
        <f t="shared" si="687"/>
        <v>0</v>
      </c>
      <c r="S1249" s="60">
        <f t="shared" si="687"/>
        <v>0</v>
      </c>
      <c r="T1249" s="60">
        <f t="shared" si="687"/>
        <v>0</v>
      </c>
      <c r="U1249" s="60">
        <f t="shared" si="687"/>
        <v>0</v>
      </c>
      <c r="V1249" s="60">
        <f t="shared" si="687"/>
        <v>0</v>
      </c>
      <c r="W1249" s="60">
        <f t="shared" si="687"/>
        <v>0</v>
      </c>
      <c r="X1249" s="60">
        <f t="shared" si="687"/>
        <v>0</v>
      </c>
    </row>
    <row r="1250" spans="2:24" hidden="1">
      <c r="B1250" s="59" t="str">
        <f t="shared" si="679"/>
        <v/>
      </c>
      <c r="C1250" s="59" t="str">
        <f t="shared" si="679"/>
        <v/>
      </c>
      <c r="D1250" s="59" t="str">
        <f t="shared" si="679"/>
        <v/>
      </c>
      <c r="E1250" s="59" t="str">
        <f t="shared" si="679"/>
        <v/>
      </c>
      <c r="F1250" s="59"/>
      <c r="G1250" s="59"/>
      <c r="H1250" s="59"/>
      <c r="I1250" s="59"/>
      <c r="J1250" s="59"/>
      <c r="K1250" s="60">
        <f t="shared" ref="K1250:X1250" si="688">IF(AND($D1250="tak",$E1250="prace rozwojowe",Modul_badawczo_rozwojowy=tak),ROUND(K767*K357,0),0)</f>
        <v>0</v>
      </c>
      <c r="L1250" s="60">
        <f t="shared" si="688"/>
        <v>0</v>
      </c>
      <c r="M1250" s="60">
        <f t="shared" si="688"/>
        <v>0</v>
      </c>
      <c r="N1250" s="60">
        <f t="shared" si="688"/>
        <v>0</v>
      </c>
      <c r="O1250" s="60">
        <f t="shared" si="688"/>
        <v>0</v>
      </c>
      <c r="P1250" s="60">
        <f t="shared" si="688"/>
        <v>0</v>
      </c>
      <c r="Q1250" s="60">
        <f t="shared" si="688"/>
        <v>0</v>
      </c>
      <c r="R1250" s="60">
        <f t="shared" si="688"/>
        <v>0</v>
      </c>
      <c r="S1250" s="60">
        <f t="shared" si="688"/>
        <v>0</v>
      </c>
      <c r="T1250" s="60">
        <f t="shared" si="688"/>
        <v>0</v>
      </c>
      <c r="U1250" s="60">
        <f t="shared" si="688"/>
        <v>0</v>
      </c>
      <c r="V1250" s="60">
        <f t="shared" si="688"/>
        <v>0</v>
      </c>
      <c r="W1250" s="60">
        <f t="shared" si="688"/>
        <v>0</v>
      </c>
      <c r="X1250" s="60">
        <f t="shared" si="688"/>
        <v>0</v>
      </c>
    </row>
    <row r="1251" spans="2:24" hidden="1">
      <c r="B1251" s="59" t="str">
        <f t="shared" si="679"/>
        <v/>
      </c>
      <c r="C1251" s="59" t="str">
        <f t="shared" si="679"/>
        <v/>
      </c>
      <c r="D1251" s="59" t="str">
        <f t="shared" si="679"/>
        <v/>
      </c>
      <c r="E1251" s="59" t="str">
        <f t="shared" si="679"/>
        <v/>
      </c>
      <c r="F1251" s="59"/>
      <c r="G1251" s="59"/>
      <c r="H1251" s="59"/>
      <c r="I1251" s="59"/>
      <c r="J1251" s="59"/>
      <c r="K1251" s="60">
        <f t="shared" ref="K1251:X1251" si="689">IF(AND($D1251="tak",$E1251="prace rozwojowe",Modul_badawczo_rozwojowy=tak),ROUND(K768*K358,0),0)</f>
        <v>0</v>
      </c>
      <c r="L1251" s="60">
        <f t="shared" si="689"/>
        <v>0</v>
      </c>
      <c r="M1251" s="60">
        <f t="shared" si="689"/>
        <v>0</v>
      </c>
      <c r="N1251" s="60">
        <f t="shared" si="689"/>
        <v>0</v>
      </c>
      <c r="O1251" s="60">
        <f t="shared" si="689"/>
        <v>0</v>
      </c>
      <c r="P1251" s="60">
        <f t="shared" si="689"/>
        <v>0</v>
      </c>
      <c r="Q1251" s="60">
        <f t="shared" si="689"/>
        <v>0</v>
      </c>
      <c r="R1251" s="60">
        <f t="shared" si="689"/>
        <v>0</v>
      </c>
      <c r="S1251" s="60">
        <f t="shared" si="689"/>
        <v>0</v>
      </c>
      <c r="T1251" s="60">
        <f t="shared" si="689"/>
        <v>0</v>
      </c>
      <c r="U1251" s="60">
        <f t="shared" si="689"/>
        <v>0</v>
      </c>
      <c r="V1251" s="60">
        <f t="shared" si="689"/>
        <v>0</v>
      </c>
      <c r="W1251" s="60">
        <f t="shared" si="689"/>
        <v>0</v>
      </c>
      <c r="X1251" s="60">
        <f t="shared" si="689"/>
        <v>0</v>
      </c>
    </row>
    <row r="1252" spans="2:24" hidden="1">
      <c r="B1252" s="59" t="str">
        <f t="shared" si="679"/>
        <v/>
      </c>
      <c r="C1252" s="59" t="str">
        <f t="shared" si="679"/>
        <v/>
      </c>
      <c r="D1252" s="59" t="str">
        <f t="shared" si="679"/>
        <v/>
      </c>
      <c r="E1252" s="59" t="str">
        <f t="shared" si="679"/>
        <v/>
      </c>
      <c r="F1252" s="59"/>
      <c r="G1252" s="59"/>
      <c r="H1252" s="59"/>
      <c r="I1252" s="59"/>
      <c r="J1252" s="59"/>
      <c r="K1252" s="60">
        <f t="shared" ref="K1252:X1252" si="690">IF(AND($D1252="tak",$E1252="prace rozwojowe",Modul_badawczo_rozwojowy=tak),ROUND(K769*K359,0),0)</f>
        <v>0</v>
      </c>
      <c r="L1252" s="60">
        <f t="shared" si="690"/>
        <v>0</v>
      </c>
      <c r="M1252" s="60">
        <f t="shared" si="690"/>
        <v>0</v>
      </c>
      <c r="N1252" s="60">
        <f t="shared" si="690"/>
        <v>0</v>
      </c>
      <c r="O1252" s="60">
        <f t="shared" si="690"/>
        <v>0</v>
      </c>
      <c r="P1252" s="60">
        <f t="shared" si="690"/>
        <v>0</v>
      </c>
      <c r="Q1252" s="60">
        <f t="shared" si="690"/>
        <v>0</v>
      </c>
      <c r="R1252" s="60">
        <f t="shared" si="690"/>
        <v>0</v>
      </c>
      <c r="S1252" s="60">
        <f t="shared" si="690"/>
        <v>0</v>
      </c>
      <c r="T1252" s="60">
        <f t="shared" si="690"/>
        <v>0</v>
      </c>
      <c r="U1252" s="60">
        <f t="shared" si="690"/>
        <v>0</v>
      </c>
      <c r="V1252" s="60">
        <f t="shared" si="690"/>
        <v>0</v>
      </c>
      <c r="W1252" s="60">
        <f t="shared" si="690"/>
        <v>0</v>
      </c>
      <c r="X1252" s="60">
        <f t="shared" si="690"/>
        <v>0</v>
      </c>
    </row>
    <row r="1253" spans="2:24" hidden="1">
      <c r="B1253" s="59" t="str">
        <f t="shared" si="679"/>
        <v/>
      </c>
      <c r="C1253" s="59" t="str">
        <f t="shared" si="679"/>
        <v/>
      </c>
      <c r="D1253" s="59" t="str">
        <f t="shared" si="679"/>
        <v/>
      </c>
      <c r="E1253" s="59" t="str">
        <f t="shared" si="679"/>
        <v/>
      </c>
      <c r="F1253" s="59"/>
      <c r="G1253" s="59"/>
      <c r="H1253" s="59"/>
      <c r="I1253" s="59"/>
      <c r="J1253" s="59"/>
      <c r="K1253" s="60">
        <f t="shared" ref="K1253:X1253" si="691">IF(AND($D1253="tak",$E1253="prace rozwojowe",Modul_badawczo_rozwojowy=tak),ROUND(K770*K360,0),0)</f>
        <v>0</v>
      </c>
      <c r="L1253" s="60">
        <f t="shared" si="691"/>
        <v>0</v>
      </c>
      <c r="M1253" s="60">
        <f t="shared" si="691"/>
        <v>0</v>
      </c>
      <c r="N1253" s="60">
        <f t="shared" si="691"/>
        <v>0</v>
      </c>
      <c r="O1253" s="60">
        <f t="shared" si="691"/>
        <v>0</v>
      </c>
      <c r="P1253" s="60">
        <f t="shared" si="691"/>
        <v>0</v>
      </c>
      <c r="Q1253" s="60">
        <f t="shared" si="691"/>
        <v>0</v>
      </c>
      <c r="R1253" s="60">
        <f t="shared" si="691"/>
        <v>0</v>
      </c>
      <c r="S1253" s="60">
        <f t="shared" si="691"/>
        <v>0</v>
      </c>
      <c r="T1253" s="60">
        <f t="shared" si="691"/>
        <v>0</v>
      </c>
      <c r="U1253" s="60">
        <f t="shared" si="691"/>
        <v>0</v>
      </c>
      <c r="V1253" s="60">
        <f t="shared" si="691"/>
        <v>0</v>
      </c>
      <c r="W1253" s="60">
        <f t="shared" si="691"/>
        <v>0</v>
      </c>
      <c r="X1253" s="60">
        <f t="shared" si="691"/>
        <v>0</v>
      </c>
    </row>
    <row r="1254" spans="2:24" hidden="1">
      <c r="B1254" s="59" t="str">
        <f t="shared" si="679"/>
        <v/>
      </c>
      <c r="C1254" s="59" t="str">
        <f t="shared" si="679"/>
        <v/>
      </c>
      <c r="D1254" s="59" t="str">
        <f t="shared" si="679"/>
        <v/>
      </c>
      <c r="E1254" s="59" t="str">
        <f t="shared" si="679"/>
        <v/>
      </c>
      <c r="F1254" s="59"/>
      <c r="G1254" s="59"/>
      <c r="H1254" s="59"/>
      <c r="I1254" s="59"/>
      <c r="J1254" s="59"/>
      <c r="K1254" s="60">
        <f t="shared" ref="K1254:X1254" si="692">IF(AND($D1254="tak",$E1254="prace rozwojowe",Modul_badawczo_rozwojowy=tak),ROUND(K771*K361,0),0)</f>
        <v>0</v>
      </c>
      <c r="L1254" s="60">
        <f t="shared" si="692"/>
        <v>0</v>
      </c>
      <c r="M1254" s="60">
        <f t="shared" si="692"/>
        <v>0</v>
      </c>
      <c r="N1254" s="60">
        <f t="shared" si="692"/>
        <v>0</v>
      </c>
      <c r="O1254" s="60">
        <f t="shared" si="692"/>
        <v>0</v>
      </c>
      <c r="P1254" s="60">
        <f t="shared" si="692"/>
        <v>0</v>
      </c>
      <c r="Q1254" s="60">
        <f t="shared" si="692"/>
        <v>0</v>
      </c>
      <c r="R1254" s="60">
        <f t="shared" si="692"/>
        <v>0</v>
      </c>
      <c r="S1254" s="60">
        <f t="shared" si="692"/>
        <v>0</v>
      </c>
      <c r="T1254" s="60">
        <f t="shared" si="692"/>
        <v>0</v>
      </c>
      <c r="U1254" s="60">
        <f t="shared" si="692"/>
        <v>0</v>
      </c>
      <c r="V1254" s="60">
        <f t="shared" si="692"/>
        <v>0</v>
      </c>
      <c r="W1254" s="60">
        <f t="shared" si="692"/>
        <v>0</v>
      </c>
      <c r="X1254" s="60">
        <f t="shared" si="692"/>
        <v>0</v>
      </c>
    </row>
    <row r="1255" spans="2:24" hidden="1">
      <c r="B1255" s="59" t="str">
        <f t="shared" si="679"/>
        <v/>
      </c>
      <c r="C1255" s="59" t="str">
        <f t="shared" si="679"/>
        <v/>
      </c>
      <c r="D1255" s="59" t="str">
        <f t="shared" si="679"/>
        <v/>
      </c>
      <c r="E1255" s="59" t="str">
        <f t="shared" si="679"/>
        <v/>
      </c>
      <c r="F1255" s="59"/>
      <c r="G1255" s="59"/>
      <c r="H1255" s="59"/>
      <c r="I1255" s="59"/>
      <c r="J1255" s="59"/>
      <c r="K1255" s="60">
        <f t="shared" ref="K1255:X1255" si="693">IF(AND($D1255="tak",$E1255="prace rozwojowe",Modul_badawczo_rozwojowy=tak),ROUND(K772*K362,0),0)</f>
        <v>0</v>
      </c>
      <c r="L1255" s="60">
        <f t="shared" si="693"/>
        <v>0</v>
      </c>
      <c r="M1255" s="60">
        <f t="shared" si="693"/>
        <v>0</v>
      </c>
      <c r="N1255" s="60">
        <f t="shared" si="693"/>
        <v>0</v>
      </c>
      <c r="O1255" s="60">
        <f t="shared" si="693"/>
        <v>0</v>
      </c>
      <c r="P1255" s="60">
        <f t="shared" si="693"/>
        <v>0</v>
      </c>
      <c r="Q1255" s="60">
        <f t="shared" si="693"/>
        <v>0</v>
      </c>
      <c r="R1255" s="60">
        <f t="shared" si="693"/>
        <v>0</v>
      </c>
      <c r="S1255" s="60">
        <f t="shared" si="693"/>
        <v>0</v>
      </c>
      <c r="T1255" s="60">
        <f t="shared" si="693"/>
        <v>0</v>
      </c>
      <c r="U1255" s="60">
        <f t="shared" si="693"/>
        <v>0</v>
      </c>
      <c r="V1255" s="60">
        <f t="shared" si="693"/>
        <v>0</v>
      </c>
      <c r="W1255" s="60">
        <f t="shared" si="693"/>
        <v>0</v>
      </c>
      <c r="X1255" s="60">
        <f t="shared" si="693"/>
        <v>0</v>
      </c>
    </row>
    <row r="1256" spans="2:24" hidden="1">
      <c r="B1256" s="59" t="str">
        <f t="shared" si="679"/>
        <v/>
      </c>
      <c r="C1256" s="59" t="str">
        <f t="shared" si="679"/>
        <v/>
      </c>
      <c r="D1256" s="59" t="str">
        <f t="shared" si="679"/>
        <v/>
      </c>
      <c r="E1256" s="59" t="str">
        <f t="shared" si="679"/>
        <v/>
      </c>
      <c r="F1256" s="59"/>
      <c r="G1256" s="59"/>
      <c r="H1256" s="59"/>
      <c r="I1256" s="59"/>
      <c r="J1256" s="59"/>
      <c r="K1256" s="60">
        <f t="shared" ref="K1256:X1256" si="694">IF(AND($D1256="tak",$E1256="prace rozwojowe",Modul_badawczo_rozwojowy=tak),ROUND(K773*K363,0),0)</f>
        <v>0</v>
      </c>
      <c r="L1256" s="60">
        <f t="shared" si="694"/>
        <v>0</v>
      </c>
      <c r="M1256" s="60">
        <f t="shared" si="694"/>
        <v>0</v>
      </c>
      <c r="N1256" s="60">
        <f t="shared" si="694"/>
        <v>0</v>
      </c>
      <c r="O1256" s="60">
        <f t="shared" si="694"/>
        <v>0</v>
      </c>
      <c r="P1256" s="60">
        <f t="shared" si="694"/>
        <v>0</v>
      </c>
      <c r="Q1256" s="60">
        <f t="shared" si="694"/>
        <v>0</v>
      </c>
      <c r="R1256" s="60">
        <f t="shared" si="694"/>
        <v>0</v>
      </c>
      <c r="S1256" s="60">
        <f t="shared" si="694"/>
        <v>0</v>
      </c>
      <c r="T1256" s="60">
        <f t="shared" si="694"/>
        <v>0</v>
      </c>
      <c r="U1256" s="60">
        <f t="shared" si="694"/>
        <v>0</v>
      </c>
      <c r="V1256" s="60">
        <f t="shared" si="694"/>
        <v>0</v>
      </c>
      <c r="W1256" s="60">
        <f t="shared" si="694"/>
        <v>0</v>
      </c>
      <c r="X1256" s="60">
        <f t="shared" si="694"/>
        <v>0</v>
      </c>
    </row>
    <row r="1257" spans="2:24" hidden="1">
      <c r="B1257" s="59" t="str">
        <f t="shared" si="679"/>
        <v/>
      </c>
      <c r="C1257" s="59" t="str">
        <f t="shared" si="679"/>
        <v/>
      </c>
      <c r="D1257" s="59" t="str">
        <f t="shared" si="679"/>
        <v/>
      </c>
      <c r="E1257" s="59" t="str">
        <f t="shared" si="679"/>
        <v/>
      </c>
      <c r="F1257" s="59"/>
      <c r="G1257" s="59"/>
      <c r="H1257" s="59"/>
      <c r="I1257" s="59"/>
      <c r="J1257" s="59"/>
      <c r="K1257" s="60">
        <f t="shared" ref="K1257:X1257" si="695">IF(AND($D1257="tak",$E1257="prace rozwojowe",Modul_badawczo_rozwojowy=tak),ROUND(K774*K364,0),0)</f>
        <v>0</v>
      </c>
      <c r="L1257" s="60">
        <f t="shared" si="695"/>
        <v>0</v>
      </c>
      <c r="M1257" s="60">
        <f t="shared" si="695"/>
        <v>0</v>
      </c>
      <c r="N1257" s="60">
        <f t="shared" si="695"/>
        <v>0</v>
      </c>
      <c r="O1257" s="60">
        <f t="shared" si="695"/>
        <v>0</v>
      </c>
      <c r="P1257" s="60">
        <f t="shared" si="695"/>
        <v>0</v>
      </c>
      <c r="Q1257" s="60">
        <f t="shared" si="695"/>
        <v>0</v>
      </c>
      <c r="R1257" s="60">
        <f t="shared" si="695"/>
        <v>0</v>
      </c>
      <c r="S1257" s="60">
        <f t="shared" si="695"/>
        <v>0</v>
      </c>
      <c r="T1257" s="60">
        <f t="shared" si="695"/>
        <v>0</v>
      </c>
      <c r="U1257" s="60">
        <f t="shared" si="695"/>
        <v>0</v>
      </c>
      <c r="V1257" s="60">
        <f t="shared" si="695"/>
        <v>0</v>
      </c>
      <c r="W1257" s="60">
        <f t="shared" si="695"/>
        <v>0</v>
      </c>
      <c r="X1257" s="60">
        <f t="shared" si="695"/>
        <v>0</v>
      </c>
    </row>
    <row r="1258" spans="2:24" hidden="1">
      <c r="B1258" s="59" t="str">
        <f t="shared" si="679"/>
        <v/>
      </c>
      <c r="C1258" s="59" t="str">
        <f t="shared" si="679"/>
        <v/>
      </c>
      <c r="D1258" s="59" t="str">
        <f t="shared" si="679"/>
        <v/>
      </c>
      <c r="E1258" s="59" t="str">
        <f t="shared" si="679"/>
        <v/>
      </c>
      <c r="F1258" s="59"/>
      <c r="G1258" s="59"/>
      <c r="H1258" s="59"/>
      <c r="I1258" s="59"/>
      <c r="J1258" s="59"/>
      <c r="K1258" s="60">
        <f t="shared" ref="K1258:X1258" si="696">IF(AND($D1258="tak",$E1258="prace rozwojowe",Modul_badawczo_rozwojowy=tak),ROUND(K775*K365,0),0)</f>
        <v>0</v>
      </c>
      <c r="L1258" s="60">
        <f t="shared" si="696"/>
        <v>0</v>
      </c>
      <c r="M1258" s="60">
        <f t="shared" si="696"/>
        <v>0</v>
      </c>
      <c r="N1258" s="60">
        <f t="shared" si="696"/>
        <v>0</v>
      </c>
      <c r="O1258" s="60">
        <f t="shared" si="696"/>
        <v>0</v>
      </c>
      <c r="P1258" s="60">
        <f t="shared" si="696"/>
        <v>0</v>
      </c>
      <c r="Q1258" s="60">
        <f t="shared" si="696"/>
        <v>0</v>
      </c>
      <c r="R1258" s="60">
        <f t="shared" si="696"/>
        <v>0</v>
      </c>
      <c r="S1258" s="60">
        <f t="shared" si="696"/>
        <v>0</v>
      </c>
      <c r="T1258" s="60">
        <f t="shared" si="696"/>
        <v>0</v>
      </c>
      <c r="U1258" s="60">
        <f t="shared" si="696"/>
        <v>0</v>
      </c>
      <c r="V1258" s="60">
        <f t="shared" si="696"/>
        <v>0</v>
      </c>
      <c r="W1258" s="60">
        <f t="shared" si="696"/>
        <v>0</v>
      </c>
      <c r="X1258" s="60">
        <f t="shared" si="696"/>
        <v>0</v>
      </c>
    </row>
    <row r="1259" spans="2:24" hidden="1">
      <c r="B1259" s="59" t="str">
        <f t="shared" si="679"/>
        <v/>
      </c>
      <c r="C1259" s="59" t="str">
        <f t="shared" si="679"/>
        <v/>
      </c>
      <c r="D1259" s="59" t="str">
        <f t="shared" si="679"/>
        <v/>
      </c>
      <c r="E1259" s="59" t="str">
        <f t="shared" si="679"/>
        <v/>
      </c>
      <c r="F1259" s="59"/>
      <c r="G1259" s="59"/>
      <c r="H1259" s="59"/>
      <c r="I1259" s="59"/>
      <c r="J1259" s="59"/>
      <c r="K1259" s="60">
        <f t="shared" ref="K1259:X1259" si="697">IF(AND($D1259="tak",$E1259="prace rozwojowe",Modul_badawczo_rozwojowy=tak),ROUND(K776*K366,0),0)</f>
        <v>0</v>
      </c>
      <c r="L1259" s="60">
        <f t="shared" si="697"/>
        <v>0</v>
      </c>
      <c r="M1259" s="60">
        <f t="shared" si="697"/>
        <v>0</v>
      </c>
      <c r="N1259" s="60">
        <f t="shared" si="697"/>
        <v>0</v>
      </c>
      <c r="O1259" s="60">
        <f t="shared" si="697"/>
        <v>0</v>
      </c>
      <c r="P1259" s="60">
        <f t="shared" si="697"/>
        <v>0</v>
      </c>
      <c r="Q1259" s="60">
        <f t="shared" si="697"/>
        <v>0</v>
      </c>
      <c r="R1259" s="60">
        <f t="shared" si="697"/>
        <v>0</v>
      </c>
      <c r="S1259" s="60">
        <f t="shared" si="697"/>
        <v>0</v>
      </c>
      <c r="T1259" s="60">
        <f t="shared" si="697"/>
        <v>0</v>
      </c>
      <c r="U1259" s="60">
        <f t="shared" si="697"/>
        <v>0</v>
      </c>
      <c r="V1259" s="60">
        <f t="shared" si="697"/>
        <v>0</v>
      </c>
      <c r="W1259" s="60">
        <f t="shared" si="697"/>
        <v>0</v>
      </c>
      <c r="X1259" s="60">
        <f t="shared" si="697"/>
        <v>0</v>
      </c>
    </row>
    <row r="1260" spans="2:24" hidden="1">
      <c r="B1260" s="59" t="str">
        <f t="shared" si="679"/>
        <v/>
      </c>
      <c r="C1260" s="59" t="str">
        <f t="shared" si="679"/>
        <v/>
      </c>
      <c r="D1260" s="59" t="str">
        <f t="shared" si="679"/>
        <v/>
      </c>
      <c r="E1260" s="59" t="str">
        <f t="shared" si="679"/>
        <v/>
      </c>
      <c r="F1260" s="59"/>
      <c r="G1260" s="59"/>
      <c r="H1260" s="59"/>
      <c r="I1260" s="59"/>
      <c r="J1260" s="59"/>
      <c r="K1260" s="60">
        <f t="shared" ref="K1260:X1260" si="698">IF(AND($D1260="tak",$E1260="prace rozwojowe",Modul_badawczo_rozwojowy=tak),ROUND(K777*K367,0),0)</f>
        <v>0</v>
      </c>
      <c r="L1260" s="60">
        <f t="shared" si="698"/>
        <v>0</v>
      </c>
      <c r="M1260" s="60">
        <f t="shared" si="698"/>
        <v>0</v>
      </c>
      <c r="N1260" s="60">
        <f t="shared" si="698"/>
        <v>0</v>
      </c>
      <c r="O1260" s="60">
        <f t="shared" si="698"/>
        <v>0</v>
      </c>
      <c r="P1260" s="60">
        <f t="shared" si="698"/>
        <v>0</v>
      </c>
      <c r="Q1260" s="60">
        <f t="shared" si="698"/>
        <v>0</v>
      </c>
      <c r="R1260" s="60">
        <f t="shared" si="698"/>
        <v>0</v>
      </c>
      <c r="S1260" s="60">
        <f t="shared" si="698"/>
        <v>0</v>
      </c>
      <c r="T1260" s="60">
        <f t="shared" si="698"/>
        <v>0</v>
      </c>
      <c r="U1260" s="60">
        <f t="shared" si="698"/>
        <v>0</v>
      </c>
      <c r="V1260" s="60">
        <f t="shared" si="698"/>
        <v>0</v>
      </c>
      <c r="W1260" s="60">
        <f t="shared" si="698"/>
        <v>0</v>
      </c>
      <c r="X1260" s="60">
        <f t="shared" si="698"/>
        <v>0</v>
      </c>
    </row>
    <row r="1261" spans="2:24" hidden="1">
      <c r="B1261" s="59" t="str">
        <f t="shared" si="679"/>
        <v/>
      </c>
      <c r="C1261" s="59" t="str">
        <f t="shared" si="679"/>
        <v/>
      </c>
      <c r="D1261" s="59" t="str">
        <f t="shared" si="679"/>
        <v/>
      </c>
      <c r="E1261" s="59" t="str">
        <f t="shared" si="679"/>
        <v/>
      </c>
      <c r="F1261" s="59"/>
      <c r="G1261" s="59"/>
      <c r="H1261" s="59"/>
      <c r="I1261" s="59"/>
      <c r="J1261" s="59"/>
      <c r="K1261" s="60">
        <f t="shared" ref="K1261:X1261" si="699">IF(AND($D1261="tak",$E1261="prace rozwojowe",Modul_badawczo_rozwojowy=tak),ROUND(K778*K368,0),0)</f>
        <v>0</v>
      </c>
      <c r="L1261" s="60">
        <f t="shared" si="699"/>
        <v>0</v>
      </c>
      <c r="M1261" s="60">
        <f t="shared" si="699"/>
        <v>0</v>
      </c>
      <c r="N1261" s="60">
        <f t="shared" si="699"/>
        <v>0</v>
      </c>
      <c r="O1261" s="60">
        <f t="shared" si="699"/>
        <v>0</v>
      </c>
      <c r="P1261" s="60">
        <f t="shared" si="699"/>
        <v>0</v>
      </c>
      <c r="Q1261" s="60">
        <f t="shared" si="699"/>
        <v>0</v>
      </c>
      <c r="R1261" s="60">
        <f t="shared" si="699"/>
        <v>0</v>
      </c>
      <c r="S1261" s="60">
        <f t="shared" si="699"/>
        <v>0</v>
      </c>
      <c r="T1261" s="60">
        <f t="shared" si="699"/>
        <v>0</v>
      </c>
      <c r="U1261" s="60">
        <f t="shared" si="699"/>
        <v>0</v>
      </c>
      <c r="V1261" s="60">
        <f t="shared" si="699"/>
        <v>0</v>
      </c>
      <c r="W1261" s="60">
        <f t="shared" si="699"/>
        <v>0</v>
      </c>
      <c r="X1261" s="60">
        <f t="shared" si="699"/>
        <v>0</v>
      </c>
    </row>
    <row r="1262" spans="2:24" hidden="1">
      <c r="B1262" s="59" t="str">
        <f t="shared" ref="B1262:E1281" si="700">IF(ISBLANK(B779),"",B779)</f>
        <v/>
      </c>
      <c r="C1262" s="59" t="str">
        <f t="shared" si="700"/>
        <v/>
      </c>
      <c r="D1262" s="59" t="str">
        <f t="shared" si="700"/>
        <v/>
      </c>
      <c r="E1262" s="59" t="str">
        <f t="shared" si="700"/>
        <v/>
      </c>
      <c r="F1262" s="59"/>
      <c r="G1262" s="59"/>
      <c r="H1262" s="59"/>
      <c r="I1262" s="59"/>
      <c r="J1262" s="59"/>
      <c r="K1262" s="60">
        <f t="shared" ref="K1262:X1262" si="701">IF(AND($D1262="tak",$E1262="prace rozwojowe",Modul_badawczo_rozwojowy=tak),ROUND(K779*K369,0),0)</f>
        <v>0</v>
      </c>
      <c r="L1262" s="60">
        <f t="shared" si="701"/>
        <v>0</v>
      </c>
      <c r="M1262" s="60">
        <f t="shared" si="701"/>
        <v>0</v>
      </c>
      <c r="N1262" s="60">
        <f t="shared" si="701"/>
        <v>0</v>
      </c>
      <c r="O1262" s="60">
        <f t="shared" si="701"/>
        <v>0</v>
      </c>
      <c r="P1262" s="60">
        <f t="shared" si="701"/>
        <v>0</v>
      </c>
      <c r="Q1262" s="60">
        <f t="shared" si="701"/>
        <v>0</v>
      </c>
      <c r="R1262" s="60">
        <f t="shared" si="701"/>
        <v>0</v>
      </c>
      <c r="S1262" s="60">
        <f t="shared" si="701"/>
        <v>0</v>
      </c>
      <c r="T1262" s="60">
        <f t="shared" si="701"/>
        <v>0</v>
      </c>
      <c r="U1262" s="60">
        <f t="shared" si="701"/>
        <v>0</v>
      </c>
      <c r="V1262" s="60">
        <f t="shared" si="701"/>
        <v>0</v>
      </c>
      <c r="W1262" s="60">
        <f t="shared" si="701"/>
        <v>0</v>
      </c>
      <c r="X1262" s="60">
        <f t="shared" si="701"/>
        <v>0</v>
      </c>
    </row>
    <row r="1263" spans="2:24" hidden="1">
      <c r="B1263" s="59" t="str">
        <f t="shared" si="700"/>
        <v/>
      </c>
      <c r="C1263" s="59" t="str">
        <f t="shared" si="700"/>
        <v/>
      </c>
      <c r="D1263" s="59" t="str">
        <f t="shared" si="700"/>
        <v/>
      </c>
      <c r="E1263" s="59" t="str">
        <f t="shared" si="700"/>
        <v/>
      </c>
      <c r="F1263" s="59"/>
      <c r="G1263" s="59"/>
      <c r="H1263" s="59"/>
      <c r="I1263" s="59"/>
      <c r="J1263" s="59"/>
      <c r="K1263" s="60">
        <f t="shared" ref="K1263:X1263" si="702">IF(AND($D1263="tak",$E1263="prace rozwojowe",Modul_badawczo_rozwojowy=tak),ROUND(K780*K370,0),0)</f>
        <v>0</v>
      </c>
      <c r="L1263" s="60">
        <f t="shared" si="702"/>
        <v>0</v>
      </c>
      <c r="M1263" s="60">
        <f t="shared" si="702"/>
        <v>0</v>
      </c>
      <c r="N1263" s="60">
        <f t="shared" si="702"/>
        <v>0</v>
      </c>
      <c r="O1263" s="60">
        <f t="shared" si="702"/>
        <v>0</v>
      </c>
      <c r="P1263" s="60">
        <f t="shared" si="702"/>
        <v>0</v>
      </c>
      <c r="Q1263" s="60">
        <f t="shared" si="702"/>
        <v>0</v>
      </c>
      <c r="R1263" s="60">
        <f t="shared" si="702"/>
        <v>0</v>
      </c>
      <c r="S1263" s="60">
        <f t="shared" si="702"/>
        <v>0</v>
      </c>
      <c r="T1263" s="60">
        <f t="shared" si="702"/>
        <v>0</v>
      </c>
      <c r="U1263" s="60">
        <f t="shared" si="702"/>
        <v>0</v>
      </c>
      <c r="V1263" s="60">
        <f t="shared" si="702"/>
        <v>0</v>
      </c>
      <c r="W1263" s="60">
        <f t="shared" si="702"/>
        <v>0</v>
      </c>
      <c r="X1263" s="60">
        <f t="shared" si="702"/>
        <v>0</v>
      </c>
    </row>
    <row r="1264" spans="2:24" hidden="1">
      <c r="B1264" s="59" t="str">
        <f t="shared" si="700"/>
        <v/>
      </c>
      <c r="C1264" s="59" t="str">
        <f t="shared" si="700"/>
        <v/>
      </c>
      <c r="D1264" s="59" t="str">
        <f t="shared" si="700"/>
        <v/>
      </c>
      <c r="E1264" s="59" t="str">
        <f t="shared" si="700"/>
        <v/>
      </c>
      <c r="F1264" s="59"/>
      <c r="G1264" s="59"/>
      <c r="H1264" s="59"/>
      <c r="I1264" s="59"/>
      <c r="J1264" s="59"/>
      <c r="K1264" s="60">
        <f t="shared" ref="K1264:X1264" si="703">IF(AND($D1264="tak",$E1264="prace rozwojowe",Modul_badawczo_rozwojowy=tak),ROUND(K781*K371,0),0)</f>
        <v>0</v>
      </c>
      <c r="L1264" s="60">
        <f t="shared" si="703"/>
        <v>0</v>
      </c>
      <c r="M1264" s="60">
        <f t="shared" si="703"/>
        <v>0</v>
      </c>
      <c r="N1264" s="60">
        <f t="shared" si="703"/>
        <v>0</v>
      </c>
      <c r="O1264" s="60">
        <f t="shared" si="703"/>
        <v>0</v>
      </c>
      <c r="P1264" s="60">
        <f t="shared" si="703"/>
        <v>0</v>
      </c>
      <c r="Q1264" s="60">
        <f t="shared" si="703"/>
        <v>0</v>
      </c>
      <c r="R1264" s="60">
        <f t="shared" si="703"/>
        <v>0</v>
      </c>
      <c r="S1264" s="60">
        <f t="shared" si="703"/>
        <v>0</v>
      </c>
      <c r="T1264" s="60">
        <f t="shared" si="703"/>
        <v>0</v>
      </c>
      <c r="U1264" s="60">
        <f t="shared" si="703"/>
        <v>0</v>
      </c>
      <c r="V1264" s="60">
        <f t="shared" si="703"/>
        <v>0</v>
      </c>
      <c r="W1264" s="60">
        <f t="shared" si="703"/>
        <v>0</v>
      </c>
      <c r="X1264" s="60">
        <f t="shared" si="703"/>
        <v>0</v>
      </c>
    </row>
    <row r="1265" spans="2:24" hidden="1">
      <c r="B1265" s="59" t="str">
        <f t="shared" si="700"/>
        <v/>
      </c>
      <c r="C1265" s="59" t="str">
        <f t="shared" si="700"/>
        <v/>
      </c>
      <c r="D1265" s="59" t="str">
        <f t="shared" si="700"/>
        <v/>
      </c>
      <c r="E1265" s="59" t="str">
        <f t="shared" si="700"/>
        <v/>
      </c>
      <c r="F1265" s="59"/>
      <c r="G1265" s="59"/>
      <c r="H1265" s="59"/>
      <c r="I1265" s="59"/>
      <c r="J1265" s="59"/>
      <c r="K1265" s="60">
        <f t="shared" ref="K1265:X1265" si="704">IF(AND($D1265="tak",$E1265="prace rozwojowe",Modul_badawczo_rozwojowy=tak),ROUND(K782*K372,0),0)</f>
        <v>0</v>
      </c>
      <c r="L1265" s="60">
        <f t="shared" si="704"/>
        <v>0</v>
      </c>
      <c r="M1265" s="60">
        <f t="shared" si="704"/>
        <v>0</v>
      </c>
      <c r="N1265" s="60">
        <f t="shared" si="704"/>
        <v>0</v>
      </c>
      <c r="O1265" s="60">
        <f t="shared" si="704"/>
        <v>0</v>
      </c>
      <c r="P1265" s="60">
        <f t="shared" si="704"/>
        <v>0</v>
      </c>
      <c r="Q1265" s="60">
        <f t="shared" si="704"/>
        <v>0</v>
      </c>
      <c r="R1265" s="60">
        <f t="shared" si="704"/>
        <v>0</v>
      </c>
      <c r="S1265" s="60">
        <f t="shared" si="704"/>
        <v>0</v>
      </c>
      <c r="T1265" s="60">
        <f t="shared" si="704"/>
        <v>0</v>
      </c>
      <c r="U1265" s="60">
        <f t="shared" si="704"/>
        <v>0</v>
      </c>
      <c r="V1265" s="60">
        <f t="shared" si="704"/>
        <v>0</v>
      </c>
      <c r="W1265" s="60">
        <f t="shared" si="704"/>
        <v>0</v>
      </c>
      <c r="X1265" s="60">
        <f t="shared" si="704"/>
        <v>0</v>
      </c>
    </row>
    <row r="1266" spans="2:24" hidden="1">
      <c r="B1266" s="59" t="str">
        <f t="shared" si="700"/>
        <v/>
      </c>
      <c r="C1266" s="59" t="str">
        <f t="shared" si="700"/>
        <v/>
      </c>
      <c r="D1266" s="59" t="str">
        <f t="shared" si="700"/>
        <v/>
      </c>
      <c r="E1266" s="59" t="str">
        <f t="shared" si="700"/>
        <v/>
      </c>
      <c r="F1266" s="59"/>
      <c r="G1266" s="59"/>
      <c r="H1266" s="59"/>
      <c r="I1266" s="59"/>
      <c r="J1266" s="59"/>
      <c r="K1266" s="60">
        <f t="shared" ref="K1266:X1266" si="705">IF(AND($D1266="tak",$E1266="prace rozwojowe",Modul_badawczo_rozwojowy=tak),ROUND(K783*K373,0),0)</f>
        <v>0</v>
      </c>
      <c r="L1266" s="60">
        <f t="shared" si="705"/>
        <v>0</v>
      </c>
      <c r="M1266" s="60">
        <f t="shared" si="705"/>
        <v>0</v>
      </c>
      <c r="N1266" s="60">
        <f t="shared" si="705"/>
        <v>0</v>
      </c>
      <c r="O1266" s="60">
        <f t="shared" si="705"/>
        <v>0</v>
      </c>
      <c r="P1266" s="60">
        <f t="shared" si="705"/>
        <v>0</v>
      </c>
      <c r="Q1266" s="60">
        <f t="shared" si="705"/>
        <v>0</v>
      </c>
      <c r="R1266" s="60">
        <f t="shared" si="705"/>
        <v>0</v>
      </c>
      <c r="S1266" s="60">
        <f t="shared" si="705"/>
        <v>0</v>
      </c>
      <c r="T1266" s="60">
        <f t="shared" si="705"/>
        <v>0</v>
      </c>
      <c r="U1266" s="60">
        <f t="shared" si="705"/>
        <v>0</v>
      </c>
      <c r="V1266" s="60">
        <f t="shared" si="705"/>
        <v>0</v>
      </c>
      <c r="W1266" s="60">
        <f t="shared" si="705"/>
        <v>0</v>
      </c>
      <c r="X1266" s="60">
        <f t="shared" si="705"/>
        <v>0</v>
      </c>
    </row>
    <row r="1267" spans="2:24" hidden="1">
      <c r="B1267" s="59" t="str">
        <f t="shared" si="700"/>
        <v/>
      </c>
      <c r="C1267" s="59" t="str">
        <f t="shared" si="700"/>
        <v/>
      </c>
      <c r="D1267" s="59" t="str">
        <f t="shared" si="700"/>
        <v/>
      </c>
      <c r="E1267" s="59" t="str">
        <f t="shared" si="700"/>
        <v/>
      </c>
      <c r="F1267" s="59"/>
      <c r="G1267" s="59"/>
      <c r="H1267" s="59"/>
      <c r="I1267" s="59"/>
      <c r="J1267" s="59"/>
      <c r="K1267" s="60">
        <f t="shared" ref="K1267:X1267" si="706">IF(AND($D1267="tak",$E1267="prace rozwojowe",Modul_badawczo_rozwojowy=tak),ROUND(K784*K374,0),0)</f>
        <v>0</v>
      </c>
      <c r="L1267" s="60">
        <f t="shared" si="706"/>
        <v>0</v>
      </c>
      <c r="M1267" s="60">
        <f t="shared" si="706"/>
        <v>0</v>
      </c>
      <c r="N1267" s="60">
        <f t="shared" si="706"/>
        <v>0</v>
      </c>
      <c r="O1267" s="60">
        <f t="shared" si="706"/>
        <v>0</v>
      </c>
      <c r="P1267" s="60">
        <f t="shared" si="706"/>
        <v>0</v>
      </c>
      <c r="Q1267" s="60">
        <f t="shared" si="706"/>
        <v>0</v>
      </c>
      <c r="R1267" s="60">
        <f t="shared" si="706"/>
        <v>0</v>
      </c>
      <c r="S1267" s="60">
        <f t="shared" si="706"/>
        <v>0</v>
      </c>
      <c r="T1267" s="60">
        <f t="shared" si="706"/>
        <v>0</v>
      </c>
      <c r="U1267" s="60">
        <f t="shared" si="706"/>
        <v>0</v>
      </c>
      <c r="V1267" s="60">
        <f t="shared" si="706"/>
        <v>0</v>
      </c>
      <c r="W1267" s="60">
        <f t="shared" si="706"/>
        <v>0</v>
      </c>
      <c r="X1267" s="60">
        <f t="shared" si="706"/>
        <v>0</v>
      </c>
    </row>
    <row r="1268" spans="2:24" hidden="1">
      <c r="B1268" s="59" t="str">
        <f t="shared" si="700"/>
        <v/>
      </c>
      <c r="C1268" s="59" t="str">
        <f t="shared" si="700"/>
        <v/>
      </c>
      <c r="D1268" s="59" t="str">
        <f t="shared" si="700"/>
        <v/>
      </c>
      <c r="E1268" s="59" t="str">
        <f t="shared" si="700"/>
        <v/>
      </c>
      <c r="F1268" s="59"/>
      <c r="G1268" s="59"/>
      <c r="H1268" s="59"/>
      <c r="I1268" s="59"/>
      <c r="J1268" s="59"/>
      <c r="K1268" s="60">
        <f t="shared" ref="K1268:X1268" si="707">IF(AND($D1268="tak",$E1268="prace rozwojowe",Modul_badawczo_rozwojowy=tak),ROUND(K785*K375,0),0)</f>
        <v>0</v>
      </c>
      <c r="L1268" s="60">
        <f t="shared" si="707"/>
        <v>0</v>
      </c>
      <c r="M1268" s="60">
        <f t="shared" si="707"/>
        <v>0</v>
      </c>
      <c r="N1268" s="60">
        <f t="shared" si="707"/>
        <v>0</v>
      </c>
      <c r="O1268" s="60">
        <f t="shared" si="707"/>
        <v>0</v>
      </c>
      <c r="P1268" s="60">
        <f t="shared" si="707"/>
        <v>0</v>
      </c>
      <c r="Q1268" s="60">
        <f t="shared" si="707"/>
        <v>0</v>
      </c>
      <c r="R1268" s="60">
        <f t="shared" si="707"/>
        <v>0</v>
      </c>
      <c r="S1268" s="60">
        <f t="shared" si="707"/>
        <v>0</v>
      </c>
      <c r="T1268" s="60">
        <f t="shared" si="707"/>
        <v>0</v>
      </c>
      <c r="U1268" s="60">
        <f t="shared" si="707"/>
        <v>0</v>
      </c>
      <c r="V1268" s="60">
        <f t="shared" si="707"/>
        <v>0</v>
      </c>
      <c r="W1268" s="60">
        <f t="shared" si="707"/>
        <v>0</v>
      </c>
      <c r="X1268" s="60">
        <f t="shared" si="707"/>
        <v>0</v>
      </c>
    </row>
    <row r="1269" spans="2:24" hidden="1">
      <c r="B1269" s="59" t="str">
        <f t="shared" si="700"/>
        <v/>
      </c>
      <c r="C1269" s="59" t="str">
        <f t="shared" si="700"/>
        <v/>
      </c>
      <c r="D1269" s="59" t="str">
        <f t="shared" si="700"/>
        <v/>
      </c>
      <c r="E1269" s="59" t="str">
        <f t="shared" si="700"/>
        <v/>
      </c>
      <c r="F1269" s="59"/>
      <c r="G1269" s="59"/>
      <c r="H1269" s="59"/>
      <c r="I1269" s="59"/>
      <c r="J1269" s="59"/>
      <c r="K1269" s="60">
        <f t="shared" ref="K1269:X1269" si="708">IF(AND($D1269="tak",$E1269="prace rozwojowe",Modul_badawczo_rozwojowy=tak),ROUND(K786*K376,0),0)</f>
        <v>0</v>
      </c>
      <c r="L1269" s="60">
        <f t="shared" si="708"/>
        <v>0</v>
      </c>
      <c r="M1269" s="60">
        <f t="shared" si="708"/>
        <v>0</v>
      </c>
      <c r="N1269" s="60">
        <f t="shared" si="708"/>
        <v>0</v>
      </c>
      <c r="O1269" s="60">
        <f t="shared" si="708"/>
        <v>0</v>
      </c>
      <c r="P1269" s="60">
        <f t="shared" si="708"/>
        <v>0</v>
      </c>
      <c r="Q1269" s="60">
        <f t="shared" si="708"/>
        <v>0</v>
      </c>
      <c r="R1269" s="60">
        <f t="shared" si="708"/>
        <v>0</v>
      </c>
      <c r="S1269" s="60">
        <f t="shared" si="708"/>
        <v>0</v>
      </c>
      <c r="T1269" s="60">
        <f t="shared" si="708"/>
        <v>0</v>
      </c>
      <c r="U1269" s="60">
        <f t="shared" si="708"/>
        <v>0</v>
      </c>
      <c r="V1269" s="60">
        <f t="shared" si="708"/>
        <v>0</v>
      </c>
      <c r="W1269" s="60">
        <f t="shared" si="708"/>
        <v>0</v>
      </c>
      <c r="X1269" s="60">
        <f t="shared" si="708"/>
        <v>0</v>
      </c>
    </row>
    <row r="1270" spans="2:24" hidden="1">
      <c r="B1270" s="59" t="str">
        <f t="shared" si="700"/>
        <v/>
      </c>
      <c r="C1270" s="59" t="str">
        <f t="shared" si="700"/>
        <v/>
      </c>
      <c r="D1270" s="59" t="str">
        <f t="shared" si="700"/>
        <v/>
      </c>
      <c r="E1270" s="59" t="str">
        <f t="shared" si="700"/>
        <v/>
      </c>
      <c r="F1270" s="59"/>
      <c r="G1270" s="59"/>
      <c r="H1270" s="59"/>
      <c r="I1270" s="59"/>
      <c r="J1270" s="59"/>
      <c r="K1270" s="60">
        <f t="shared" ref="K1270:X1270" si="709">IF(AND($D1270="tak",$E1270="prace rozwojowe",Modul_badawczo_rozwojowy=tak),ROUND(K787*K377,0),0)</f>
        <v>0</v>
      </c>
      <c r="L1270" s="60">
        <f t="shared" si="709"/>
        <v>0</v>
      </c>
      <c r="M1270" s="60">
        <f t="shared" si="709"/>
        <v>0</v>
      </c>
      <c r="N1270" s="60">
        <f t="shared" si="709"/>
        <v>0</v>
      </c>
      <c r="O1270" s="60">
        <f t="shared" si="709"/>
        <v>0</v>
      </c>
      <c r="P1270" s="60">
        <f t="shared" si="709"/>
        <v>0</v>
      </c>
      <c r="Q1270" s="60">
        <f t="shared" si="709"/>
        <v>0</v>
      </c>
      <c r="R1270" s="60">
        <f t="shared" si="709"/>
        <v>0</v>
      </c>
      <c r="S1270" s="60">
        <f t="shared" si="709"/>
        <v>0</v>
      </c>
      <c r="T1270" s="60">
        <f t="shared" si="709"/>
        <v>0</v>
      </c>
      <c r="U1270" s="60">
        <f t="shared" si="709"/>
        <v>0</v>
      </c>
      <c r="V1270" s="60">
        <f t="shared" si="709"/>
        <v>0</v>
      </c>
      <c r="W1270" s="60">
        <f t="shared" si="709"/>
        <v>0</v>
      </c>
      <c r="X1270" s="60">
        <f t="shared" si="709"/>
        <v>0</v>
      </c>
    </row>
    <row r="1271" spans="2:24" hidden="1">
      <c r="B1271" s="59" t="str">
        <f t="shared" si="700"/>
        <v/>
      </c>
      <c r="C1271" s="59" t="str">
        <f t="shared" si="700"/>
        <v/>
      </c>
      <c r="D1271" s="59" t="str">
        <f t="shared" si="700"/>
        <v/>
      </c>
      <c r="E1271" s="59" t="str">
        <f t="shared" si="700"/>
        <v/>
      </c>
      <c r="F1271" s="59"/>
      <c r="G1271" s="59"/>
      <c r="H1271" s="59"/>
      <c r="I1271" s="59"/>
      <c r="J1271" s="59"/>
      <c r="K1271" s="60">
        <f t="shared" ref="K1271:X1271" si="710">IF(AND($D1271="tak",$E1271="prace rozwojowe",Modul_badawczo_rozwojowy=tak),ROUND(K788*K378,0),0)</f>
        <v>0</v>
      </c>
      <c r="L1271" s="60">
        <f t="shared" si="710"/>
        <v>0</v>
      </c>
      <c r="M1271" s="60">
        <f t="shared" si="710"/>
        <v>0</v>
      </c>
      <c r="N1271" s="60">
        <f t="shared" si="710"/>
        <v>0</v>
      </c>
      <c r="O1271" s="60">
        <f t="shared" si="710"/>
        <v>0</v>
      </c>
      <c r="P1271" s="60">
        <f t="shared" si="710"/>
        <v>0</v>
      </c>
      <c r="Q1271" s="60">
        <f t="shared" si="710"/>
        <v>0</v>
      </c>
      <c r="R1271" s="60">
        <f t="shared" si="710"/>
        <v>0</v>
      </c>
      <c r="S1271" s="60">
        <f t="shared" si="710"/>
        <v>0</v>
      </c>
      <c r="T1271" s="60">
        <f t="shared" si="710"/>
        <v>0</v>
      </c>
      <c r="U1271" s="60">
        <f t="shared" si="710"/>
        <v>0</v>
      </c>
      <c r="V1271" s="60">
        <f t="shared" si="710"/>
        <v>0</v>
      </c>
      <c r="W1271" s="60">
        <f t="shared" si="710"/>
        <v>0</v>
      </c>
      <c r="X1271" s="60">
        <f t="shared" si="710"/>
        <v>0</v>
      </c>
    </row>
    <row r="1272" spans="2:24" hidden="1">
      <c r="B1272" s="59" t="str">
        <f t="shared" si="700"/>
        <v/>
      </c>
      <c r="C1272" s="59" t="str">
        <f t="shared" si="700"/>
        <v/>
      </c>
      <c r="D1272" s="59" t="str">
        <f t="shared" si="700"/>
        <v/>
      </c>
      <c r="E1272" s="59" t="str">
        <f t="shared" si="700"/>
        <v/>
      </c>
      <c r="F1272" s="59"/>
      <c r="G1272" s="59"/>
      <c r="H1272" s="59"/>
      <c r="I1272" s="59"/>
      <c r="J1272" s="59"/>
      <c r="K1272" s="60">
        <f t="shared" ref="K1272:X1272" si="711">IF(AND($D1272="tak",$E1272="prace rozwojowe",Modul_badawczo_rozwojowy=tak),ROUND(K789*K379,0),0)</f>
        <v>0</v>
      </c>
      <c r="L1272" s="60">
        <f t="shared" si="711"/>
        <v>0</v>
      </c>
      <c r="M1272" s="60">
        <f t="shared" si="711"/>
        <v>0</v>
      </c>
      <c r="N1272" s="60">
        <f t="shared" si="711"/>
        <v>0</v>
      </c>
      <c r="O1272" s="60">
        <f t="shared" si="711"/>
        <v>0</v>
      </c>
      <c r="P1272" s="60">
        <f t="shared" si="711"/>
        <v>0</v>
      </c>
      <c r="Q1272" s="60">
        <f t="shared" si="711"/>
        <v>0</v>
      </c>
      <c r="R1272" s="60">
        <f t="shared" si="711"/>
        <v>0</v>
      </c>
      <c r="S1272" s="60">
        <f t="shared" si="711"/>
        <v>0</v>
      </c>
      <c r="T1272" s="60">
        <f t="shared" si="711"/>
        <v>0</v>
      </c>
      <c r="U1272" s="60">
        <f t="shared" si="711"/>
        <v>0</v>
      </c>
      <c r="V1272" s="60">
        <f t="shared" si="711"/>
        <v>0</v>
      </c>
      <c r="W1272" s="60">
        <f t="shared" si="711"/>
        <v>0</v>
      </c>
      <c r="X1272" s="60">
        <f t="shared" si="711"/>
        <v>0</v>
      </c>
    </row>
    <row r="1273" spans="2:24" hidden="1">
      <c r="B1273" s="59" t="str">
        <f t="shared" si="700"/>
        <v/>
      </c>
      <c r="C1273" s="59" t="str">
        <f t="shared" si="700"/>
        <v/>
      </c>
      <c r="D1273" s="59" t="str">
        <f t="shared" si="700"/>
        <v/>
      </c>
      <c r="E1273" s="59" t="str">
        <f t="shared" si="700"/>
        <v/>
      </c>
      <c r="F1273" s="59"/>
      <c r="G1273" s="59"/>
      <c r="H1273" s="59"/>
      <c r="I1273" s="59"/>
      <c r="J1273" s="59"/>
      <c r="K1273" s="60">
        <f t="shared" ref="K1273:X1273" si="712">IF(AND($D1273="tak",$E1273="prace rozwojowe",Modul_badawczo_rozwojowy=tak),ROUND(K790*K380,0),0)</f>
        <v>0</v>
      </c>
      <c r="L1273" s="60">
        <f t="shared" si="712"/>
        <v>0</v>
      </c>
      <c r="M1273" s="60">
        <f t="shared" si="712"/>
        <v>0</v>
      </c>
      <c r="N1273" s="60">
        <f t="shared" si="712"/>
        <v>0</v>
      </c>
      <c r="O1273" s="60">
        <f t="shared" si="712"/>
        <v>0</v>
      </c>
      <c r="P1273" s="60">
        <f t="shared" si="712"/>
        <v>0</v>
      </c>
      <c r="Q1273" s="60">
        <f t="shared" si="712"/>
        <v>0</v>
      </c>
      <c r="R1273" s="60">
        <f t="shared" si="712"/>
        <v>0</v>
      </c>
      <c r="S1273" s="60">
        <f t="shared" si="712"/>
        <v>0</v>
      </c>
      <c r="T1273" s="60">
        <f t="shared" si="712"/>
        <v>0</v>
      </c>
      <c r="U1273" s="60">
        <f t="shared" si="712"/>
        <v>0</v>
      </c>
      <c r="V1273" s="60">
        <f t="shared" si="712"/>
        <v>0</v>
      </c>
      <c r="W1273" s="60">
        <f t="shared" si="712"/>
        <v>0</v>
      </c>
      <c r="X1273" s="60">
        <f t="shared" si="712"/>
        <v>0</v>
      </c>
    </row>
    <row r="1274" spans="2:24" hidden="1">
      <c r="B1274" s="59" t="str">
        <f t="shared" si="700"/>
        <v/>
      </c>
      <c r="C1274" s="59" t="str">
        <f t="shared" si="700"/>
        <v/>
      </c>
      <c r="D1274" s="59" t="str">
        <f t="shared" si="700"/>
        <v/>
      </c>
      <c r="E1274" s="59" t="str">
        <f t="shared" si="700"/>
        <v/>
      </c>
      <c r="F1274" s="59"/>
      <c r="G1274" s="59"/>
      <c r="H1274" s="59"/>
      <c r="I1274" s="59"/>
      <c r="J1274" s="59"/>
      <c r="K1274" s="60">
        <f t="shared" ref="K1274:X1274" si="713">IF(AND($D1274="tak",$E1274="prace rozwojowe",Modul_badawczo_rozwojowy=tak),ROUND(K791*K381,0),0)</f>
        <v>0</v>
      </c>
      <c r="L1274" s="60">
        <f t="shared" si="713"/>
        <v>0</v>
      </c>
      <c r="M1274" s="60">
        <f t="shared" si="713"/>
        <v>0</v>
      </c>
      <c r="N1274" s="60">
        <f t="shared" si="713"/>
        <v>0</v>
      </c>
      <c r="O1274" s="60">
        <f t="shared" si="713"/>
        <v>0</v>
      </c>
      <c r="P1274" s="60">
        <f t="shared" si="713"/>
        <v>0</v>
      </c>
      <c r="Q1274" s="60">
        <f t="shared" si="713"/>
        <v>0</v>
      </c>
      <c r="R1274" s="60">
        <f t="shared" si="713"/>
        <v>0</v>
      </c>
      <c r="S1274" s="60">
        <f t="shared" si="713"/>
        <v>0</v>
      </c>
      <c r="T1274" s="60">
        <f t="shared" si="713"/>
        <v>0</v>
      </c>
      <c r="U1274" s="60">
        <f t="shared" si="713"/>
        <v>0</v>
      </c>
      <c r="V1274" s="60">
        <f t="shared" si="713"/>
        <v>0</v>
      </c>
      <c r="W1274" s="60">
        <f t="shared" si="713"/>
        <v>0</v>
      </c>
      <c r="X1274" s="60">
        <f t="shared" si="713"/>
        <v>0</v>
      </c>
    </row>
    <row r="1275" spans="2:24" hidden="1">
      <c r="B1275" s="59" t="str">
        <f t="shared" si="700"/>
        <v/>
      </c>
      <c r="C1275" s="59" t="str">
        <f t="shared" si="700"/>
        <v/>
      </c>
      <c r="D1275" s="59" t="str">
        <f t="shared" si="700"/>
        <v/>
      </c>
      <c r="E1275" s="59" t="str">
        <f t="shared" si="700"/>
        <v/>
      </c>
      <c r="F1275" s="59"/>
      <c r="G1275" s="59"/>
      <c r="H1275" s="59"/>
      <c r="I1275" s="59"/>
      <c r="J1275" s="59"/>
      <c r="K1275" s="60">
        <f t="shared" ref="K1275:X1275" si="714">IF(AND($D1275="tak",$E1275="prace rozwojowe",Modul_badawczo_rozwojowy=tak),ROUND(K792*K382,0),0)</f>
        <v>0</v>
      </c>
      <c r="L1275" s="60">
        <f t="shared" si="714"/>
        <v>0</v>
      </c>
      <c r="M1275" s="60">
        <f t="shared" si="714"/>
        <v>0</v>
      </c>
      <c r="N1275" s="60">
        <f t="shared" si="714"/>
        <v>0</v>
      </c>
      <c r="O1275" s="60">
        <f t="shared" si="714"/>
        <v>0</v>
      </c>
      <c r="P1275" s="60">
        <f t="shared" si="714"/>
        <v>0</v>
      </c>
      <c r="Q1275" s="60">
        <f t="shared" si="714"/>
        <v>0</v>
      </c>
      <c r="R1275" s="60">
        <f t="shared" si="714"/>
        <v>0</v>
      </c>
      <c r="S1275" s="60">
        <f t="shared" si="714"/>
        <v>0</v>
      </c>
      <c r="T1275" s="60">
        <f t="shared" si="714"/>
        <v>0</v>
      </c>
      <c r="U1275" s="60">
        <f t="shared" si="714"/>
        <v>0</v>
      </c>
      <c r="V1275" s="60">
        <f t="shared" si="714"/>
        <v>0</v>
      </c>
      <c r="W1275" s="60">
        <f t="shared" si="714"/>
        <v>0</v>
      </c>
      <c r="X1275" s="60">
        <f t="shared" si="714"/>
        <v>0</v>
      </c>
    </row>
    <row r="1276" spans="2:24" hidden="1">
      <c r="B1276" s="59" t="str">
        <f t="shared" si="700"/>
        <v/>
      </c>
      <c r="C1276" s="59" t="str">
        <f t="shared" si="700"/>
        <v/>
      </c>
      <c r="D1276" s="59" t="str">
        <f t="shared" si="700"/>
        <v/>
      </c>
      <c r="E1276" s="59" t="str">
        <f t="shared" si="700"/>
        <v/>
      </c>
      <c r="F1276" s="59"/>
      <c r="G1276" s="59"/>
      <c r="H1276" s="59"/>
      <c r="I1276" s="59"/>
      <c r="J1276" s="59"/>
      <c r="K1276" s="60">
        <f t="shared" ref="K1276:X1276" si="715">IF(AND($D1276="tak",$E1276="prace rozwojowe",Modul_badawczo_rozwojowy=tak),ROUND(K793*K383,0),0)</f>
        <v>0</v>
      </c>
      <c r="L1276" s="60">
        <f t="shared" si="715"/>
        <v>0</v>
      </c>
      <c r="M1276" s="60">
        <f t="shared" si="715"/>
        <v>0</v>
      </c>
      <c r="N1276" s="60">
        <f t="shared" si="715"/>
        <v>0</v>
      </c>
      <c r="O1276" s="60">
        <f t="shared" si="715"/>
        <v>0</v>
      </c>
      <c r="P1276" s="60">
        <f t="shared" si="715"/>
        <v>0</v>
      </c>
      <c r="Q1276" s="60">
        <f t="shared" si="715"/>
        <v>0</v>
      </c>
      <c r="R1276" s="60">
        <f t="shared" si="715"/>
        <v>0</v>
      </c>
      <c r="S1276" s="60">
        <f t="shared" si="715"/>
        <v>0</v>
      </c>
      <c r="T1276" s="60">
        <f t="shared" si="715"/>
        <v>0</v>
      </c>
      <c r="U1276" s="60">
        <f t="shared" si="715"/>
        <v>0</v>
      </c>
      <c r="V1276" s="60">
        <f t="shared" si="715"/>
        <v>0</v>
      </c>
      <c r="W1276" s="60">
        <f t="shared" si="715"/>
        <v>0</v>
      </c>
      <c r="X1276" s="60">
        <f t="shared" si="715"/>
        <v>0</v>
      </c>
    </row>
    <row r="1277" spans="2:24" hidden="1">
      <c r="B1277" s="59" t="str">
        <f t="shared" si="700"/>
        <v/>
      </c>
      <c r="C1277" s="59" t="str">
        <f t="shared" si="700"/>
        <v/>
      </c>
      <c r="D1277" s="59" t="str">
        <f t="shared" si="700"/>
        <v/>
      </c>
      <c r="E1277" s="59" t="str">
        <f t="shared" si="700"/>
        <v/>
      </c>
      <c r="F1277" s="59"/>
      <c r="G1277" s="59"/>
      <c r="H1277" s="59"/>
      <c r="I1277" s="59"/>
      <c r="J1277" s="59"/>
      <c r="K1277" s="60">
        <f t="shared" ref="K1277:X1277" si="716">IF(AND($D1277="tak",$E1277="prace rozwojowe",Modul_badawczo_rozwojowy=tak),ROUND(K794*K384,0),0)</f>
        <v>0</v>
      </c>
      <c r="L1277" s="60">
        <f t="shared" si="716"/>
        <v>0</v>
      </c>
      <c r="M1277" s="60">
        <f t="shared" si="716"/>
        <v>0</v>
      </c>
      <c r="N1277" s="60">
        <f t="shared" si="716"/>
        <v>0</v>
      </c>
      <c r="O1277" s="60">
        <f t="shared" si="716"/>
        <v>0</v>
      </c>
      <c r="P1277" s="60">
        <f t="shared" si="716"/>
        <v>0</v>
      </c>
      <c r="Q1277" s="60">
        <f t="shared" si="716"/>
        <v>0</v>
      </c>
      <c r="R1277" s="60">
        <f t="shared" si="716"/>
        <v>0</v>
      </c>
      <c r="S1277" s="60">
        <f t="shared" si="716"/>
        <v>0</v>
      </c>
      <c r="T1277" s="60">
        <f t="shared" si="716"/>
        <v>0</v>
      </c>
      <c r="U1277" s="60">
        <f t="shared" si="716"/>
        <v>0</v>
      </c>
      <c r="V1277" s="60">
        <f t="shared" si="716"/>
        <v>0</v>
      </c>
      <c r="W1277" s="60">
        <f t="shared" si="716"/>
        <v>0</v>
      </c>
      <c r="X1277" s="60">
        <f t="shared" si="716"/>
        <v>0</v>
      </c>
    </row>
    <row r="1278" spans="2:24" hidden="1">
      <c r="B1278" s="59" t="str">
        <f t="shared" si="700"/>
        <v/>
      </c>
      <c r="C1278" s="59" t="str">
        <f t="shared" si="700"/>
        <v/>
      </c>
      <c r="D1278" s="59" t="str">
        <f t="shared" si="700"/>
        <v/>
      </c>
      <c r="E1278" s="59" t="str">
        <f t="shared" si="700"/>
        <v/>
      </c>
      <c r="F1278" s="59"/>
      <c r="G1278" s="59"/>
      <c r="H1278" s="59"/>
      <c r="I1278" s="59"/>
      <c r="J1278" s="59"/>
      <c r="K1278" s="60">
        <f t="shared" ref="K1278:X1278" si="717">IF(AND($D1278="tak",$E1278="prace rozwojowe",Modul_badawczo_rozwojowy=tak),ROUND(K795*K385,0),0)</f>
        <v>0</v>
      </c>
      <c r="L1278" s="60">
        <f t="shared" si="717"/>
        <v>0</v>
      </c>
      <c r="M1278" s="60">
        <f t="shared" si="717"/>
        <v>0</v>
      </c>
      <c r="N1278" s="60">
        <f t="shared" si="717"/>
        <v>0</v>
      </c>
      <c r="O1278" s="60">
        <f t="shared" si="717"/>
        <v>0</v>
      </c>
      <c r="P1278" s="60">
        <f t="shared" si="717"/>
        <v>0</v>
      </c>
      <c r="Q1278" s="60">
        <f t="shared" si="717"/>
        <v>0</v>
      </c>
      <c r="R1278" s="60">
        <f t="shared" si="717"/>
        <v>0</v>
      </c>
      <c r="S1278" s="60">
        <f t="shared" si="717"/>
        <v>0</v>
      </c>
      <c r="T1278" s="60">
        <f t="shared" si="717"/>
        <v>0</v>
      </c>
      <c r="U1278" s="60">
        <f t="shared" si="717"/>
        <v>0</v>
      </c>
      <c r="V1278" s="60">
        <f t="shared" si="717"/>
        <v>0</v>
      </c>
      <c r="W1278" s="60">
        <f t="shared" si="717"/>
        <v>0</v>
      </c>
      <c r="X1278" s="60">
        <f t="shared" si="717"/>
        <v>0</v>
      </c>
    </row>
    <row r="1279" spans="2:24" hidden="1">
      <c r="B1279" s="59" t="str">
        <f t="shared" si="700"/>
        <v/>
      </c>
      <c r="C1279" s="59" t="str">
        <f t="shared" si="700"/>
        <v/>
      </c>
      <c r="D1279" s="59" t="str">
        <f t="shared" si="700"/>
        <v/>
      </c>
      <c r="E1279" s="59" t="str">
        <f t="shared" si="700"/>
        <v/>
      </c>
      <c r="F1279" s="59"/>
      <c r="G1279" s="59"/>
      <c r="H1279" s="59"/>
      <c r="I1279" s="59"/>
      <c r="J1279" s="59"/>
      <c r="K1279" s="60">
        <f t="shared" ref="K1279:X1279" si="718">IF(AND($D1279="tak",$E1279="prace rozwojowe",Modul_badawczo_rozwojowy=tak),ROUND(K796*K386,0),0)</f>
        <v>0</v>
      </c>
      <c r="L1279" s="60">
        <f t="shared" si="718"/>
        <v>0</v>
      </c>
      <c r="M1279" s="60">
        <f t="shared" si="718"/>
        <v>0</v>
      </c>
      <c r="N1279" s="60">
        <f t="shared" si="718"/>
        <v>0</v>
      </c>
      <c r="O1279" s="60">
        <f t="shared" si="718"/>
        <v>0</v>
      </c>
      <c r="P1279" s="60">
        <f t="shared" si="718"/>
        <v>0</v>
      </c>
      <c r="Q1279" s="60">
        <f t="shared" si="718"/>
        <v>0</v>
      </c>
      <c r="R1279" s="60">
        <f t="shared" si="718"/>
        <v>0</v>
      </c>
      <c r="S1279" s="60">
        <f t="shared" si="718"/>
        <v>0</v>
      </c>
      <c r="T1279" s="60">
        <f t="shared" si="718"/>
        <v>0</v>
      </c>
      <c r="U1279" s="60">
        <f t="shared" si="718"/>
        <v>0</v>
      </c>
      <c r="V1279" s="60">
        <f t="shared" si="718"/>
        <v>0</v>
      </c>
      <c r="W1279" s="60">
        <f t="shared" si="718"/>
        <v>0</v>
      </c>
      <c r="X1279" s="60">
        <f t="shared" si="718"/>
        <v>0</v>
      </c>
    </row>
    <row r="1280" spans="2:24" hidden="1">
      <c r="B1280" s="59" t="str">
        <f t="shared" si="700"/>
        <v/>
      </c>
      <c r="C1280" s="59" t="str">
        <f t="shared" si="700"/>
        <v/>
      </c>
      <c r="D1280" s="59" t="str">
        <f t="shared" si="700"/>
        <v/>
      </c>
      <c r="E1280" s="59" t="str">
        <f t="shared" si="700"/>
        <v/>
      </c>
      <c r="F1280" s="59"/>
      <c r="G1280" s="59"/>
      <c r="H1280" s="59"/>
      <c r="I1280" s="59"/>
      <c r="J1280" s="59"/>
      <c r="K1280" s="60">
        <f t="shared" ref="K1280:X1280" si="719">IF(AND($D1280="tak",$E1280="prace rozwojowe",Modul_badawczo_rozwojowy=tak),ROUND(K797*K387,0),0)</f>
        <v>0</v>
      </c>
      <c r="L1280" s="60">
        <f t="shared" si="719"/>
        <v>0</v>
      </c>
      <c r="M1280" s="60">
        <f t="shared" si="719"/>
        <v>0</v>
      </c>
      <c r="N1280" s="60">
        <f t="shared" si="719"/>
        <v>0</v>
      </c>
      <c r="O1280" s="60">
        <f t="shared" si="719"/>
        <v>0</v>
      </c>
      <c r="P1280" s="60">
        <f t="shared" si="719"/>
        <v>0</v>
      </c>
      <c r="Q1280" s="60">
        <f t="shared" si="719"/>
        <v>0</v>
      </c>
      <c r="R1280" s="60">
        <f t="shared" si="719"/>
        <v>0</v>
      </c>
      <c r="S1280" s="60">
        <f t="shared" si="719"/>
        <v>0</v>
      </c>
      <c r="T1280" s="60">
        <f t="shared" si="719"/>
        <v>0</v>
      </c>
      <c r="U1280" s="60">
        <f t="shared" si="719"/>
        <v>0</v>
      </c>
      <c r="V1280" s="60">
        <f t="shared" si="719"/>
        <v>0</v>
      </c>
      <c r="W1280" s="60">
        <f t="shared" si="719"/>
        <v>0</v>
      </c>
      <c r="X1280" s="60">
        <f t="shared" si="719"/>
        <v>0</v>
      </c>
    </row>
    <row r="1281" spans="2:24" hidden="1">
      <c r="B1281" s="59" t="str">
        <f t="shared" si="700"/>
        <v/>
      </c>
      <c r="C1281" s="59" t="str">
        <f t="shared" si="700"/>
        <v/>
      </c>
      <c r="D1281" s="59" t="str">
        <f t="shared" si="700"/>
        <v/>
      </c>
      <c r="E1281" s="59" t="str">
        <f t="shared" si="700"/>
        <v/>
      </c>
      <c r="F1281" s="59"/>
      <c r="G1281" s="59"/>
      <c r="H1281" s="59"/>
      <c r="I1281" s="59"/>
      <c r="J1281" s="59"/>
      <c r="K1281" s="60">
        <f t="shared" ref="K1281:X1281" si="720">IF(AND($D1281="tak",$E1281="prace rozwojowe",Modul_badawczo_rozwojowy=tak),ROUND(K798*K388,0),0)</f>
        <v>0</v>
      </c>
      <c r="L1281" s="60">
        <f t="shared" si="720"/>
        <v>0</v>
      </c>
      <c r="M1281" s="60">
        <f t="shared" si="720"/>
        <v>0</v>
      </c>
      <c r="N1281" s="60">
        <f t="shared" si="720"/>
        <v>0</v>
      </c>
      <c r="O1281" s="60">
        <f t="shared" si="720"/>
        <v>0</v>
      </c>
      <c r="P1281" s="60">
        <f t="shared" si="720"/>
        <v>0</v>
      </c>
      <c r="Q1281" s="60">
        <f t="shared" si="720"/>
        <v>0</v>
      </c>
      <c r="R1281" s="60">
        <f t="shared" si="720"/>
        <v>0</v>
      </c>
      <c r="S1281" s="60">
        <f t="shared" si="720"/>
        <v>0</v>
      </c>
      <c r="T1281" s="60">
        <f t="shared" si="720"/>
        <v>0</v>
      </c>
      <c r="U1281" s="60">
        <f t="shared" si="720"/>
        <v>0</v>
      </c>
      <c r="V1281" s="60">
        <f t="shared" si="720"/>
        <v>0</v>
      </c>
      <c r="W1281" s="60">
        <f t="shared" si="720"/>
        <v>0</v>
      </c>
      <c r="X1281" s="60">
        <f t="shared" si="720"/>
        <v>0</v>
      </c>
    </row>
    <row r="1282" spans="2:24" hidden="1">
      <c r="B1282" s="20" t="s">
        <v>319</v>
      </c>
      <c r="C1282" s="20"/>
      <c r="D1282" s="80"/>
      <c r="E1282" s="21"/>
      <c r="F1282" s="21"/>
      <c r="G1282" s="21"/>
      <c r="H1282" s="21"/>
      <c r="I1282" s="21"/>
      <c r="J1282" s="21"/>
      <c r="K1282" s="61">
        <f t="shared" ref="K1282:X1282" si="721">ROUND(SUM(K1242:K1281),0)</f>
        <v>0</v>
      </c>
      <c r="L1282" s="61">
        <f t="shared" si="721"/>
        <v>0</v>
      </c>
      <c r="M1282" s="61">
        <f t="shared" si="721"/>
        <v>0</v>
      </c>
      <c r="N1282" s="61">
        <f t="shared" si="721"/>
        <v>0</v>
      </c>
      <c r="O1282" s="61">
        <f t="shared" si="721"/>
        <v>0</v>
      </c>
      <c r="P1282" s="61">
        <f t="shared" si="721"/>
        <v>0</v>
      </c>
      <c r="Q1282" s="61">
        <f t="shared" si="721"/>
        <v>0</v>
      </c>
      <c r="R1282" s="61">
        <f t="shared" si="721"/>
        <v>0</v>
      </c>
      <c r="S1282" s="61">
        <f t="shared" si="721"/>
        <v>0</v>
      </c>
      <c r="T1282" s="61">
        <f t="shared" si="721"/>
        <v>0</v>
      </c>
      <c r="U1282" s="61">
        <f t="shared" si="721"/>
        <v>0</v>
      </c>
      <c r="V1282" s="61">
        <f t="shared" si="721"/>
        <v>0</v>
      </c>
      <c r="W1282" s="61">
        <f t="shared" si="721"/>
        <v>0</v>
      </c>
      <c r="X1282" s="61">
        <f t="shared" si="721"/>
        <v>0</v>
      </c>
    </row>
    <row r="1283" spans="2:24" hidden="1">
      <c r="B1283" s="21"/>
      <c r="C1283" s="21"/>
      <c r="D1283" s="80"/>
      <c r="E1283" s="21"/>
      <c r="F1283" s="21"/>
      <c r="G1283" s="21"/>
      <c r="H1283" s="21"/>
      <c r="I1283" s="21"/>
      <c r="J1283" s="21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</row>
    <row r="1284" spans="2:24" hidden="1">
      <c r="B1284" s="21"/>
      <c r="C1284" s="21"/>
      <c r="D1284" s="80"/>
      <c r="E1284" s="21"/>
      <c r="F1284" s="21"/>
      <c r="G1284" s="21"/>
      <c r="H1284" s="21"/>
      <c r="I1284" s="21"/>
      <c r="J1284" s="21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</row>
    <row r="1285" spans="2:24" hidden="1">
      <c r="B1285" s="20" t="s">
        <v>320</v>
      </c>
      <c r="C1285" s="20"/>
      <c r="D1285" s="80"/>
      <c r="E1285" s="21"/>
      <c r="F1285" s="21"/>
      <c r="G1285" s="21"/>
      <c r="H1285" s="21"/>
      <c r="I1285" s="21"/>
      <c r="J1285" s="21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</row>
    <row r="1286" spans="2:24" hidden="1">
      <c r="B1286" s="20" t="s">
        <v>321</v>
      </c>
      <c r="C1286" s="20"/>
      <c r="D1286" s="82" t="s">
        <v>336</v>
      </c>
      <c r="E1286" s="20" t="s">
        <v>337</v>
      </c>
      <c r="F1286" s="21"/>
      <c r="G1286" s="21"/>
      <c r="H1286" s="21"/>
      <c r="I1286" s="21"/>
      <c r="J1286" s="21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</row>
    <row r="1287" spans="2:24" hidden="1">
      <c r="B1287" s="59" t="str">
        <f t="shared" ref="B1287:E1306" si="722">IF(ISBLANK(B804),"",B804)</f>
        <v/>
      </c>
      <c r="C1287" s="59" t="str">
        <f t="shared" si="722"/>
        <v/>
      </c>
      <c r="D1287" s="59" t="str">
        <f t="shared" si="722"/>
        <v/>
      </c>
      <c r="E1287" s="59" t="str">
        <f t="shared" si="722"/>
        <v/>
      </c>
      <c r="F1287" s="59"/>
      <c r="G1287" s="59"/>
      <c r="H1287" s="59"/>
      <c r="I1287" s="59"/>
      <c r="J1287" s="59"/>
      <c r="K1287" s="60">
        <f t="shared" ref="K1287:X1287" si="723">IF(AND($D1287="tak",$E1287="prace rozwojowe",Modul_badawczo_rozwojowy=tak),ROUND(K804*K478,0),0)</f>
        <v>0</v>
      </c>
      <c r="L1287" s="60">
        <f t="shared" si="723"/>
        <v>0</v>
      </c>
      <c r="M1287" s="60">
        <f t="shared" si="723"/>
        <v>0</v>
      </c>
      <c r="N1287" s="60">
        <f t="shared" si="723"/>
        <v>0</v>
      </c>
      <c r="O1287" s="60">
        <f t="shared" si="723"/>
        <v>0</v>
      </c>
      <c r="P1287" s="60">
        <f t="shared" si="723"/>
        <v>0</v>
      </c>
      <c r="Q1287" s="60">
        <f t="shared" si="723"/>
        <v>0</v>
      </c>
      <c r="R1287" s="60">
        <f t="shared" si="723"/>
        <v>0</v>
      </c>
      <c r="S1287" s="60">
        <f t="shared" si="723"/>
        <v>0</v>
      </c>
      <c r="T1287" s="60">
        <f t="shared" si="723"/>
        <v>0</v>
      </c>
      <c r="U1287" s="60">
        <f t="shared" si="723"/>
        <v>0</v>
      </c>
      <c r="V1287" s="60">
        <f t="shared" si="723"/>
        <v>0</v>
      </c>
      <c r="W1287" s="60">
        <f t="shared" si="723"/>
        <v>0</v>
      </c>
      <c r="X1287" s="60">
        <f t="shared" si="723"/>
        <v>0</v>
      </c>
    </row>
    <row r="1288" spans="2:24" hidden="1">
      <c r="B1288" s="59" t="str">
        <f t="shared" si="722"/>
        <v/>
      </c>
      <c r="C1288" s="59" t="str">
        <f t="shared" si="722"/>
        <v/>
      </c>
      <c r="D1288" s="59" t="str">
        <f t="shared" si="722"/>
        <v/>
      </c>
      <c r="E1288" s="59" t="str">
        <f t="shared" si="722"/>
        <v/>
      </c>
      <c r="F1288" s="59"/>
      <c r="G1288" s="59"/>
      <c r="H1288" s="59"/>
      <c r="I1288" s="59"/>
      <c r="J1288" s="59"/>
      <c r="K1288" s="60">
        <f t="shared" ref="K1288:X1288" si="724">IF(AND($D1288="tak",$E1288="prace rozwojowe",Modul_badawczo_rozwojowy=tak),ROUND(K805*K479,0),0)</f>
        <v>0</v>
      </c>
      <c r="L1288" s="60">
        <f t="shared" si="724"/>
        <v>0</v>
      </c>
      <c r="M1288" s="60">
        <f t="shared" si="724"/>
        <v>0</v>
      </c>
      <c r="N1288" s="60">
        <f t="shared" si="724"/>
        <v>0</v>
      </c>
      <c r="O1288" s="60">
        <f t="shared" si="724"/>
        <v>0</v>
      </c>
      <c r="P1288" s="60">
        <f t="shared" si="724"/>
        <v>0</v>
      </c>
      <c r="Q1288" s="60">
        <f t="shared" si="724"/>
        <v>0</v>
      </c>
      <c r="R1288" s="60">
        <f t="shared" si="724"/>
        <v>0</v>
      </c>
      <c r="S1288" s="60">
        <f t="shared" si="724"/>
        <v>0</v>
      </c>
      <c r="T1288" s="60">
        <f t="shared" si="724"/>
        <v>0</v>
      </c>
      <c r="U1288" s="60">
        <f t="shared" si="724"/>
        <v>0</v>
      </c>
      <c r="V1288" s="60">
        <f t="shared" si="724"/>
        <v>0</v>
      </c>
      <c r="W1288" s="60">
        <f t="shared" si="724"/>
        <v>0</v>
      </c>
      <c r="X1288" s="60">
        <f t="shared" si="724"/>
        <v>0</v>
      </c>
    </row>
    <row r="1289" spans="2:24" hidden="1">
      <c r="B1289" s="59" t="str">
        <f t="shared" si="722"/>
        <v/>
      </c>
      <c r="C1289" s="59" t="str">
        <f t="shared" si="722"/>
        <v/>
      </c>
      <c r="D1289" s="59" t="str">
        <f t="shared" si="722"/>
        <v/>
      </c>
      <c r="E1289" s="59" t="str">
        <f t="shared" si="722"/>
        <v/>
      </c>
      <c r="F1289" s="59"/>
      <c r="G1289" s="59"/>
      <c r="H1289" s="59"/>
      <c r="I1289" s="59"/>
      <c r="J1289" s="59"/>
      <c r="K1289" s="60">
        <f t="shared" ref="K1289:X1289" si="725">IF(AND($D1289="tak",$E1289="prace rozwojowe",Modul_badawczo_rozwojowy=tak),ROUND(K806*K480,0),0)</f>
        <v>0</v>
      </c>
      <c r="L1289" s="60">
        <f t="shared" si="725"/>
        <v>0</v>
      </c>
      <c r="M1289" s="60">
        <f t="shared" si="725"/>
        <v>0</v>
      </c>
      <c r="N1289" s="60">
        <f t="shared" si="725"/>
        <v>0</v>
      </c>
      <c r="O1289" s="60">
        <f t="shared" si="725"/>
        <v>0</v>
      </c>
      <c r="P1289" s="60">
        <f t="shared" si="725"/>
        <v>0</v>
      </c>
      <c r="Q1289" s="60">
        <f t="shared" si="725"/>
        <v>0</v>
      </c>
      <c r="R1289" s="60">
        <f t="shared" si="725"/>
        <v>0</v>
      </c>
      <c r="S1289" s="60">
        <f t="shared" si="725"/>
        <v>0</v>
      </c>
      <c r="T1289" s="60">
        <f t="shared" si="725"/>
        <v>0</v>
      </c>
      <c r="U1289" s="60">
        <f t="shared" si="725"/>
        <v>0</v>
      </c>
      <c r="V1289" s="60">
        <f t="shared" si="725"/>
        <v>0</v>
      </c>
      <c r="W1289" s="60">
        <f t="shared" si="725"/>
        <v>0</v>
      </c>
      <c r="X1289" s="60">
        <f t="shared" si="725"/>
        <v>0</v>
      </c>
    </row>
    <row r="1290" spans="2:24" hidden="1">
      <c r="B1290" s="59" t="str">
        <f t="shared" si="722"/>
        <v/>
      </c>
      <c r="C1290" s="59" t="str">
        <f t="shared" si="722"/>
        <v/>
      </c>
      <c r="D1290" s="59" t="str">
        <f t="shared" si="722"/>
        <v/>
      </c>
      <c r="E1290" s="59" t="str">
        <f t="shared" si="722"/>
        <v/>
      </c>
      <c r="F1290" s="59"/>
      <c r="G1290" s="59"/>
      <c r="H1290" s="59"/>
      <c r="I1290" s="59"/>
      <c r="J1290" s="59"/>
      <c r="K1290" s="60">
        <f t="shared" ref="K1290:X1290" si="726">IF(AND($D1290="tak",$E1290="prace rozwojowe",Modul_badawczo_rozwojowy=tak),ROUND(K807*K481,0),0)</f>
        <v>0</v>
      </c>
      <c r="L1290" s="60">
        <f t="shared" si="726"/>
        <v>0</v>
      </c>
      <c r="M1290" s="60">
        <f t="shared" si="726"/>
        <v>0</v>
      </c>
      <c r="N1290" s="60">
        <f t="shared" si="726"/>
        <v>0</v>
      </c>
      <c r="O1290" s="60">
        <f t="shared" si="726"/>
        <v>0</v>
      </c>
      <c r="P1290" s="60">
        <f t="shared" si="726"/>
        <v>0</v>
      </c>
      <c r="Q1290" s="60">
        <f t="shared" si="726"/>
        <v>0</v>
      </c>
      <c r="R1290" s="60">
        <f t="shared" si="726"/>
        <v>0</v>
      </c>
      <c r="S1290" s="60">
        <f t="shared" si="726"/>
        <v>0</v>
      </c>
      <c r="T1290" s="60">
        <f t="shared" si="726"/>
        <v>0</v>
      </c>
      <c r="U1290" s="60">
        <f t="shared" si="726"/>
        <v>0</v>
      </c>
      <c r="V1290" s="60">
        <f t="shared" si="726"/>
        <v>0</v>
      </c>
      <c r="W1290" s="60">
        <f t="shared" si="726"/>
        <v>0</v>
      </c>
      <c r="X1290" s="60">
        <f t="shared" si="726"/>
        <v>0</v>
      </c>
    </row>
    <row r="1291" spans="2:24" hidden="1">
      <c r="B1291" s="59" t="str">
        <f t="shared" si="722"/>
        <v/>
      </c>
      <c r="C1291" s="59" t="str">
        <f t="shared" si="722"/>
        <v/>
      </c>
      <c r="D1291" s="59" t="str">
        <f t="shared" si="722"/>
        <v/>
      </c>
      <c r="E1291" s="59" t="str">
        <f t="shared" si="722"/>
        <v/>
      </c>
      <c r="F1291" s="59"/>
      <c r="G1291" s="59"/>
      <c r="H1291" s="59"/>
      <c r="I1291" s="59"/>
      <c r="J1291" s="59"/>
      <c r="K1291" s="60">
        <f t="shared" ref="K1291:X1291" si="727">IF(AND($D1291="tak",$E1291="prace rozwojowe",Modul_badawczo_rozwojowy=tak),ROUND(K808*K482,0),0)</f>
        <v>0</v>
      </c>
      <c r="L1291" s="60">
        <f t="shared" si="727"/>
        <v>0</v>
      </c>
      <c r="M1291" s="60">
        <f t="shared" si="727"/>
        <v>0</v>
      </c>
      <c r="N1291" s="60">
        <f t="shared" si="727"/>
        <v>0</v>
      </c>
      <c r="O1291" s="60">
        <f t="shared" si="727"/>
        <v>0</v>
      </c>
      <c r="P1291" s="60">
        <f t="shared" si="727"/>
        <v>0</v>
      </c>
      <c r="Q1291" s="60">
        <f t="shared" si="727"/>
        <v>0</v>
      </c>
      <c r="R1291" s="60">
        <f t="shared" si="727"/>
        <v>0</v>
      </c>
      <c r="S1291" s="60">
        <f t="shared" si="727"/>
        <v>0</v>
      </c>
      <c r="T1291" s="60">
        <f t="shared" si="727"/>
        <v>0</v>
      </c>
      <c r="U1291" s="60">
        <f t="shared" si="727"/>
        <v>0</v>
      </c>
      <c r="V1291" s="60">
        <f t="shared" si="727"/>
        <v>0</v>
      </c>
      <c r="W1291" s="60">
        <f t="shared" si="727"/>
        <v>0</v>
      </c>
      <c r="X1291" s="60">
        <f t="shared" si="727"/>
        <v>0</v>
      </c>
    </row>
    <row r="1292" spans="2:24" hidden="1">
      <c r="B1292" s="59" t="str">
        <f t="shared" si="722"/>
        <v/>
      </c>
      <c r="C1292" s="59" t="str">
        <f t="shared" si="722"/>
        <v/>
      </c>
      <c r="D1292" s="59" t="str">
        <f t="shared" si="722"/>
        <v/>
      </c>
      <c r="E1292" s="59" t="str">
        <f t="shared" si="722"/>
        <v/>
      </c>
      <c r="F1292" s="59"/>
      <c r="G1292" s="59"/>
      <c r="H1292" s="59"/>
      <c r="I1292" s="59"/>
      <c r="J1292" s="59"/>
      <c r="K1292" s="60">
        <f t="shared" ref="K1292:X1292" si="728">IF(AND($D1292="tak",$E1292="prace rozwojowe",Modul_badawczo_rozwojowy=tak),ROUND(K809*K483,0),0)</f>
        <v>0</v>
      </c>
      <c r="L1292" s="60">
        <f t="shared" si="728"/>
        <v>0</v>
      </c>
      <c r="M1292" s="60">
        <f t="shared" si="728"/>
        <v>0</v>
      </c>
      <c r="N1292" s="60">
        <f t="shared" si="728"/>
        <v>0</v>
      </c>
      <c r="O1292" s="60">
        <f t="shared" si="728"/>
        <v>0</v>
      </c>
      <c r="P1292" s="60">
        <f t="shared" si="728"/>
        <v>0</v>
      </c>
      <c r="Q1292" s="60">
        <f t="shared" si="728"/>
        <v>0</v>
      </c>
      <c r="R1292" s="60">
        <f t="shared" si="728"/>
        <v>0</v>
      </c>
      <c r="S1292" s="60">
        <f t="shared" si="728"/>
        <v>0</v>
      </c>
      <c r="T1292" s="60">
        <f t="shared" si="728"/>
        <v>0</v>
      </c>
      <c r="U1292" s="60">
        <f t="shared" si="728"/>
        <v>0</v>
      </c>
      <c r="V1292" s="60">
        <f t="shared" si="728"/>
        <v>0</v>
      </c>
      <c r="W1292" s="60">
        <f t="shared" si="728"/>
        <v>0</v>
      </c>
      <c r="X1292" s="60">
        <f t="shared" si="728"/>
        <v>0</v>
      </c>
    </row>
    <row r="1293" spans="2:24" hidden="1">
      <c r="B1293" s="59" t="str">
        <f t="shared" si="722"/>
        <v/>
      </c>
      <c r="C1293" s="59" t="str">
        <f t="shared" si="722"/>
        <v/>
      </c>
      <c r="D1293" s="59" t="str">
        <f t="shared" si="722"/>
        <v/>
      </c>
      <c r="E1293" s="59" t="str">
        <f t="shared" si="722"/>
        <v/>
      </c>
      <c r="F1293" s="59"/>
      <c r="G1293" s="59"/>
      <c r="H1293" s="59"/>
      <c r="I1293" s="59"/>
      <c r="J1293" s="59"/>
      <c r="K1293" s="60">
        <f t="shared" ref="K1293:X1293" si="729">IF(AND($D1293="tak",$E1293="prace rozwojowe",Modul_badawczo_rozwojowy=tak),ROUND(K810*K484,0),0)</f>
        <v>0</v>
      </c>
      <c r="L1293" s="60">
        <f t="shared" si="729"/>
        <v>0</v>
      </c>
      <c r="M1293" s="60">
        <f t="shared" si="729"/>
        <v>0</v>
      </c>
      <c r="N1293" s="60">
        <f t="shared" si="729"/>
        <v>0</v>
      </c>
      <c r="O1293" s="60">
        <f t="shared" si="729"/>
        <v>0</v>
      </c>
      <c r="P1293" s="60">
        <f t="shared" si="729"/>
        <v>0</v>
      </c>
      <c r="Q1293" s="60">
        <f t="shared" si="729"/>
        <v>0</v>
      </c>
      <c r="R1293" s="60">
        <f t="shared" si="729"/>
        <v>0</v>
      </c>
      <c r="S1293" s="60">
        <f t="shared" si="729"/>
        <v>0</v>
      </c>
      <c r="T1293" s="60">
        <f t="shared" si="729"/>
        <v>0</v>
      </c>
      <c r="U1293" s="60">
        <f t="shared" si="729"/>
        <v>0</v>
      </c>
      <c r="V1293" s="60">
        <f t="shared" si="729"/>
        <v>0</v>
      </c>
      <c r="W1293" s="60">
        <f t="shared" si="729"/>
        <v>0</v>
      </c>
      <c r="X1293" s="60">
        <f t="shared" si="729"/>
        <v>0</v>
      </c>
    </row>
    <row r="1294" spans="2:24" hidden="1">
      <c r="B1294" s="59" t="str">
        <f t="shared" si="722"/>
        <v/>
      </c>
      <c r="C1294" s="59" t="str">
        <f t="shared" si="722"/>
        <v/>
      </c>
      <c r="D1294" s="59" t="str">
        <f t="shared" si="722"/>
        <v/>
      </c>
      <c r="E1294" s="59" t="str">
        <f t="shared" si="722"/>
        <v/>
      </c>
      <c r="F1294" s="59"/>
      <c r="G1294" s="59"/>
      <c r="H1294" s="59"/>
      <c r="I1294" s="59"/>
      <c r="J1294" s="59"/>
      <c r="K1294" s="60">
        <f t="shared" ref="K1294:X1294" si="730">IF(AND($D1294="tak",$E1294="prace rozwojowe",Modul_badawczo_rozwojowy=tak),ROUND(K811*K485,0),0)</f>
        <v>0</v>
      </c>
      <c r="L1294" s="60">
        <f t="shared" si="730"/>
        <v>0</v>
      </c>
      <c r="M1294" s="60">
        <f t="shared" si="730"/>
        <v>0</v>
      </c>
      <c r="N1294" s="60">
        <f t="shared" si="730"/>
        <v>0</v>
      </c>
      <c r="O1294" s="60">
        <f t="shared" si="730"/>
        <v>0</v>
      </c>
      <c r="P1294" s="60">
        <f t="shared" si="730"/>
        <v>0</v>
      </c>
      <c r="Q1294" s="60">
        <f t="shared" si="730"/>
        <v>0</v>
      </c>
      <c r="R1294" s="60">
        <f t="shared" si="730"/>
        <v>0</v>
      </c>
      <c r="S1294" s="60">
        <f t="shared" si="730"/>
        <v>0</v>
      </c>
      <c r="T1294" s="60">
        <f t="shared" si="730"/>
        <v>0</v>
      </c>
      <c r="U1294" s="60">
        <f t="shared" si="730"/>
        <v>0</v>
      </c>
      <c r="V1294" s="60">
        <f t="shared" si="730"/>
        <v>0</v>
      </c>
      <c r="W1294" s="60">
        <f t="shared" si="730"/>
        <v>0</v>
      </c>
      <c r="X1294" s="60">
        <f t="shared" si="730"/>
        <v>0</v>
      </c>
    </row>
    <row r="1295" spans="2:24" hidden="1">
      <c r="B1295" s="59" t="str">
        <f t="shared" si="722"/>
        <v/>
      </c>
      <c r="C1295" s="59" t="str">
        <f t="shared" si="722"/>
        <v/>
      </c>
      <c r="D1295" s="59" t="str">
        <f t="shared" si="722"/>
        <v/>
      </c>
      <c r="E1295" s="59" t="str">
        <f t="shared" si="722"/>
        <v/>
      </c>
      <c r="F1295" s="59"/>
      <c r="G1295" s="59"/>
      <c r="H1295" s="59"/>
      <c r="I1295" s="59"/>
      <c r="J1295" s="59"/>
      <c r="K1295" s="60">
        <f t="shared" ref="K1295:X1295" si="731">IF(AND($D1295="tak",$E1295="prace rozwojowe",Modul_badawczo_rozwojowy=tak),ROUND(K812*K486,0),0)</f>
        <v>0</v>
      </c>
      <c r="L1295" s="60">
        <f t="shared" si="731"/>
        <v>0</v>
      </c>
      <c r="M1295" s="60">
        <f t="shared" si="731"/>
        <v>0</v>
      </c>
      <c r="N1295" s="60">
        <f t="shared" si="731"/>
        <v>0</v>
      </c>
      <c r="O1295" s="60">
        <f t="shared" si="731"/>
        <v>0</v>
      </c>
      <c r="P1295" s="60">
        <f t="shared" si="731"/>
        <v>0</v>
      </c>
      <c r="Q1295" s="60">
        <f t="shared" si="731"/>
        <v>0</v>
      </c>
      <c r="R1295" s="60">
        <f t="shared" si="731"/>
        <v>0</v>
      </c>
      <c r="S1295" s="60">
        <f t="shared" si="731"/>
        <v>0</v>
      </c>
      <c r="T1295" s="60">
        <f t="shared" si="731"/>
        <v>0</v>
      </c>
      <c r="U1295" s="60">
        <f t="shared" si="731"/>
        <v>0</v>
      </c>
      <c r="V1295" s="60">
        <f t="shared" si="731"/>
        <v>0</v>
      </c>
      <c r="W1295" s="60">
        <f t="shared" si="731"/>
        <v>0</v>
      </c>
      <c r="X1295" s="60">
        <f t="shared" si="731"/>
        <v>0</v>
      </c>
    </row>
    <row r="1296" spans="2:24" hidden="1">
      <c r="B1296" s="59" t="str">
        <f t="shared" si="722"/>
        <v/>
      </c>
      <c r="C1296" s="59" t="str">
        <f t="shared" si="722"/>
        <v/>
      </c>
      <c r="D1296" s="59" t="str">
        <f t="shared" si="722"/>
        <v/>
      </c>
      <c r="E1296" s="59" t="str">
        <f t="shared" si="722"/>
        <v/>
      </c>
      <c r="F1296" s="59"/>
      <c r="G1296" s="59"/>
      <c r="H1296" s="59"/>
      <c r="I1296" s="59"/>
      <c r="J1296" s="59"/>
      <c r="K1296" s="60">
        <f t="shared" ref="K1296:X1296" si="732">IF(AND($D1296="tak",$E1296="prace rozwojowe",Modul_badawczo_rozwojowy=tak),ROUND(K813*K487,0),0)</f>
        <v>0</v>
      </c>
      <c r="L1296" s="60">
        <f t="shared" si="732"/>
        <v>0</v>
      </c>
      <c r="M1296" s="60">
        <f t="shared" si="732"/>
        <v>0</v>
      </c>
      <c r="N1296" s="60">
        <f t="shared" si="732"/>
        <v>0</v>
      </c>
      <c r="O1296" s="60">
        <f t="shared" si="732"/>
        <v>0</v>
      </c>
      <c r="P1296" s="60">
        <f t="shared" si="732"/>
        <v>0</v>
      </c>
      <c r="Q1296" s="60">
        <f t="shared" si="732"/>
        <v>0</v>
      </c>
      <c r="R1296" s="60">
        <f t="shared" si="732"/>
        <v>0</v>
      </c>
      <c r="S1296" s="60">
        <f t="shared" si="732"/>
        <v>0</v>
      </c>
      <c r="T1296" s="60">
        <f t="shared" si="732"/>
        <v>0</v>
      </c>
      <c r="U1296" s="60">
        <f t="shared" si="732"/>
        <v>0</v>
      </c>
      <c r="V1296" s="60">
        <f t="shared" si="732"/>
        <v>0</v>
      </c>
      <c r="W1296" s="60">
        <f t="shared" si="732"/>
        <v>0</v>
      </c>
      <c r="X1296" s="60">
        <f t="shared" si="732"/>
        <v>0</v>
      </c>
    </row>
    <row r="1297" spans="2:24" hidden="1">
      <c r="B1297" s="59" t="str">
        <f t="shared" si="722"/>
        <v/>
      </c>
      <c r="C1297" s="59" t="str">
        <f t="shared" si="722"/>
        <v/>
      </c>
      <c r="D1297" s="59" t="str">
        <f t="shared" si="722"/>
        <v/>
      </c>
      <c r="E1297" s="59" t="str">
        <f t="shared" si="722"/>
        <v/>
      </c>
      <c r="F1297" s="59"/>
      <c r="G1297" s="59"/>
      <c r="H1297" s="59"/>
      <c r="I1297" s="59"/>
      <c r="J1297" s="59"/>
      <c r="K1297" s="60">
        <f t="shared" ref="K1297:X1297" si="733">IF(AND($D1297="tak",$E1297="prace rozwojowe",Modul_badawczo_rozwojowy=tak),ROUND(K814*K488,0),0)</f>
        <v>0</v>
      </c>
      <c r="L1297" s="60">
        <f t="shared" si="733"/>
        <v>0</v>
      </c>
      <c r="M1297" s="60">
        <f t="shared" si="733"/>
        <v>0</v>
      </c>
      <c r="N1297" s="60">
        <f t="shared" si="733"/>
        <v>0</v>
      </c>
      <c r="O1297" s="60">
        <f t="shared" si="733"/>
        <v>0</v>
      </c>
      <c r="P1297" s="60">
        <f t="shared" si="733"/>
        <v>0</v>
      </c>
      <c r="Q1297" s="60">
        <f t="shared" si="733"/>
        <v>0</v>
      </c>
      <c r="R1297" s="60">
        <f t="shared" si="733"/>
        <v>0</v>
      </c>
      <c r="S1297" s="60">
        <f t="shared" si="733"/>
        <v>0</v>
      </c>
      <c r="T1297" s="60">
        <f t="shared" si="733"/>
        <v>0</v>
      </c>
      <c r="U1297" s="60">
        <f t="shared" si="733"/>
        <v>0</v>
      </c>
      <c r="V1297" s="60">
        <f t="shared" si="733"/>
        <v>0</v>
      </c>
      <c r="W1297" s="60">
        <f t="shared" si="733"/>
        <v>0</v>
      </c>
      <c r="X1297" s="60">
        <f t="shared" si="733"/>
        <v>0</v>
      </c>
    </row>
    <row r="1298" spans="2:24" hidden="1">
      <c r="B1298" s="59" t="str">
        <f t="shared" si="722"/>
        <v/>
      </c>
      <c r="C1298" s="59" t="str">
        <f t="shared" si="722"/>
        <v/>
      </c>
      <c r="D1298" s="59" t="str">
        <f t="shared" si="722"/>
        <v/>
      </c>
      <c r="E1298" s="59" t="str">
        <f t="shared" si="722"/>
        <v/>
      </c>
      <c r="F1298" s="59"/>
      <c r="G1298" s="59"/>
      <c r="H1298" s="59"/>
      <c r="I1298" s="59"/>
      <c r="J1298" s="59"/>
      <c r="K1298" s="60">
        <f t="shared" ref="K1298:X1298" si="734">IF(AND($D1298="tak",$E1298="prace rozwojowe",Modul_badawczo_rozwojowy=tak),ROUND(K815*K489,0),0)</f>
        <v>0</v>
      </c>
      <c r="L1298" s="60">
        <f t="shared" si="734"/>
        <v>0</v>
      </c>
      <c r="M1298" s="60">
        <f t="shared" si="734"/>
        <v>0</v>
      </c>
      <c r="N1298" s="60">
        <f t="shared" si="734"/>
        <v>0</v>
      </c>
      <c r="O1298" s="60">
        <f t="shared" si="734"/>
        <v>0</v>
      </c>
      <c r="P1298" s="60">
        <f t="shared" si="734"/>
        <v>0</v>
      </c>
      <c r="Q1298" s="60">
        <f t="shared" si="734"/>
        <v>0</v>
      </c>
      <c r="R1298" s="60">
        <f t="shared" si="734"/>
        <v>0</v>
      </c>
      <c r="S1298" s="60">
        <f t="shared" si="734"/>
        <v>0</v>
      </c>
      <c r="T1298" s="60">
        <f t="shared" si="734"/>
        <v>0</v>
      </c>
      <c r="U1298" s="60">
        <f t="shared" si="734"/>
        <v>0</v>
      </c>
      <c r="V1298" s="60">
        <f t="shared" si="734"/>
        <v>0</v>
      </c>
      <c r="W1298" s="60">
        <f t="shared" si="734"/>
        <v>0</v>
      </c>
      <c r="X1298" s="60">
        <f t="shared" si="734"/>
        <v>0</v>
      </c>
    </row>
    <row r="1299" spans="2:24" hidden="1">
      <c r="B1299" s="59" t="str">
        <f t="shared" si="722"/>
        <v/>
      </c>
      <c r="C1299" s="59" t="str">
        <f t="shared" si="722"/>
        <v/>
      </c>
      <c r="D1299" s="59" t="str">
        <f t="shared" si="722"/>
        <v/>
      </c>
      <c r="E1299" s="59" t="str">
        <f t="shared" si="722"/>
        <v/>
      </c>
      <c r="F1299" s="59"/>
      <c r="G1299" s="59"/>
      <c r="H1299" s="59"/>
      <c r="I1299" s="59"/>
      <c r="J1299" s="59"/>
      <c r="K1299" s="60">
        <f t="shared" ref="K1299:X1299" si="735">IF(AND($D1299="tak",$E1299="prace rozwojowe",Modul_badawczo_rozwojowy=tak),ROUND(K816*K490,0),0)</f>
        <v>0</v>
      </c>
      <c r="L1299" s="60">
        <f t="shared" si="735"/>
        <v>0</v>
      </c>
      <c r="M1299" s="60">
        <f t="shared" si="735"/>
        <v>0</v>
      </c>
      <c r="N1299" s="60">
        <f t="shared" si="735"/>
        <v>0</v>
      </c>
      <c r="O1299" s="60">
        <f t="shared" si="735"/>
        <v>0</v>
      </c>
      <c r="P1299" s="60">
        <f t="shared" si="735"/>
        <v>0</v>
      </c>
      <c r="Q1299" s="60">
        <f t="shared" si="735"/>
        <v>0</v>
      </c>
      <c r="R1299" s="60">
        <f t="shared" si="735"/>
        <v>0</v>
      </c>
      <c r="S1299" s="60">
        <f t="shared" si="735"/>
        <v>0</v>
      </c>
      <c r="T1299" s="60">
        <f t="shared" si="735"/>
        <v>0</v>
      </c>
      <c r="U1299" s="60">
        <f t="shared" si="735"/>
        <v>0</v>
      </c>
      <c r="V1299" s="60">
        <f t="shared" si="735"/>
        <v>0</v>
      </c>
      <c r="W1299" s="60">
        <f t="shared" si="735"/>
        <v>0</v>
      </c>
      <c r="X1299" s="60">
        <f t="shared" si="735"/>
        <v>0</v>
      </c>
    </row>
    <row r="1300" spans="2:24" hidden="1">
      <c r="B1300" s="59" t="str">
        <f t="shared" si="722"/>
        <v/>
      </c>
      <c r="C1300" s="59" t="str">
        <f t="shared" si="722"/>
        <v/>
      </c>
      <c r="D1300" s="59" t="str">
        <f t="shared" si="722"/>
        <v/>
      </c>
      <c r="E1300" s="59" t="str">
        <f t="shared" si="722"/>
        <v/>
      </c>
      <c r="F1300" s="59"/>
      <c r="G1300" s="59"/>
      <c r="H1300" s="59"/>
      <c r="I1300" s="59"/>
      <c r="J1300" s="59"/>
      <c r="K1300" s="60">
        <f t="shared" ref="K1300:X1300" si="736">IF(AND($D1300="tak",$E1300="prace rozwojowe",Modul_badawczo_rozwojowy=tak),ROUND(K817*K491,0),0)</f>
        <v>0</v>
      </c>
      <c r="L1300" s="60">
        <f t="shared" si="736"/>
        <v>0</v>
      </c>
      <c r="M1300" s="60">
        <f t="shared" si="736"/>
        <v>0</v>
      </c>
      <c r="N1300" s="60">
        <f t="shared" si="736"/>
        <v>0</v>
      </c>
      <c r="O1300" s="60">
        <f t="shared" si="736"/>
        <v>0</v>
      </c>
      <c r="P1300" s="60">
        <f t="shared" si="736"/>
        <v>0</v>
      </c>
      <c r="Q1300" s="60">
        <f t="shared" si="736"/>
        <v>0</v>
      </c>
      <c r="R1300" s="60">
        <f t="shared" si="736"/>
        <v>0</v>
      </c>
      <c r="S1300" s="60">
        <f t="shared" si="736"/>
        <v>0</v>
      </c>
      <c r="T1300" s="60">
        <f t="shared" si="736"/>
        <v>0</v>
      </c>
      <c r="U1300" s="60">
        <f t="shared" si="736"/>
        <v>0</v>
      </c>
      <c r="V1300" s="60">
        <f t="shared" si="736"/>
        <v>0</v>
      </c>
      <c r="W1300" s="60">
        <f t="shared" si="736"/>
        <v>0</v>
      </c>
      <c r="X1300" s="60">
        <f t="shared" si="736"/>
        <v>0</v>
      </c>
    </row>
    <row r="1301" spans="2:24" hidden="1">
      <c r="B1301" s="59" t="str">
        <f t="shared" si="722"/>
        <v/>
      </c>
      <c r="C1301" s="59" t="str">
        <f t="shared" si="722"/>
        <v/>
      </c>
      <c r="D1301" s="59" t="str">
        <f t="shared" si="722"/>
        <v/>
      </c>
      <c r="E1301" s="59" t="str">
        <f t="shared" si="722"/>
        <v/>
      </c>
      <c r="F1301" s="59"/>
      <c r="G1301" s="59"/>
      <c r="H1301" s="59"/>
      <c r="I1301" s="59"/>
      <c r="J1301" s="59"/>
      <c r="K1301" s="60">
        <f t="shared" ref="K1301:X1301" si="737">IF(AND($D1301="tak",$E1301="prace rozwojowe",Modul_badawczo_rozwojowy=tak),ROUND(K818*K492,0),0)</f>
        <v>0</v>
      </c>
      <c r="L1301" s="60">
        <f t="shared" si="737"/>
        <v>0</v>
      </c>
      <c r="M1301" s="60">
        <f t="shared" si="737"/>
        <v>0</v>
      </c>
      <c r="N1301" s="60">
        <f t="shared" si="737"/>
        <v>0</v>
      </c>
      <c r="O1301" s="60">
        <f t="shared" si="737"/>
        <v>0</v>
      </c>
      <c r="P1301" s="60">
        <f t="shared" si="737"/>
        <v>0</v>
      </c>
      <c r="Q1301" s="60">
        <f t="shared" si="737"/>
        <v>0</v>
      </c>
      <c r="R1301" s="60">
        <f t="shared" si="737"/>
        <v>0</v>
      </c>
      <c r="S1301" s="60">
        <f t="shared" si="737"/>
        <v>0</v>
      </c>
      <c r="T1301" s="60">
        <f t="shared" si="737"/>
        <v>0</v>
      </c>
      <c r="U1301" s="60">
        <f t="shared" si="737"/>
        <v>0</v>
      </c>
      <c r="V1301" s="60">
        <f t="shared" si="737"/>
        <v>0</v>
      </c>
      <c r="W1301" s="60">
        <f t="shared" si="737"/>
        <v>0</v>
      </c>
      <c r="X1301" s="60">
        <f t="shared" si="737"/>
        <v>0</v>
      </c>
    </row>
    <row r="1302" spans="2:24" hidden="1">
      <c r="B1302" s="59" t="str">
        <f t="shared" si="722"/>
        <v/>
      </c>
      <c r="C1302" s="59" t="str">
        <f t="shared" si="722"/>
        <v/>
      </c>
      <c r="D1302" s="59" t="str">
        <f t="shared" si="722"/>
        <v/>
      </c>
      <c r="E1302" s="59" t="str">
        <f t="shared" si="722"/>
        <v/>
      </c>
      <c r="F1302" s="59"/>
      <c r="G1302" s="59"/>
      <c r="H1302" s="59"/>
      <c r="I1302" s="59"/>
      <c r="J1302" s="59"/>
      <c r="K1302" s="60">
        <f t="shared" ref="K1302:X1302" si="738">IF(AND($D1302="tak",$E1302="prace rozwojowe",Modul_badawczo_rozwojowy=tak),ROUND(K819*K493,0),0)</f>
        <v>0</v>
      </c>
      <c r="L1302" s="60">
        <f t="shared" si="738"/>
        <v>0</v>
      </c>
      <c r="M1302" s="60">
        <f t="shared" si="738"/>
        <v>0</v>
      </c>
      <c r="N1302" s="60">
        <f t="shared" si="738"/>
        <v>0</v>
      </c>
      <c r="O1302" s="60">
        <f t="shared" si="738"/>
        <v>0</v>
      </c>
      <c r="P1302" s="60">
        <f t="shared" si="738"/>
        <v>0</v>
      </c>
      <c r="Q1302" s="60">
        <f t="shared" si="738"/>
        <v>0</v>
      </c>
      <c r="R1302" s="60">
        <f t="shared" si="738"/>
        <v>0</v>
      </c>
      <c r="S1302" s="60">
        <f t="shared" si="738"/>
        <v>0</v>
      </c>
      <c r="T1302" s="60">
        <f t="shared" si="738"/>
        <v>0</v>
      </c>
      <c r="U1302" s="60">
        <f t="shared" si="738"/>
        <v>0</v>
      </c>
      <c r="V1302" s="60">
        <f t="shared" si="738"/>
        <v>0</v>
      </c>
      <c r="W1302" s="60">
        <f t="shared" si="738"/>
        <v>0</v>
      </c>
      <c r="X1302" s="60">
        <f t="shared" si="738"/>
        <v>0</v>
      </c>
    </row>
    <row r="1303" spans="2:24" hidden="1">
      <c r="B1303" s="59" t="str">
        <f t="shared" si="722"/>
        <v/>
      </c>
      <c r="C1303" s="59" t="str">
        <f t="shared" si="722"/>
        <v/>
      </c>
      <c r="D1303" s="59" t="str">
        <f t="shared" si="722"/>
        <v/>
      </c>
      <c r="E1303" s="59" t="str">
        <f t="shared" si="722"/>
        <v/>
      </c>
      <c r="F1303" s="59"/>
      <c r="G1303" s="59"/>
      <c r="H1303" s="59"/>
      <c r="I1303" s="59"/>
      <c r="J1303" s="59"/>
      <c r="K1303" s="60">
        <f t="shared" ref="K1303:X1303" si="739">IF(AND($D1303="tak",$E1303="prace rozwojowe",Modul_badawczo_rozwojowy=tak),ROUND(K820*K494,0),0)</f>
        <v>0</v>
      </c>
      <c r="L1303" s="60">
        <f t="shared" si="739"/>
        <v>0</v>
      </c>
      <c r="M1303" s="60">
        <f t="shared" si="739"/>
        <v>0</v>
      </c>
      <c r="N1303" s="60">
        <f t="shared" si="739"/>
        <v>0</v>
      </c>
      <c r="O1303" s="60">
        <f t="shared" si="739"/>
        <v>0</v>
      </c>
      <c r="P1303" s="60">
        <f t="shared" si="739"/>
        <v>0</v>
      </c>
      <c r="Q1303" s="60">
        <f t="shared" si="739"/>
        <v>0</v>
      </c>
      <c r="R1303" s="60">
        <f t="shared" si="739"/>
        <v>0</v>
      </c>
      <c r="S1303" s="60">
        <f t="shared" si="739"/>
        <v>0</v>
      </c>
      <c r="T1303" s="60">
        <f t="shared" si="739"/>
        <v>0</v>
      </c>
      <c r="U1303" s="60">
        <f t="shared" si="739"/>
        <v>0</v>
      </c>
      <c r="V1303" s="60">
        <f t="shared" si="739"/>
        <v>0</v>
      </c>
      <c r="W1303" s="60">
        <f t="shared" si="739"/>
        <v>0</v>
      </c>
      <c r="X1303" s="60">
        <f t="shared" si="739"/>
        <v>0</v>
      </c>
    </row>
    <row r="1304" spans="2:24" hidden="1">
      <c r="B1304" s="59" t="str">
        <f t="shared" si="722"/>
        <v/>
      </c>
      <c r="C1304" s="59" t="str">
        <f t="shared" si="722"/>
        <v/>
      </c>
      <c r="D1304" s="59" t="str">
        <f t="shared" si="722"/>
        <v/>
      </c>
      <c r="E1304" s="59" t="str">
        <f t="shared" si="722"/>
        <v/>
      </c>
      <c r="F1304" s="59"/>
      <c r="G1304" s="59"/>
      <c r="H1304" s="59"/>
      <c r="I1304" s="59"/>
      <c r="J1304" s="59"/>
      <c r="K1304" s="60">
        <f t="shared" ref="K1304:X1304" si="740">IF(AND($D1304="tak",$E1304="prace rozwojowe",Modul_badawczo_rozwojowy=tak),ROUND(K821*K495,0),0)</f>
        <v>0</v>
      </c>
      <c r="L1304" s="60">
        <f t="shared" si="740"/>
        <v>0</v>
      </c>
      <c r="M1304" s="60">
        <f t="shared" si="740"/>
        <v>0</v>
      </c>
      <c r="N1304" s="60">
        <f t="shared" si="740"/>
        <v>0</v>
      </c>
      <c r="O1304" s="60">
        <f t="shared" si="740"/>
        <v>0</v>
      </c>
      <c r="P1304" s="60">
        <f t="shared" si="740"/>
        <v>0</v>
      </c>
      <c r="Q1304" s="60">
        <f t="shared" si="740"/>
        <v>0</v>
      </c>
      <c r="R1304" s="60">
        <f t="shared" si="740"/>
        <v>0</v>
      </c>
      <c r="S1304" s="60">
        <f t="shared" si="740"/>
        <v>0</v>
      </c>
      <c r="T1304" s="60">
        <f t="shared" si="740"/>
        <v>0</v>
      </c>
      <c r="U1304" s="60">
        <f t="shared" si="740"/>
        <v>0</v>
      </c>
      <c r="V1304" s="60">
        <f t="shared" si="740"/>
        <v>0</v>
      </c>
      <c r="W1304" s="60">
        <f t="shared" si="740"/>
        <v>0</v>
      </c>
      <c r="X1304" s="60">
        <f t="shared" si="740"/>
        <v>0</v>
      </c>
    </row>
    <row r="1305" spans="2:24" hidden="1">
      <c r="B1305" s="59" t="str">
        <f t="shared" si="722"/>
        <v/>
      </c>
      <c r="C1305" s="59" t="str">
        <f t="shared" si="722"/>
        <v/>
      </c>
      <c r="D1305" s="59" t="str">
        <f t="shared" si="722"/>
        <v/>
      </c>
      <c r="E1305" s="59" t="str">
        <f t="shared" si="722"/>
        <v/>
      </c>
      <c r="F1305" s="59"/>
      <c r="G1305" s="59"/>
      <c r="H1305" s="59"/>
      <c r="I1305" s="59"/>
      <c r="J1305" s="59"/>
      <c r="K1305" s="60">
        <f t="shared" ref="K1305:X1305" si="741">IF(AND($D1305="tak",$E1305="prace rozwojowe",Modul_badawczo_rozwojowy=tak),ROUND(K822*K496,0),0)</f>
        <v>0</v>
      </c>
      <c r="L1305" s="60">
        <f t="shared" si="741"/>
        <v>0</v>
      </c>
      <c r="M1305" s="60">
        <f t="shared" si="741"/>
        <v>0</v>
      </c>
      <c r="N1305" s="60">
        <f t="shared" si="741"/>
        <v>0</v>
      </c>
      <c r="O1305" s="60">
        <f t="shared" si="741"/>
        <v>0</v>
      </c>
      <c r="P1305" s="60">
        <f t="shared" si="741"/>
        <v>0</v>
      </c>
      <c r="Q1305" s="60">
        <f t="shared" si="741"/>
        <v>0</v>
      </c>
      <c r="R1305" s="60">
        <f t="shared" si="741"/>
        <v>0</v>
      </c>
      <c r="S1305" s="60">
        <f t="shared" si="741"/>
        <v>0</v>
      </c>
      <c r="T1305" s="60">
        <f t="shared" si="741"/>
        <v>0</v>
      </c>
      <c r="U1305" s="60">
        <f t="shared" si="741"/>
        <v>0</v>
      </c>
      <c r="V1305" s="60">
        <f t="shared" si="741"/>
        <v>0</v>
      </c>
      <c r="W1305" s="60">
        <f t="shared" si="741"/>
        <v>0</v>
      </c>
      <c r="X1305" s="60">
        <f t="shared" si="741"/>
        <v>0</v>
      </c>
    </row>
    <row r="1306" spans="2:24" hidden="1">
      <c r="B1306" s="59" t="str">
        <f t="shared" si="722"/>
        <v/>
      </c>
      <c r="C1306" s="59" t="str">
        <f t="shared" si="722"/>
        <v/>
      </c>
      <c r="D1306" s="59" t="str">
        <f t="shared" si="722"/>
        <v/>
      </c>
      <c r="E1306" s="59" t="str">
        <f t="shared" si="722"/>
        <v/>
      </c>
      <c r="F1306" s="59"/>
      <c r="G1306" s="59"/>
      <c r="H1306" s="59"/>
      <c r="I1306" s="59"/>
      <c r="J1306" s="59"/>
      <c r="K1306" s="60">
        <f t="shared" ref="K1306:X1306" si="742">IF(AND($D1306="tak",$E1306="prace rozwojowe",Modul_badawczo_rozwojowy=tak),ROUND(K823*K497,0),0)</f>
        <v>0</v>
      </c>
      <c r="L1306" s="60">
        <f t="shared" si="742"/>
        <v>0</v>
      </c>
      <c r="M1306" s="60">
        <f t="shared" si="742"/>
        <v>0</v>
      </c>
      <c r="N1306" s="60">
        <f t="shared" si="742"/>
        <v>0</v>
      </c>
      <c r="O1306" s="60">
        <f t="shared" si="742"/>
        <v>0</v>
      </c>
      <c r="P1306" s="60">
        <f t="shared" si="742"/>
        <v>0</v>
      </c>
      <c r="Q1306" s="60">
        <f t="shared" si="742"/>
        <v>0</v>
      </c>
      <c r="R1306" s="60">
        <f t="shared" si="742"/>
        <v>0</v>
      </c>
      <c r="S1306" s="60">
        <f t="shared" si="742"/>
        <v>0</v>
      </c>
      <c r="T1306" s="60">
        <f t="shared" si="742"/>
        <v>0</v>
      </c>
      <c r="U1306" s="60">
        <f t="shared" si="742"/>
        <v>0</v>
      </c>
      <c r="V1306" s="60">
        <f t="shared" si="742"/>
        <v>0</v>
      </c>
      <c r="W1306" s="60">
        <f t="shared" si="742"/>
        <v>0</v>
      </c>
      <c r="X1306" s="60">
        <f t="shared" si="742"/>
        <v>0</v>
      </c>
    </row>
    <row r="1307" spans="2:24" hidden="1">
      <c r="B1307" s="59" t="str">
        <f t="shared" ref="B1307:E1326" si="743">IF(ISBLANK(B824),"",B824)</f>
        <v/>
      </c>
      <c r="C1307" s="59" t="str">
        <f t="shared" si="743"/>
        <v/>
      </c>
      <c r="D1307" s="59" t="str">
        <f t="shared" si="743"/>
        <v/>
      </c>
      <c r="E1307" s="59" t="str">
        <f t="shared" si="743"/>
        <v/>
      </c>
      <c r="F1307" s="59"/>
      <c r="G1307" s="59"/>
      <c r="H1307" s="59"/>
      <c r="I1307" s="59"/>
      <c r="J1307" s="59"/>
      <c r="K1307" s="60">
        <f t="shared" ref="K1307:X1307" si="744">IF(AND($D1307="tak",$E1307="prace rozwojowe",Modul_badawczo_rozwojowy=tak),ROUND(K824*K498,0),0)</f>
        <v>0</v>
      </c>
      <c r="L1307" s="60">
        <f t="shared" si="744"/>
        <v>0</v>
      </c>
      <c r="M1307" s="60">
        <f t="shared" si="744"/>
        <v>0</v>
      </c>
      <c r="N1307" s="60">
        <f t="shared" si="744"/>
        <v>0</v>
      </c>
      <c r="O1307" s="60">
        <f t="shared" si="744"/>
        <v>0</v>
      </c>
      <c r="P1307" s="60">
        <f t="shared" si="744"/>
        <v>0</v>
      </c>
      <c r="Q1307" s="60">
        <f t="shared" si="744"/>
        <v>0</v>
      </c>
      <c r="R1307" s="60">
        <f t="shared" si="744"/>
        <v>0</v>
      </c>
      <c r="S1307" s="60">
        <f t="shared" si="744"/>
        <v>0</v>
      </c>
      <c r="T1307" s="60">
        <f t="shared" si="744"/>
        <v>0</v>
      </c>
      <c r="U1307" s="60">
        <f t="shared" si="744"/>
        <v>0</v>
      </c>
      <c r="V1307" s="60">
        <f t="shared" si="744"/>
        <v>0</v>
      </c>
      <c r="W1307" s="60">
        <f t="shared" si="744"/>
        <v>0</v>
      </c>
      <c r="X1307" s="60">
        <f t="shared" si="744"/>
        <v>0</v>
      </c>
    </row>
    <row r="1308" spans="2:24" hidden="1">
      <c r="B1308" s="59" t="str">
        <f t="shared" si="743"/>
        <v/>
      </c>
      <c r="C1308" s="59" t="str">
        <f t="shared" si="743"/>
        <v/>
      </c>
      <c r="D1308" s="59" t="str">
        <f t="shared" si="743"/>
        <v/>
      </c>
      <c r="E1308" s="59" t="str">
        <f t="shared" si="743"/>
        <v/>
      </c>
      <c r="F1308" s="59"/>
      <c r="G1308" s="59"/>
      <c r="H1308" s="59"/>
      <c r="I1308" s="59"/>
      <c r="J1308" s="59"/>
      <c r="K1308" s="60">
        <f t="shared" ref="K1308:X1308" si="745">IF(AND($D1308="tak",$E1308="prace rozwojowe",Modul_badawczo_rozwojowy=tak),ROUND(K825*K499,0),0)</f>
        <v>0</v>
      </c>
      <c r="L1308" s="60">
        <f t="shared" si="745"/>
        <v>0</v>
      </c>
      <c r="M1308" s="60">
        <f t="shared" si="745"/>
        <v>0</v>
      </c>
      <c r="N1308" s="60">
        <f t="shared" si="745"/>
        <v>0</v>
      </c>
      <c r="O1308" s="60">
        <f t="shared" si="745"/>
        <v>0</v>
      </c>
      <c r="P1308" s="60">
        <f t="shared" si="745"/>
        <v>0</v>
      </c>
      <c r="Q1308" s="60">
        <f t="shared" si="745"/>
        <v>0</v>
      </c>
      <c r="R1308" s="60">
        <f t="shared" si="745"/>
        <v>0</v>
      </c>
      <c r="S1308" s="60">
        <f t="shared" si="745"/>
        <v>0</v>
      </c>
      <c r="T1308" s="60">
        <f t="shared" si="745"/>
        <v>0</v>
      </c>
      <c r="U1308" s="60">
        <f t="shared" si="745"/>
        <v>0</v>
      </c>
      <c r="V1308" s="60">
        <f t="shared" si="745"/>
        <v>0</v>
      </c>
      <c r="W1308" s="60">
        <f t="shared" si="745"/>
        <v>0</v>
      </c>
      <c r="X1308" s="60">
        <f t="shared" si="745"/>
        <v>0</v>
      </c>
    </row>
    <row r="1309" spans="2:24" hidden="1">
      <c r="B1309" s="59" t="str">
        <f t="shared" si="743"/>
        <v/>
      </c>
      <c r="C1309" s="59" t="str">
        <f t="shared" si="743"/>
        <v/>
      </c>
      <c r="D1309" s="59" t="str">
        <f t="shared" si="743"/>
        <v/>
      </c>
      <c r="E1309" s="59" t="str">
        <f t="shared" si="743"/>
        <v/>
      </c>
      <c r="F1309" s="59"/>
      <c r="G1309" s="59"/>
      <c r="H1309" s="59"/>
      <c r="I1309" s="59"/>
      <c r="J1309" s="59"/>
      <c r="K1309" s="60">
        <f t="shared" ref="K1309:X1309" si="746">IF(AND($D1309="tak",$E1309="prace rozwojowe",Modul_badawczo_rozwojowy=tak),ROUND(K826*K500,0),0)</f>
        <v>0</v>
      </c>
      <c r="L1309" s="60">
        <f t="shared" si="746"/>
        <v>0</v>
      </c>
      <c r="M1309" s="60">
        <f t="shared" si="746"/>
        <v>0</v>
      </c>
      <c r="N1309" s="60">
        <f t="shared" si="746"/>
        <v>0</v>
      </c>
      <c r="O1309" s="60">
        <f t="shared" si="746"/>
        <v>0</v>
      </c>
      <c r="P1309" s="60">
        <f t="shared" si="746"/>
        <v>0</v>
      </c>
      <c r="Q1309" s="60">
        <f t="shared" si="746"/>
        <v>0</v>
      </c>
      <c r="R1309" s="60">
        <f t="shared" si="746"/>
        <v>0</v>
      </c>
      <c r="S1309" s="60">
        <f t="shared" si="746"/>
        <v>0</v>
      </c>
      <c r="T1309" s="60">
        <f t="shared" si="746"/>
        <v>0</v>
      </c>
      <c r="U1309" s="60">
        <f t="shared" si="746"/>
        <v>0</v>
      </c>
      <c r="V1309" s="60">
        <f t="shared" si="746"/>
        <v>0</v>
      </c>
      <c r="W1309" s="60">
        <f t="shared" si="746"/>
        <v>0</v>
      </c>
      <c r="X1309" s="60">
        <f t="shared" si="746"/>
        <v>0</v>
      </c>
    </row>
    <row r="1310" spans="2:24" hidden="1">
      <c r="B1310" s="59" t="str">
        <f t="shared" si="743"/>
        <v/>
      </c>
      <c r="C1310" s="59" t="str">
        <f t="shared" si="743"/>
        <v/>
      </c>
      <c r="D1310" s="59" t="str">
        <f t="shared" si="743"/>
        <v/>
      </c>
      <c r="E1310" s="59" t="str">
        <f t="shared" si="743"/>
        <v/>
      </c>
      <c r="F1310" s="59"/>
      <c r="G1310" s="59"/>
      <c r="H1310" s="59"/>
      <c r="I1310" s="59"/>
      <c r="J1310" s="59"/>
      <c r="K1310" s="60">
        <f t="shared" ref="K1310:X1310" si="747">IF(AND($D1310="tak",$E1310="prace rozwojowe",Modul_badawczo_rozwojowy=tak),ROUND(K827*K501,0),0)</f>
        <v>0</v>
      </c>
      <c r="L1310" s="60">
        <f t="shared" si="747"/>
        <v>0</v>
      </c>
      <c r="M1310" s="60">
        <f t="shared" si="747"/>
        <v>0</v>
      </c>
      <c r="N1310" s="60">
        <f t="shared" si="747"/>
        <v>0</v>
      </c>
      <c r="O1310" s="60">
        <f t="shared" si="747"/>
        <v>0</v>
      </c>
      <c r="P1310" s="60">
        <f t="shared" si="747"/>
        <v>0</v>
      </c>
      <c r="Q1310" s="60">
        <f t="shared" si="747"/>
        <v>0</v>
      </c>
      <c r="R1310" s="60">
        <f t="shared" si="747"/>
        <v>0</v>
      </c>
      <c r="S1310" s="60">
        <f t="shared" si="747"/>
        <v>0</v>
      </c>
      <c r="T1310" s="60">
        <f t="shared" si="747"/>
        <v>0</v>
      </c>
      <c r="U1310" s="60">
        <f t="shared" si="747"/>
        <v>0</v>
      </c>
      <c r="V1310" s="60">
        <f t="shared" si="747"/>
        <v>0</v>
      </c>
      <c r="W1310" s="60">
        <f t="shared" si="747"/>
        <v>0</v>
      </c>
      <c r="X1310" s="60">
        <f t="shared" si="747"/>
        <v>0</v>
      </c>
    </row>
    <row r="1311" spans="2:24" hidden="1">
      <c r="B1311" s="59" t="str">
        <f t="shared" si="743"/>
        <v/>
      </c>
      <c r="C1311" s="59" t="str">
        <f t="shared" si="743"/>
        <v/>
      </c>
      <c r="D1311" s="59" t="str">
        <f t="shared" si="743"/>
        <v/>
      </c>
      <c r="E1311" s="59" t="str">
        <f t="shared" si="743"/>
        <v/>
      </c>
      <c r="F1311" s="59"/>
      <c r="G1311" s="59"/>
      <c r="H1311" s="59"/>
      <c r="I1311" s="59"/>
      <c r="J1311" s="59"/>
      <c r="K1311" s="60">
        <f t="shared" ref="K1311:X1311" si="748">IF(AND($D1311="tak",$E1311="prace rozwojowe",Modul_badawczo_rozwojowy=tak),ROUND(K828*K502,0),0)</f>
        <v>0</v>
      </c>
      <c r="L1311" s="60">
        <f t="shared" si="748"/>
        <v>0</v>
      </c>
      <c r="M1311" s="60">
        <f t="shared" si="748"/>
        <v>0</v>
      </c>
      <c r="N1311" s="60">
        <f t="shared" si="748"/>
        <v>0</v>
      </c>
      <c r="O1311" s="60">
        <f t="shared" si="748"/>
        <v>0</v>
      </c>
      <c r="P1311" s="60">
        <f t="shared" si="748"/>
        <v>0</v>
      </c>
      <c r="Q1311" s="60">
        <f t="shared" si="748"/>
        <v>0</v>
      </c>
      <c r="R1311" s="60">
        <f t="shared" si="748"/>
        <v>0</v>
      </c>
      <c r="S1311" s="60">
        <f t="shared" si="748"/>
        <v>0</v>
      </c>
      <c r="T1311" s="60">
        <f t="shared" si="748"/>
        <v>0</v>
      </c>
      <c r="U1311" s="60">
        <f t="shared" si="748"/>
        <v>0</v>
      </c>
      <c r="V1311" s="60">
        <f t="shared" si="748"/>
        <v>0</v>
      </c>
      <c r="W1311" s="60">
        <f t="shared" si="748"/>
        <v>0</v>
      </c>
      <c r="X1311" s="60">
        <f t="shared" si="748"/>
        <v>0</v>
      </c>
    </row>
    <row r="1312" spans="2:24" hidden="1">
      <c r="B1312" s="59" t="str">
        <f t="shared" si="743"/>
        <v/>
      </c>
      <c r="C1312" s="59" t="str">
        <f t="shared" si="743"/>
        <v/>
      </c>
      <c r="D1312" s="59" t="str">
        <f t="shared" si="743"/>
        <v/>
      </c>
      <c r="E1312" s="59" t="str">
        <f t="shared" si="743"/>
        <v/>
      </c>
      <c r="F1312" s="59"/>
      <c r="G1312" s="59"/>
      <c r="H1312" s="59"/>
      <c r="I1312" s="59"/>
      <c r="J1312" s="59"/>
      <c r="K1312" s="60">
        <f t="shared" ref="K1312:X1312" si="749">IF(AND($D1312="tak",$E1312="prace rozwojowe",Modul_badawczo_rozwojowy=tak),ROUND(K829*K503,0),0)</f>
        <v>0</v>
      </c>
      <c r="L1312" s="60">
        <f t="shared" si="749"/>
        <v>0</v>
      </c>
      <c r="M1312" s="60">
        <f t="shared" si="749"/>
        <v>0</v>
      </c>
      <c r="N1312" s="60">
        <f t="shared" si="749"/>
        <v>0</v>
      </c>
      <c r="O1312" s="60">
        <f t="shared" si="749"/>
        <v>0</v>
      </c>
      <c r="P1312" s="60">
        <f t="shared" si="749"/>
        <v>0</v>
      </c>
      <c r="Q1312" s="60">
        <f t="shared" si="749"/>
        <v>0</v>
      </c>
      <c r="R1312" s="60">
        <f t="shared" si="749"/>
        <v>0</v>
      </c>
      <c r="S1312" s="60">
        <f t="shared" si="749"/>
        <v>0</v>
      </c>
      <c r="T1312" s="60">
        <f t="shared" si="749"/>
        <v>0</v>
      </c>
      <c r="U1312" s="60">
        <f t="shared" si="749"/>
        <v>0</v>
      </c>
      <c r="V1312" s="60">
        <f t="shared" si="749"/>
        <v>0</v>
      </c>
      <c r="W1312" s="60">
        <f t="shared" si="749"/>
        <v>0</v>
      </c>
      <c r="X1312" s="60">
        <f t="shared" si="749"/>
        <v>0</v>
      </c>
    </row>
    <row r="1313" spans="2:24" hidden="1">
      <c r="B1313" s="59" t="str">
        <f t="shared" si="743"/>
        <v/>
      </c>
      <c r="C1313" s="59" t="str">
        <f t="shared" si="743"/>
        <v/>
      </c>
      <c r="D1313" s="59" t="str">
        <f t="shared" si="743"/>
        <v/>
      </c>
      <c r="E1313" s="59" t="str">
        <f t="shared" si="743"/>
        <v/>
      </c>
      <c r="F1313" s="59"/>
      <c r="G1313" s="59"/>
      <c r="H1313" s="59"/>
      <c r="I1313" s="59"/>
      <c r="J1313" s="59"/>
      <c r="K1313" s="60">
        <f t="shared" ref="K1313:X1313" si="750">IF(AND($D1313="tak",$E1313="prace rozwojowe",Modul_badawczo_rozwojowy=tak),ROUND(K830*K504,0),0)</f>
        <v>0</v>
      </c>
      <c r="L1313" s="60">
        <f t="shared" si="750"/>
        <v>0</v>
      </c>
      <c r="M1313" s="60">
        <f t="shared" si="750"/>
        <v>0</v>
      </c>
      <c r="N1313" s="60">
        <f t="shared" si="750"/>
        <v>0</v>
      </c>
      <c r="O1313" s="60">
        <f t="shared" si="750"/>
        <v>0</v>
      </c>
      <c r="P1313" s="60">
        <f t="shared" si="750"/>
        <v>0</v>
      </c>
      <c r="Q1313" s="60">
        <f t="shared" si="750"/>
        <v>0</v>
      </c>
      <c r="R1313" s="60">
        <f t="shared" si="750"/>
        <v>0</v>
      </c>
      <c r="S1313" s="60">
        <f t="shared" si="750"/>
        <v>0</v>
      </c>
      <c r="T1313" s="60">
        <f t="shared" si="750"/>
        <v>0</v>
      </c>
      <c r="U1313" s="60">
        <f t="shared" si="750"/>
        <v>0</v>
      </c>
      <c r="V1313" s="60">
        <f t="shared" si="750"/>
        <v>0</v>
      </c>
      <c r="W1313" s="60">
        <f t="shared" si="750"/>
        <v>0</v>
      </c>
      <c r="X1313" s="60">
        <f t="shared" si="750"/>
        <v>0</v>
      </c>
    </row>
    <row r="1314" spans="2:24" hidden="1">
      <c r="B1314" s="59" t="str">
        <f t="shared" si="743"/>
        <v/>
      </c>
      <c r="C1314" s="59" t="str">
        <f t="shared" si="743"/>
        <v/>
      </c>
      <c r="D1314" s="59" t="str">
        <f t="shared" si="743"/>
        <v/>
      </c>
      <c r="E1314" s="59" t="str">
        <f t="shared" si="743"/>
        <v/>
      </c>
      <c r="F1314" s="59"/>
      <c r="G1314" s="59"/>
      <c r="H1314" s="59"/>
      <c r="I1314" s="59"/>
      <c r="J1314" s="59"/>
      <c r="K1314" s="60">
        <f t="shared" ref="K1314:X1314" si="751">IF(AND($D1314="tak",$E1314="prace rozwojowe",Modul_badawczo_rozwojowy=tak),ROUND(K831*K505,0),0)</f>
        <v>0</v>
      </c>
      <c r="L1314" s="60">
        <f t="shared" si="751"/>
        <v>0</v>
      </c>
      <c r="M1314" s="60">
        <f t="shared" si="751"/>
        <v>0</v>
      </c>
      <c r="N1314" s="60">
        <f t="shared" si="751"/>
        <v>0</v>
      </c>
      <c r="O1314" s="60">
        <f t="shared" si="751"/>
        <v>0</v>
      </c>
      <c r="P1314" s="60">
        <f t="shared" si="751"/>
        <v>0</v>
      </c>
      <c r="Q1314" s="60">
        <f t="shared" si="751"/>
        <v>0</v>
      </c>
      <c r="R1314" s="60">
        <f t="shared" si="751"/>
        <v>0</v>
      </c>
      <c r="S1314" s="60">
        <f t="shared" si="751"/>
        <v>0</v>
      </c>
      <c r="T1314" s="60">
        <f t="shared" si="751"/>
        <v>0</v>
      </c>
      <c r="U1314" s="60">
        <f t="shared" si="751"/>
        <v>0</v>
      </c>
      <c r="V1314" s="60">
        <f t="shared" si="751"/>
        <v>0</v>
      </c>
      <c r="W1314" s="60">
        <f t="shared" si="751"/>
        <v>0</v>
      </c>
      <c r="X1314" s="60">
        <f t="shared" si="751"/>
        <v>0</v>
      </c>
    </row>
    <row r="1315" spans="2:24" hidden="1">
      <c r="B1315" s="59" t="str">
        <f t="shared" si="743"/>
        <v/>
      </c>
      <c r="C1315" s="59" t="str">
        <f t="shared" si="743"/>
        <v/>
      </c>
      <c r="D1315" s="59" t="str">
        <f t="shared" si="743"/>
        <v/>
      </c>
      <c r="E1315" s="59" t="str">
        <f t="shared" si="743"/>
        <v/>
      </c>
      <c r="F1315" s="59"/>
      <c r="G1315" s="59"/>
      <c r="H1315" s="59"/>
      <c r="I1315" s="59"/>
      <c r="J1315" s="59"/>
      <c r="K1315" s="60">
        <f t="shared" ref="K1315:X1315" si="752">IF(AND($D1315="tak",$E1315="prace rozwojowe",Modul_badawczo_rozwojowy=tak),ROUND(K832*K506,0),0)</f>
        <v>0</v>
      </c>
      <c r="L1315" s="60">
        <f t="shared" si="752"/>
        <v>0</v>
      </c>
      <c r="M1315" s="60">
        <f t="shared" si="752"/>
        <v>0</v>
      </c>
      <c r="N1315" s="60">
        <f t="shared" si="752"/>
        <v>0</v>
      </c>
      <c r="O1315" s="60">
        <f t="shared" si="752"/>
        <v>0</v>
      </c>
      <c r="P1315" s="60">
        <f t="shared" si="752"/>
        <v>0</v>
      </c>
      <c r="Q1315" s="60">
        <f t="shared" si="752"/>
        <v>0</v>
      </c>
      <c r="R1315" s="60">
        <f t="shared" si="752"/>
        <v>0</v>
      </c>
      <c r="S1315" s="60">
        <f t="shared" si="752"/>
        <v>0</v>
      </c>
      <c r="T1315" s="60">
        <f t="shared" si="752"/>
        <v>0</v>
      </c>
      <c r="U1315" s="60">
        <f t="shared" si="752"/>
        <v>0</v>
      </c>
      <c r="V1315" s="60">
        <f t="shared" si="752"/>
        <v>0</v>
      </c>
      <c r="W1315" s="60">
        <f t="shared" si="752"/>
        <v>0</v>
      </c>
      <c r="X1315" s="60">
        <f t="shared" si="752"/>
        <v>0</v>
      </c>
    </row>
    <row r="1316" spans="2:24" hidden="1">
      <c r="B1316" s="59" t="str">
        <f t="shared" si="743"/>
        <v/>
      </c>
      <c r="C1316" s="59" t="str">
        <f t="shared" si="743"/>
        <v/>
      </c>
      <c r="D1316" s="59" t="str">
        <f t="shared" si="743"/>
        <v/>
      </c>
      <c r="E1316" s="59" t="str">
        <f t="shared" si="743"/>
        <v/>
      </c>
      <c r="F1316" s="59"/>
      <c r="G1316" s="59"/>
      <c r="H1316" s="59"/>
      <c r="I1316" s="59"/>
      <c r="J1316" s="59"/>
      <c r="K1316" s="60">
        <f t="shared" ref="K1316:X1316" si="753">IF(AND($D1316="tak",$E1316="prace rozwojowe",Modul_badawczo_rozwojowy=tak),ROUND(K833*K507,0),0)</f>
        <v>0</v>
      </c>
      <c r="L1316" s="60">
        <f t="shared" si="753"/>
        <v>0</v>
      </c>
      <c r="M1316" s="60">
        <f t="shared" si="753"/>
        <v>0</v>
      </c>
      <c r="N1316" s="60">
        <f t="shared" si="753"/>
        <v>0</v>
      </c>
      <c r="O1316" s="60">
        <f t="shared" si="753"/>
        <v>0</v>
      </c>
      <c r="P1316" s="60">
        <f t="shared" si="753"/>
        <v>0</v>
      </c>
      <c r="Q1316" s="60">
        <f t="shared" si="753"/>
        <v>0</v>
      </c>
      <c r="R1316" s="60">
        <f t="shared" si="753"/>
        <v>0</v>
      </c>
      <c r="S1316" s="60">
        <f t="shared" si="753"/>
        <v>0</v>
      </c>
      <c r="T1316" s="60">
        <f t="shared" si="753"/>
        <v>0</v>
      </c>
      <c r="U1316" s="60">
        <f t="shared" si="753"/>
        <v>0</v>
      </c>
      <c r="V1316" s="60">
        <f t="shared" si="753"/>
        <v>0</v>
      </c>
      <c r="W1316" s="60">
        <f t="shared" si="753"/>
        <v>0</v>
      </c>
      <c r="X1316" s="60">
        <f t="shared" si="753"/>
        <v>0</v>
      </c>
    </row>
    <row r="1317" spans="2:24" hidden="1">
      <c r="B1317" s="59" t="str">
        <f t="shared" si="743"/>
        <v/>
      </c>
      <c r="C1317" s="59" t="str">
        <f t="shared" si="743"/>
        <v/>
      </c>
      <c r="D1317" s="59" t="str">
        <f t="shared" si="743"/>
        <v/>
      </c>
      <c r="E1317" s="59" t="str">
        <f t="shared" si="743"/>
        <v/>
      </c>
      <c r="F1317" s="59"/>
      <c r="G1317" s="59"/>
      <c r="H1317" s="59"/>
      <c r="I1317" s="59"/>
      <c r="J1317" s="59"/>
      <c r="K1317" s="60">
        <f t="shared" ref="K1317:X1317" si="754">IF(AND($D1317="tak",$E1317="prace rozwojowe",Modul_badawczo_rozwojowy=tak),ROUND(K834*K508,0),0)</f>
        <v>0</v>
      </c>
      <c r="L1317" s="60">
        <f t="shared" si="754"/>
        <v>0</v>
      </c>
      <c r="M1317" s="60">
        <f t="shared" si="754"/>
        <v>0</v>
      </c>
      <c r="N1317" s="60">
        <f t="shared" si="754"/>
        <v>0</v>
      </c>
      <c r="O1317" s="60">
        <f t="shared" si="754"/>
        <v>0</v>
      </c>
      <c r="P1317" s="60">
        <f t="shared" si="754"/>
        <v>0</v>
      </c>
      <c r="Q1317" s="60">
        <f t="shared" si="754"/>
        <v>0</v>
      </c>
      <c r="R1317" s="60">
        <f t="shared" si="754"/>
        <v>0</v>
      </c>
      <c r="S1317" s="60">
        <f t="shared" si="754"/>
        <v>0</v>
      </c>
      <c r="T1317" s="60">
        <f t="shared" si="754"/>
        <v>0</v>
      </c>
      <c r="U1317" s="60">
        <f t="shared" si="754"/>
        <v>0</v>
      </c>
      <c r="V1317" s="60">
        <f t="shared" si="754"/>
        <v>0</v>
      </c>
      <c r="W1317" s="60">
        <f t="shared" si="754"/>
        <v>0</v>
      </c>
      <c r="X1317" s="60">
        <f t="shared" si="754"/>
        <v>0</v>
      </c>
    </row>
    <row r="1318" spans="2:24" hidden="1">
      <c r="B1318" s="59" t="str">
        <f t="shared" si="743"/>
        <v/>
      </c>
      <c r="C1318" s="59" t="str">
        <f t="shared" si="743"/>
        <v/>
      </c>
      <c r="D1318" s="59" t="str">
        <f t="shared" si="743"/>
        <v/>
      </c>
      <c r="E1318" s="59" t="str">
        <f t="shared" si="743"/>
        <v/>
      </c>
      <c r="F1318" s="59"/>
      <c r="G1318" s="59"/>
      <c r="H1318" s="59"/>
      <c r="I1318" s="59"/>
      <c r="J1318" s="59"/>
      <c r="K1318" s="60">
        <f t="shared" ref="K1318:X1318" si="755">IF(AND($D1318="tak",$E1318="prace rozwojowe",Modul_badawczo_rozwojowy=tak),ROUND(K835*K509,0),0)</f>
        <v>0</v>
      </c>
      <c r="L1318" s="60">
        <f t="shared" si="755"/>
        <v>0</v>
      </c>
      <c r="M1318" s="60">
        <f t="shared" si="755"/>
        <v>0</v>
      </c>
      <c r="N1318" s="60">
        <f t="shared" si="755"/>
        <v>0</v>
      </c>
      <c r="O1318" s="60">
        <f t="shared" si="755"/>
        <v>0</v>
      </c>
      <c r="P1318" s="60">
        <f t="shared" si="755"/>
        <v>0</v>
      </c>
      <c r="Q1318" s="60">
        <f t="shared" si="755"/>
        <v>0</v>
      </c>
      <c r="R1318" s="60">
        <f t="shared" si="755"/>
        <v>0</v>
      </c>
      <c r="S1318" s="60">
        <f t="shared" si="755"/>
        <v>0</v>
      </c>
      <c r="T1318" s="60">
        <f t="shared" si="755"/>
        <v>0</v>
      </c>
      <c r="U1318" s="60">
        <f t="shared" si="755"/>
        <v>0</v>
      </c>
      <c r="V1318" s="60">
        <f t="shared" si="755"/>
        <v>0</v>
      </c>
      <c r="W1318" s="60">
        <f t="shared" si="755"/>
        <v>0</v>
      </c>
      <c r="X1318" s="60">
        <f t="shared" si="755"/>
        <v>0</v>
      </c>
    </row>
    <row r="1319" spans="2:24" hidden="1">
      <c r="B1319" s="59" t="str">
        <f t="shared" si="743"/>
        <v/>
      </c>
      <c r="C1319" s="59" t="str">
        <f t="shared" si="743"/>
        <v/>
      </c>
      <c r="D1319" s="59" t="str">
        <f t="shared" si="743"/>
        <v/>
      </c>
      <c r="E1319" s="59" t="str">
        <f t="shared" si="743"/>
        <v/>
      </c>
      <c r="F1319" s="59"/>
      <c r="G1319" s="59"/>
      <c r="H1319" s="59"/>
      <c r="I1319" s="59"/>
      <c r="J1319" s="59"/>
      <c r="K1319" s="60">
        <f t="shared" ref="K1319:X1319" si="756">IF(AND($D1319="tak",$E1319="prace rozwojowe",Modul_badawczo_rozwojowy=tak),ROUND(K836*K510,0),0)</f>
        <v>0</v>
      </c>
      <c r="L1319" s="60">
        <f t="shared" si="756"/>
        <v>0</v>
      </c>
      <c r="M1319" s="60">
        <f t="shared" si="756"/>
        <v>0</v>
      </c>
      <c r="N1319" s="60">
        <f t="shared" si="756"/>
        <v>0</v>
      </c>
      <c r="O1319" s="60">
        <f t="shared" si="756"/>
        <v>0</v>
      </c>
      <c r="P1319" s="60">
        <f t="shared" si="756"/>
        <v>0</v>
      </c>
      <c r="Q1319" s="60">
        <f t="shared" si="756"/>
        <v>0</v>
      </c>
      <c r="R1319" s="60">
        <f t="shared" si="756"/>
        <v>0</v>
      </c>
      <c r="S1319" s="60">
        <f t="shared" si="756"/>
        <v>0</v>
      </c>
      <c r="T1319" s="60">
        <f t="shared" si="756"/>
        <v>0</v>
      </c>
      <c r="U1319" s="60">
        <f t="shared" si="756"/>
        <v>0</v>
      </c>
      <c r="V1319" s="60">
        <f t="shared" si="756"/>
        <v>0</v>
      </c>
      <c r="W1319" s="60">
        <f t="shared" si="756"/>
        <v>0</v>
      </c>
      <c r="X1319" s="60">
        <f t="shared" si="756"/>
        <v>0</v>
      </c>
    </row>
    <row r="1320" spans="2:24" hidden="1">
      <c r="B1320" s="59" t="str">
        <f t="shared" si="743"/>
        <v/>
      </c>
      <c r="C1320" s="59" t="str">
        <f t="shared" si="743"/>
        <v/>
      </c>
      <c r="D1320" s="59" t="str">
        <f t="shared" si="743"/>
        <v/>
      </c>
      <c r="E1320" s="59" t="str">
        <f t="shared" si="743"/>
        <v/>
      </c>
      <c r="F1320" s="59"/>
      <c r="G1320" s="59"/>
      <c r="H1320" s="59"/>
      <c r="I1320" s="59"/>
      <c r="J1320" s="59"/>
      <c r="K1320" s="60">
        <f t="shared" ref="K1320:X1320" si="757">IF(AND($D1320="tak",$E1320="prace rozwojowe",Modul_badawczo_rozwojowy=tak),ROUND(K837*K511,0),0)</f>
        <v>0</v>
      </c>
      <c r="L1320" s="60">
        <f t="shared" si="757"/>
        <v>0</v>
      </c>
      <c r="M1320" s="60">
        <f t="shared" si="757"/>
        <v>0</v>
      </c>
      <c r="N1320" s="60">
        <f t="shared" si="757"/>
        <v>0</v>
      </c>
      <c r="O1320" s="60">
        <f t="shared" si="757"/>
        <v>0</v>
      </c>
      <c r="P1320" s="60">
        <f t="shared" si="757"/>
        <v>0</v>
      </c>
      <c r="Q1320" s="60">
        <f t="shared" si="757"/>
        <v>0</v>
      </c>
      <c r="R1320" s="60">
        <f t="shared" si="757"/>
        <v>0</v>
      </c>
      <c r="S1320" s="60">
        <f t="shared" si="757"/>
        <v>0</v>
      </c>
      <c r="T1320" s="60">
        <f t="shared" si="757"/>
        <v>0</v>
      </c>
      <c r="U1320" s="60">
        <f t="shared" si="757"/>
        <v>0</v>
      </c>
      <c r="V1320" s="60">
        <f t="shared" si="757"/>
        <v>0</v>
      </c>
      <c r="W1320" s="60">
        <f t="shared" si="757"/>
        <v>0</v>
      </c>
      <c r="X1320" s="60">
        <f t="shared" si="757"/>
        <v>0</v>
      </c>
    </row>
    <row r="1321" spans="2:24" hidden="1">
      <c r="B1321" s="59" t="str">
        <f t="shared" si="743"/>
        <v/>
      </c>
      <c r="C1321" s="59" t="str">
        <f t="shared" si="743"/>
        <v/>
      </c>
      <c r="D1321" s="59" t="str">
        <f t="shared" si="743"/>
        <v/>
      </c>
      <c r="E1321" s="59" t="str">
        <f t="shared" si="743"/>
        <v/>
      </c>
      <c r="F1321" s="59"/>
      <c r="G1321" s="59"/>
      <c r="H1321" s="59"/>
      <c r="I1321" s="59"/>
      <c r="J1321" s="59"/>
      <c r="K1321" s="60">
        <f t="shared" ref="K1321:X1321" si="758">IF(AND($D1321="tak",$E1321="prace rozwojowe",Modul_badawczo_rozwojowy=tak),ROUND(K838*K512,0),0)</f>
        <v>0</v>
      </c>
      <c r="L1321" s="60">
        <f t="shared" si="758"/>
        <v>0</v>
      </c>
      <c r="M1321" s="60">
        <f t="shared" si="758"/>
        <v>0</v>
      </c>
      <c r="N1321" s="60">
        <f t="shared" si="758"/>
        <v>0</v>
      </c>
      <c r="O1321" s="60">
        <f t="shared" si="758"/>
        <v>0</v>
      </c>
      <c r="P1321" s="60">
        <f t="shared" si="758"/>
        <v>0</v>
      </c>
      <c r="Q1321" s="60">
        <f t="shared" si="758"/>
        <v>0</v>
      </c>
      <c r="R1321" s="60">
        <f t="shared" si="758"/>
        <v>0</v>
      </c>
      <c r="S1321" s="60">
        <f t="shared" si="758"/>
        <v>0</v>
      </c>
      <c r="T1321" s="60">
        <f t="shared" si="758"/>
        <v>0</v>
      </c>
      <c r="U1321" s="60">
        <f t="shared" si="758"/>
        <v>0</v>
      </c>
      <c r="V1321" s="60">
        <f t="shared" si="758"/>
        <v>0</v>
      </c>
      <c r="W1321" s="60">
        <f t="shared" si="758"/>
        <v>0</v>
      </c>
      <c r="X1321" s="60">
        <f t="shared" si="758"/>
        <v>0</v>
      </c>
    </row>
    <row r="1322" spans="2:24" hidden="1">
      <c r="B1322" s="59" t="str">
        <f t="shared" si="743"/>
        <v/>
      </c>
      <c r="C1322" s="59" t="str">
        <f t="shared" si="743"/>
        <v/>
      </c>
      <c r="D1322" s="59" t="str">
        <f t="shared" si="743"/>
        <v/>
      </c>
      <c r="E1322" s="59" t="str">
        <f t="shared" si="743"/>
        <v/>
      </c>
      <c r="F1322" s="59"/>
      <c r="G1322" s="59"/>
      <c r="H1322" s="59"/>
      <c r="I1322" s="59"/>
      <c r="J1322" s="59"/>
      <c r="K1322" s="60">
        <f t="shared" ref="K1322:X1322" si="759">IF(AND($D1322="tak",$E1322="prace rozwojowe",Modul_badawczo_rozwojowy=tak),ROUND(K839*K513,0),0)</f>
        <v>0</v>
      </c>
      <c r="L1322" s="60">
        <f t="shared" si="759"/>
        <v>0</v>
      </c>
      <c r="M1322" s="60">
        <f t="shared" si="759"/>
        <v>0</v>
      </c>
      <c r="N1322" s="60">
        <f t="shared" si="759"/>
        <v>0</v>
      </c>
      <c r="O1322" s="60">
        <f t="shared" si="759"/>
        <v>0</v>
      </c>
      <c r="P1322" s="60">
        <f t="shared" si="759"/>
        <v>0</v>
      </c>
      <c r="Q1322" s="60">
        <f t="shared" si="759"/>
        <v>0</v>
      </c>
      <c r="R1322" s="60">
        <f t="shared" si="759"/>
        <v>0</v>
      </c>
      <c r="S1322" s="60">
        <f t="shared" si="759"/>
        <v>0</v>
      </c>
      <c r="T1322" s="60">
        <f t="shared" si="759"/>
        <v>0</v>
      </c>
      <c r="U1322" s="60">
        <f t="shared" si="759"/>
        <v>0</v>
      </c>
      <c r="V1322" s="60">
        <f t="shared" si="759"/>
        <v>0</v>
      </c>
      <c r="W1322" s="60">
        <f t="shared" si="759"/>
        <v>0</v>
      </c>
      <c r="X1322" s="60">
        <f t="shared" si="759"/>
        <v>0</v>
      </c>
    </row>
    <row r="1323" spans="2:24" hidden="1">
      <c r="B1323" s="59" t="str">
        <f t="shared" si="743"/>
        <v/>
      </c>
      <c r="C1323" s="59" t="str">
        <f t="shared" si="743"/>
        <v/>
      </c>
      <c r="D1323" s="59" t="str">
        <f t="shared" si="743"/>
        <v/>
      </c>
      <c r="E1323" s="59" t="str">
        <f t="shared" si="743"/>
        <v/>
      </c>
      <c r="F1323" s="59"/>
      <c r="G1323" s="59"/>
      <c r="H1323" s="59"/>
      <c r="I1323" s="59"/>
      <c r="J1323" s="59"/>
      <c r="K1323" s="60">
        <f t="shared" ref="K1323:X1323" si="760">IF(AND($D1323="tak",$E1323="prace rozwojowe",Modul_badawczo_rozwojowy=tak),ROUND(K840*K514,0),0)</f>
        <v>0</v>
      </c>
      <c r="L1323" s="60">
        <f t="shared" si="760"/>
        <v>0</v>
      </c>
      <c r="M1323" s="60">
        <f t="shared" si="760"/>
        <v>0</v>
      </c>
      <c r="N1323" s="60">
        <f t="shared" si="760"/>
        <v>0</v>
      </c>
      <c r="O1323" s="60">
        <f t="shared" si="760"/>
        <v>0</v>
      </c>
      <c r="P1323" s="60">
        <f t="shared" si="760"/>
        <v>0</v>
      </c>
      <c r="Q1323" s="60">
        <f t="shared" si="760"/>
        <v>0</v>
      </c>
      <c r="R1323" s="60">
        <f t="shared" si="760"/>
        <v>0</v>
      </c>
      <c r="S1323" s="60">
        <f t="shared" si="760"/>
        <v>0</v>
      </c>
      <c r="T1323" s="60">
        <f t="shared" si="760"/>
        <v>0</v>
      </c>
      <c r="U1323" s="60">
        <f t="shared" si="760"/>
        <v>0</v>
      </c>
      <c r="V1323" s="60">
        <f t="shared" si="760"/>
        <v>0</v>
      </c>
      <c r="W1323" s="60">
        <f t="shared" si="760"/>
        <v>0</v>
      </c>
      <c r="X1323" s="60">
        <f t="shared" si="760"/>
        <v>0</v>
      </c>
    </row>
    <row r="1324" spans="2:24" hidden="1">
      <c r="B1324" s="59" t="str">
        <f t="shared" si="743"/>
        <v/>
      </c>
      <c r="C1324" s="59" t="str">
        <f t="shared" si="743"/>
        <v/>
      </c>
      <c r="D1324" s="59" t="str">
        <f t="shared" si="743"/>
        <v/>
      </c>
      <c r="E1324" s="59" t="str">
        <f t="shared" si="743"/>
        <v/>
      </c>
      <c r="F1324" s="59"/>
      <c r="G1324" s="59"/>
      <c r="H1324" s="59"/>
      <c r="I1324" s="59"/>
      <c r="J1324" s="59"/>
      <c r="K1324" s="60">
        <f t="shared" ref="K1324:X1324" si="761">IF(AND($D1324="tak",$E1324="prace rozwojowe",Modul_badawczo_rozwojowy=tak),ROUND(K841*K515,0),0)</f>
        <v>0</v>
      </c>
      <c r="L1324" s="60">
        <f t="shared" si="761"/>
        <v>0</v>
      </c>
      <c r="M1324" s="60">
        <f t="shared" si="761"/>
        <v>0</v>
      </c>
      <c r="N1324" s="60">
        <f t="shared" si="761"/>
        <v>0</v>
      </c>
      <c r="O1324" s="60">
        <f t="shared" si="761"/>
        <v>0</v>
      </c>
      <c r="P1324" s="60">
        <f t="shared" si="761"/>
        <v>0</v>
      </c>
      <c r="Q1324" s="60">
        <f t="shared" si="761"/>
        <v>0</v>
      </c>
      <c r="R1324" s="60">
        <f t="shared" si="761"/>
        <v>0</v>
      </c>
      <c r="S1324" s="60">
        <f t="shared" si="761"/>
        <v>0</v>
      </c>
      <c r="T1324" s="60">
        <f t="shared" si="761"/>
        <v>0</v>
      </c>
      <c r="U1324" s="60">
        <f t="shared" si="761"/>
        <v>0</v>
      </c>
      <c r="V1324" s="60">
        <f t="shared" si="761"/>
        <v>0</v>
      </c>
      <c r="W1324" s="60">
        <f t="shared" si="761"/>
        <v>0</v>
      </c>
      <c r="X1324" s="60">
        <f t="shared" si="761"/>
        <v>0</v>
      </c>
    </row>
    <row r="1325" spans="2:24" hidden="1">
      <c r="B1325" s="59" t="str">
        <f t="shared" si="743"/>
        <v/>
      </c>
      <c r="C1325" s="59" t="str">
        <f t="shared" si="743"/>
        <v/>
      </c>
      <c r="D1325" s="59" t="str">
        <f t="shared" si="743"/>
        <v/>
      </c>
      <c r="E1325" s="59" t="str">
        <f t="shared" si="743"/>
        <v/>
      </c>
      <c r="F1325" s="59"/>
      <c r="G1325" s="59"/>
      <c r="H1325" s="59"/>
      <c r="I1325" s="59"/>
      <c r="J1325" s="59"/>
      <c r="K1325" s="60">
        <f t="shared" ref="K1325:X1325" si="762">IF(AND($D1325="tak",$E1325="prace rozwojowe",Modul_badawczo_rozwojowy=tak),ROUND(K842*K516,0),0)</f>
        <v>0</v>
      </c>
      <c r="L1325" s="60">
        <f t="shared" si="762"/>
        <v>0</v>
      </c>
      <c r="M1325" s="60">
        <f t="shared" si="762"/>
        <v>0</v>
      </c>
      <c r="N1325" s="60">
        <f t="shared" si="762"/>
        <v>0</v>
      </c>
      <c r="O1325" s="60">
        <f t="shared" si="762"/>
        <v>0</v>
      </c>
      <c r="P1325" s="60">
        <f t="shared" si="762"/>
        <v>0</v>
      </c>
      <c r="Q1325" s="60">
        <f t="shared" si="762"/>
        <v>0</v>
      </c>
      <c r="R1325" s="60">
        <f t="shared" si="762"/>
        <v>0</v>
      </c>
      <c r="S1325" s="60">
        <f t="shared" si="762"/>
        <v>0</v>
      </c>
      <c r="T1325" s="60">
        <f t="shared" si="762"/>
        <v>0</v>
      </c>
      <c r="U1325" s="60">
        <f t="shared" si="762"/>
        <v>0</v>
      </c>
      <c r="V1325" s="60">
        <f t="shared" si="762"/>
        <v>0</v>
      </c>
      <c r="W1325" s="60">
        <f t="shared" si="762"/>
        <v>0</v>
      </c>
      <c r="X1325" s="60">
        <f t="shared" si="762"/>
        <v>0</v>
      </c>
    </row>
    <row r="1326" spans="2:24" hidden="1">
      <c r="B1326" s="59" t="str">
        <f t="shared" si="743"/>
        <v/>
      </c>
      <c r="C1326" s="59" t="str">
        <f t="shared" si="743"/>
        <v/>
      </c>
      <c r="D1326" s="59" t="str">
        <f t="shared" si="743"/>
        <v/>
      </c>
      <c r="E1326" s="59" t="str">
        <f t="shared" si="743"/>
        <v/>
      </c>
      <c r="F1326" s="59"/>
      <c r="G1326" s="59"/>
      <c r="H1326" s="59"/>
      <c r="I1326" s="59"/>
      <c r="J1326" s="59"/>
      <c r="K1326" s="60">
        <f t="shared" ref="K1326:X1326" si="763">IF(AND($D1326="tak",$E1326="prace rozwojowe",Modul_badawczo_rozwojowy=tak),ROUND(K843*K517,0),0)</f>
        <v>0</v>
      </c>
      <c r="L1326" s="60">
        <f t="shared" si="763"/>
        <v>0</v>
      </c>
      <c r="M1326" s="60">
        <f t="shared" si="763"/>
        <v>0</v>
      </c>
      <c r="N1326" s="60">
        <f t="shared" si="763"/>
        <v>0</v>
      </c>
      <c r="O1326" s="60">
        <f t="shared" si="763"/>
        <v>0</v>
      </c>
      <c r="P1326" s="60">
        <f t="shared" si="763"/>
        <v>0</v>
      </c>
      <c r="Q1326" s="60">
        <f t="shared" si="763"/>
        <v>0</v>
      </c>
      <c r="R1326" s="60">
        <f t="shared" si="763"/>
        <v>0</v>
      </c>
      <c r="S1326" s="60">
        <f t="shared" si="763"/>
        <v>0</v>
      </c>
      <c r="T1326" s="60">
        <f t="shared" si="763"/>
        <v>0</v>
      </c>
      <c r="U1326" s="60">
        <f t="shared" si="763"/>
        <v>0</v>
      </c>
      <c r="V1326" s="60">
        <f t="shared" si="763"/>
        <v>0</v>
      </c>
      <c r="W1326" s="60">
        <f t="shared" si="763"/>
        <v>0</v>
      </c>
      <c r="X1326" s="60">
        <f t="shared" si="763"/>
        <v>0</v>
      </c>
    </row>
    <row r="1327" spans="2:24" hidden="1">
      <c r="B1327" s="20" t="s">
        <v>322</v>
      </c>
      <c r="C1327" s="20"/>
      <c r="D1327" s="80"/>
      <c r="E1327" s="21"/>
      <c r="F1327" s="21"/>
      <c r="G1327" s="21"/>
      <c r="H1327" s="21"/>
      <c r="I1327" s="21"/>
      <c r="J1327" s="21"/>
      <c r="K1327" s="61">
        <f t="shared" ref="K1327:X1327" si="764">ROUND(SUM(K1287:K1326),0)</f>
        <v>0</v>
      </c>
      <c r="L1327" s="61">
        <f t="shared" si="764"/>
        <v>0</v>
      </c>
      <c r="M1327" s="61">
        <f t="shared" si="764"/>
        <v>0</v>
      </c>
      <c r="N1327" s="61">
        <f t="shared" si="764"/>
        <v>0</v>
      </c>
      <c r="O1327" s="61">
        <f t="shared" si="764"/>
        <v>0</v>
      </c>
      <c r="P1327" s="61">
        <f t="shared" si="764"/>
        <v>0</v>
      </c>
      <c r="Q1327" s="61">
        <f t="shared" si="764"/>
        <v>0</v>
      </c>
      <c r="R1327" s="61">
        <f t="shared" si="764"/>
        <v>0</v>
      </c>
      <c r="S1327" s="61">
        <f t="shared" si="764"/>
        <v>0</v>
      </c>
      <c r="T1327" s="61">
        <f t="shared" si="764"/>
        <v>0</v>
      </c>
      <c r="U1327" s="61">
        <f t="shared" si="764"/>
        <v>0</v>
      </c>
      <c r="V1327" s="61">
        <f t="shared" si="764"/>
        <v>0</v>
      </c>
      <c r="W1327" s="61">
        <f t="shared" si="764"/>
        <v>0</v>
      </c>
      <c r="X1327" s="61">
        <f t="shared" si="764"/>
        <v>0</v>
      </c>
    </row>
    <row r="1328" spans="2:24" hidden="1">
      <c r="B1328" s="21"/>
      <c r="C1328" s="21"/>
      <c r="D1328" s="80"/>
      <c r="E1328" s="21"/>
      <c r="F1328" s="21"/>
      <c r="G1328" s="21"/>
      <c r="H1328" s="21"/>
      <c r="I1328" s="21"/>
      <c r="J1328" s="21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</row>
    <row r="1329" spans="2:24" hidden="1">
      <c r="B1329" s="21"/>
      <c r="C1329" s="21"/>
      <c r="D1329" s="80"/>
      <c r="E1329" s="21"/>
      <c r="F1329" s="21"/>
      <c r="G1329" s="21"/>
      <c r="H1329" s="21"/>
      <c r="I1329" s="21"/>
      <c r="J1329" s="21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</row>
    <row r="1330" spans="2:24" hidden="1">
      <c r="B1330" s="20" t="s">
        <v>323</v>
      </c>
      <c r="C1330" s="20"/>
      <c r="D1330" s="82" t="s">
        <v>336</v>
      </c>
      <c r="E1330" s="20" t="s">
        <v>337</v>
      </c>
      <c r="F1330" s="21"/>
      <c r="G1330" s="21"/>
      <c r="H1330" s="21"/>
      <c r="I1330" s="21"/>
      <c r="J1330" s="21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</row>
    <row r="1331" spans="2:24" hidden="1">
      <c r="B1331" s="59" t="str">
        <f t="shared" ref="B1331:E1360" si="765">IF(ISBLANK(B848),"",B848)</f>
        <v/>
      </c>
      <c r="C1331" s="59" t="str">
        <f t="shared" si="765"/>
        <v/>
      </c>
      <c r="D1331" s="59" t="str">
        <f t="shared" si="765"/>
        <v/>
      </c>
      <c r="E1331" s="59" t="str">
        <f t="shared" si="765"/>
        <v/>
      </c>
      <c r="F1331" s="59"/>
      <c r="G1331" s="59"/>
      <c r="H1331" s="59"/>
      <c r="I1331" s="59"/>
      <c r="J1331" s="59"/>
      <c r="K1331" s="60">
        <f t="shared" ref="K1331:X1331" si="766">IF(AND($D1331="tak",$E1331="prace rozwojowe",Modul_badawczo_rozwojowy=tak),ROUND(K848*K553,0),0)</f>
        <v>0</v>
      </c>
      <c r="L1331" s="60">
        <f t="shared" si="766"/>
        <v>0</v>
      </c>
      <c r="M1331" s="60">
        <f t="shared" si="766"/>
        <v>0</v>
      </c>
      <c r="N1331" s="60">
        <f t="shared" si="766"/>
        <v>0</v>
      </c>
      <c r="O1331" s="60">
        <f t="shared" si="766"/>
        <v>0</v>
      </c>
      <c r="P1331" s="60">
        <f t="shared" si="766"/>
        <v>0</v>
      </c>
      <c r="Q1331" s="60">
        <f t="shared" si="766"/>
        <v>0</v>
      </c>
      <c r="R1331" s="60">
        <f t="shared" si="766"/>
        <v>0</v>
      </c>
      <c r="S1331" s="60">
        <f t="shared" si="766"/>
        <v>0</v>
      </c>
      <c r="T1331" s="60">
        <f t="shared" si="766"/>
        <v>0</v>
      </c>
      <c r="U1331" s="60">
        <f t="shared" si="766"/>
        <v>0</v>
      </c>
      <c r="V1331" s="60">
        <f t="shared" si="766"/>
        <v>0</v>
      </c>
      <c r="W1331" s="60">
        <f t="shared" si="766"/>
        <v>0</v>
      </c>
      <c r="X1331" s="60">
        <f t="shared" si="766"/>
        <v>0</v>
      </c>
    </row>
    <row r="1332" spans="2:24" hidden="1">
      <c r="B1332" s="59" t="str">
        <f t="shared" si="765"/>
        <v/>
      </c>
      <c r="C1332" s="59" t="str">
        <f t="shared" si="765"/>
        <v/>
      </c>
      <c r="D1332" s="59" t="str">
        <f t="shared" si="765"/>
        <v/>
      </c>
      <c r="E1332" s="59" t="str">
        <f t="shared" si="765"/>
        <v/>
      </c>
      <c r="F1332" s="59"/>
      <c r="G1332" s="59"/>
      <c r="H1332" s="59"/>
      <c r="I1332" s="59"/>
      <c r="J1332" s="59"/>
      <c r="K1332" s="60">
        <f t="shared" ref="K1332:X1332" si="767">IF(AND($D1332="tak",$E1332="prace rozwojowe",Modul_badawczo_rozwojowy=tak),ROUND(K849*K554,0),0)</f>
        <v>0</v>
      </c>
      <c r="L1332" s="60">
        <f t="shared" si="767"/>
        <v>0</v>
      </c>
      <c r="M1332" s="60">
        <f t="shared" si="767"/>
        <v>0</v>
      </c>
      <c r="N1332" s="60">
        <f t="shared" si="767"/>
        <v>0</v>
      </c>
      <c r="O1332" s="60">
        <f t="shared" si="767"/>
        <v>0</v>
      </c>
      <c r="P1332" s="60">
        <f t="shared" si="767"/>
        <v>0</v>
      </c>
      <c r="Q1332" s="60">
        <f t="shared" si="767"/>
        <v>0</v>
      </c>
      <c r="R1332" s="60">
        <f t="shared" si="767"/>
        <v>0</v>
      </c>
      <c r="S1332" s="60">
        <f t="shared" si="767"/>
        <v>0</v>
      </c>
      <c r="T1332" s="60">
        <f t="shared" si="767"/>
        <v>0</v>
      </c>
      <c r="U1332" s="60">
        <f t="shared" si="767"/>
        <v>0</v>
      </c>
      <c r="V1332" s="60">
        <f t="shared" si="767"/>
        <v>0</v>
      </c>
      <c r="W1332" s="60">
        <f t="shared" si="767"/>
        <v>0</v>
      </c>
      <c r="X1332" s="60">
        <f t="shared" si="767"/>
        <v>0</v>
      </c>
    </row>
    <row r="1333" spans="2:24" hidden="1">
      <c r="B1333" s="59" t="str">
        <f t="shared" si="765"/>
        <v/>
      </c>
      <c r="C1333" s="59" t="str">
        <f t="shared" si="765"/>
        <v/>
      </c>
      <c r="D1333" s="59" t="str">
        <f t="shared" si="765"/>
        <v/>
      </c>
      <c r="E1333" s="59" t="str">
        <f t="shared" si="765"/>
        <v/>
      </c>
      <c r="F1333" s="59"/>
      <c r="G1333" s="59"/>
      <c r="H1333" s="59"/>
      <c r="I1333" s="59"/>
      <c r="J1333" s="59"/>
      <c r="K1333" s="60">
        <f t="shared" ref="K1333:X1333" si="768">IF(AND($D1333="tak",$E1333="prace rozwojowe",Modul_badawczo_rozwojowy=tak),ROUND(K850*K555,0),0)</f>
        <v>0</v>
      </c>
      <c r="L1333" s="60">
        <f t="shared" si="768"/>
        <v>0</v>
      </c>
      <c r="M1333" s="60">
        <f t="shared" si="768"/>
        <v>0</v>
      </c>
      <c r="N1333" s="60">
        <f t="shared" si="768"/>
        <v>0</v>
      </c>
      <c r="O1333" s="60">
        <f t="shared" si="768"/>
        <v>0</v>
      </c>
      <c r="P1333" s="60">
        <f t="shared" si="768"/>
        <v>0</v>
      </c>
      <c r="Q1333" s="60">
        <f t="shared" si="768"/>
        <v>0</v>
      </c>
      <c r="R1333" s="60">
        <f t="shared" si="768"/>
        <v>0</v>
      </c>
      <c r="S1333" s="60">
        <f t="shared" si="768"/>
        <v>0</v>
      </c>
      <c r="T1333" s="60">
        <f t="shared" si="768"/>
        <v>0</v>
      </c>
      <c r="U1333" s="60">
        <f t="shared" si="768"/>
        <v>0</v>
      </c>
      <c r="V1333" s="60">
        <f t="shared" si="768"/>
        <v>0</v>
      </c>
      <c r="W1333" s="60">
        <f t="shared" si="768"/>
        <v>0</v>
      </c>
      <c r="X1333" s="60">
        <f t="shared" si="768"/>
        <v>0</v>
      </c>
    </row>
    <row r="1334" spans="2:24" hidden="1">
      <c r="B1334" s="59" t="str">
        <f t="shared" si="765"/>
        <v/>
      </c>
      <c r="C1334" s="59" t="str">
        <f t="shared" si="765"/>
        <v/>
      </c>
      <c r="D1334" s="59" t="str">
        <f t="shared" si="765"/>
        <v/>
      </c>
      <c r="E1334" s="59" t="str">
        <f t="shared" si="765"/>
        <v/>
      </c>
      <c r="F1334" s="59"/>
      <c r="G1334" s="59"/>
      <c r="H1334" s="59"/>
      <c r="I1334" s="59"/>
      <c r="J1334" s="59"/>
      <c r="K1334" s="60">
        <f t="shared" ref="K1334:X1334" si="769">IF(AND($D1334="tak",$E1334="prace rozwojowe",Modul_badawczo_rozwojowy=tak),ROUND(K851*K556,0),0)</f>
        <v>0</v>
      </c>
      <c r="L1334" s="60">
        <f t="shared" si="769"/>
        <v>0</v>
      </c>
      <c r="M1334" s="60">
        <f t="shared" si="769"/>
        <v>0</v>
      </c>
      <c r="N1334" s="60">
        <f t="shared" si="769"/>
        <v>0</v>
      </c>
      <c r="O1334" s="60">
        <f t="shared" si="769"/>
        <v>0</v>
      </c>
      <c r="P1334" s="60">
        <f t="shared" si="769"/>
        <v>0</v>
      </c>
      <c r="Q1334" s="60">
        <f t="shared" si="769"/>
        <v>0</v>
      </c>
      <c r="R1334" s="60">
        <f t="shared" si="769"/>
        <v>0</v>
      </c>
      <c r="S1334" s="60">
        <f t="shared" si="769"/>
        <v>0</v>
      </c>
      <c r="T1334" s="60">
        <f t="shared" si="769"/>
        <v>0</v>
      </c>
      <c r="U1334" s="60">
        <f t="shared" si="769"/>
        <v>0</v>
      </c>
      <c r="V1334" s="60">
        <f t="shared" si="769"/>
        <v>0</v>
      </c>
      <c r="W1334" s="60">
        <f t="shared" si="769"/>
        <v>0</v>
      </c>
      <c r="X1334" s="60">
        <f t="shared" si="769"/>
        <v>0</v>
      </c>
    </row>
    <row r="1335" spans="2:24" hidden="1">
      <c r="B1335" s="59" t="str">
        <f t="shared" si="765"/>
        <v/>
      </c>
      <c r="C1335" s="59" t="str">
        <f t="shared" si="765"/>
        <v/>
      </c>
      <c r="D1335" s="59" t="str">
        <f t="shared" si="765"/>
        <v/>
      </c>
      <c r="E1335" s="59" t="str">
        <f t="shared" si="765"/>
        <v/>
      </c>
      <c r="F1335" s="59"/>
      <c r="G1335" s="59"/>
      <c r="H1335" s="59"/>
      <c r="I1335" s="59"/>
      <c r="J1335" s="59"/>
      <c r="K1335" s="60">
        <f t="shared" ref="K1335:X1335" si="770">IF(AND($D1335="tak",$E1335="prace rozwojowe",Modul_badawczo_rozwojowy=tak),ROUND(K852*K557,0),0)</f>
        <v>0</v>
      </c>
      <c r="L1335" s="60">
        <f t="shared" si="770"/>
        <v>0</v>
      </c>
      <c r="M1335" s="60">
        <f t="shared" si="770"/>
        <v>0</v>
      </c>
      <c r="N1335" s="60">
        <f t="shared" si="770"/>
        <v>0</v>
      </c>
      <c r="O1335" s="60">
        <f t="shared" si="770"/>
        <v>0</v>
      </c>
      <c r="P1335" s="60">
        <f t="shared" si="770"/>
        <v>0</v>
      </c>
      <c r="Q1335" s="60">
        <f t="shared" si="770"/>
        <v>0</v>
      </c>
      <c r="R1335" s="60">
        <f t="shared" si="770"/>
        <v>0</v>
      </c>
      <c r="S1335" s="60">
        <f t="shared" si="770"/>
        <v>0</v>
      </c>
      <c r="T1335" s="60">
        <f t="shared" si="770"/>
        <v>0</v>
      </c>
      <c r="U1335" s="60">
        <f t="shared" si="770"/>
        <v>0</v>
      </c>
      <c r="V1335" s="60">
        <f t="shared" si="770"/>
        <v>0</v>
      </c>
      <c r="W1335" s="60">
        <f t="shared" si="770"/>
        <v>0</v>
      </c>
      <c r="X1335" s="60">
        <f t="shared" si="770"/>
        <v>0</v>
      </c>
    </row>
    <row r="1336" spans="2:24" hidden="1">
      <c r="B1336" s="59" t="str">
        <f t="shared" si="765"/>
        <v/>
      </c>
      <c r="C1336" s="59" t="str">
        <f t="shared" si="765"/>
        <v/>
      </c>
      <c r="D1336" s="59" t="str">
        <f t="shared" si="765"/>
        <v/>
      </c>
      <c r="E1336" s="59" t="str">
        <f t="shared" si="765"/>
        <v/>
      </c>
      <c r="F1336" s="59"/>
      <c r="G1336" s="59"/>
      <c r="H1336" s="59"/>
      <c r="I1336" s="59"/>
      <c r="J1336" s="59"/>
      <c r="K1336" s="60">
        <f t="shared" ref="K1336:X1336" si="771">IF(AND($D1336="tak",$E1336="prace rozwojowe",Modul_badawczo_rozwojowy=tak),ROUND(K853*K558,0),0)</f>
        <v>0</v>
      </c>
      <c r="L1336" s="60">
        <f t="shared" si="771"/>
        <v>0</v>
      </c>
      <c r="M1336" s="60">
        <f t="shared" si="771"/>
        <v>0</v>
      </c>
      <c r="N1336" s="60">
        <f t="shared" si="771"/>
        <v>0</v>
      </c>
      <c r="O1336" s="60">
        <f t="shared" si="771"/>
        <v>0</v>
      </c>
      <c r="P1336" s="60">
        <f t="shared" si="771"/>
        <v>0</v>
      </c>
      <c r="Q1336" s="60">
        <f t="shared" si="771"/>
        <v>0</v>
      </c>
      <c r="R1336" s="60">
        <f t="shared" si="771"/>
        <v>0</v>
      </c>
      <c r="S1336" s="60">
        <f t="shared" si="771"/>
        <v>0</v>
      </c>
      <c r="T1336" s="60">
        <f t="shared" si="771"/>
        <v>0</v>
      </c>
      <c r="U1336" s="60">
        <f t="shared" si="771"/>
        <v>0</v>
      </c>
      <c r="V1336" s="60">
        <f t="shared" si="771"/>
        <v>0</v>
      </c>
      <c r="W1336" s="60">
        <f t="shared" si="771"/>
        <v>0</v>
      </c>
      <c r="X1336" s="60">
        <f t="shared" si="771"/>
        <v>0</v>
      </c>
    </row>
    <row r="1337" spans="2:24" hidden="1">
      <c r="B1337" s="59" t="str">
        <f t="shared" si="765"/>
        <v/>
      </c>
      <c r="C1337" s="59" t="str">
        <f t="shared" si="765"/>
        <v/>
      </c>
      <c r="D1337" s="59" t="str">
        <f t="shared" si="765"/>
        <v/>
      </c>
      <c r="E1337" s="59" t="str">
        <f t="shared" si="765"/>
        <v/>
      </c>
      <c r="F1337" s="59"/>
      <c r="G1337" s="59"/>
      <c r="H1337" s="59"/>
      <c r="I1337" s="59"/>
      <c r="J1337" s="59"/>
      <c r="K1337" s="60">
        <f t="shared" ref="K1337:X1337" si="772">IF(AND($D1337="tak",$E1337="prace rozwojowe",Modul_badawczo_rozwojowy=tak),ROUND(K854*K559,0),0)</f>
        <v>0</v>
      </c>
      <c r="L1337" s="60">
        <f t="shared" si="772"/>
        <v>0</v>
      </c>
      <c r="M1337" s="60">
        <f t="shared" si="772"/>
        <v>0</v>
      </c>
      <c r="N1337" s="60">
        <f t="shared" si="772"/>
        <v>0</v>
      </c>
      <c r="O1337" s="60">
        <f t="shared" si="772"/>
        <v>0</v>
      </c>
      <c r="P1337" s="60">
        <f t="shared" si="772"/>
        <v>0</v>
      </c>
      <c r="Q1337" s="60">
        <f t="shared" si="772"/>
        <v>0</v>
      </c>
      <c r="R1337" s="60">
        <f t="shared" si="772"/>
        <v>0</v>
      </c>
      <c r="S1337" s="60">
        <f t="shared" si="772"/>
        <v>0</v>
      </c>
      <c r="T1337" s="60">
        <f t="shared" si="772"/>
        <v>0</v>
      </c>
      <c r="U1337" s="60">
        <f t="shared" si="772"/>
        <v>0</v>
      </c>
      <c r="V1337" s="60">
        <f t="shared" si="772"/>
        <v>0</v>
      </c>
      <c r="W1337" s="60">
        <f t="shared" si="772"/>
        <v>0</v>
      </c>
      <c r="X1337" s="60">
        <f t="shared" si="772"/>
        <v>0</v>
      </c>
    </row>
    <row r="1338" spans="2:24" hidden="1">
      <c r="B1338" s="59" t="str">
        <f t="shared" si="765"/>
        <v/>
      </c>
      <c r="C1338" s="59" t="str">
        <f t="shared" si="765"/>
        <v/>
      </c>
      <c r="D1338" s="59" t="str">
        <f t="shared" si="765"/>
        <v/>
      </c>
      <c r="E1338" s="59" t="str">
        <f t="shared" si="765"/>
        <v/>
      </c>
      <c r="F1338" s="59"/>
      <c r="G1338" s="59"/>
      <c r="H1338" s="59"/>
      <c r="I1338" s="59"/>
      <c r="J1338" s="59"/>
      <c r="K1338" s="60">
        <f t="shared" ref="K1338:X1338" si="773">IF(AND($D1338="tak",$E1338="prace rozwojowe",Modul_badawczo_rozwojowy=tak),ROUND(K855*K560,0),0)</f>
        <v>0</v>
      </c>
      <c r="L1338" s="60">
        <f t="shared" si="773"/>
        <v>0</v>
      </c>
      <c r="M1338" s="60">
        <f t="shared" si="773"/>
        <v>0</v>
      </c>
      <c r="N1338" s="60">
        <f t="shared" si="773"/>
        <v>0</v>
      </c>
      <c r="O1338" s="60">
        <f t="shared" si="773"/>
        <v>0</v>
      </c>
      <c r="P1338" s="60">
        <f t="shared" si="773"/>
        <v>0</v>
      </c>
      <c r="Q1338" s="60">
        <f t="shared" si="773"/>
        <v>0</v>
      </c>
      <c r="R1338" s="60">
        <f t="shared" si="773"/>
        <v>0</v>
      </c>
      <c r="S1338" s="60">
        <f t="shared" si="773"/>
        <v>0</v>
      </c>
      <c r="T1338" s="60">
        <f t="shared" si="773"/>
        <v>0</v>
      </c>
      <c r="U1338" s="60">
        <f t="shared" si="773"/>
        <v>0</v>
      </c>
      <c r="V1338" s="60">
        <f t="shared" si="773"/>
        <v>0</v>
      </c>
      <c r="W1338" s="60">
        <f t="shared" si="773"/>
        <v>0</v>
      </c>
      <c r="X1338" s="60">
        <f t="shared" si="773"/>
        <v>0</v>
      </c>
    </row>
    <row r="1339" spans="2:24" hidden="1">
      <c r="B1339" s="59" t="str">
        <f t="shared" si="765"/>
        <v/>
      </c>
      <c r="C1339" s="59" t="str">
        <f t="shared" si="765"/>
        <v/>
      </c>
      <c r="D1339" s="59" t="str">
        <f t="shared" si="765"/>
        <v/>
      </c>
      <c r="E1339" s="59" t="str">
        <f t="shared" si="765"/>
        <v/>
      </c>
      <c r="F1339" s="59"/>
      <c r="G1339" s="59"/>
      <c r="H1339" s="59"/>
      <c r="I1339" s="59"/>
      <c r="J1339" s="59"/>
      <c r="K1339" s="60">
        <f t="shared" ref="K1339:X1339" si="774">IF(AND($D1339="tak",$E1339="prace rozwojowe",Modul_badawczo_rozwojowy=tak),ROUND(K856*K561,0),0)</f>
        <v>0</v>
      </c>
      <c r="L1339" s="60">
        <f t="shared" si="774"/>
        <v>0</v>
      </c>
      <c r="M1339" s="60">
        <f t="shared" si="774"/>
        <v>0</v>
      </c>
      <c r="N1339" s="60">
        <f t="shared" si="774"/>
        <v>0</v>
      </c>
      <c r="O1339" s="60">
        <f t="shared" si="774"/>
        <v>0</v>
      </c>
      <c r="P1339" s="60">
        <f t="shared" si="774"/>
        <v>0</v>
      </c>
      <c r="Q1339" s="60">
        <f t="shared" si="774"/>
        <v>0</v>
      </c>
      <c r="R1339" s="60">
        <f t="shared" si="774"/>
        <v>0</v>
      </c>
      <c r="S1339" s="60">
        <f t="shared" si="774"/>
        <v>0</v>
      </c>
      <c r="T1339" s="60">
        <f t="shared" si="774"/>
        <v>0</v>
      </c>
      <c r="U1339" s="60">
        <f t="shared" si="774"/>
        <v>0</v>
      </c>
      <c r="V1339" s="60">
        <f t="shared" si="774"/>
        <v>0</v>
      </c>
      <c r="W1339" s="60">
        <f t="shared" si="774"/>
        <v>0</v>
      </c>
      <c r="X1339" s="60">
        <f t="shared" si="774"/>
        <v>0</v>
      </c>
    </row>
    <row r="1340" spans="2:24" hidden="1">
      <c r="B1340" s="59" t="str">
        <f t="shared" si="765"/>
        <v/>
      </c>
      <c r="C1340" s="59" t="str">
        <f t="shared" si="765"/>
        <v/>
      </c>
      <c r="D1340" s="59" t="str">
        <f t="shared" si="765"/>
        <v/>
      </c>
      <c r="E1340" s="59" t="str">
        <f t="shared" si="765"/>
        <v/>
      </c>
      <c r="F1340" s="59"/>
      <c r="G1340" s="59"/>
      <c r="H1340" s="59"/>
      <c r="I1340" s="59"/>
      <c r="J1340" s="59"/>
      <c r="K1340" s="60">
        <f t="shared" ref="K1340:X1340" si="775">IF(AND($D1340="tak",$E1340="prace rozwojowe",Modul_badawczo_rozwojowy=tak),ROUND(K857*K562,0),0)</f>
        <v>0</v>
      </c>
      <c r="L1340" s="60">
        <f t="shared" si="775"/>
        <v>0</v>
      </c>
      <c r="M1340" s="60">
        <f t="shared" si="775"/>
        <v>0</v>
      </c>
      <c r="N1340" s="60">
        <f t="shared" si="775"/>
        <v>0</v>
      </c>
      <c r="O1340" s="60">
        <f t="shared" si="775"/>
        <v>0</v>
      </c>
      <c r="P1340" s="60">
        <f t="shared" si="775"/>
        <v>0</v>
      </c>
      <c r="Q1340" s="60">
        <f t="shared" si="775"/>
        <v>0</v>
      </c>
      <c r="R1340" s="60">
        <f t="shared" si="775"/>
        <v>0</v>
      </c>
      <c r="S1340" s="60">
        <f t="shared" si="775"/>
        <v>0</v>
      </c>
      <c r="T1340" s="60">
        <f t="shared" si="775"/>
        <v>0</v>
      </c>
      <c r="U1340" s="60">
        <f t="shared" si="775"/>
        <v>0</v>
      </c>
      <c r="V1340" s="60">
        <f t="shared" si="775"/>
        <v>0</v>
      </c>
      <c r="W1340" s="60">
        <f t="shared" si="775"/>
        <v>0</v>
      </c>
      <c r="X1340" s="60">
        <f t="shared" si="775"/>
        <v>0</v>
      </c>
    </row>
    <row r="1341" spans="2:24" hidden="1">
      <c r="B1341" s="59" t="str">
        <f t="shared" si="765"/>
        <v/>
      </c>
      <c r="C1341" s="59" t="str">
        <f t="shared" si="765"/>
        <v/>
      </c>
      <c r="D1341" s="59" t="str">
        <f t="shared" si="765"/>
        <v/>
      </c>
      <c r="E1341" s="59" t="str">
        <f t="shared" si="765"/>
        <v/>
      </c>
      <c r="F1341" s="59"/>
      <c r="G1341" s="59"/>
      <c r="H1341" s="59"/>
      <c r="I1341" s="59"/>
      <c r="J1341" s="59"/>
      <c r="K1341" s="60">
        <f t="shared" ref="K1341:X1341" si="776">IF(AND($D1341="tak",$E1341="prace rozwojowe",Modul_badawczo_rozwojowy=tak),ROUND(K858*K563,0),0)</f>
        <v>0</v>
      </c>
      <c r="L1341" s="60">
        <f t="shared" si="776"/>
        <v>0</v>
      </c>
      <c r="M1341" s="60">
        <f t="shared" si="776"/>
        <v>0</v>
      </c>
      <c r="N1341" s="60">
        <f t="shared" si="776"/>
        <v>0</v>
      </c>
      <c r="O1341" s="60">
        <f t="shared" si="776"/>
        <v>0</v>
      </c>
      <c r="P1341" s="60">
        <f t="shared" si="776"/>
        <v>0</v>
      </c>
      <c r="Q1341" s="60">
        <f t="shared" si="776"/>
        <v>0</v>
      </c>
      <c r="R1341" s="60">
        <f t="shared" si="776"/>
        <v>0</v>
      </c>
      <c r="S1341" s="60">
        <f t="shared" si="776"/>
        <v>0</v>
      </c>
      <c r="T1341" s="60">
        <f t="shared" si="776"/>
        <v>0</v>
      </c>
      <c r="U1341" s="60">
        <f t="shared" si="776"/>
        <v>0</v>
      </c>
      <c r="V1341" s="60">
        <f t="shared" si="776"/>
        <v>0</v>
      </c>
      <c r="W1341" s="60">
        <f t="shared" si="776"/>
        <v>0</v>
      </c>
      <c r="X1341" s="60">
        <f t="shared" si="776"/>
        <v>0</v>
      </c>
    </row>
    <row r="1342" spans="2:24" hidden="1">
      <c r="B1342" s="59" t="str">
        <f t="shared" si="765"/>
        <v/>
      </c>
      <c r="C1342" s="59" t="str">
        <f t="shared" si="765"/>
        <v/>
      </c>
      <c r="D1342" s="59" t="str">
        <f t="shared" si="765"/>
        <v/>
      </c>
      <c r="E1342" s="59" t="str">
        <f t="shared" si="765"/>
        <v/>
      </c>
      <c r="F1342" s="59"/>
      <c r="G1342" s="59"/>
      <c r="H1342" s="59"/>
      <c r="I1342" s="59"/>
      <c r="J1342" s="59"/>
      <c r="K1342" s="60">
        <f t="shared" ref="K1342:X1342" si="777">IF(AND($D1342="tak",$E1342="prace rozwojowe",Modul_badawczo_rozwojowy=tak),ROUND(K859*K564,0),0)</f>
        <v>0</v>
      </c>
      <c r="L1342" s="60">
        <f t="shared" si="777"/>
        <v>0</v>
      </c>
      <c r="M1342" s="60">
        <f t="shared" si="777"/>
        <v>0</v>
      </c>
      <c r="N1342" s="60">
        <f t="shared" si="777"/>
        <v>0</v>
      </c>
      <c r="O1342" s="60">
        <f t="shared" si="777"/>
        <v>0</v>
      </c>
      <c r="P1342" s="60">
        <f t="shared" si="777"/>
        <v>0</v>
      </c>
      <c r="Q1342" s="60">
        <f t="shared" si="777"/>
        <v>0</v>
      </c>
      <c r="R1342" s="60">
        <f t="shared" si="777"/>
        <v>0</v>
      </c>
      <c r="S1342" s="60">
        <f t="shared" si="777"/>
        <v>0</v>
      </c>
      <c r="T1342" s="60">
        <f t="shared" si="777"/>
        <v>0</v>
      </c>
      <c r="U1342" s="60">
        <f t="shared" si="777"/>
        <v>0</v>
      </c>
      <c r="V1342" s="60">
        <f t="shared" si="777"/>
        <v>0</v>
      </c>
      <c r="W1342" s="60">
        <f t="shared" si="777"/>
        <v>0</v>
      </c>
      <c r="X1342" s="60">
        <f t="shared" si="777"/>
        <v>0</v>
      </c>
    </row>
    <row r="1343" spans="2:24" hidden="1">
      <c r="B1343" s="59" t="str">
        <f t="shared" si="765"/>
        <v/>
      </c>
      <c r="C1343" s="59" t="str">
        <f t="shared" si="765"/>
        <v/>
      </c>
      <c r="D1343" s="59" t="str">
        <f t="shared" si="765"/>
        <v/>
      </c>
      <c r="E1343" s="59" t="str">
        <f t="shared" si="765"/>
        <v/>
      </c>
      <c r="F1343" s="59"/>
      <c r="G1343" s="59"/>
      <c r="H1343" s="59"/>
      <c r="I1343" s="59"/>
      <c r="J1343" s="59"/>
      <c r="K1343" s="60">
        <f t="shared" ref="K1343:X1343" si="778">IF(AND($D1343="tak",$E1343="prace rozwojowe",Modul_badawczo_rozwojowy=tak),ROUND(K860*K565,0),0)</f>
        <v>0</v>
      </c>
      <c r="L1343" s="60">
        <f t="shared" si="778"/>
        <v>0</v>
      </c>
      <c r="M1343" s="60">
        <f t="shared" si="778"/>
        <v>0</v>
      </c>
      <c r="N1343" s="60">
        <f t="shared" si="778"/>
        <v>0</v>
      </c>
      <c r="O1343" s="60">
        <f t="shared" si="778"/>
        <v>0</v>
      </c>
      <c r="P1343" s="60">
        <f t="shared" si="778"/>
        <v>0</v>
      </c>
      <c r="Q1343" s="60">
        <f t="shared" si="778"/>
        <v>0</v>
      </c>
      <c r="R1343" s="60">
        <f t="shared" si="778"/>
        <v>0</v>
      </c>
      <c r="S1343" s="60">
        <f t="shared" si="778"/>
        <v>0</v>
      </c>
      <c r="T1343" s="60">
        <f t="shared" si="778"/>
        <v>0</v>
      </c>
      <c r="U1343" s="60">
        <f t="shared" si="778"/>
        <v>0</v>
      </c>
      <c r="V1343" s="60">
        <f t="shared" si="778"/>
        <v>0</v>
      </c>
      <c r="W1343" s="60">
        <f t="shared" si="778"/>
        <v>0</v>
      </c>
      <c r="X1343" s="60">
        <f t="shared" si="778"/>
        <v>0</v>
      </c>
    </row>
    <row r="1344" spans="2:24" hidden="1">
      <c r="B1344" s="59" t="str">
        <f t="shared" si="765"/>
        <v/>
      </c>
      <c r="C1344" s="59" t="str">
        <f t="shared" si="765"/>
        <v/>
      </c>
      <c r="D1344" s="59" t="str">
        <f t="shared" si="765"/>
        <v/>
      </c>
      <c r="E1344" s="59" t="str">
        <f t="shared" si="765"/>
        <v/>
      </c>
      <c r="F1344" s="59"/>
      <c r="G1344" s="59"/>
      <c r="H1344" s="59"/>
      <c r="I1344" s="59"/>
      <c r="J1344" s="59"/>
      <c r="K1344" s="60">
        <f t="shared" ref="K1344:X1344" si="779">IF(AND($D1344="tak",$E1344="prace rozwojowe",Modul_badawczo_rozwojowy=tak),ROUND(K861*K566,0),0)</f>
        <v>0</v>
      </c>
      <c r="L1344" s="60">
        <f t="shared" si="779"/>
        <v>0</v>
      </c>
      <c r="M1344" s="60">
        <f t="shared" si="779"/>
        <v>0</v>
      </c>
      <c r="N1344" s="60">
        <f t="shared" si="779"/>
        <v>0</v>
      </c>
      <c r="O1344" s="60">
        <f t="shared" si="779"/>
        <v>0</v>
      </c>
      <c r="P1344" s="60">
        <f t="shared" si="779"/>
        <v>0</v>
      </c>
      <c r="Q1344" s="60">
        <f t="shared" si="779"/>
        <v>0</v>
      </c>
      <c r="R1344" s="60">
        <f t="shared" si="779"/>
        <v>0</v>
      </c>
      <c r="S1344" s="60">
        <f t="shared" si="779"/>
        <v>0</v>
      </c>
      <c r="T1344" s="60">
        <f t="shared" si="779"/>
        <v>0</v>
      </c>
      <c r="U1344" s="60">
        <f t="shared" si="779"/>
        <v>0</v>
      </c>
      <c r="V1344" s="60">
        <f t="shared" si="779"/>
        <v>0</v>
      </c>
      <c r="W1344" s="60">
        <f t="shared" si="779"/>
        <v>0</v>
      </c>
      <c r="X1344" s="60">
        <f t="shared" si="779"/>
        <v>0</v>
      </c>
    </row>
    <row r="1345" spans="2:24" hidden="1">
      <c r="B1345" s="59" t="str">
        <f t="shared" si="765"/>
        <v/>
      </c>
      <c r="C1345" s="59" t="str">
        <f t="shared" si="765"/>
        <v/>
      </c>
      <c r="D1345" s="59" t="str">
        <f t="shared" si="765"/>
        <v/>
      </c>
      <c r="E1345" s="59" t="str">
        <f t="shared" si="765"/>
        <v/>
      </c>
      <c r="F1345" s="59"/>
      <c r="G1345" s="59"/>
      <c r="H1345" s="59"/>
      <c r="I1345" s="59"/>
      <c r="J1345" s="59"/>
      <c r="K1345" s="60">
        <f t="shared" ref="K1345:X1345" si="780">IF(AND($D1345="tak",$E1345="prace rozwojowe",Modul_badawczo_rozwojowy=tak),ROUND(K862*K567,0),0)</f>
        <v>0</v>
      </c>
      <c r="L1345" s="60">
        <f t="shared" si="780"/>
        <v>0</v>
      </c>
      <c r="M1345" s="60">
        <f t="shared" si="780"/>
        <v>0</v>
      </c>
      <c r="N1345" s="60">
        <f t="shared" si="780"/>
        <v>0</v>
      </c>
      <c r="O1345" s="60">
        <f t="shared" si="780"/>
        <v>0</v>
      </c>
      <c r="P1345" s="60">
        <f t="shared" si="780"/>
        <v>0</v>
      </c>
      <c r="Q1345" s="60">
        <f t="shared" si="780"/>
        <v>0</v>
      </c>
      <c r="R1345" s="60">
        <f t="shared" si="780"/>
        <v>0</v>
      </c>
      <c r="S1345" s="60">
        <f t="shared" si="780"/>
        <v>0</v>
      </c>
      <c r="T1345" s="60">
        <f t="shared" si="780"/>
        <v>0</v>
      </c>
      <c r="U1345" s="60">
        <f t="shared" si="780"/>
        <v>0</v>
      </c>
      <c r="V1345" s="60">
        <f t="shared" si="780"/>
        <v>0</v>
      </c>
      <c r="W1345" s="60">
        <f t="shared" si="780"/>
        <v>0</v>
      </c>
      <c r="X1345" s="60">
        <f t="shared" si="780"/>
        <v>0</v>
      </c>
    </row>
    <row r="1346" spans="2:24" hidden="1">
      <c r="B1346" s="59" t="str">
        <f t="shared" si="765"/>
        <v/>
      </c>
      <c r="C1346" s="59" t="str">
        <f t="shared" si="765"/>
        <v/>
      </c>
      <c r="D1346" s="59" t="str">
        <f t="shared" si="765"/>
        <v/>
      </c>
      <c r="E1346" s="59" t="str">
        <f t="shared" si="765"/>
        <v/>
      </c>
      <c r="F1346" s="59"/>
      <c r="G1346" s="59"/>
      <c r="H1346" s="59"/>
      <c r="I1346" s="59"/>
      <c r="J1346" s="59"/>
      <c r="K1346" s="60">
        <f t="shared" ref="K1346:X1346" si="781">IF(AND($D1346="tak",$E1346="prace rozwojowe",Modul_badawczo_rozwojowy=tak),ROUND(K863*K568,0),0)</f>
        <v>0</v>
      </c>
      <c r="L1346" s="60">
        <f t="shared" si="781"/>
        <v>0</v>
      </c>
      <c r="M1346" s="60">
        <f t="shared" si="781"/>
        <v>0</v>
      </c>
      <c r="N1346" s="60">
        <f t="shared" si="781"/>
        <v>0</v>
      </c>
      <c r="O1346" s="60">
        <f t="shared" si="781"/>
        <v>0</v>
      </c>
      <c r="P1346" s="60">
        <f t="shared" si="781"/>
        <v>0</v>
      </c>
      <c r="Q1346" s="60">
        <f t="shared" si="781"/>
        <v>0</v>
      </c>
      <c r="R1346" s="60">
        <f t="shared" si="781"/>
        <v>0</v>
      </c>
      <c r="S1346" s="60">
        <f t="shared" si="781"/>
        <v>0</v>
      </c>
      <c r="T1346" s="60">
        <f t="shared" si="781"/>
        <v>0</v>
      </c>
      <c r="U1346" s="60">
        <f t="shared" si="781"/>
        <v>0</v>
      </c>
      <c r="V1346" s="60">
        <f t="shared" si="781"/>
        <v>0</v>
      </c>
      <c r="W1346" s="60">
        <f t="shared" si="781"/>
        <v>0</v>
      </c>
      <c r="X1346" s="60">
        <f t="shared" si="781"/>
        <v>0</v>
      </c>
    </row>
    <row r="1347" spans="2:24" hidden="1">
      <c r="B1347" s="59" t="str">
        <f t="shared" si="765"/>
        <v/>
      </c>
      <c r="C1347" s="59" t="str">
        <f t="shared" si="765"/>
        <v/>
      </c>
      <c r="D1347" s="59" t="str">
        <f t="shared" si="765"/>
        <v/>
      </c>
      <c r="E1347" s="59" t="str">
        <f t="shared" si="765"/>
        <v/>
      </c>
      <c r="F1347" s="59"/>
      <c r="G1347" s="59"/>
      <c r="H1347" s="59"/>
      <c r="I1347" s="59"/>
      <c r="J1347" s="59"/>
      <c r="K1347" s="60">
        <f t="shared" ref="K1347:X1347" si="782">IF(AND($D1347="tak",$E1347="prace rozwojowe",Modul_badawczo_rozwojowy=tak),ROUND(K864*K569,0),0)</f>
        <v>0</v>
      </c>
      <c r="L1347" s="60">
        <f t="shared" si="782"/>
        <v>0</v>
      </c>
      <c r="M1347" s="60">
        <f t="shared" si="782"/>
        <v>0</v>
      </c>
      <c r="N1347" s="60">
        <f t="shared" si="782"/>
        <v>0</v>
      </c>
      <c r="O1347" s="60">
        <f t="shared" si="782"/>
        <v>0</v>
      </c>
      <c r="P1347" s="60">
        <f t="shared" si="782"/>
        <v>0</v>
      </c>
      <c r="Q1347" s="60">
        <f t="shared" si="782"/>
        <v>0</v>
      </c>
      <c r="R1347" s="60">
        <f t="shared" si="782"/>
        <v>0</v>
      </c>
      <c r="S1347" s="60">
        <f t="shared" si="782"/>
        <v>0</v>
      </c>
      <c r="T1347" s="60">
        <f t="shared" si="782"/>
        <v>0</v>
      </c>
      <c r="U1347" s="60">
        <f t="shared" si="782"/>
        <v>0</v>
      </c>
      <c r="V1347" s="60">
        <f t="shared" si="782"/>
        <v>0</v>
      </c>
      <c r="W1347" s="60">
        <f t="shared" si="782"/>
        <v>0</v>
      </c>
      <c r="X1347" s="60">
        <f t="shared" si="782"/>
        <v>0</v>
      </c>
    </row>
    <row r="1348" spans="2:24" hidden="1">
      <c r="B1348" s="59" t="str">
        <f t="shared" si="765"/>
        <v/>
      </c>
      <c r="C1348" s="59" t="str">
        <f t="shared" si="765"/>
        <v/>
      </c>
      <c r="D1348" s="59" t="str">
        <f t="shared" si="765"/>
        <v/>
      </c>
      <c r="E1348" s="59" t="str">
        <f t="shared" si="765"/>
        <v/>
      </c>
      <c r="F1348" s="59"/>
      <c r="G1348" s="59"/>
      <c r="H1348" s="59"/>
      <c r="I1348" s="59"/>
      <c r="J1348" s="59"/>
      <c r="K1348" s="60">
        <f t="shared" ref="K1348:X1348" si="783">IF(AND($D1348="tak",$E1348="prace rozwojowe",Modul_badawczo_rozwojowy=tak),ROUND(K865*K570,0),0)</f>
        <v>0</v>
      </c>
      <c r="L1348" s="60">
        <f t="shared" si="783"/>
        <v>0</v>
      </c>
      <c r="M1348" s="60">
        <f t="shared" si="783"/>
        <v>0</v>
      </c>
      <c r="N1348" s="60">
        <f t="shared" si="783"/>
        <v>0</v>
      </c>
      <c r="O1348" s="60">
        <f t="shared" si="783"/>
        <v>0</v>
      </c>
      <c r="P1348" s="60">
        <f t="shared" si="783"/>
        <v>0</v>
      </c>
      <c r="Q1348" s="60">
        <f t="shared" si="783"/>
        <v>0</v>
      </c>
      <c r="R1348" s="60">
        <f t="shared" si="783"/>
        <v>0</v>
      </c>
      <c r="S1348" s="60">
        <f t="shared" si="783"/>
        <v>0</v>
      </c>
      <c r="T1348" s="60">
        <f t="shared" si="783"/>
        <v>0</v>
      </c>
      <c r="U1348" s="60">
        <f t="shared" si="783"/>
        <v>0</v>
      </c>
      <c r="V1348" s="60">
        <f t="shared" si="783"/>
        <v>0</v>
      </c>
      <c r="W1348" s="60">
        <f t="shared" si="783"/>
        <v>0</v>
      </c>
      <c r="X1348" s="60">
        <f t="shared" si="783"/>
        <v>0</v>
      </c>
    </row>
    <row r="1349" spans="2:24" hidden="1">
      <c r="B1349" s="59" t="str">
        <f t="shared" si="765"/>
        <v/>
      </c>
      <c r="C1349" s="59" t="str">
        <f t="shared" si="765"/>
        <v/>
      </c>
      <c r="D1349" s="59" t="str">
        <f t="shared" si="765"/>
        <v/>
      </c>
      <c r="E1349" s="59" t="str">
        <f t="shared" si="765"/>
        <v/>
      </c>
      <c r="F1349" s="59"/>
      <c r="G1349" s="59"/>
      <c r="H1349" s="59"/>
      <c r="I1349" s="59"/>
      <c r="J1349" s="59"/>
      <c r="K1349" s="60">
        <f t="shared" ref="K1349:X1349" si="784">IF(AND($D1349="tak",$E1349="prace rozwojowe",Modul_badawczo_rozwojowy=tak),ROUND(K866*K571,0),0)</f>
        <v>0</v>
      </c>
      <c r="L1349" s="60">
        <f t="shared" si="784"/>
        <v>0</v>
      </c>
      <c r="M1349" s="60">
        <f t="shared" si="784"/>
        <v>0</v>
      </c>
      <c r="N1349" s="60">
        <f t="shared" si="784"/>
        <v>0</v>
      </c>
      <c r="O1349" s="60">
        <f t="shared" si="784"/>
        <v>0</v>
      </c>
      <c r="P1349" s="60">
        <f t="shared" si="784"/>
        <v>0</v>
      </c>
      <c r="Q1349" s="60">
        <f t="shared" si="784"/>
        <v>0</v>
      </c>
      <c r="R1349" s="60">
        <f t="shared" si="784"/>
        <v>0</v>
      </c>
      <c r="S1349" s="60">
        <f t="shared" si="784"/>
        <v>0</v>
      </c>
      <c r="T1349" s="60">
        <f t="shared" si="784"/>
        <v>0</v>
      </c>
      <c r="U1349" s="60">
        <f t="shared" si="784"/>
        <v>0</v>
      </c>
      <c r="V1349" s="60">
        <f t="shared" si="784"/>
        <v>0</v>
      </c>
      <c r="W1349" s="60">
        <f t="shared" si="784"/>
        <v>0</v>
      </c>
      <c r="X1349" s="60">
        <f t="shared" si="784"/>
        <v>0</v>
      </c>
    </row>
    <row r="1350" spans="2:24" hidden="1">
      <c r="B1350" s="59" t="str">
        <f t="shared" si="765"/>
        <v/>
      </c>
      <c r="C1350" s="59" t="str">
        <f t="shared" si="765"/>
        <v/>
      </c>
      <c r="D1350" s="59" t="str">
        <f t="shared" si="765"/>
        <v/>
      </c>
      <c r="E1350" s="59" t="str">
        <f t="shared" si="765"/>
        <v/>
      </c>
      <c r="F1350" s="59"/>
      <c r="G1350" s="59"/>
      <c r="H1350" s="59"/>
      <c r="I1350" s="59"/>
      <c r="J1350" s="59"/>
      <c r="K1350" s="60">
        <f t="shared" ref="K1350:X1350" si="785">IF(AND($D1350="tak",$E1350="prace rozwojowe",Modul_badawczo_rozwojowy=tak),ROUND(K867*K572,0),0)</f>
        <v>0</v>
      </c>
      <c r="L1350" s="60">
        <f t="shared" si="785"/>
        <v>0</v>
      </c>
      <c r="M1350" s="60">
        <f t="shared" si="785"/>
        <v>0</v>
      </c>
      <c r="N1350" s="60">
        <f t="shared" si="785"/>
        <v>0</v>
      </c>
      <c r="O1350" s="60">
        <f t="shared" si="785"/>
        <v>0</v>
      </c>
      <c r="P1350" s="60">
        <f t="shared" si="785"/>
        <v>0</v>
      </c>
      <c r="Q1350" s="60">
        <f t="shared" si="785"/>
        <v>0</v>
      </c>
      <c r="R1350" s="60">
        <f t="shared" si="785"/>
        <v>0</v>
      </c>
      <c r="S1350" s="60">
        <f t="shared" si="785"/>
        <v>0</v>
      </c>
      <c r="T1350" s="60">
        <f t="shared" si="785"/>
        <v>0</v>
      </c>
      <c r="U1350" s="60">
        <f t="shared" si="785"/>
        <v>0</v>
      </c>
      <c r="V1350" s="60">
        <f t="shared" si="785"/>
        <v>0</v>
      </c>
      <c r="W1350" s="60">
        <f t="shared" si="785"/>
        <v>0</v>
      </c>
      <c r="X1350" s="60">
        <f t="shared" si="785"/>
        <v>0</v>
      </c>
    </row>
    <row r="1351" spans="2:24" hidden="1">
      <c r="B1351" s="59" t="str">
        <f t="shared" si="765"/>
        <v/>
      </c>
      <c r="C1351" s="59" t="str">
        <f t="shared" si="765"/>
        <v/>
      </c>
      <c r="D1351" s="59" t="str">
        <f t="shared" si="765"/>
        <v/>
      </c>
      <c r="E1351" s="59" t="str">
        <f t="shared" si="765"/>
        <v/>
      </c>
      <c r="F1351" s="59"/>
      <c r="G1351" s="59"/>
      <c r="H1351" s="59"/>
      <c r="I1351" s="59"/>
      <c r="J1351" s="59"/>
      <c r="K1351" s="60">
        <f t="shared" ref="K1351:X1351" si="786">IF(AND($D1351="tak",$E1351="prace rozwojowe",Modul_badawczo_rozwojowy=tak),ROUND(K868*K573,0),0)</f>
        <v>0</v>
      </c>
      <c r="L1351" s="60">
        <f t="shared" si="786"/>
        <v>0</v>
      </c>
      <c r="M1351" s="60">
        <f t="shared" si="786"/>
        <v>0</v>
      </c>
      <c r="N1351" s="60">
        <f t="shared" si="786"/>
        <v>0</v>
      </c>
      <c r="O1351" s="60">
        <f t="shared" si="786"/>
        <v>0</v>
      </c>
      <c r="P1351" s="60">
        <f t="shared" si="786"/>
        <v>0</v>
      </c>
      <c r="Q1351" s="60">
        <f t="shared" si="786"/>
        <v>0</v>
      </c>
      <c r="R1351" s="60">
        <f t="shared" si="786"/>
        <v>0</v>
      </c>
      <c r="S1351" s="60">
        <f t="shared" si="786"/>
        <v>0</v>
      </c>
      <c r="T1351" s="60">
        <f t="shared" si="786"/>
        <v>0</v>
      </c>
      <c r="U1351" s="60">
        <f t="shared" si="786"/>
        <v>0</v>
      </c>
      <c r="V1351" s="60">
        <f t="shared" si="786"/>
        <v>0</v>
      </c>
      <c r="W1351" s="60">
        <f t="shared" si="786"/>
        <v>0</v>
      </c>
      <c r="X1351" s="60">
        <f t="shared" si="786"/>
        <v>0</v>
      </c>
    </row>
    <row r="1352" spans="2:24" hidden="1">
      <c r="B1352" s="59" t="str">
        <f t="shared" si="765"/>
        <v/>
      </c>
      <c r="C1352" s="59" t="str">
        <f t="shared" si="765"/>
        <v/>
      </c>
      <c r="D1352" s="59" t="str">
        <f t="shared" si="765"/>
        <v/>
      </c>
      <c r="E1352" s="59" t="str">
        <f t="shared" si="765"/>
        <v/>
      </c>
      <c r="F1352" s="59"/>
      <c r="G1352" s="59"/>
      <c r="H1352" s="59"/>
      <c r="I1352" s="59"/>
      <c r="J1352" s="59"/>
      <c r="K1352" s="60">
        <f t="shared" ref="K1352:X1352" si="787">IF(AND($D1352="tak",$E1352="prace rozwojowe",Modul_badawczo_rozwojowy=tak),ROUND(K869*K574,0),0)</f>
        <v>0</v>
      </c>
      <c r="L1352" s="60">
        <f t="shared" si="787"/>
        <v>0</v>
      </c>
      <c r="M1352" s="60">
        <f t="shared" si="787"/>
        <v>0</v>
      </c>
      <c r="N1352" s="60">
        <f t="shared" si="787"/>
        <v>0</v>
      </c>
      <c r="O1352" s="60">
        <f t="shared" si="787"/>
        <v>0</v>
      </c>
      <c r="P1352" s="60">
        <f t="shared" si="787"/>
        <v>0</v>
      </c>
      <c r="Q1352" s="60">
        <f t="shared" si="787"/>
        <v>0</v>
      </c>
      <c r="R1352" s="60">
        <f t="shared" si="787"/>
        <v>0</v>
      </c>
      <c r="S1352" s="60">
        <f t="shared" si="787"/>
        <v>0</v>
      </c>
      <c r="T1352" s="60">
        <f t="shared" si="787"/>
        <v>0</v>
      </c>
      <c r="U1352" s="60">
        <f t="shared" si="787"/>
        <v>0</v>
      </c>
      <c r="V1352" s="60">
        <f t="shared" si="787"/>
        <v>0</v>
      </c>
      <c r="W1352" s="60">
        <f t="shared" si="787"/>
        <v>0</v>
      </c>
      <c r="X1352" s="60">
        <f t="shared" si="787"/>
        <v>0</v>
      </c>
    </row>
    <row r="1353" spans="2:24" hidden="1">
      <c r="B1353" s="59" t="str">
        <f t="shared" si="765"/>
        <v/>
      </c>
      <c r="C1353" s="59" t="str">
        <f t="shared" si="765"/>
        <v/>
      </c>
      <c r="D1353" s="59" t="str">
        <f t="shared" si="765"/>
        <v/>
      </c>
      <c r="E1353" s="59" t="str">
        <f t="shared" si="765"/>
        <v/>
      </c>
      <c r="F1353" s="59"/>
      <c r="G1353" s="59"/>
      <c r="H1353" s="59"/>
      <c r="I1353" s="59"/>
      <c r="J1353" s="59"/>
      <c r="K1353" s="60">
        <f t="shared" ref="K1353:X1353" si="788">IF(AND($D1353="tak",$E1353="prace rozwojowe",Modul_badawczo_rozwojowy=tak),ROUND(K870*K575,0),0)</f>
        <v>0</v>
      </c>
      <c r="L1353" s="60">
        <f t="shared" si="788"/>
        <v>0</v>
      </c>
      <c r="M1353" s="60">
        <f t="shared" si="788"/>
        <v>0</v>
      </c>
      <c r="N1353" s="60">
        <f t="shared" si="788"/>
        <v>0</v>
      </c>
      <c r="O1353" s="60">
        <f t="shared" si="788"/>
        <v>0</v>
      </c>
      <c r="P1353" s="60">
        <f t="shared" si="788"/>
        <v>0</v>
      </c>
      <c r="Q1353" s="60">
        <f t="shared" si="788"/>
        <v>0</v>
      </c>
      <c r="R1353" s="60">
        <f t="shared" si="788"/>
        <v>0</v>
      </c>
      <c r="S1353" s="60">
        <f t="shared" si="788"/>
        <v>0</v>
      </c>
      <c r="T1353" s="60">
        <f t="shared" si="788"/>
        <v>0</v>
      </c>
      <c r="U1353" s="60">
        <f t="shared" si="788"/>
        <v>0</v>
      </c>
      <c r="V1353" s="60">
        <f t="shared" si="788"/>
        <v>0</v>
      </c>
      <c r="W1353" s="60">
        <f t="shared" si="788"/>
        <v>0</v>
      </c>
      <c r="X1353" s="60">
        <f t="shared" si="788"/>
        <v>0</v>
      </c>
    </row>
    <row r="1354" spans="2:24" hidden="1">
      <c r="B1354" s="59" t="str">
        <f t="shared" si="765"/>
        <v/>
      </c>
      <c r="C1354" s="59" t="str">
        <f t="shared" si="765"/>
        <v/>
      </c>
      <c r="D1354" s="59" t="str">
        <f t="shared" si="765"/>
        <v/>
      </c>
      <c r="E1354" s="59" t="str">
        <f t="shared" si="765"/>
        <v/>
      </c>
      <c r="F1354" s="59"/>
      <c r="G1354" s="59"/>
      <c r="H1354" s="59"/>
      <c r="I1354" s="59"/>
      <c r="J1354" s="59"/>
      <c r="K1354" s="60">
        <f t="shared" ref="K1354:X1354" si="789">IF(AND($D1354="tak",$E1354="prace rozwojowe",Modul_badawczo_rozwojowy=tak),ROUND(K871*K576,0),0)</f>
        <v>0</v>
      </c>
      <c r="L1354" s="60">
        <f t="shared" si="789"/>
        <v>0</v>
      </c>
      <c r="M1354" s="60">
        <f t="shared" si="789"/>
        <v>0</v>
      </c>
      <c r="N1354" s="60">
        <f t="shared" si="789"/>
        <v>0</v>
      </c>
      <c r="O1354" s="60">
        <f t="shared" si="789"/>
        <v>0</v>
      </c>
      <c r="P1354" s="60">
        <f t="shared" si="789"/>
        <v>0</v>
      </c>
      <c r="Q1354" s="60">
        <f t="shared" si="789"/>
        <v>0</v>
      </c>
      <c r="R1354" s="60">
        <f t="shared" si="789"/>
        <v>0</v>
      </c>
      <c r="S1354" s="60">
        <f t="shared" si="789"/>
        <v>0</v>
      </c>
      <c r="T1354" s="60">
        <f t="shared" si="789"/>
        <v>0</v>
      </c>
      <c r="U1354" s="60">
        <f t="shared" si="789"/>
        <v>0</v>
      </c>
      <c r="V1354" s="60">
        <f t="shared" si="789"/>
        <v>0</v>
      </c>
      <c r="W1354" s="60">
        <f t="shared" si="789"/>
        <v>0</v>
      </c>
      <c r="X1354" s="60">
        <f t="shared" si="789"/>
        <v>0</v>
      </c>
    </row>
    <row r="1355" spans="2:24" hidden="1">
      <c r="B1355" s="59" t="str">
        <f t="shared" si="765"/>
        <v/>
      </c>
      <c r="C1355" s="59" t="str">
        <f t="shared" si="765"/>
        <v/>
      </c>
      <c r="D1355" s="59" t="str">
        <f t="shared" si="765"/>
        <v/>
      </c>
      <c r="E1355" s="59" t="str">
        <f t="shared" si="765"/>
        <v/>
      </c>
      <c r="F1355" s="59"/>
      <c r="G1355" s="59"/>
      <c r="H1355" s="59"/>
      <c r="I1355" s="59"/>
      <c r="J1355" s="59"/>
      <c r="K1355" s="60">
        <f t="shared" ref="K1355:X1355" si="790">IF(AND($D1355="tak",$E1355="prace rozwojowe",Modul_badawczo_rozwojowy=tak),ROUND(K872*K577,0),0)</f>
        <v>0</v>
      </c>
      <c r="L1355" s="60">
        <f t="shared" si="790"/>
        <v>0</v>
      </c>
      <c r="M1355" s="60">
        <f t="shared" si="790"/>
        <v>0</v>
      </c>
      <c r="N1355" s="60">
        <f t="shared" si="790"/>
        <v>0</v>
      </c>
      <c r="O1355" s="60">
        <f t="shared" si="790"/>
        <v>0</v>
      </c>
      <c r="P1355" s="60">
        <f t="shared" si="790"/>
        <v>0</v>
      </c>
      <c r="Q1355" s="60">
        <f t="shared" si="790"/>
        <v>0</v>
      </c>
      <c r="R1355" s="60">
        <f t="shared" si="790"/>
        <v>0</v>
      </c>
      <c r="S1355" s="60">
        <f t="shared" si="790"/>
        <v>0</v>
      </c>
      <c r="T1355" s="60">
        <f t="shared" si="790"/>
        <v>0</v>
      </c>
      <c r="U1355" s="60">
        <f t="shared" si="790"/>
        <v>0</v>
      </c>
      <c r="V1355" s="60">
        <f t="shared" si="790"/>
        <v>0</v>
      </c>
      <c r="W1355" s="60">
        <f t="shared" si="790"/>
        <v>0</v>
      </c>
      <c r="X1355" s="60">
        <f t="shared" si="790"/>
        <v>0</v>
      </c>
    </row>
    <row r="1356" spans="2:24" hidden="1">
      <c r="B1356" s="59" t="str">
        <f t="shared" si="765"/>
        <v/>
      </c>
      <c r="C1356" s="59" t="str">
        <f t="shared" si="765"/>
        <v/>
      </c>
      <c r="D1356" s="59" t="str">
        <f t="shared" si="765"/>
        <v/>
      </c>
      <c r="E1356" s="59" t="str">
        <f t="shared" si="765"/>
        <v/>
      </c>
      <c r="F1356" s="59"/>
      <c r="G1356" s="59"/>
      <c r="H1356" s="59"/>
      <c r="I1356" s="59"/>
      <c r="J1356" s="59"/>
      <c r="K1356" s="60">
        <f t="shared" ref="K1356:X1356" si="791">IF(AND($D1356="tak",$E1356="prace rozwojowe",Modul_badawczo_rozwojowy=tak),ROUND(K873*K578,0),0)</f>
        <v>0</v>
      </c>
      <c r="L1356" s="60">
        <f t="shared" si="791"/>
        <v>0</v>
      </c>
      <c r="M1356" s="60">
        <f t="shared" si="791"/>
        <v>0</v>
      </c>
      <c r="N1356" s="60">
        <f t="shared" si="791"/>
        <v>0</v>
      </c>
      <c r="O1356" s="60">
        <f t="shared" si="791"/>
        <v>0</v>
      </c>
      <c r="P1356" s="60">
        <f t="shared" si="791"/>
        <v>0</v>
      </c>
      <c r="Q1356" s="60">
        <f t="shared" si="791"/>
        <v>0</v>
      </c>
      <c r="R1356" s="60">
        <f t="shared" si="791"/>
        <v>0</v>
      </c>
      <c r="S1356" s="60">
        <f t="shared" si="791"/>
        <v>0</v>
      </c>
      <c r="T1356" s="60">
        <f t="shared" si="791"/>
        <v>0</v>
      </c>
      <c r="U1356" s="60">
        <f t="shared" si="791"/>
        <v>0</v>
      </c>
      <c r="V1356" s="60">
        <f t="shared" si="791"/>
        <v>0</v>
      </c>
      <c r="W1356" s="60">
        <f t="shared" si="791"/>
        <v>0</v>
      </c>
      <c r="X1356" s="60">
        <f t="shared" si="791"/>
        <v>0</v>
      </c>
    </row>
    <row r="1357" spans="2:24" hidden="1">
      <c r="B1357" s="59" t="str">
        <f t="shared" si="765"/>
        <v/>
      </c>
      <c r="C1357" s="59" t="str">
        <f t="shared" si="765"/>
        <v/>
      </c>
      <c r="D1357" s="59" t="str">
        <f t="shared" si="765"/>
        <v/>
      </c>
      <c r="E1357" s="59" t="str">
        <f t="shared" si="765"/>
        <v/>
      </c>
      <c r="F1357" s="59"/>
      <c r="G1357" s="59"/>
      <c r="H1357" s="59"/>
      <c r="I1357" s="59"/>
      <c r="J1357" s="59"/>
      <c r="K1357" s="60">
        <f t="shared" ref="K1357:X1357" si="792">IF(AND($D1357="tak",$E1357="prace rozwojowe",Modul_badawczo_rozwojowy=tak),ROUND(K874*K579,0),0)</f>
        <v>0</v>
      </c>
      <c r="L1357" s="60">
        <f t="shared" si="792"/>
        <v>0</v>
      </c>
      <c r="M1357" s="60">
        <f t="shared" si="792"/>
        <v>0</v>
      </c>
      <c r="N1357" s="60">
        <f t="shared" si="792"/>
        <v>0</v>
      </c>
      <c r="O1357" s="60">
        <f t="shared" si="792"/>
        <v>0</v>
      </c>
      <c r="P1357" s="60">
        <f t="shared" si="792"/>
        <v>0</v>
      </c>
      <c r="Q1357" s="60">
        <f t="shared" si="792"/>
        <v>0</v>
      </c>
      <c r="R1357" s="60">
        <f t="shared" si="792"/>
        <v>0</v>
      </c>
      <c r="S1357" s="60">
        <f t="shared" si="792"/>
        <v>0</v>
      </c>
      <c r="T1357" s="60">
        <f t="shared" si="792"/>
        <v>0</v>
      </c>
      <c r="U1357" s="60">
        <f t="shared" si="792"/>
        <v>0</v>
      </c>
      <c r="V1357" s="60">
        <f t="shared" si="792"/>
        <v>0</v>
      </c>
      <c r="W1357" s="60">
        <f t="shared" si="792"/>
        <v>0</v>
      </c>
      <c r="X1357" s="60">
        <f t="shared" si="792"/>
        <v>0</v>
      </c>
    </row>
    <row r="1358" spans="2:24" hidden="1">
      <c r="B1358" s="59" t="str">
        <f t="shared" si="765"/>
        <v/>
      </c>
      <c r="C1358" s="59" t="str">
        <f t="shared" si="765"/>
        <v/>
      </c>
      <c r="D1358" s="59" t="str">
        <f t="shared" si="765"/>
        <v/>
      </c>
      <c r="E1358" s="59" t="str">
        <f t="shared" si="765"/>
        <v/>
      </c>
      <c r="F1358" s="59"/>
      <c r="G1358" s="59"/>
      <c r="H1358" s="59"/>
      <c r="I1358" s="59"/>
      <c r="J1358" s="59"/>
      <c r="K1358" s="60">
        <f t="shared" ref="K1358:X1358" si="793">IF(AND($D1358="tak",$E1358="prace rozwojowe",Modul_badawczo_rozwojowy=tak),ROUND(K875*K580,0),0)</f>
        <v>0</v>
      </c>
      <c r="L1358" s="60">
        <f t="shared" si="793"/>
        <v>0</v>
      </c>
      <c r="M1358" s="60">
        <f t="shared" si="793"/>
        <v>0</v>
      </c>
      <c r="N1358" s="60">
        <f t="shared" si="793"/>
        <v>0</v>
      </c>
      <c r="O1358" s="60">
        <f t="shared" si="793"/>
        <v>0</v>
      </c>
      <c r="P1358" s="60">
        <f t="shared" si="793"/>
        <v>0</v>
      </c>
      <c r="Q1358" s="60">
        <f t="shared" si="793"/>
        <v>0</v>
      </c>
      <c r="R1358" s="60">
        <f t="shared" si="793"/>
        <v>0</v>
      </c>
      <c r="S1358" s="60">
        <f t="shared" si="793"/>
        <v>0</v>
      </c>
      <c r="T1358" s="60">
        <f t="shared" si="793"/>
        <v>0</v>
      </c>
      <c r="U1358" s="60">
        <f t="shared" si="793"/>
        <v>0</v>
      </c>
      <c r="V1358" s="60">
        <f t="shared" si="793"/>
        <v>0</v>
      </c>
      <c r="W1358" s="60">
        <f t="shared" si="793"/>
        <v>0</v>
      </c>
      <c r="X1358" s="60">
        <f t="shared" si="793"/>
        <v>0</v>
      </c>
    </row>
    <row r="1359" spans="2:24" hidden="1">
      <c r="B1359" s="59" t="str">
        <f t="shared" si="765"/>
        <v/>
      </c>
      <c r="C1359" s="59" t="str">
        <f t="shared" si="765"/>
        <v/>
      </c>
      <c r="D1359" s="59" t="str">
        <f t="shared" si="765"/>
        <v/>
      </c>
      <c r="E1359" s="59" t="str">
        <f t="shared" si="765"/>
        <v/>
      </c>
      <c r="F1359" s="59"/>
      <c r="G1359" s="59"/>
      <c r="H1359" s="59"/>
      <c r="I1359" s="59"/>
      <c r="J1359" s="59"/>
      <c r="K1359" s="60">
        <f t="shared" ref="K1359:X1359" si="794">IF(AND($D1359="tak",$E1359="prace rozwojowe",Modul_badawczo_rozwojowy=tak),ROUND(K876*K581,0),0)</f>
        <v>0</v>
      </c>
      <c r="L1359" s="60">
        <f t="shared" si="794"/>
        <v>0</v>
      </c>
      <c r="M1359" s="60">
        <f t="shared" si="794"/>
        <v>0</v>
      </c>
      <c r="N1359" s="60">
        <f t="shared" si="794"/>
        <v>0</v>
      </c>
      <c r="O1359" s="60">
        <f t="shared" si="794"/>
        <v>0</v>
      </c>
      <c r="P1359" s="60">
        <f t="shared" si="794"/>
        <v>0</v>
      </c>
      <c r="Q1359" s="60">
        <f t="shared" si="794"/>
        <v>0</v>
      </c>
      <c r="R1359" s="60">
        <f t="shared" si="794"/>
        <v>0</v>
      </c>
      <c r="S1359" s="60">
        <f t="shared" si="794"/>
        <v>0</v>
      </c>
      <c r="T1359" s="60">
        <f t="shared" si="794"/>
        <v>0</v>
      </c>
      <c r="U1359" s="60">
        <f t="shared" si="794"/>
        <v>0</v>
      </c>
      <c r="V1359" s="60">
        <f t="shared" si="794"/>
        <v>0</v>
      </c>
      <c r="W1359" s="60">
        <f t="shared" si="794"/>
        <v>0</v>
      </c>
      <c r="X1359" s="60">
        <f t="shared" si="794"/>
        <v>0</v>
      </c>
    </row>
    <row r="1360" spans="2:24" hidden="1">
      <c r="B1360" s="59" t="str">
        <f t="shared" si="765"/>
        <v/>
      </c>
      <c r="C1360" s="59" t="str">
        <f t="shared" si="765"/>
        <v/>
      </c>
      <c r="D1360" s="59" t="str">
        <f t="shared" si="765"/>
        <v/>
      </c>
      <c r="E1360" s="59" t="str">
        <f t="shared" si="765"/>
        <v/>
      </c>
      <c r="F1360" s="59"/>
      <c r="G1360" s="59"/>
      <c r="H1360" s="59"/>
      <c r="I1360" s="59"/>
      <c r="J1360" s="59"/>
      <c r="K1360" s="60">
        <f t="shared" ref="K1360:X1360" si="795">IF(AND($D1360="tak",$E1360="prace rozwojowe",Modul_badawczo_rozwojowy=tak),ROUND(K877*K582,0),0)</f>
        <v>0</v>
      </c>
      <c r="L1360" s="60">
        <f t="shared" si="795"/>
        <v>0</v>
      </c>
      <c r="M1360" s="60">
        <f t="shared" si="795"/>
        <v>0</v>
      </c>
      <c r="N1360" s="60">
        <f t="shared" si="795"/>
        <v>0</v>
      </c>
      <c r="O1360" s="60">
        <f t="shared" si="795"/>
        <v>0</v>
      </c>
      <c r="P1360" s="60">
        <f t="shared" si="795"/>
        <v>0</v>
      </c>
      <c r="Q1360" s="60">
        <f t="shared" si="795"/>
        <v>0</v>
      </c>
      <c r="R1360" s="60">
        <f t="shared" si="795"/>
        <v>0</v>
      </c>
      <c r="S1360" s="60">
        <f t="shared" si="795"/>
        <v>0</v>
      </c>
      <c r="T1360" s="60">
        <f t="shared" si="795"/>
        <v>0</v>
      </c>
      <c r="U1360" s="60">
        <f t="shared" si="795"/>
        <v>0</v>
      </c>
      <c r="V1360" s="60">
        <f t="shared" si="795"/>
        <v>0</v>
      </c>
      <c r="W1360" s="60">
        <f t="shared" si="795"/>
        <v>0</v>
      </c>
      <c r="X1360" s="60">
        <f t="shared" si="795"/>
        <v>0</v>
      </c>
    </row>
    <row r="1361" spans="2:24" hidden="1">
      <c r="B1361" s="20" t="s">
        <v>350</v>
      </c>
      <c r="C1361" s="20"/>
      <c r="D1361" s="80"/>
      <c r="E1361" s="21"/>
      <c r="F1361" s="21"/>
      <c r="G1361" s="21"/>
      <c r="H1361" s="21"/>
      <c r="I1361" s="21"/>
      <c r="J1361" s="21"/>
      <c r="K1361" s="61">
        <f t="shared" ref="K1361:X1361" si="796">ROUND(SUM(K1331:K1360),0)</f>
        <v>0</v>
      </c>
      <c r="L1361" s="61">
        <f t="shared" si="796"/>
        <v>0</v>
      </c>
      <c r="M1361" s="61">
        <f t="shared" si="796"/>
        <v>0</v>
      </c>
      <c r="N1361" s="61">
        <f t="shared" si="796"/>
        <v>0</v>
      </c>
      <c r="O1361" s="61">
        <f t="shared" si="796"/>
        <v>0</v>
      </c>
      <c r="P1361" s="61">
        <f t="shared" si="796"/>
        <v>0</v>
      </c>
      <c r="Q1361" s="61">
        <f t="shared" si="796"/>
        <v>0</v>
      </c>
      <c r="R1361" s="61">
        <f t="shared" si="796"/>
        <v>0</v>
      </c>
      <c r="S1361" s="61">
        <f t="shared" si="796"/>
        <v>0</v>
      </c>
      <c r="T1361" s="61">
        <f t="shared" si="796"/>
        <v>0</v>
      </c>
      <c r="U1361" s="61">
        <f t="shared" si="796"/>
        <v>0</v>
      </c>
      <c r="V1361" s="61">
        <f t="shared" si="796"/>
        <v>0</v>
      </c>
      <c r="W1361" s="61">
        <f t="shared" si="796"/>
        <v>0</v>
      </c>
      <c r="X1361" s="61">
        <f t="shared" si="796"/>
        <v>0</v>
      </c>
    </row>
    <row r="1362" spans="2:24" hidden="1">
      <c r="B1362" s="21"/>
      <c r="C1362" s="21"/>
      <c r="D1362" s="80"/>
      <c r="E1362" s="21"/>
      <c r="F1362" s="21"/>
      <c r="G1362" s="21"/>
      <c r="H1362" s="21"/>
      <c r="I1362" s="21"/>
      <c r="J1362" s="21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</row>
    <row r="1363" spans="2:24" hidden="1">
      <c r="B1363" s="21"/>
      <c r="C1363" s="21"/>
      <c r="D1363" s="80"/>
      <c r="E1363" s="21"/>
      <c r="F1363" s="21"/>
      <c r="G1363" s="21"/>
      <c r="H1363" s="21"/>
      <c r="I1363" s="21"/>
      <c r="J1363" s="21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</row>
    <row r="1364" spans="2:24" hidden="1">
      <c r="B1364" s="20" t="s">
        <v>334</v>
      </c>
      <c r="C1364" s="20"/>
      <c r="D1364" s="82" t="s">
        <v>336</v>
      </c>
      <c r="E1364" s="20" t="s">
        <v>337</v>
      </c>
      <c r="F1364" s="21"/>
      <c r="G1364" s="21"/>
      <c r="H1364" s="21"/>
      <c r="I1364" s="21"/>
      <c r="J1364" s="21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</row>
    <row r="1365" spans="2:24" hidden="1">
      <c r="B1365" s="59" t="str">
        <f>IF(ISBLANK(B882),"",B882)</f>
        <v/>
      </c>
      <c r="C1365" s="59"/>
      <c r="D1365" s="81"/>
      <c r="E1365" s="59"/>
      <c r="F1365" s="59"/>
      <c r="G1365" s="59"/>
      <c r="H1365" s="59"/>
      <c r="I1365" s="59"/>
      <c r="J1365" s="59"/>
      <c r="K1365" s="60"/>
      <c r="L1365" s="60"/>
      <c r="M1365" s="60"/>
      <c r="N1365" s="60"/>
      <c r="O1365" s="60"/>
      <c r="P1365" s="60"/>
      <c r="Q1365" s="60"/>
      <c r="R1365" s="60"/>
      <c r="S1365" s="60"/>
      <c r="T1365" s="60"/>
      <c r="U1365" s="60"/>
      <c r="V1365" s="60"/>
      <c r="W1365" s="60"/>
      <c r="X1365" s="60"/>
    </row>
    <row r="1366" spans="2:24" hidden="1">
      <c r="B1366" s="59" t="str">
        <f>IF(ISBLANK(B883),"",B883)</f>
        <v/>
      </c>
      <c r="C1366" s="59"/>
      <c r="D1366" s="81"/>
      <c r="E1366" s="59"/>
      <c r="F1366" s="59"/>
      <c r="G1366" s="59"/>
      <c r="H1366" s="59"/>
      <c r="I1366" s="59"/>
      <c r="J1366" s="59"/>
      <c r="K1366" s="60"/>
      <c r="L1366" s="60"/>
      <c r="M1366" s="60"/>
      <c r="N1366" s="60"/>
      <c r="O1366" s="60"/>
      <c r="P1366" s="60"/>
      <c r="Q1366" s="60"/>
      <c r="R1366" s="60"/>
      <c r="S1366" s="60"/>
      <c r="T1366" s="60"/>
      <c r="U1366" s="60"/>
      <c r="V1366" s="60"/>
      <c r="W1366" s="60"/>
      <c r="X1366" s="60"/>
    </row>
    <row r="1367" spans="2:24" hidden="1">
      <c r="B1367" s="59" t="str">
        <f>IF(ISBLANK(B884),"",B884)</f>
        <v/>
      </c>
      <c r="C1367" s="59"/>
      <c r="D1367" s="81"/>
      <c r="E1367" s="59"/>
      <c r="F1367" s="59"/>
      <c r="G1367" s="59"/>
      <c r="H1367" s="59"/>
      <c r="I1367" s="59"/>
      <c r="J1367" s="59"/>
      <c r="K1367" s="60"/>
      <c r="L1367" s="60"/>
      <c r="M1367" s="60"/>
      <c r="N1367" s="60"/>
      <c r="O1367" s="60"/>
      <c r="P1367" s="60"/>
      <c r="Q1367" s="60"/>
      <c r="R1367" s="60"/>
      <c r="S1367" s="60"/>
      <c r="T1367" s="60"/>
      <c r="U1367" s="60"/>
      <c r="V1367" s="60"/>
      <c r="W1367" s="60"/>
      <c r="X1367" s="60"/>
    </row>
    <row r="1368" spans="2:24" hidden="1">
      <c r="B1368" s="59" t="str">
        <f>IF(ISBLANK(B885),"",B885)</f>
        <v/>
      </c>
      <c r="C1368" s="59"/>
      <c r="D1368" s="81"/>
      <c r="E1368" s="59"/>
      <c r="F1368" s="59"/>
      <c r="G1368" s="59"/>
      <c r="H1368" s="59"/>
      <c r="I1368" s="59"/>
      <c r="J1368" s="59"/>
      <c r="K1368" s="60"/>
      <c r="L1368" s="60"/>
      <c r="M1368" s="60"/>
      <c r="N1368" s="60"/>
      <c r="O1368" s="60"/>
      <c r="P1368" s="60"/>
      <c r="Q1368" s="60"/>
      <c r="R1368" s="60"/>
      <c r="S1368" s="60"/>
      <c r="T1368" s="60"/>
      <c r="U1368" s="60"/>
      <c r="V1368" s="60"/>
      <c r="W1368" s="60"/>
      <c r="X1368" s="60"/>
    </row>
    <row r="1369" spans="2:24" hidden="1">
      <c r="B1369" s="59" t="str">
        <f>IF(ISBLANK(B886),"",B886)</f>
        <v/>
      </c>
      <c r="C1369" s="59"/>
      <c r="D1369" s="81"/>
      <c r="E1369" s="59"/>
      <c r="F1369" s="59"/>
      <c r="G1369" s="59"/>
      <c r="H1369" s="59"/>
      <c r="I1369" s="59"/>
      <c r="J1369" s="59"/>
      <c r="K1369" s="60"/>
      <c r="L1369" s="60"/>
      <c r="M1369" s="60"/>
      <c r="N1369" s="60"/>
      <c r="O1369" s="60"/>
      <c r="P1369" s="60"/>
      <c r="Q1369" s="60"/>
      <c r="R1369" s="60"/>
      <c r="S1369" s="60"/>
      <c r="T1369" s="60"/>
      <c r="U1369" s="60"/>
      <c r="V1369" s="60"/>
      <c r="W1369" s="60"/>
      <c r="X1369" s="60"/>
    </row>
    <row r="1370" spans="2:24" hidden="1">
      <c r="B1370" s="20" t="s">
        <v>280</v>
      </c>
      <c r="C1370" s="20"/>
      <c r="D1370" s="80"/>
      <c r="E1370" s="21"/>
      <c r="F1370" s="21"/>
      <c r="G1370" s="21"/>
      <c r="H1370" s="21"/>
      <c r="I1370" s="21"/>
      <c r="J1370" s="21"/>
      <c r="K1370" s="61">
        <f t="shared" ref="K1370:X1370" si="797">ROUND(SUM(K1365:K1369),0)</f>
        <v>0</v>
      </c>
      <c r="L1370" s="61">
        <f t="shared" si="797"/>
        <v>0</v>
      </c>
      <c r="M1370" s="61">
        <f t="shared" si="797"/>
        <v>0</v>
      </c>
      <c r="N1370" s="61">
        <f t="shared" si="797"/>
        <v>0</v>
      </c>
      <c r="O1370" s="61">
        <f t="shared" si="797"/>
        <v>0</v>
      </c>
      <c r="P1370" s="61">
        <f t="shared" si="797"/>
        <v>0</v>
      </c>
      <c r="Q1370" s="61">
        <f t="shared" si="797"/>
        <v>0</v>
      </c>
      <c r="R1370" s="61">
        <f t="shared" si="797"/>
        <v>0</v>
      </c>
      <c r="S1370" s="61">
        <f t="shared" si="797"/>
        <v>0</v>
      </c>
      <c r="T1370" s="61">
        <f t="shared" si="797"/>
        <v>0</v>
      </c>
      <c r="U1370" s="61">
        <f t="shared" si="797"/>
        <v>0</v>
      </c>
      <c r="V1370" s="61">
        <f t="shared" si="797"/>
        <v>0</v>
      </c>
      <c r="W1370" s="61">
        <f t="shared" si="797"/>
        <v>0</v>
      </c>
      <c r="X1370" s="61">
        <f t="shared" si="797"/>
        <v>0</v>
      </c>
    </row>
    <row r="1371" spans="2:24" hidden="1">
      <c r="B1371" s="21"/>
      <c r="C1371" s="21"/>
      <c r="D1371" s="80"/>
      <c r="E1371" s="21"/>
      <c r="F1371" s="21"/>
      <c r="G1371" s="21"/>
      <c r="H1371" s="21"/>
      <c r="I1371" s="21"/>
      <c r="J1371" s="21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</row>
    <row r="1372" spans="2:24" hidden="1">
      <c r="B1372" s="21"/>
      <c r="C1372" s="21"/>
      <c r="D1372" s="80"/>
      <c r="E1372" s="21"/>
      <c r="F1372" s="21"/>
      <c r="G1372" s="21"/>
      <c r="H1372" s="21"/>
      <c r="I1372" s="21"/>
      <c r="J1372" s="21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</row>
    <row r="1373" spans="2:24" hidden="1">
      <c r="B1373" s="20" t="s">
        <v>325</v>
      </c>
      <c r="C1373" s="20"/>
      <c r="D1373" s="82" t="s">
        <v>336</v>
      </c>
      <c r="E1373" s="20" t="s">
        <v>337</v>
      </c>
      <c r="F1373" s="21"/>
      <c r="G1373" s="21"/>
      <c r="H1373" s="21"/>
      <c r="I1373" s="21"/>
      <c r="J1373" s="21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</row>
    <row r="1374" spans="2:24" hidden="1">
      <c r="B1374" s="59" t="str">
        <f t="shared" ref="B1374:E1378" si="798">IF(ISBLANK(B891),"",B891)</f>
        <v/>
      </c>
      <c r="C1374" s="59" t="str">
        <f t="shared" si="798"/>
        <v/>
      </c>
      <c r="D1374" s="59" t="str">
        <f t="shared" si="798"/>
        <v/>
      </c>
      <c r="E1374" s="59" t="str">
        <f t="shared" si="798"/>
        <v/>
      </c>
      <c r="F1374" s="59"/>
      <c r="G1374" s="59"/>
      <c r="H1374" s="59"/>
      <c r="I1374" s="59"/>
      <c r="J1374" s="59"/>
      <c r="K1374" s="60"/>
      <c r="L1374" s="60"/>
      <c r="M1374" s="60"/>
      <c r="N1374" s="60"/>
      <c r="O1374" s="60"/>
      <c r="P1374" s="60"/>
      <c r="Q1374" s="60"/>
      <c r="R1374" s="60"/>
      <c r="S1374" s="60"/>
      <c r="T1374" s="60"/>
      <c r="U1374" s="60"/>
      <c r="V1374" s="60"/>
      <c r="W1374" s="60"/>
      <c r="X1374" s="60"/>
    </row>
    <row r="1375" spans="2:24" hidden="1">
      <c r="B1375" s="59" t="str">
        <f t="shared" si="798"/>
        <v/>
      </c>
      <c r="C1375" s="59" t="str">
        <f t="shared" si="798"/>
        <v/>
      </c>
      <c r="D1375" s="59" t="str">
        <f t="shared" si="798"/>
        <v/>
      </c>
      <c r="E1375" s="59" t="str">
        <f t="shared" si="798"/>
        <v/>
      </c>
      <c r="F1375" s="59"/>
      <c r="G1375" s="59"/>
      <c r="H1375" s="59"/>
      <c r="I1375" s="59"/>
      <c r="J1375" s="59"/>
      <c r="K1375" s="60"/>
      <c r="L1375" s="60"/>
      <c r="M1375" s="60"/>
      <c r="N1375" s="60"/>
      <c r="O1375" s="60"/>
      <c r="P1375" s="60"/>
      <c r="Q1375" s="60"/>
      <c r="R1375" s="60"/>
      <c r="S1375" s="60"/>
      <c r="T1375" s="60"/>
      <c r="U1375" s="60"/>
      <c r="V1375" s="60"/>
      <c r="W1375" s="60"/>
      <c r="X1375" s="60"/>
    </row>
    <row r="1376" spans="2:24" hidden="1">
      <c r="B1376" s="59" t="str">
        <f t="shared" si="798"/>
        <v/>
      </c>
      <c r="C1376" s="59" t="str">
        <f t="shared" si="798"/>
        <v/>
      </c>
      <c r="D1376" s="59" t="str">
        <f t="shared" si="798"/>
        <v/>
      </c>
      <c r="E1376" s="59" t="str">
        <f t="shared" si="798"/>
        <v/>
      </c>
      <c r="F1376" s="59"/>
      <c r="G1376" s="59"/>
      <c r="H1376" s="59"/>
      <c r="I1376" s="59"/>
      <c r="J1376" s="59"/>
      <c r="K1376" s="60"/>
      <c r="L1376" s="60"/>
      <c r="M1376" s="60"/>
      <c r="N1376" s="60"/>
      <c r="O1376" s="60"/>
      <c r="P1376" s="60"/>
      <c r="Q1376" s="60"/>
      <c r="R1376" s="60"/>
      <c r="S1376" s="60"/>
      <c r="T1376" s="60"/>
      <c r="U1376" s="60"/>
      <c r="V1376" s="60"/>
      <c r="W1376" s="60"/>
      <c r="X1376" s="60"/>
    </row>
    <row r="1377" spans="2:24" hidden="1">
      <c r="B1377" s="59" t="str">
        <f t="shared" si="798"/>
        <v/>
      </c>
      <c r="C1377" s="59" t="str">
        <f t="shared" si="798"/>
        <v/>
      </c>
      <c r="D1377" s="59" t="str">
        <f t="shared" si="798"/>
        <v/>
      </c>
      <c r="E1377" s="59" t="str">
        <f t="shared" si="798"/>
        <v/>
      </c>
      <c r="F1377" s="59"/>
      <c r="G1377" s="59"/>
      <c r="H1377" s="59"/>
      <c r="I1377" s="59"/>
      <c r="J1377" s="59"/>
      <c r="K1377" s="60"/>
      <c r="L1377" s="60"/>
      <c r="M1377" s="60"/>
      <c r="N1377" s="60"/>
      <c r="O1377" s="60"/>
      <c r="P1377" s="60"/>
      <c r="Q1377" s="60"/>
      <c r="R1377" s="60"/>
      <c r="S1377" s="60"/>
      <c r="T1377" s="60"/>
      <c r="U1377" s="60"/>
      <c r="V1377" s="60"/>
      <c r="W1377" s="60"/>
      <c r="X1377" s="60"/>
    </row>
    <row r="1378" spans="2:24" hidden="1">
      <c r="B1378" s="59" t="str">
        <f t="shared" si="798"/>
        <v/>
      </c>
      <c r="C1378" s="59" t="str">
        <f t="shared" si="798"/>
        <v/>
      </c>
      <c r="D1378" s="59" t="str">
        <f t="shared" si="798"/>
        <v/>
      </c>
      <c r="E1378" s="59" t="str">
        <f t="shared" si="798"/>
        <v/>
      </c>
      <c r="F1378" s="59"/>
      <c r="G1378" s="59"/>
      <c r="H1378" s="59"/>
      <c r="I1378" s="59"/>
      <c r="J1378" s="59"/>
      <c r="K1378" s="60"/>
      <c r="L1378" s="60"/>
      <c r="M1378" s="60"/>
      <c r="N1378" s="60"/>
      <c r="O1378" s="60"/>
      <c r="P1378" s="60"/>
      <c r="Q1378" s="60"/>
      <c r="R1378" s="60"/>
      <c r="S1378" s="60"/>
      <c r="T1378" s="60"/>
      <c r="U1378" s="60"/>
      <c r="V1378" s="60"/>
      <c r="W1378" s="60"/>
      <c r="X1378" s="60"/>
    </row>
    <row r="1379" spans="2:24" hidden="1">
      <c r="B1379" s="20" t="s">
        <v>326</v>
      </c>
      <c r="C1379" s="20"/>
      <c r="D1379" s="21"/>
      <c r="E1379" s="21"/>
      <c r="F1379" s="21"/>
      <c r="G1379" s="21"/>
      <c r="H1379" s="21"/>
      <c r="I1379" s="21"/>
      <c r="J1379" s="21"/>
      <c r="K1379" s="61">
        <f t="shared" ref="K1379:X1379" si="799">ROUND(SUM(K1374:K1378),0)</f>
        <v>0</v>
      </c>
      <c r="L1379" s="61">
        <f t="shared" si="799"/>
        <v>0</v>
      </c>
      <c r="M1379" s="61">
        <f t="shared" si="799"/>
        <v>0</v>
      </c>
      <c r="N1379" s="61">
        <f t="shared" si="799"/>
        <v>0</v>
      </c>
      <c r="O1379" s="61">
        <f t="shared" si="799"/>
        <v>0</v>
      </c>
      <c r="P1379" s="61">
        <f t="shared" si="799"/>
        <v>0</v>
      </c>
      <c r="Q1379" s="61">
        <f t="shared" si="799"/>
        <v>0</v>
      </c>
      <c r="R1379" s="61">
        <f t="shared" si="799"/>
        <v>0</v>
      </c>
      <c r="S1379" s="61">
        <f t="shared" si="799"/>
        <v>0</v>
      </c>
      <c r="T1379" s="61">
        <f t="shared" si="799"/>
        <v>0</v>
      </c>
      <c r="U1379" s="61">
        <f t="shared" si="799"/>
        <v>0</v>
      </c>
      <c r="V1379" s="61">
        <f t="shared" si="799"/>
        <v>0</v>
      </c>
      <c r="W1379" s="61">
        <f t="shared" si="799"/>
        <v>0</v>
      </c>
      <c r="X1379" s="61">
        <f t="shared" si="799"/>
        <v>0</v>
      </c>
    </row>
    <row r="1380" spans="2:24" hidden="1">
      <c r="B1380" s="21"/>
      <c r="C1380" s="21"/>
      <c r="D1380" s="80"/>
      <c r="E1380" s="21"/>
      <c r="F1380" s="21"/>
      <c r="G1380" s="21"/>
      <c r="H1380" s="21"/>
      <c r="I1380" s="21"/>
      <c r="J1380" s="21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</row>
    <row r="1381" spans="2:24" hidden="1">
      <c r="B1381" s="21"/>
      <c r="C1381" s="21"/>
      <c r="D1381" s="80"/>
      <c r="E1381" s="21"/>
      <c r="F1381" s="21"/>
      <c r="G1381" s="21"/>
      <c r="H1381" s="21"/>
      <c r="I1381" s="21"/>
      <c r="J1381" s="21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</row>
    <row r="1382" spans="2:24" hidden="1">
      <c r="B1382" s="20" t="s">
        <v>327</v>
      </c>
      <c r="C1382" s="20"/>
      <c r="D1382" s="82" t="s">
        <v>336</v>
      </c>
      <c r="E1382" s="20" t="s">
        <v>337</v>
      </c>
      <c r="F1382" s="21"/>
      <c r="G1382" s="21"/>
      <c r="H1382" s="21"/>
      <c r="I1382" s="21"/>
      <c r="J1382" s="21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</row>
    <row r="1383" spans="2:24" hidden="1">
      <c r="B1383" s="59" t="str">
        <f t="shared" ref="B1383:E1387" si="800">IF(ISBLANK(B900),"",B900)</f>
        <v>Koszty z tytułu oprocentowania kredytów i pożyczek</v>
      </c>
      <c r="C1383" s="59" t="str">
        <f t="shared" si="800"/>
        <v/>
      </c>
      <c r="D1383" s="59" t="str">
        <f t="shared" si="800"/>
        <v/>
      </c>
      <c r="E1383" s="59" t="str">
        <f t="shared" si="800"/>
        <v/>
      </c>
      <c r="F1383" s="59"/>
      <c r="G1383" s="59"/>
      <c r="H1383" s="59"/>
      <c r="I1383" s="59"/>
      <c r="J1383" s="59"/>
      <c r="K1383" s="60"/>
      <c r="L1383" s="60"/>
      <c r="M1383" s="60"/>
      <c r="N1383" s="60"/>
      <c r="O1383" s="60"/>
      <c r="P1383" s="60"/>
      <c r="Q1383" s="60"/>
      <c r="R1383" s="60"/>
      <c r="S1383" s="60"/>
      <c r="T1383" s="60"/>
      <c r="U1383" s="60"/>
      <c r="V1383" s="60"/>
      <c r="W1383" s="60"/>
      <c r="X1383" s="60"/>
    </row>
    <row r="1384" spans="2:24" hidden="1">
      <c r="B1384" s="59" t="str">
        <f t="shared" si="800"/>
        <v/>
      </c>
      <c r="C1384" s="59" t="str">
        <f t="shared" si="800"/>
        <v/>
      </c>
      <c r="D1384" s="59" t="str">
        <f t="shared" si="800"/>
        <v/>
      </c>
      <c r="E1384" s="59" t="str">
        <f t="shared" si="800"/>
        <v/>
      </c>
      <c r="F1384" s="59"/>
      <c r="G1384" s="59"/>
      <c r="H1384" s="59"/>
      <c r="I1384" s="59"/>
      <c r="J1384" s="59"/>
      <c r="K1384" s="60"/>
      <c r="L1384" s="60"/>
      <c r="M1384" s="60"/>
      <c r="N1384" s="60"/>
      <c r="O1384" s="60"/>
      <c r="P1384" s="60"/>
      <c r="Q1384" s="60"/>
      <c r="R1384" s="60"/>
      <c r="S1384" s="60"/>
      <c r="T1384" s="60"/>
      <c r="U1384" s="60"/>
      <c r="V1384" s="60"/>
      <c r="W1384" s="60"/>
      <c r="X1384" s="60"/>
    </row>
    <row r="1385" spans="2:24" hidden="1">
      <c r="B1385" s="59" t="str">
        <f t="shared" si="800"/>
        <v/>
      </c>
      <c r="C1385" s="59" t="str">
        <f t="shared" si="800"/>
        <v/>
      </c>
      <c r="D1385" s="59" t="str">
        <f t="shared" si="800"/>
        <v/>
      </c>
      <c r="E1385" s="59" t="str">
        <f t="shared" si="800"/>
        <v/>
      </c>
      <c r="F1385" s="59"/>
      <c r="G1385" s="59"/>
      <c r="H1385" s="59"/>
      <c r="I1385" s="59"/>
      <c r="J1385" s="59"/>
      <c r="K1385" s="60"/>
      <c r="L1385" s="60"/>
      <c r="M1385" s="60"/>
      <c r="N1385" s="60"/>
      <c r="O1385" s="60"/>
      <c r="P1385" s="60"/>
      <c r="Q1385" s="60"/>
      <c r="R1385" s="60"/>
      <c r="S1385" s="60"/>
      <c r="T1385" s="60"/>
      <c r="U1385" s="60"/>
      <c r="V1385" s="60"/>
      <c r="W1385" s="60"/>
      <c r="X1385" s="60"/>
    </row>
    <row r="1386" spans="2:24" hidden="1">
      <c r="B1386" s="59" t="str">
        <f t="shared" si="800"/>
        <v/>
      </c>
      <c r="C1386" s="59" t="str">
        <f t="shared" si="800"/>
        <v/>
      </c>
      <c r="D1386" s="59" t="str">
        <f t="shared" si="800"/>
        <v/>
      </c>
      <c r="E1386" s="59" t="str">
        <f t="shared" si="800"/>
        <v/>
      </c>
      <c r="F1386" s="59"/>
      <c r="G1386" s="59"/>
      <c r="H1386" s="59"/>
      <c r="I1386" s="59"/>
      <c r="J1386" s="59"/>
      <c r="K1386" s="60"/>
      <c r="L1386" s="60"/>
      <c r="M1386" s="60"/>
      <c r="N1386" s="60"/>
      <c r="O1386" s="60"/>
      <c r="P1386" s="60"/>
      <c r="Q1386" s="60"/>
      <c r="R1386" s="60"/>
      <c r="S1386" s="60"/>
      <c r="T1386" s="60"/>
      <c r="U1386" s="60"/>
      <c r="V1386" s="60"/>
      <c r="W1386" s="60"/>
      <c r="X1386" s="60"/>
    </row>
    <row r="1387" spans="2:24" hidden="1">
      <c r="B1387" s="59" t="str">
        <f t="shared" si="800"/>
        <v/>
      </c>
      <c r="C1387" s="59" t="str">
        <f t="shared" si="800"/>
        <v/>
      </c>
      <c r="D1387" s="59" t="str">
        <f t="shared" si="800"/>
        <v/>
      </c>
      <c r="E1387" s="59" t="str">
        <f t="shared" si="800"/>
        <v/>
      </c>
      <c r="F1387" s="59"/>
      <c r="G1387" s="59"/>
      <c r="H1387" s="59"/>
      <c r="I1387" s="59"/>
      <c r="J1387" s="59"/>
      <c r="K1387" s="60"/>
      <c r="L1387" s="60"/>
      <c r="M1387" s="60"/>
      <c r="N1387" s="60"/>
      <c r="O1387" s="60"/>
      <c r="P1387" s="60"/>
      <c r="Q1387" s="60"/>
      <c r="R1387" s="60"/>
      <c r="S1387" s="60"/>
      <c r="T1387" s="60"/>
      <c r="U1387" s="60"/>
      <c r="V1387" s="60"/>
      <c r="W1387" s="60"/>
      <c r="X1387" s="60"/>
    </row>
    <row r="1388" spans="2:24" hidden="1">
      <c r="B1388" s="20" t="s">
        <v>329</v>
      </c>
      <c r="C1388" s="20"/>
      <c r="D1388" s="21"/>
      <c r="E1388" s="21"/>
      <c r="F1388" s="21"/>
      <c r="G1388" s="21"/>
      <c r="H1388" s="21"/>
      <c r="I1388" s="21"/>
      <c r="J1388" s="21"/>
      <c r="K1388" s="61">
        <f>ROUND(SUM(K1383:K1387),0)</f>
        <v>0</v>
      </c>
      <c r="L1388" s="61">
        <f t="shared" ref="L1388:X1388" si="801">ROUND(SUM(L1383:L1387),0)</f>
        <v>0</v>
      </c>
      <c r="M1388" s="61">
        <f t="shared" si="801"/>
        <v>0</v>
      </c>
      <c r="N1388" s="61">
        <f t="shared" si="801"/>
        <v>0</v>
      </c>
      <c r="O1388" s="61">
        <f t="shared" si="801"/>
        <v>0</v>
      </c>
      <c r="P1388" s="61">
        <f t="shared" si="801"/>
        <v>0</v>
      </c>
      <c r="Q1388" s="61">
        <f t="shared" si="801"/>
        <v>0</v>
      </c>
      <c r="R1388" s="61">
        <f t="shared" si="801"/>
        <v>0</v>
      </c>
      <c r="S1388" s="61">
        <f t="shared" si="801"/>
        <v>0</v>
      </c>
      <c r="T1388" s="61">
        <f t="shared" si="801"/>
        <v>0</v>
      </c>
      <c r="U1388" s="61">
        <f t="shared" si="801"/>
        <v>0</v>
      </c>
      <c r="V1388" s="61">
        <f t="shared" si="801"/>
        <v>0</v>
      </c>
      <c r="W1388" s="61">
        <f t="shared" si="801"/>
        <v>0</v>
      </c>
      <c r="X1388" s="61">
        <f t="shared" si="801"/>
        <v>0</v>
      </c>
    </row>
    <row r="1389" spans="2:24" hidden="1">
      <c r="B1389" s="20"/>
      <c r="C1389" s="20"/>
      <c r="D1389" s="21"/>
      <c r="E1389" s="21"/>
      <c r="F1389" s="21"/>
      <c r="G1389" s="21"/>
      <c r="H1389" s="21"/>
      <c r="I1389" s="21"/>
      <c r="J1389" s="21"/>
      <c r="K1389" s="61"/>
      <c r="L1389" s="61"/>
      <c r="M1389" s="61"/>
      <c r="N1389" s="61"/>
      <c r="O1389" s="61"/>
      <c r="P1389" s="61"/>
      <c r="Q1389" s="61"/>
      <c r="R1389" s="61"/>
      <c r="S1389" s="61"/>
      <c r="T1389" s="61"/>
      <c r="U1389" s="61"/>
      <c r="V1389" s="61"/>
      <c r="W1389" s="61"/>
      <c r="X1389" s="61"/>
    </row>
    <row r="1390" spans="2:24" hidden="1">
      <c r="B1390" s="20"/>
      <c r="C1390" s="20"/>
      <c r="D1390" s="21"/>
      <c r="E1390" s="21"/>
      <c r="F1390" s="21"/>
      <c r="G1390" s="21"/>
      <c r="H1390" s="21"/>
      <c r="I1390" s="21"/>
      <c r="J1390" s="21"/>
      <c r="K1390" s="61"/>
      <c r="L1390" s="61"/>
      <c r="M1390" s="61"/>
      <c r="N1390" s="61"/>
      <c r="O1390" s="61"/>
      <c r="P1390" s="61"/>
      <c r="Q1390" s="61"/>
      <c r="R1390" s="61"/>
      <c r="S1390" s="61"/>
      <c r="T1390" s="61"/>
      <c r="U1390" s="61"/>
      <c r="V1390" s="61"/>
      <c r="W1390" s="61"/>
      <c r="X1390" s="61"/>
    </row>
    <row r="1391" spans="2:24" hidden="1">
      <c r="B1391" s="20" t="s">
        <v>352</v>
      </c>
      <c r="C1391" s="20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</row>
    <row r="1392" spans="2:24" hidden="1">
      <c r="B1392" s="21" t="s">
        <v>332</v>
      </c>
      <c r="C1392" s="21"/>
      <c r="D1392" s="21"/>
      <c r="E1392" s="21"/>
      <c r="F1392" s="21"/>
      <c r="G1392" s="21"/>
      <c r="H1392" s="21"/>
      <c r="I1392" s="21"/>
      <c r="J1392" s="21"/>
      <c r="K1392" s="22">
        <f t="shared" ref="K1392:X1392" si="802">IF(LataProjekcji&lt;=Koniec_Projekt,ROUND(K1204,0),0)</f>
        <v>0</v>
      </c>
      <c r="L1392" s="22">
        <f>IF(LataProjekcji&lt;=Koniec_Projekt,ROUND(L1204,0),0)</f>
        <v>0</v>
      </c>
      <c r="M1392" s="22">
        <f t="shared" si="802"/>
        <v>0</v>
      </c>
      <c r="N1392" s="22">
        <f t="shared" si="802"/>
        <v>0</v>
      </c>
      <c r="O1392" s="22">
        <f t="shared" si="802"/>
        <v>0</v>
      </c>
      <c r="P1392" s="22">
        <f t="shared" si="802"/>
        <v>0</v>
      </c>
      <c r="Q1392" s="22">
        <f t="shared" si="802"/>
        <v>0</v>
      </c>
      <c r="R1392" s="22">
        <f t="shared" si="802"/>
        <v>0</v>
      </c>
      <c r="S1392" s="22">
        <f t="shared" si="802"/>
        <v>0</v>
      </c>
      <c r="T1392" s="22">
        <f t="shared" si="802"/>
        <v>0</v>
      </c>
      <c r="U1392" s="22">
        <f t="shared" si="802"/>
        <v>0</v>
      </c>
      <c r="V1392" s="22">
        <f t="shared" si="802"/>
        <v>0</v>
      </c>
      <c r="W1392" s="22">
        <f t="shared" si="802"/>
        <v>0</v>
      </c>
      <c r="X1392" s="22">
        <f t="shared" si="802"/>
        <v>0</v>
      </c>
    </row>
    <row r="1393" spans="2:24" hidden="1">
      <c r="B1393" s="21" t="s">
        <v>312</v>
      </c>
      <c r="C1393" s="21"/>
      <c r="D1393" s="21"/>
      <c r="E1393" s="21"/>
      <c r="F1393" s="21"/>
      <c r="G1393" s="21"/>
      <c r="H1393" s="21"/>
      <c r="I1393" s="21"/>
      <c r="J1393" s="21"/>
      <c r="K1393" s="22">
        <f t="shared" ref="K1393:X1393" si="803">IF(LataProjekcji&lt;=Koniec_Projekt,ROUND(K1228,0),0)</f>
        <v>0</v>
      </c>
      <c r="L1393" s="22">
        <f t="shared" si="803"/>
        <v>0</v>
      </c>
      <c r="M1393" s="22">
        <f t="shared" si="803"/>
        <v>0</v>
      </c>
      <c r="N1393" s="22">
        <f t="shared" si="803"/>
        <v>0</v>
      </c>
      <c r="O1393" s="22">
        <f t="shared" si="803"/>
        <v>0</v>
      </c>
      <c r="P1393" s="22">
        <f t="shared" si="803"/>
        <v>0</v>
      </c>
      <c r="Q1393" s="22">
        <f t="shared" si="803"/>
        <v>0</v>
      </c>
      <c r="R1393" s="22">
        <f t="shared" si="803"/>
        <v>0</v>
      </c>
      <c r="S1393" s="22">
        <f t="shared" si="803"/>
        <v>0</v>
      </c>
      <c r="T1393" s="22">
        <f t="shared" si="803"/>
        <v>0</v>
      </c>
      <c r="U1393" s="22">
        <f t="shared" si="803"/>
        <v>0</v>
      </c>
      <c r="V1393" s="22">
        <f t="shared" si="803"/>
        <v>0</v>
      </c>
      <c r="W1393" s="22">
        <f t="shared" si="803"/>
        <v>0</v>
      </c>
      <c r="X1393" s="22">
        <f t="shared" si="803"/>
        <v>0</v>
      </c>
    </row>
    <row r="1394" spans="2:24" hidden="1">
      <c r="B1394" s="21" t="s">
        <v>314</v>
      </c>
      <c r="C1394" s="21"/>
      <c r="D1394" s="21"/>
      <c r="E1394" s="21"/>
      <c r="F1394" s="21"/>
      <c r="G1394" s="21"/>
      <c r="H1394" s="21"/>
      <c r="I1394" s="21"/>
      <c r="J1394" s="21"/>
      <c r="K1394" s="22">
        <f t="shared" ref="K1394:X1394" si="804">IF(LataProjekcji&lt;=Koniec_Projekt,ROUND(K1237,0),0)</f>
        <v>0</v>
      </c>
      <c r="L1394" s="22">
        <f t="shared" si="804"/>
        <v>0</v>
      </c>
      <c r="M1394" s="22">
        <f t="shared" si="804"/>
        <v>0</v>
      </c>
      <c r="N1394" s="22">
        <f t="shared" si="804"/>
        <v>0</v>
      </c>
      <c r="O1394" s="22">
        <f t="shared" si="804"/>
        <v>0</v>
      </c>
      <c r="P1394" s="22">
        <f t="shared" si="804"/>
        <v>0</v>
      </c>
      <c r="Q1394" s="22">
        <f t="shared" si="804"/>
        <v>0</v>
      </c>
      <c r="R1394" s="22">
        <f t="shared" si="804"/>
        <v>0</v>
      </c>
      <c r="S1394" s="22">
        <f t="shared" si="804"/>
        <v>0</v>
      </c>
      <c r="T1394" s="22">
        <f t="shared" si="804"/>
        <v>0</v>
      </c>
      <c r="U1394" s="22">
        <f t="shared" si="804"/>
        <v>0</v>
      </c>
      <c r="V1394" s="22">
        <f t="shared" si="804"/>
        <v>0</v>
      </c>
      <c r="W1394" s="22">
        <f t="shared" si="804"/>
        <v>0</v>
      </c>
      <c r="X1394" s="22">
        <f t="shared" si="804"/>
        <v>0</v>
      </c>
    </row>
    <row r="1395" spans="2:24" hidden="1">
      <c r="B1395" s="21" t="s">
        <v>333</v>
      </c>
      <c r="C1395" s="21"/>
      <c r="D1395" s="21"/>
      <c r="E1395" s="21"/>
      <c r="F1395" s="21"/>
      <c r="G1395" s="21"/>
      <c r="H1395" s="21"/>
      <c r="I1395" s="21"/>
      <c r="J1395" s="21"/>
      <c r="K1395" s="22">
        <f t="shared" ref="K1395:X1395" si="805">IF(LataProjekcji&lt;=Koniec_Projekt,ROUND(K1282,0),0)</f>
        <v>0</v>
      </c>
      <c r="L1395" s="22">
        <f t="shared" si="805"/>
        <v>0</v>
      </c>
      <c r="M1395" s="22">
        <f t="shared" si="805"/>
        <v>0</v>
      </c>
      <c r="N1395" s="22">
        <f t="shared" si="805"/>
        <v>0</v>
      </c>
      <c r="O1395" s="22">
        <f t="shared" si="805"/>
        <v>0</v>
      </c>
      <c r="P1395" s="22">
        <f t="shared" si="805"/>
        <v>0</v>
      </c>
      <c r="Q1395" s="22">
        <f t="shared" si="805"/>
        <v>0</v>
      </c>
      <c r="R1395" s="22">
        <f t="shared" si="805"/>
        <v>0</v>
      </c>
      <c r="S1395" s="22">
        <f t="shared" si="805"/>
        <v>0</v>
      </c>
      <c r="T1395" s="22">
        <f t="shared" si="805"/>
        <v>0</v>
      </c>
      <c r="U1395" s="22">
        <f t="shared" si="805"/>
        <v>0</v>
      </c>
      <c r="V1395" s="22">
        <f t="shared" si="805"/>
        <v>0</v>
      </c>
      <c r="W1395" s="22">
        <f t="shared" si="805"/>
        <v>0</v>
      </c>
      <c r="X1395" s="22">
        <f t="shared" si="805"/>
        <v>0</v>
      </c>
    </row>
    <row r="1396" spans="2:24" hidden="1">
      <c r="B1396" s="21" t="s">
        <v>320</v>
      </c>
      <c r="C1396" s="21"/>
      <c r="D1396" s="21"/>
      <c r="E1396" s="21"/>
      <c r="F1396" s="21"/>
      <c r="G1396" s="21"/>
      <c r="H1396" s="21"/>
      <c r="I1396" s="21"/>
      <c r="J1396" s="21"/>
      <c r="K1396" s="22">
        <f t="shared" ref="K1396:X1396" si="806">IF(LataProjekcji&lt;=Koniec_Projekt,ROUND(K1327,0),0)</f>
        <v>0</v>
      </c>
      <c r="L1396" s="22">
        <f t="shared" si="806"/>
        <v>0</v>
      </c>
      <c r="M1396" s="22">
        <f t="shared" si="806"/>
        <v>0</v>
      </c>
      <c r="N1396" s="22">
        <f t="shared" si="806"/>
        <v>0</v>
      </c>
      <c r="O1396" s="22">
        <f t="shared" si="806"/>
        <v>0</v>
      </c>
      <c r="P1396" s="22">
        <f t="shared" si="806"/>
        <v>0</v>
      </c>
      <c r="Q1396" s="22">
        <f t="shared" si="806"/>
        <v>0</v>
      </c>
      <c r="R1396" s="22">
        <f t="shared" si="806"/>
        <v>0</v>
      </c>
      <c r="S1396" s="22">
        <f t="shared" si="806"/>
        <v>0</v>
      </c>
      <c r="T1396" s="22">
        <f t="shared" si="806"/>
        <v>0</v>
      </c>
      <c r="U1396" s="22">
        <f t="shared" si="806"/>
        <v>0</v>
      </c>
      <c r="V1396" s="22">
        <f t="shared" si="806"/>
        <v>0</v>
      </c>
      <c r="W1396" s="22">
        <f t="shared" si="806"/>
        <v>0</v>
      </c>
      <c r="X1396" s="22">
        <f t="shared" si="806"/>
        <v>0</v>
      </c>
    </row>
    <row r="1397" spans="2:24" hidden="1">
      <c r="B1397" s="21" t="s">
        <v>323</v>
      </c>
      <c r="C1397" s="21"/>
      <c r="D1397" s="21"/>
      <c r="E1397" s="21"/>
      <c r="F1397" s="21"/>
      <c r="G1397" s="21"/>
      <c r="H1397" s="21"/>
      <c r="I1397" s="21"/>
      <c r="J1397" s="21"/>
      <c r="K1397" s="22">
        <f t="shared" ref="K1397:X1397" si="807">IF(LataProjekcji&lt;=Koniec_Projekt,ROUND(K1361,0),0)</f>
        <v>0</v>
      </c>
      <c r="L1397" s="22">
        <f t="shared" si="807"/>
        <v>0</v>
      </c>
      <c r="M1397" s="22">
        <f t="shared" si="807"/>
        <v>0</v>
      </c>
      <c r="N1397" s="22">
        <f t="shared" si="807"/>
        <v>0</v>
      </c>
      <c r="O1397" s="22">
        <f t="shared" si="807"/>
        <v>0</v>
      </c>
      <c r="P1397" s="22">
        <f t="shared" si="807"/>
        <v>0</v>
      </c>
      <c r="Q1397" s="22">
        <f t="shared" si="807"/>
        <v>0</v>
      </c>
      <c r="R1397" s="22">
        <f t="shared" si="807"/>
        <v>0</v>
      </c>
      <c r="S1397" s="22">
        <f t="shared" si="807"/>
        <v>0</v>
      </c>
      <c r="T1397" s="22">
        <f t="shared" si="807"/>
        <v>0</v>
      </c>
      <c r="U1397" s="22">
        <f t="shared" si="807"/>
        <v>0</v>
      </c>
      <c r="V1397" s="22">
        <f t="shared" si="807"/>
        <v>0</v>
      </c>
      <c r="W1397" s="22">
        <f t="shared" si="807"/>
        <v>0</v>
      </c>
      <c r="X1397" s="22">
        <f t="shared" si="807"/>
        <v>0</v>
      </c>
    </row>
    <row r="1398" spans="2:24" hidden="1">
      <c r="B1398" s="21" t="s">
        <v>334</v>
      </c>
      <c r="C1398" s="21"/>
      <c r="D1398" s="21"/>
      <c r="E1398" s="21"/>
      <c r="F1398" s="21"/>
      <c r="G1398" s="21"/>
      <c r="H1398" s="21"/>
      <c r="I1398" s="21"/>
      <c r="J1398" s="21"/>
      <c r="K1398" s="22">
        <f t="shared" ref="K1398:X1398" si="808">IF(LataProjekcji&lt;=Koniec_Projekt,K1370,0)</f>
        <v>0</v>
      </c>
      <c r="L1398" s="22">
        <f t="shared" si="808"/>
        <v>0</v>
      </c>
      <c r="M1398" s="22">
        <f t="shared" si="808"/>
        <v>0</v>
      </c>
      <c r="N1398" s="22">
        <f t="shared" si="808"/>
        <v>0</v>
      </c>
      <c r="O1398" s="22">
        <f t="shared" si="808"/>
        <v>0</v>
      </c>
      <c r="P1398" s="22">
        <f t="shared" si="808"/>
        <v>0</v>
      </c>
      <c r="Q1398" s="22">
        <f t="shared" si="808"/>
        <v>0</v>
      </c>
      <c r="R1398" s="22">
        <f t="shared" si="808"/>
        <v>0</v>
      </c>
      <c r="S1398" s="22">
        <f t="shared" si="808"/>
        <v>0</v>
      </c>
      <c r="T1398" s="22">
        <f t="shared" si="808"/>
        <v>0</v>
      </c>
      <c r="U1398" s="22">
        <f t="shared" si="808"/>
        <v>0</v>
      </c>
      <c r="V1398" s="22">
        <f t="shared" si="808"/>
        <v>0</v>
      </c>
      <c r="W1398" s="22">
        <f t="shared" si="808"/>
        <v>0</v>
      </c>
      <c r="X1398" s="22">
        <f t="shared" si="808"/>
        <v>0</v>
      </c>
    </row>
    <row r="1399" spans="2:24" hidden="1">
      <c r="B1399" s="21" t="s">
        <v>325</v>
      </c>
      <c r="C1399" s="21"/>
      <c r="D1399" s="21"/>
      <c r="E1399" s="21"/>
      <c r="F1399" s="21"/>
      <c r="G1399" s="21"/>
      <c r="H1399" s="21"/>
      <c r="I1399" s="21"/>
      <c r="J1399" s="21"/>
      <c r="K1399" s="22">
        <f t="shared" ref="K1399:X1399" si="809">IF(LataProjekcji&lt;=Koniec_Projekt,ROUND(K1379,0),0)</f>
        <v>0</v>
      </c>
      <c r="L1399" s="22">
        <f t="shared" si="809"/>
        <v>0</v>
      </c>
      <c r="M1399" s="22">
        <f t="shared" si="809"/>
        <v>0</v>
      </c>
      <c r="N1399" s="22">
        <f t="shared" si="809"/>
        <v>0</v>
      </c>
      <c r="O1399" s="22">
        <f t="shared" si="809"/>
        <v>0</v>
      </c>
      <c r="P1399" s="22">
        <f t="shared" si="809"/>
        <v>0</v>
      </c>
      <c r="Q1399" s="22">
        <f t="shared" si="809"/>
        <v>0</v>
      </c>
      <c r="R1399" s="22">
        <f t="shared" si="809"/>
        <v>0</v>
      </c>
      <c r="S1399" s="22">
        <f t="shared" si="809"/>
        <v>0</v>
      </c>
      <c r="T1399" s="22">
        <f t="shared" si="809"/>
        <v>0</v>
      </c>
      <c r="U1399" s="22">
        <f t="shared" si="809"/>
        <v>0</v>
      </c>
      <c r="V1399" s="22">
        <f t="shared" si="809"/>
        <v>0</v>
      </c>
      <c r="W1399" s="22">
        <f t="shared" si="809"/>
        <v>0</v>
      </c>
      <c r="X1399" s="22">
        <f t="shared" si="809"/>
        <v>0</v>
      </c>
    </row>
    <row r="1400" spans="2:24" hidden="1">
      <c r="B1400" s="21" t="s">
        <v>327</v>
      </c>
      <c r="C1400" s="21"/>
      <c r="D1400" s="21"/>
      <c r="E1400" s="21"/>
      <c r="F1400" s="21"/>
      <c r="G1400" s="21"/>
      <c r="H1400" s="21"/>
      <c r="I1400" s="21"/>
      <c r="J1400" s="21"/>
      <c r="K1400" s="22">
        <f t="shared" ref="K1400:X1400" si="810">IF(LataProjekcji&lt;=Koniec_Projekt,ROUND(K1388,0),0)</f>
        <v>0</v>
      </c>
      <c r="L1400" s="22">
        <f t="shared" si="810"/>
        <v>0</v>
      </c>
      <c r="M1400" s="22">
        <f t="shared" si="810"/>
        <v>0</v>
      </c>
      <c r="N1400" s="22">
        <f t="shared" si="810"/>
        <v>0</v>
      </c>
      <c r="O1400" s="22">
        <f t="shared" si="810"/>
        <v>0</v>
      </c>
      <c r="P1400" s="22">
        <f t="shared" si="810"/>
        <v>0</v>
      </c>
      <c r="Q1400" s="22">
        <f t="shared" si="810"/>
        <v>0</v>
      </c>
      <c r="R1400" s="22">
        <f t="shared" si="810"/>
        <v>0</v>
      </c>
      <c r="S1400" s="22">
        <f t="shared" si="810"/>
        <v>0</v>
      </c>
      <c r="T1400" s="22">
        <f t="shared" si="810"/>
        <v>0</v>
      </c>
      <c r="U1400" s="22">
        <f t="shared" si="810"/>
        <v>0</v>
      </c>
      <c r="V1400" s="22">
        <f t="shared" si="810"/>
        <v>0</v>
      </c>
      <c r="W1400" s="22">
        <f t="shared" si="810"/>
        <v>0</v>
      </c>
      <c r="X1400" s="22">
        <f t="shared" si="810"/>
        <v>0</v>
      </c>
    </row>
    <row r="1401" spans="2:24" hidden="1">
      <c r="B1401" s="65" t="s">
        <v>335</v>
      </c>
      <c r="C1401" s="65"/>
      <c r="D1401" s="58"/>
      <c r="E1401" s="58"/>
      <c r="F1401" s="58"/>
      <c r="G1401" s="58"/>
      <c r="H1401" s="58"/>
      <c r="I1401" s="58"/>
      <c r="J1401" s="58"/>
      <c r="K1401" s="66">
        <f>ROUND(SUM(K1392:K1400),0)</f>
        <v>0</v>
      </c>
      <c r="L1401" s="66">
        <f t="shared" ref="L1401:X1401" si="811">ROUND(SUM(L1392:L1400),0)</f>
        <v>0</v>
      </c>
      <c r="M1401" s="66">
        <f t="shared" si="811"/>
        <v>0</v>
      </c>
      <c r="N1401" s="66">
        <f t="shared" si="811"/>
        <v>0</v>
      </c>
      <c r="O1401" s="66">
        <f t="shared" si="811"/>
        <v>0</v>
      </c>
      <c r="P1401" s="66">
        <f t="shared" si="811"/>
        <v>0</v>
      </c>
      <c r="Q1401" s="66">
        <f t="shared" si="811"/>
        <v>0</v>
      </c>
      <c r="R1401" s="66">
        <f t="shared" si="811"/>
        <v>0</v>
      </c>
      <c r="S1401" s="66">
        <f t="shared" si="811"/>
        <v>0</v>
      </c>
      <c r="T1401" s="66">
        <f t="shared" si="811"/>
        <v>0</v>
      </c>
      <c r="U1401" s="66">
        <f t="shared" si="811"/>
        <v>0</v>
      </c>
      <c r="V1401" s="66">
        <f t="shared" si="811"/>
        <v>0</v>
      </c>
      <c r="W1401" s="66">
        <f t="shared" si="811"/>
        <v>0</v>
      </c>
      <c r="X1401" s="66">
        <f t="shared" si="811"/>
        <v>0</v>
      </c>
    </row>
    <row r="1402" spans="2:24" hidden="1">
      <c r="B1402" s="58"/>
      <c r="C1402" s="58"/>
      <c r="D1402" s="58"/>
      <c r="E1402" s="58"/>
      <c r="F1402" s="58"/>
      <c r="G1402" s="58"/>
      <c r="H1402" s="58"/>
      <c r="I1402" s="58"/>
      <c r="J1402" s="58"/>
      <c r="K1402" s="58"/>
      <c r="L1402" s="58"/>
      <c r="M1402" s="58"/>
      <c r="N1402" s="58"/>
      <c r="O1402" s="58"/>
      <c r="P1402" s="58"/>
      <c r="Q1402" s="58"/>
      <c r="R1402" s="58"/>
      <c r="S1402" s="58"/>
      <c r="T1402" s="58"/>
      <c r="U1402" s="58"/>
      <c r="V1402" s="58"/>
      <c r="W1402" s="58"/>
      <c r="X1402" s="58"/>
    </row>
    <row r="1403" spans="2:24" hidden="1">
      <c r="B1403" s="67"/>
      <c r="C1403" s="67"/>
      <c r="D1403" s="67"/>
      <c r="E1403" s="67"/>
      <c r="F1403" s="67"/>
      <c r="G1403" s="67"/>
      <c r="H1403" s="67"/>
      <c r="I1403" s="67"/>
      <c r="J1403" s="67"/>
      <c r="K1403" s="67"/>
      <c r="L1403" s="67"/>
      <c r="M1403" s="67"/>
      <c r="N1403" s="67"/>
      <c r="O1403" s="67"/>
      <c r="P1403" s="67"/>
      <c r="Q1403" s="67"/>
      <c r="R1403" s="67"/>
      <c r="S1403" s="67"/>
      <c r="T1403" s="67"/>
      <c r="U1403" s="67"/>
      <c r="V1403" s="67"/>
      <c r="W1403" s="67"/>
      <c r="X1403" s="67"/>
    </row>
    <row r="1404" spans="2:24" hidden="1">
      <c r="B1404" s="67"/>
      <c r="C1404" s="67"/>
      <c r="D1404" s="67"/>
      <c r="E1404" s="67"/>
      <c r="F1404" s="67"/>
      <c r="G1404" s="67"/>
      <c r="H1404" s="67"/>
      <c r="I1404" s="67"/>
      <c r="J1404" s="67"/>
      <c r="K1404" s="64" t="str">
        <f t="shared" ref="K1404:X1404" si="812">LataProjekcji</f>
        <v>Uzupełnij dane</v>
      </c>
      <c r="L1404" s="64" t="str">
        <f t="shared" si="812"/>
        <v/>
      </c>
      <c r="M1404" s="64" t="str">
        <f t="shared" si="812"/>
        <v/>
      </c>
      <c r="N1404" s="64" t="str">
        <f t="shared" si="812"/>
        <v/>
      </c>
      <c r="O1404" s="64" t="str">
        <f t="shared" si="812"/>
        <v/>
      </c>
      <c r="P1404" s="64" t="str">
        <f t="shared" si="812"/>
        <v/>
      </c>
      <c r="Q1404" s="64" t="str">
        <f t="shared" si="812"/>
        <v/>
      </c>
      <c r="R1404" s="64" t="str">
        <f t="shared" si="812"/>
        <v/>
      </c>
      <c r="S1404" s="64" t="str">
        <f t="shared" si="812"/>
        <v/>
      </c>
      <c r="T1404" s="64" t="str">
        <f t="shared" si="812"/>
        <v/>
      </c>
      <c r="U1404" s="64" t="str">
        <f t="shared" si="812"/>
        <v/>
      </c>
      <c r="V1404" s="64" t="str">
        <f t="shared" si="812"/>
        <v/>
      </c>
      <c r="W1404" s="64" t="str">
        <f t="shared" si="812"/>
        <v/>
      </c>
      <c r="X1404" s="64" t="str">
        <f t="shared" si="812"/>
        <v/>
      </c>
    </row>
    <row r="1405" spans="2:24" hidden="1">
      <c r="B1405" s="67"/>
      <c r="C1405" s="67"/>
      <c r="D1405" s="67"/>
      <c r="E1405" s="67"/>
      <c r="F1405" s="67"/>
      <c r="G1405" s="67"/>
      <c r="H1405" s="67"/>
      <c r="I1405" s="67"/>
      <c r="J1405" s="67"/>
      <c r="K1405" s="67"/>
      <c r="L1405" s="67"/>
      <c r="M1405" s="67"/>
      <c r="N1405" s="67"/>
      <c r="O1405" s="67"/>
      <c r="P1405" s="67"/>
      <c r="Q1405" s="67"/>
      <c r="R1405" s="67"/>
      <c r="S1405" s="67"/>
      <c r="T1405" s="67"/>
      <c r="U1405" s="67"/>
      <c r="V1405" s="67"/>
      <c r="W1405" s="67"/>
      <c r="X1405" s="67"/>
    </row>
    <row r="1406" spans="2:24" hidden="1">
      <c r="B1406" s="68" t="s">
        <v>362</v>
      </c>
      <c r="C1406" s="68"/>
      <c r="D1406" s="67"/>
      <c r="E1406" s="67"/>
      <c r="F1406" s="67"/>
      <c r="G1406" s="67"/>
      <c r="H1406" s="67"/>
      <c r="I1406" s="67"/>
      <c r="J1406" s="67"/>
      <c r="K1406" s="66">
        <f>ROUND(K1401,0)</f>
        <v>0</v>
      </c>
      <c r="L1406" s="66">
        <f>ROUND(K1406+L1401,0)</f>
        <v>0</v>
      </c>
      <c r="M1406" s="66">
        <f t="shared" ref="M1406:X1406" si="813">ROUND(L1406+M1401,0)</f>
        <v>0</v>
      </c>
      <c r="N1406" s="66">
        <f t="shared" si="813"/>
        <v>0</v>
      </c>
      <c r="O1406" s="66">
        <f t="shared" si="813"/>
        <v>0</v>
      </c>
      <c r="P1406" s="66">
        <f t="shared" si="813"/>
        <v>0</v>
      </c>
      <c r="Q1406" s="66">
        <f t="shared" si="813"/>
        <v>0</v>
      </c>
      <c r="R1406" s="66">
        <f t="shared" si="813"/>
        <v>0</v>
      </c>
      <c r="S1406" s="66">
        <f t="shared" si="813"/>
        <v>0</v>
      </c>
      <c r="T1406" s="66">
        <f t="shared" si="813"/>
        <v>0</v>
      </c>
      <c r="U1406" s="66">
        <f t="shared" si="813"/>
        <v>0</v>
      </c>
      <c r="V1406" s="66">
        <f t="shared" si="813"/>
        <v>0</v>
      </c>
      <c r="W1406" s="66">
        <f t="shared" si="813"/>
        <v>0</v>
      </c>
      <c r="X1406" s="66">
        <f t="shared" si="813"/>
        <v>0</v>
      </c>
    </row>
    <row r="1407" spans="2:24" hidden="1">
      <c r="B1407" s="67"/>
      <c r="C1407" s="67"/>
      <c r="D1407" s="67"/>
      <c r="E1407" s="67" t="s">
        <v>354</v>
      </c>
      <c r="F1407" s="67" t="s">
        <v>355</v>
      </c>
      <c r="G1407" s="67" t="s">
        <v>356</v>
      </c>
      <c r="H1407" s="67"/>
      <c r="I1407" s="67"/>
      <c r="J1407" s="67"/>
      <c r="K1407" s="67"/>
      <c r="L1407" s="67"/>
      <c r="M1407" s="67"/>
      <c r="N1407" s="67"/>
      <c r="O1407" s="67"/>
      <c r="P1407" s="67"/>
      <c r="Q1407" s="67"/>
      <c r="R1407" s="67"/>
      <c r="S1407" s="67"/>
      <c r="T1407" s="67"/>
      <c r="U1407" s="67"/>
      <c r="V1407" s="67"/>
      <c r="W1407" s="67"/>
      <c r="X1407" s="67"/>
    </row>
    <row r="1408" spans="2:24" hidden="1">
      <c r="B1408" s="67" t="s">
        <v>357</v>
      </c>
      <c r="C1408" s="67"/>
      <c r="D1408" s="67">
        <f>Poczatek</f>
        <v>0</v>
      </c>
      <c r="E1408" s="67" t="e">
        <f>MATCH($D1408,$A$921:$X$921,0)</f>
        <v>#N/A</v>
      </c>
      <c r="F1408" s="67">
        <f>ROW($K$1401)</f>
        <v>1401</v>
      </c>
      <c r="G1408" s="67" t="e">
        <f>ADDRESS(F1408,E1408)</f>
        <v>#N/A</v>
      </c>
      <c r="H1408" s="67"/>
      <c r="I1408" s="67"/>
      <c r="J1408" s="67"/>
      <c r="K1408" s="67"/>
      <c r="L1408" s="67"/>
      <c r="M1408" s="67"/>
      <c r="N1408" s="67"/>
      <c r="O1408" s="67"/>
      <c r="P1408" s="67"/>
      <c r="Q1408" s="67"/>
      <c r="R1408" s="67"/>
      <c r="S1408" s="67"/>
      <c r="T1408" s="67"/>
      <c r="U1408" s="67"/>
      <c r="V1408" s="67"/>
      <c r="W1408" s="67"/>
      <c r="X1408" s="67"/>
    </row>
    <row r="1409" spans="2:24" hidden="1">
      <c r="B1409" s="67" t="s">
        <v>777</v>
      </c>
      <c r="C1409" s="67"/>
      <c r="D1409" s="67">
        <f>Koniec_PR</f>
        <v>0</v>
      </c>
      <c r="E1409" s="67" t="e">
        <f>MATCH($D1409,$A$921:$X$921,0)</f>
        <v>#N/A</v>
      </c>
      <c r="F1409" s="67">
        <f>ROW($K$1401)</f>
        <v>1401</v>
      </c>
      <c r="G1409" s="67" t="e">
        <f>ADDRESS(F1409,E1409)</f>
        <v>#N/A</v>
      </c>
      <c r="H1409" s="67"/>
      <c r="I1409" s="67"/>
      <c r="J1409" s="67"/>
      <c r="K1409" s="67"/>
      <c r="L1409" s="67"/>
      <c r="M1409" s="67"/>
      <c r="N1409" s="67"/>
      <c r="O1409" s="67"/>
      <c r="P1409" s="67"/>
      <c r="Q1409" s="67"/>
      <c r="R1409" s="67"/>
      <c r="S1409" s="67"/>
      <c r="T1409" s="67"/>
      <c r="U1409" s="67"/>
      <c r="V1409" s="67"/>
      <c r="W1409" s="67"/>
      <c r="X1409" s="67"/>
    </row>
    <row r="1410" spans="2:24" hidden="1">
      <c r="B1410" s="67"/>
      <c r="C1410" s="67"/>
      <c r="D1410" s="67"/>
      <c r="E1410" s="67"/>
      <c r="F1410" s="67"/>
      <c r="G1410" s="67"/>
      <c r="H1410" s="67"/>
      <c r="I1410" s="67"/>
      <c r="J1410" s="67"/>
      <c r="K1410" s="67"/>
      <c r="L1410" s="67"/>
      <c r="M1410" s="67"/>
      <c r="N1410" s="67"/>
      <c r="O1410" s="67"/>
      <c r="P1410" s="67"/>
      <c r="Q1410" s="67"/>
      <c r="R1410" s="67"/>
      <c r="S1410" s="67"/>
      <c r="T1410" s="67"/>
      <c r="U1410" s="67"/>
      <c r="V1410" s="67"/>
      <c r="W1410" s="67"/>
      <c r="X1410" s="67"/>
    </row>
    <row r="1411" spans="2:24" hidden="1">
      <c r="B1411" s="67" t="s">
        <v>363</v>
      </c>
      <c r="C1411" s="67"/>
      <c r="D1411" s="67"/>
      <c r="E1411" s="67"/>
      <c r="F1411" s="67"/>
      <c r="G1411" s="67"/>
      <c r="H1411" s="67"/>
      <c r="I1411" s="67"/>
      <c r="J1411" s="67"/>
      <c r="K1411" s="69">
        <f t="shared" ref="K1411:X1411" si="814">IF(LataProjekcji&lt;=Koniec_Projekt,K1401,0)</f>
        <v>0</v>
      </c>
      <c r="L1411" s="69">
        <f t="shared" si="814"/>
        <v>0</v>
      </c>
      <c r="M1411" s="69">
        <f t="shared" si="814"/>
        <v>0</v>
      </c>
      <c r="N1411" s="69">
        <f t="shared" si="814"/>
        <v>0</v>
      </c>
      <c r="O1411" s="69">
        <f t="shared" si="814"/>
        <v>0</v>
      </c>
      <c r="P1411" s="69">
        <f t="shared" si="814"/>
        <v>0</v>
      </c>
      <c r="Q1411" s="69">
        <f t="shared" si="814"/>
        <v>0</v>
      </c>
      <c r="R1411" s="69">
        <f t="shared" si="814"/>
        <v>0</v>
      </c>
      <c r="S1411" s="69">
        <f t="shared" si="814"/>
        <v>0</v>
      </c>
      <c r="T1411" s="69">
        <f t="shared" si="814"/>
        <v>0</v>
      </c>
      <c r="U1411" s="69">
        <f t="shared" si="814"/>
        <v>0</v>
      </c>
      <c r="V1411" s="69">
        <f t="shared" si="814"/>
        <v>0</v>
      </c>
      <c r="W1411" s="69">
        <f t="shared" si="814"/>
        <v>0</v>
      </c>
      <c r="X1411" s="69">
        <f t="shared" si="814"/>
        <v>0</v>
      </c>
    </row>
    <row r="1412" spans="2:24" hidden="1">
      <c r="B1412" s="72" t="s">
        <v>364</v>
      </c>
      <c r="C1412" s="72"/>
      <c r="D1412" s="72"/>
      <c r="E1412" s="72"/>
      <c r="F1412" s="72"/>
      <c r="G1412" s="72"/>
      <c r="H1412" s="72"/>
      <c r="I1412" s="72"/>
      <c r="J1412" s="72"/>
      <c r="K1412" s="73">
        <f t="shared" ref="K1412:X1412" si="815">IF(LataProjekcji&lt;=Koniec_Projekt,(K1411+J1412),0)</f>
        <v>0</v>
      </c>
      <c r="L1412" s="73">
        <f t="shared" si="815"/>
        <v>0</v>
      </c>
      <c r="M1412" s="73">
        <f t="shared" si="815"/>
        <v>0</v>
      </c>
      <c r="N1412" s="73">
        <f t="shared" si="815"/>
        <v>0</v>
      </c>
      <c r="O1412" s="73">
        <f t="shared" si="815"/>
        <v>0</v>
      </c>
      <c r="P1412" s="73">
        <f t="shared" si="815"/>
        <v>0</v>
      </c>
      <c r="Q1412" s="73">
        <f t="shared" si="815"/>
        <v>0</v>
      </c>
      <c r="R1412" s="73">
        <f t="shared" si="815"/>
        <v>0</v>
      </c>
      <c r="S1412" s="73">
        <f t="shared" si="815"/>
        <v>0</v>
      </c>
      <c r="T1412" s="73">
        <f t="shared" si="815"/>
        <v>0</v>
      </c>
      <c r="U1412" s="73">
        <f t="shared" si="815"/>
        <v>0</v>
      </c>
      <c r="V1412" s="73">
        <f t="shared" si="815"/>
        <v>0</v>
      </c>
      <c r="W1412" s="73">
        <f t="shared" si="815"/>
        <v>0</v>
      </c>
      <c r="X1412" s="73">
        <f t="shared" si="815"/>
        <v>0</v>
      </c>
    </row>
    <row r="1413" spans="2:24" hidden="1">
      <c r="B1413" s="62"/>
      <c r="C1413" s="62"/>
      <c r="D1413" s="86"/>
      <c r="E1413" s="62"/>
      <c r="F1413" s="62"/>
      <c r="G1413" s="62"/>
      <c r="H1413" s="62"/>
      <c r="I1413" s="62"/>
      <c r="J1413" s="62"/>
      <c r="K1413" s="62"/>
      <c r="L1413" s="62"/>
      <c r="M1413" s="62"/>
      <c r="N1413" s="62"/>
      <c r="O1413" s="62"/>
      <c r="P1413" s="62"/>
      <c r="Q1413" s="62"/>
      <c r="R1413" s="62"/>
      <c r="S1413" s="62"/>
      <c r="T1413" s="62"/>
      <c r="U1413" s="62"/>
      <c r="V1413" s="62"/>
      <c r="W1413" s="62"/>
      <c r="X1413" s="62"/>
    </row>
    <row r="1414" spans="2:24" hidden="1">
      <c r="B1414" s="62"/>
      <c r="C1414" s="62"/>
      <c r="D1414" s="86"/>
      <c r="E1414" s="62"/>
      <c r="F1414" s="62"/>
      <c r="G1414" s="62"/>
      <c r="H1414" s="62"/>
      <c r="I1414" s="62"/>
      <c r="J1414" s="62"/>
      <c r="K1414" s="62"/>
      <c r="L1414" s="62"/>
      <c r="M1414" s="62"/>
      <c r="N1414" s="62"/>
      <c r="O1414" s="62"/>
      <c r="P1414" s="62"/>
      <c r="Q1414" s="62"/>
      <c r="R1414" s="62"/>
      <c r="S1414" s="62"/>
      <c r="T1414" s="62"/>
      <c r="U1414" s="62"/>
      <c r="V1414" s="62"/>
      <c r="W1414" s="62"/>
      <c r="X1414" s="62"/>
    </row>
    <row r="1415" spans="2:24" hidden="1">
      <c r="B1415" s="62"/>
      <c r="C1415" s="62"/>
      <c r="D1415" s="86"/>
      <c r="E1415" s="62"/>
      <c r="F1415" s="62"/>
      <c r="G1415" s="62"/>
      <c r="H1415" s="62"/>
      <c r="I1415" s="62"/>
      <c r="J1415" s="62"/>
      <c r="K1415" s="62"/>
      <c r="L1415" s="62"/>
      <c r="M1415" s="62"/>
      <c r="N1415" s="62"/>
      <c r="O1415" s="62"/>
      <c r="P1415" s="62"/>
      <c r="Q1415" s="62"/>
      <c r="R1415" s="62"/>
      <c r="S1415" s="62"/>
      <c r="T1415" s="62"/>
      <c r="U1415" s="62"/>
      <c r="V1415" s="62"/>
      <c r="W1415" s="62"/>
      <c r="X1415" s="62"/>
    </row>
    <row r="1416" spans="2:24" hidden="1">
      <c r="B1416" s="62"/>
      <c r="C1416" s="62"/>
      <c r="D1416" s="86"/>
      <c r="E1416" s="62"/>
      <c r="F1416" s="62"/>
      <c r="G1416" s="62"/>
      <c r="H1416" s="62"/>
      <c r="I1416" s="62"/>
      <c r="J1416" s="62"/>
      <c r="K1416" s="62"/>
      <c r="L1416" s="62"/>
      <c r="M1416" s="62"/>
      <c r="N1416" s="62"/>
      <c r="O1416" s="62"/>
      <c r="P1416" s="62"/>
      <c r="Q1416" s="62"/>
      <c r="R1416" s="62"/>
      <c r="S1416" s="62"/>
      <c r="T1416" s="62"/>
      <c r="U1416" s="62"/>
      <c r="V1416" s="62"/>
      <c r="W1416" s="62"/>
      <c r="X1416" s="62"/>
    </row>
    <row r="1417" spans="2:24" hidden="1">
      <c r="B1417" s="62"/>
      <c r="C1417" s="62"/>
      <c r="D1417" s="86"/>
      <c r="E1417" s="62"/>
      <c r="F1417" s="62"/>
      <c r="G1417" s="62"/>
      <c r="H1417" s="62"/>
      <c r="I1417" s="62"/>
      <c r="J1417" s="62"/>
      <c r="K1417" s="62"/>
      <c r="L1417" s="62"/>
      <c r="M1417" s="62"/>
      <c r="N1417" s="62"/>
      <c r="O1417" s="62"/>
      <c r="P1417" s="62"/>
      <c r="Q1417" s="62"/>
      <c r="R1417" s="62"/>
      <c r="S1417" s="62"/>
      <c r="T1417" s="62"/>
      <c r="U1417" s="62"/>
      <c r="V1417" s="62"/>
      <c r="W1417" s="62"/>
      <c r="X1417" s="62"/>
    </row>
    <row r="1418" spans="2:24" hidden="1">
      <c r="B1418" s="62"/>
      <c r="C1418" s="62"/>
      <c r="D1418" s="86"/>
      <c r="E1418" s="62"/>
      <c r="F1418" s="62"/>
      <c r="G1418" s="62"/>
      <c r="H1418" s="62"/>
      <c r="I1418" s="62"/>
      <c r="J1418" s="62"/>
      <c r="K1418" s="62"/>
      <c r="L1418" s="62"/>
      <c r="M1418" s="62"/>
      <c r="N1418" s="62"/>
      <c r="O1418" s="62"/>
      <c r="P1418" s="62"/>
      <c r="Q1418" s="62"/>
      <c r="R1418" s="62"/>
      <c r="S1418" s="62"/>
      <c r="T1418" s="62"/>
      <c r="U1418" s="62"/>
      <c r="V1418" s="62"/>
      <c r="W1418" s="62"/>
      <c r="X1418" s="62"/>
    </row>
    <row r="1419" spans="2:24" hidden="1">
      <c r="B1419" s="62"/>
      <c r="C1419" s="62"/>
      <c r="D1419" s="86"/>
      <c r="E1419" s="62"/>
      <c r="F1419" s="62"/>
      <c r="G1419" s="62"/>
      <c r="H1419" s="62"/>
      <c r="I1419" s="62"/>
      <c r="J1419" s="62"/>
      <c r="K1419" s="62"/>
      <c r="L1419" s="62"/>
      <c r="M1419" s="62"/>
      <c r="N1419" s="62"/>
      <c r="O1419" s="62"/>
      <c r="P1419" s="62"/>
      <c r="Q1419" s="62"/>
      <c r="R1419" s="62"/>
      <c r="S1419" s="62"/>
      <c r="T1419" s="62"/>
      <c r="U1419" s="62"/>
      <c r="V1419" s="62"/>
      <c r="W1419" s="62"/>
      <c r="X1419" s="62"/>
    </row>
    <row r="1420" spans="2:24" hidden="1">
      <c r="B1420" s="62"/>
      <c r="C1420" s="62"/>
      <c r="D1420" s="86"/>
      <c r="E1420" s="62"/>
      <c r="F1420" s="62"/>
      <c r="G1420" s="62"/>
      <c r="H1420" s="62"/>
      <c r="I1420" s="62"/>
      <c r="J1420" s="62"/>
      <c r="K1420" s="62"/>
      <c r="L1420" s="62"/>
      <c r="M1420" s="62"/>
      <c r="N1420" s="62"/>
      <c r="O1420" s="62"/>
      <c r="P1420" s="62"/>
      <c r="Q1420" s="62"/>
      <c r="R1420" s="62"/>
      <c r="S1420" s="62"/>
      <c r="T1420" s="62"/>
      <c r="U1420" s="62"/>
      <c r="V1420" s="62"/>
      <c r="W1420" s="62"/>
      <c r="X1420" s="62"/>
    </row>
    <row r="1421" spans="2:24" hidden="1">
      <c r="B1421" s="20" t="s">
        <v>674</v>
      </c>
      <c r="C1421" s="20"/>
      <c r="D1421" s="80"/>
      <c r="E1421" s="21"/>
      <c r="F1421" s="21"/>
      <c r="G1421" s="21"/>
      <c r="H1421" s="21"/>
      <c r="I1421" s="21"/>
      <c r="J1421" s="21"/>
      <c r="K1421" s="64" t="str">
        <f t="shared" ref="K1421:X1421" si="816">LataProjekcji</f>
        <v>Uzupełnij dane</v>
      </c>
      <c r="L1421" s="64" t="str">
        <f t="shared" si="816"/>
        <v/>
      </c>
      <c r="M1421" s="64" t="str">
        <f t="shared" si="816"/>
        <v/>
      </c>
      <c r="N1421" s="64" t="str">
        <f t="shared" si="816"/>
        <v/>
      </c>
      <c r="O1421" s="64" t="str">
        <f t="shared" si="816"/>
        <v/>
      </c>
      <c r="P1421" s="64" t="str">
        <f t="shared" si="816"/>
        <v/>
      </c>
      <c r="Q1421" s="64" t="str">
        <f t="shared" si="816"/>
        <v/>
      </c>
      <c r="R1421" s="64" t="str">
        <f t="shared" si="816"/>
        <v/>
      </c>
      <c r="S1421" s="64" t="str">
        <f t="shared" si="816"/>
        <v/>
      </c>
      <c r="T1421" s="64" t="str">
        <f t="shared" si="816"/>
        <v/>
      </c>
      <c r="U1421" s="64" t="str">
        <f t="shared" si="816"/>
        <v/>
      </c>
      <c r="V1421" s="64" t="str">
        <f t="shared" si="816"/>
        <v/>
      </c>
      <c r="W1421" s="64" t="str">
        <f t="shared" si="816"/>
        <v/>
      </c>
      <c r="X1421" s="64" t="str">
        <f t="shared" si="816"/>
        <v/>
      </c>
    </row>
    <row r="1422" spans="2:24" hidden="1">
      <c r="B1422" s="58"/>
      <c r="C1422" s="58"/>
      <c r="D1422" s="83"/>
      <c r="E1422" s="58"/>
      <c r="F1422" s="58"/>
      <c r="G1422" s="58"/>
      <c r="H1422" s="58"/>
      <c r="I1422" s="58"/>
      <c r="J1422" s="58"/>
      <c r="K1422" s="58"/>
      <c r="L1422" s="58"/>
      <c r="M1422" s="58"/>
      <c r="N1422" s="58"/>
      <c r="O1422" s="58"/>
      <c r="P1422" s="58"/>
      <c r="Q1422" s="58"/>
      <c r="R1422" s="58"/>
      <c r="S1422" s="58"/>
      <c r="T1422" s="58"/>
      <c r="U1422" s="58"/>
      <c r="V1422" s="58"/>
      <c r="W1422" s="58"/>
      <c r="X1422" s="58"/>
    </row>
    <row r="1423" spans="2:24" hidden="1">
      <c r="B1423" s="20" t="s">
        <v>338</v>
      </c>
      <c r="C1423" s="20"/>
      <c r="D1423" s="82" t="s">
        <v>336</v>
      </c>
      <c r="E1423" s="20" t="s">
        <v>337</v>
      </c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</row>
    <row r="1424" spans="2:24" hidden="1">
      <c r="B1424" s="59" t="str">
        <f t="shared" ref="B1424:F1433" si="817">IF(ISBLANK(B1184),"",B1184)</f>
        <v/>
      </c>
      <c r="C1424" s="59" t="str">
        <f t="shared" si="817"/>
        <v/>
      </c>
      <c r="D1424" s="59" t="str">
        <f t="shared" si="817"/>
        <v/>
      </c>
      <c r="E1424" s="59" t="str">
        <f t="shared" si="817"/>
        <v/>
      </c>
      <c r="F1424" s="59" t="str">
        <f t="shared" si="817"/>
        <v/>
      </c>
      <c r="G1424" s="59"/>
      <c r="H1424" s="59"/>
      <c r="I1424" s="59"/>
      <c r="J1424" s="59"/>
      <c r="K1424" s="60">
        <f t="shared" ref="K1424:X1424" si="818">IF(AND($D1424="tak",OR($E1424="nie dotyczy",$E1424="badania przemysłowe"),K$1421&lt;=Koniec_Projekt),ROUND(K117*K139,0),0)</f>
        <v>0</v>
      </c>
      <c r="L1424" s="60">
        <f t="shared" si="818"/>
        <v>0</v>
      </c>
      <c r="M1424" s="60">
        <f t="shared" si="818"/>
        <v>0</v>
      </c>
      <c r="N1424" s="60">
        <f t="shared" si="818"/>
        <v>0</v>
      </c>
      <c r="O1424" s="60">
        <f t="shared" si="818"/>
        <v>0</v>
      </c>
      <c r="P1424" s="60">
        <f t="shared" si="818"/>
        <v>0</v>
      </c>
      <c r="Q1424" s="60">
        <f t="shared" si="818"/>
        <v>0</v>
      </c>
      <c r="R1424" s="60">
        <f t="shared" si="818"/>
        <v>0</v>
      </c>
      <c r="S1424" s="60">
        <f t="shared" si="818"/>
        <v>0</v>
      </c>
      <c r="T1424" s="60">
        <f t="shared" si="818"/>
        <v>0</v>
      </c>
      <c r="U1424" s="60">
        <f t="shared" si="818"/>
        <v>0</v>
      </c>
      <c r="V1424" s="60">
        <f t="shared" si="818"/>
        <v>0</v>
      </c>
      <c r="W1424" s="60">
        <f t="shared" si="818"/>
        <v>0</v>
      </c>
      <c r="X1424" s="60">
        <f t="shared" si="818"/>
        <v>0</v>
      </c>
    </row>
    <row r="1425" spans="2:24" hidden="1">
      <c r="B1425" s="59" t="str">
        <f t="shared" si="817"/>
        <v/>
      </c>
      <c r="C1425" s="59" t="str">
        <f t="shared" si="817"/>
        <v/>
      </c>
      <c r="D1425" s="59" t="str">
        <f t="shared" si="817"/>
        <v/>
      </c>
      <c r="E1425" s="59" t="str">
        <f t="shared" si="817"/>
        <v/>
      </c>
      <c r="F1425" s="59" t="str">
        <f t="shared" si="817"/>
        <v/>
      </c>
      <c r="G1425" s="59"/>
      <c r="H1425" s="59"/>
      <c r="I1425" s="59"/>
      <c r="J1425" s="59"/>
      <c r="K1425" s="60">
        <f t="shared" ref="K1425:X1425" si="819">IF(AND($D1425="tak",OR($E1425="nie dotyczy",$E1425="badania przemysłowe"),K$1421&lt;=Koniec_Projekt),ROUND(K118*K140,0),0)</f>
        <v>0</v>
      </c>
      <c r="L1425" s="60">
        <f t="shared" si="819"/>
        <v>0</v>
      </c>
      <c r="M1425" s="60">
        <f t="shared" si="819"/>
        <v>0</v>
      </c>
      <c r="N1425" s="60">
        <f t="shared" si="819"/>
        <v>0</v>
      </c>
      <c r="O1425" s="60">
        <f t="shared" si="819"/>
        <v>0</v>
      </c>
      <c r="P1425" s="60">
        <f t="shared" si="819"/>
        <v>0</v>
      </c>
      <c r="Q1425" s="60">
        <f t="shared" si="819"/>
        <v>0</v>
      </c>
      <c r="R1425" s="60">
        <f t="shared" si="819"/>
        <v>0</v>
      </c>
      <c r="S1425" s="60">
        <f t="shared" si="819"/>
        <v>0</v>
      </c>
      <c r="T1425" s="60">
        <f t="shared" si="819"/>
        <v>0</v>
      </c>
      <c r="U1425" s="60">
        <f t="shared" si="819"/>
        <v>0</v>
      </c>
      <c r="V1425" s="60">
        <f t="shared" si="819"/>
        <v>0</v>
      </c>
      <c r="W1425" s="60">
        <f t="shared" si="819"/>
        <v>0</v>
      </c>
      <c r="X1425" s="60">
        <f t="shared" si="819"/>
        <v>0</v>
      </c>
    </row>
    <row r="1426" spans="2:24" hidden="1">
      <c r="B1426" s="59" t="str">
        <f t="shared" si="817"/>
        <v/>
      </c>
      <c r="C1426" s="59" t="str">
        <f t="shared" si="817"/>
        <v/>
      </c>
      <c r="D1426" s="59" t="str">
        <f t="shared" si="817"/>
        <v/>
      </c>
      <c r="E1426" s="59" t="str">
        <f t="shared" si="817"/>
        <v/>
      </c>
      <c r="F1426" s="59" t="str">
        <f t="shared" si="817"/>
        <v/>
      </c>
      <c r="G1426" s="59"/>
      <c r="H1426" s="59"/>
      <c r="I1426" s="59"/>
      <c r="J1426" s="59"/>
      <c r="K1426" s="60">
        <f t="shared" ref="K1426:X1426" si="820">IF(AND($D1426="tak",OR($E1426="nie dotyczy",$E1426="badania przemysłowe"),K$1421&lt;=Koniec_Projekt),ROUND(K119*K141,0),0)</f>
        <v>0</v>
      </c>
      <c r="L1426" s="60">
        <f t="shared" si="820"/>
        <v>0</v>
      </c>
      <c r="M1426" s="60">
        <f t="shared" si="820"/>
        <v>0</v>
      </c>
      <c r="N1426" s="60">
        <f t="shared" si="820"/>
        <v>0</v>
      </c>
      <c r="O1426" s="60">
        <f t="shared" si="820"/>
        <v>0</v>
      </c>
      <c r="P1426" s="60">
        <f t="shared" si="820"/>
        <v>0</v>
      </c>
      <c r="Q1426" s="60">
        <f t="shared" si="820"/>
        <v>0</v>
      </c>
      <c r="R1426" s="60">
        <f t="shared" si="820"/>
        <v>0</v>
      </c>
      <c r="S1426" s="60">
        <f t="shared" si="820"/>
        <v>0</v>
      </c>
      <c r="T1426" s="60">
        <f t="shared" si="820"/>
        <v>0</v>
      </c>
      <c r="U1426" s="60">
        <f t="shared" si="820"/>
        <v>0</v>
      </c>
      <c r="V1426" s="60">
        <f t="shared" si="820"/>
        <v>0</v>
      </c>
      <c r="W1426" s="60">
        <f t="shared" si="820"/>
        <v>0</v>
      </c>
      <c r="X1426" s="60">
        <f t="shared" si="820"/>
        <v>0</v>
      </c>
    </row>
    <row r="1427" spans="2:24" hidden="1">
      <c r="B1427" s="59" t="str">
        <f t="shared" si="817"/>
        <v/>
      </c>
      <c r="C1427" s="59" t="str">
        <f t="shared" si="817"/>
        <v/>
      </c>
      <c r="D1427" s="59" t="str">
        <f t="shared" si="817"/>
        <v/>
      </c>
      <c r="E1427" s="59" t="str">
        <f t="shared" si="817"/>
        <v/>
      </c>
      <c r="F1427" s="59" t="str">
        <f t="shared" si="817"/>
        <v/>
      </c>
      <c r="G1427" s="59"/>
      <c r="H1427" s="59"/>
      <c r="I1427" s="59"/>
      <c r="J1427" s="59"/>
      <c r="K1427" s="60">
        <f t="shared" ref="K1427:X1427" si="821">IF(AND($D1427="tak",OR($E1427="nie dotyczy",$E1427="badania przemysłowe"),K$1421&lt;=Koniec_Projekt),ROUND(K120*K142,0),0)</f>
        <v>0</v>
      </c>
      <c r="L1427" s="60">
        <f t="shared" si="821"/>
        <v>0</v>
      </c>
      <c r="M1427" s="60">
        <f t="shared" si="821"/>
        <v>0</v>
      </c>
      <c r="N1427" s="60">
        <f t="shared" si="821"/>
        <v>0</v>
      </c>
      <c r="O1427" s="60">
        <f t="shared" si="821"/>
        <v>0</v>
      </c>
      <c r="P1427" s="60">
        <f t="shared" si="821"/>
        <v>0</v>
      </c>
      <c r="Q1427" s="60">
        <f t="shared" si="821"/>
        <v>0</v>
      </c>
      <c r="R1427" s="60">
        <f t="shared" si="821"/>
        <v>0</v>
      </c>
      <c r="S1427" s="60">
        <f t="shared" si="821"/>
        <v>0</v>
      </c>
      <c r="T1427" s="60">
        <f t="shared" si="821"/>
        <v>0</v>
      </c>
      <c r="U1427" s="60">
        <f t="shared" si="821"/>
        <v>0</v>
      </c>
      <c r="V1427" s="60">
        <f t="shared" si="821"/>
        <v>0</v>
      </c>
      <c r="W1427" s="60">
        <f t="shared" si="821"/>
        <v>0</v>
      </c>
      <c r="X1427" s="60">
        <f t="shared" si="821"/>
        <v>0</v>
      </c>
    </row>
    <row r="1428" spans="2:24" hidden="1">
      <c r="B1428" s="59" t="str">
        <f t="shared" si="817"/>
        <v/>
      </c>
      <c r="C1428" s="59" t="str">
        <f t="shared" si="817"/>
        <v/>
      </c>
      <c r="D1428" s="59" t="str">
        <f t="shared" si="817"/>
        <v/>
      </c>
      <c r="E1428" s="59" t="str">
        <f t="shared" si="817"/>
        <v/>
      </c>
      <c r="F1428" s="59" t="str">
        <f t="shared" si="817"/>
        <v/>
      </c>
      <c r="G1428" s="59"/>
      <c r="H1428" s="59"/>
      <c r="I1428" s="59"/>
      <c r="J1428" s="59"/>
      <c r="K1428" s="60">
        <f t="shared" ref="K1428:X1428" si="822">IF(AND($D1428="tak",OR($E1428="nie dotyczy",$E1428="badania przemysłowe"),K$1421&lt;=Koniec_Projekt),ROUND(K121*K143,0),0)</f>
        <v>0</v>
      </c>
      <c r="L1428" s="60">
        <f t="shared" si="822"/>
        <v>0</v>
      </c>
      <c r="M1428" s="60">
        <f t="shared" si="822"/>
        <v>0</v>
      </c>
      <c r="N1428" s="60">
        <f t="shared" si="822"/>
        <v>0</v>
      </c>
      <c r="O1428" s="60">
        <f t="shared" si="822"/>
        <v>0</v>
      </c>
      <c r="P1428" s="60">
        <f t="shared" si="822"/>
        <v>0</v>
      </c>
      <c r="Q1428" s="60">
        <f t="shared" si="822"/>
        <v>0</v>
      </c>
      <c r="R1428" s="60">
        <f t="shared" si="822"/>
        <v>0</v>
      </c>
      <c r="S1428" s="60">
        <f t="shared" si="822"/>
        <v>0</v>
      </c>
      <c r="T1428" s="60">
        <f t="shared" si="822"/>
        <v>0</v>
      </c>
      <c r="U1428" s="60">
        <f t="shared" si="822"/>
        <v>0</v>
      </c>
      <c r="V1428" s="60">
        <f t="shared" si="822"/>
        <v>0</v>
      </c>
      <c r="W1428" s="60">
        <f t="shared" si="822"/>
        <v>0</v>
      </c>
      <c r="X1428" s="60">
        <f t="shared" si="822"/>
        <v>0</v>
      </c>
    </row>
    <row r="1429" spans="2:24" hidden="1">
      <c r="B1429" s="59" t="str">
        <f t="shared" si="817"/>
        <v/>
      </c>
      <c r="C1429" s="59" t="str">
        <f t="shared" si="817"/>
        <v/>
      </c>
      <c r="D1429" s="59" t="str">
        <f t="shared" si="817"/>
        <v/>
      </c>
      <c r="E1429" s="59" t="str">
        <f t="shared" si="817"/>
        <v/>
      </c>
      <c r="F1429" s="59" t="str">
        <f t="shared" si="817"/>
        <v/>
      </c>
      <c r="G1429" s="59"/>
      <c r="H1429" s="59"/>
      <c r="I1429" s="59"/>
      <c r="J1429" s="59"/>
      <c r="K1429" s="60">
        <f t="shared" ref="K1429:X1429" si="823">IF(AND($D1429="tak",OR($E1429="nie dotyczy",$E1429="badania przemysłowe"),K$1421&lt;=Koniec_Projekt),ROUND(K122*K144,0),0)</f>
        <v>0</v>
      </c>
      <c r="L1429" s="60">
        <f t="shared" si="823"/>
        <v>0</v>
      </c>
      <c r="M1429" s="60">
        <f t="shared" si="823"/>
        <v>0</v>
      </c>
      <c r="N1429" s="60">
        <f t="shared" si="823"/>
        <v>0</v>
      </c>
      <c r="O1429" s="60">
        <f t="shared" si="823"/>
        <v>0</v>
      </c>
      <c r="P1429" s="60">
        <f t="shared" si="823"/>
        <v>0</v>
      </c>
      <c r="Q1429" s="60">
        <f t="shared" si="823"/>
        <v>0</v>
      </c>
      <c r="R1429" s="60">
        <f t="shared" si="823"/>
        <v>0</v>
      </c>
      <c r="S1429" s="60">
        <f t="shared" si="823"/>
        <v>0</v>
      </c>
      <c r="T1429" s="60">
        <f t="shared" si="823"/>
        <v>0</v>
      </c>
      <c r="U1429" s="60">
        <f t="shared" si="823"/>
        <v>0</v>
      </c>
      <c r="V1429" s="60">
        <f t="shared" si="823"/>
        <v>0</v>
      </c>
      <c r="W1429" s="60">
        <f t="shared" si="823"/>
        <v>0</v>
      </c>
      <c r="X1429" s="60">
        <f t="shared" si="823"/>
        <v>0</v>
      </c>
    </row>
    <row r="1430" spans="2:24" hidden="1">
      <c r="B1430" s="59" t="str">
        <f t="shared" si="817"/>
        <v/>
      </c>
      <c r="C1430" s="59" t="str">
        <f t="shared" si="817"/>
        <v/>
      </c>
      <c r="D1430" s="59" t="str">
        <f t="shared" si="817"/>
        <v/>
      </c>
      <c r="E1430" s="59" t="str">
        <f t="shared" si="817"/>
        <v/>
      </c>
      <c r="F1430" s="59" t="str">
        <f t="shared" si="817"/>
        <v/>
      </c>
      <c r="G1430" s="59"/>
      <c r="H1430" s="59"/>
      <c r="I1430" s="59"/>
      <c r="J1430" s="59"/>
      <c r="K1430" s="60">
        <f t="shared" ref="K1430:X1430" si="824">IF(AND($D1430="tak",OR($E1430="nie dotyczy",$E1430="badania przemysłowe"),K$1421&lt;=Koniec_Projekt),ROUND(K123*K145,0),0)</f>
        <v>0</v>
      </c>
      <c r="L1430" s="60">
        <f t="shared" si="824"/>
        <v>0</v>
      </c>
      <c r="M1430" s="60">
        <f t="shared" si="824"/>
        <v>0</v>
      </c>
      <c r="N1430" s="60">
        <f t="shared" si="824"/>
        <v>0</v>
      </c>
      <c r="O1430" s="60">
        <f t="shared" si="824"/>
        <v>0</v>
      </c>
      <c r="P1430" s="60">
        <f t="shared" si="824"/>
        <v>0</v>
      </c>
      <c r="Q1430" s="60">
        <f t="shared" si="824"/>
        <v>0</v>
      </c>
      <c r="R1430" s="60">
        <f t="shared" si="824"/>
        <v>0</v>
      </c>
      <c r="S1430" s="60">
        <f t="shared" si="824"/>
        <v>0</v>
      </c>
      <c r="T1430" s="60">
        <f t="shared" si="824"/>
        <v>0</v>
      </c>
      <c r="U1430" s="60">
        <f t="shared" si="824"/>
        <v>0</v>
      </c>
      <c r="V1430" s="60">
        <f t="shared" si="824"/>
        <v>0</v>
      </c>
      <c r="W1430" s="60">
        <f t="shared" si="824"/>
        <v>0</v>
      </c>
      <c r="X1430" s="60">
        <f t="shared" si="824"/>
        <v>0</v>
      </c>
    </row>
    <row r="1431" spans="2:24" hidden="1">
      <c r="B1431" s="59" t="str">
        <f t="shared" si="817"/>
        <v/>
      </c>
      <c r="C1431" s="59" t="str">
        <f t="shared" si="817"/>
        <v/>
      </c>
      <c r="D1431" s="59" t="str">
        <f t="shared" si="817"/>
        <v/>
      </c>
      <c r="E1431" s="59" t="str">
        <f t="shared" si="817"/>
        <v/>
      </c>
      <c r="F1431" s="59" t="str">
        <f t="shared" si="817"/>
        <v/>
      </c>
      <c r="G1431" s="59"/>
      <c r="H1431" s="59"/>
      <c r="I1431" s="59"/>
      <c r="J1431" s="59"/>
      <c r="K1431" s="60">
        <f t="shared" ref="K1431:X1431" si="825">IF(AND($D1431="tak",OR($E1431="nie dotyczy",$E1431="badania przemysłowe"),K$1421&lt;=Koniec_Projekt),ROUND(K124*K146,0),0)</f>
        <v>0</v>
      </c>
      <c r="L1431" s="60">
        <f t="shared" si="825"/>
        <v>0</v>
      </c>
      <c r="M1431" s="60">
        <f t="shared" si="825"/>
        <v>0</v>
      </c>
      <c r="N1431" s="60">
        <f t="shared" si="825"/>
        <v>0</v>
      </c>
      <c r="O1431" s="60">
        <f t="shared" si="825"/>
        <v>0</v>
      </c>
      <c r="P1431" s="60">
        <f t="shared" si="825"/>
        <v>0</v>
      </c>
      <c r="Q1431" s="60">
        <f t="shared" si="825"/>
        <v>0</v>
      </c>
      <c r="R1431" s="60">
        <f t="shared" si="825"/>
        <v>0</v>
      </c>
      <c r="S1431" s="60">
        <f t="shared" si="825"/>
        <v>0</v>
      </c>
      <c r="T1431" s="60">
        <f t="shared" si="825"/>
        <v>0</v>
      </c>
      <c r="U1431" s="60">
        <f t="shared" si="825"/>
        <v>0</v>
      </c>
      <c r="V1431" s="60">
        <f t="shared" si="825"/>
        <v>0</v>
      </c>
      <c r="W1431" s="60">
        <f t="shared" si="825"/>
        <v>0</v>
      </c>
      <c r="X1431" s="60">
        <f t="shared" si="825"/>
        <v>0</v>
      </c>
    </row>
    <row r="1432" spans="2:24" hidden="1">
      <c r="B1432" s="59" t="str">
        <f t="shared" si="817"/>
        <v/>
      </c>
      <c r="C1432" s="59" t="str">
        <f t="shared" si="817"/>
        <v/>
      </c>
      <c r="D1432" s="59" t="str">
        <f t="shared" si="817"/>
        <v/>
      </c>
      <c r="E1432" s="59" t="str">
        <f t="shared" si="817"/>
        <v/>
      </c>
      <c r="F1432" s="59" t="str">
        <f t="shared" si="817"/>
        <v/>
      </c>
      <c r="G1432" s="59"/>
      <c r="H1432" s="59"/>
      <c r="I1432" s="59"/>
      <c r="J1432" s="59"/>
      <c r="K1432" s="60">
        <f t="shared" ref="K1432:X1432" si="826">IF(AND($D1432="tak",OR($E1432="nie dotyczy",$E1432="badania przemysłowe"),K$1421&lt;=Koniec_Projekt),ROUND(K125*K147,0),0)</f>
        <v>0</v>
      </c>
      <c r="L1432" s="60">
        <f t="shared" si="826"/>
        <v>0</v>
      </c>
      <c r="M1432" s="60">
        <f t="shared" si="826"/>
        <v>0</v>
      </c>
      <c r="N1432" s="60">
        <f t="shared" si="826"/>
        <v>0</v>
      </c>
      <c r="O1432" s="60">
        <f t="shared" si="826"/>
        <v>0</v>
      </c>
      <c r="P1432" s="60">
        <f t="shared" si="826"/>
        <v>0</v>
      </c>
      <c r="Q1432" s="60">
        <f t="shared" si="826"/>
        <v>0</v>
      </c>
      <c r="R1432" s="60">
        <f t="shared" si="826"/>
        <v>0</v>
      </c>
      <c r="S1432" s="60">
        <f t="shared" si="826"/>
        <v>0</v>
      </c>
      <c r="T1432" s="60">
        <f t="shared" si="826"/>
        <v>0</v>
      </c>
      <c r="U1432" s="60">
        <f t="shared" si="826"/>
        <v>0</v>
      </c>
      <c r="V1432" s="60">
        <f t="shared" si="826"/>
        <v>0</v>
      </c>
      <c r="W1432" s="60">
        <f t="shared" si="826"/>
        <v>0</v>
      </c>
      <c r="X1432" s="60">
        <f t="shared" si="826"/>
        <v>0</v>
      </c>
    </row>
    <row r="1433" spans="2:24" hidden="1">
      <c r="B1433" s="59" t="str">
        <f t="shared" si="817"/>
        <v/>
      </c>
      <c r="C1433" s="59" t="str">
        <f t="shared" si="817"/>
        <v/>
      </c>
      <c r="D1433" s="59" t="str">
        <f t="shared" si="817"/>
        <v/>
      </c>
      <c r="E1433" s="59" t="str">
        <f t="shared" si="817"/>
        <v/>
      </c>
      <c r="F1433" s="59" t="str">
        <f t="shared" si="817"/>
        <v/>
      </c>
      <c r="G1433" s="59"/>
      <c r="H1433" s="59"/>
      <c r="I1433" s="59"/>
      <c r="J1433" s="59"/>
      <c r="K1433" s="60">
        <f t="shared" ref="K1433:X1433" si="827">IF(AND($D1433="tak",OR($E1433="nie dotyczy",$E1433="badania przemysłowe"),K$1421&lt;=Koniec_Projekt),ROUND(K126*K148,0),0)</f>
        <v>0</v>
      </c>
      <c r="L1433" s="60">
        <f t="shared" si="827"/>
        <v>0</v>
      </c>
      <c r="M1433" s="60">
        <f t="shared" si="827"/>
        <v>0</v>
      </c>
      <c r="N1433" s="60">
        <f t="shared" si="827"/>
        <v>0</v>
      </c>
      <c r="O1433" s="60">
        <f t="shared" si="827"/>
        <v>0</v>
      </c>
      <c r="P1433" s="60">
        <f t="shared" si="827"/>
        <v>0</v>
      </c>
      <c r="Q1433" s="60">
        <f t="shared" si="827"/>
        <v>0</v>
      </c>
      <c r="R1433" s="60">
        <f t="shared" si="827"/>
        <v>0</v>
      </c>
      <c r="S1433" s="60">
        <f t="shared" si="827"/>
        <v>0</v>
      </c>
      <c r="T1433" s="60">
        <f t="shared" si="827"/>
        <v>0</v>
      </c>
      <c r="U1433" s="60">
        <f t="shared" si="827"/>
        <v>0</v>
      </c>
      <c r="V1433" s="60">
        <f t="shared" si="827"/>
        <v>0</v>
      </c>
      <c r="W1433" s="60">
        <f t="shared" si="827"/>
        <v>0</v>
      </c>
      <c r="X1433" s="60">
        <f t="shared" si="827"/>
        <v>0</v>
      </c>
    </row>
    <row r="1434" spans="2:24" hidden="1">
      <c r="B1434" s="59" t="str">
        <f t="shared" ref="B1434:F1443" si="828">IF(ISBLANK(B1194),"",B1194)</f>
        <v/>
      </c>
      <c r="C1434" s="59" t="str">
        <f t="shared" si="828"/>
        <v/>
      </c>
      <c r="D1434" s="59" t="str">
        <f t="shared" si="828"/>
        <v/>
      </c>
      <c r="E1434" s="59" t="str">
        <f t="shared" si="828"/>
        <v/>
      </c>
      <c r="F1434" s="59" t="str">
        <f t="shared" si="828"/>
        <v/>
      </c>
      <c r="G1434" s="59"/>
      <c r="H1434" s="59"/>
      <c r="I1434" s="59"/>
      <c r="J1434" s="59"/>
      <c r="K1434" s="60">
        <f t="shared" ref="K1434:X1434" si="829">IF(AND($D1434="tak",OR($E1434="nie dotyczy",$E1434="badania przemysłowe"),K$1421&lt;=Koniec_Projekt),ROUND(K127*K149,0),0)</f>
        <v>0</v>
      </c>
      <c r="L1434" s="60">
        <f t="shared" si="829"/>
        <v>0</v>
      </c>
      <c r="M1434" s="60">
        <f t="shared" si="829"/>
        <v>0</v>
      </c>
      <c r="N1434" s="60">
        <f t="shared" si="829"/>
        <v>0</v>
      </c>
      <c r="O1434" s="60">
        <f t="shared" si="829"/>
        <v>0</v>
      </c>
      <c r="P1434" s="60">
        <f t="shared" si="829"/>
        <v>0</v>
      </c>
      <c r="Q1434" s="60">
        <f t="shared" si="829"/>
        <v>0</v>
      </c>
      <c r="R1434" s="60">
        <f t="shared" si="829"/>
        <v>0</v>
      </c>
      <c r="S1434" s="60">
        <f t="shared" si="829"/>
        <v>0</v>
      </c>
      <c r="T1434" s="60">
        <f t="shared" si="829"/>
        <v>0</v>
      </c>
      <c r="U1434" s="60">
        <f t="shared" si="829"/>
        <v>0</v>
      </c>
      <c r="V1434" s="60">
        <f t="shared" si="829"/>
        <v>0</v>
      </c>
      <c r="W1434" s="60">
        <f t="shared" si="829"/>
        <v>0</v>
      </c>
      <c r="X1434" s="60">
        <f t="shared" si="829"/>
        <v>0</v>
      </c>
    </row>
    <row r="1435" spans="2:24" hidden="1">
      <c r="B1435" s="59" t="str">
        <f t="shared" si="828"/>
        <v/>
      </c>
      <c r="C1435" s="59" t="str">
        <f t="shared" si="828"/>
        <v/>
      </c>
      <c r="D1435" s="59" t="str">
        <f t="shared" si="828"/>
        <v/>
      </c>
      <c r="E1435" s="59" t="str">
        <f t="shared" si="828"/>
        <v/>
      </c>
      <c r="F1435" s="59" t="str">
        <f t="shared" si="828"/>
        <v/>
      </c>
      <c r="G1435" s="59"/>
      <c r="H1435" s="59"/>
      <c r="I1435" s="59"/>
      <c r="J1435" s="59"/>
      <c r="K1435" s="60">
        <f t="shared" ref="K1435:X1435" si="830">IF(AND($D1435="tak",OR($E1435="nie dotyczy",$E1435="badania przemysłowe"),K$1421&lt;=Koniec_Projekt),ROUND(K128*K150,0),0)</f>
        <v>0</v>
      </c>
      <c r="L1435" s="60">
        <f t="shared" si="830"/>
        <v>0</v>
      </c>
      <c r="M1435" s="60">
        <f t="shared" si="830"/>
        <v>0</v>
      </c>
      <c r="N1435" s="60">
        <f t="shared" si="830"/>
        <v>0</v>
      </c>
      <c r="O1435" s="60">
        <f t="shared" si="830"/>
        <v>0</v>
      </c>
      <c r="P1435" s="60">
        <f t="shared" si="830"/>
        <v>0</v>
      </c>
      <c r="Q1435" s="60">
        <f t="shared" si="830"/>
        <v>0</v>
      </c>
      <c r="R1435" s="60">
        <f t="shared" si="830"/>
        <v>0</v>
      </c>
      <c r="S1435" s="60">
        <f t="shared" si="830"/>
        <v>0</v>
      </c>
      <c r="T1435" s="60">
        <f t="shared" si="830"/>
        <v>0</v>
      </c>
      <c r="U1435" s="60">
        <f t="shared" si="830"/>
        <v>0</v>
      </c>
      <c r="V1435" s="60">
        <f t="shared" si="830"/>
        <v>0</v>
      </c>
      <c r="W1435" s="60">
        <f t="shared" si="830"/>
        <v>0</v>
      </c>
      <c r="X1435" s="60">
        <f t="shared" si="830"/>
        <v>0</v>
      </c>
    </row>
    <row r="1436" spans="2:24" hidden="1">
      <c r="B1436" s="59" t="str">
        <f t="shared" si="828"/>
        <v/>
      </c>
      <c r="C1436" s="59" t="str">
        <f t="shared" si="828"/>
        <v/>
      </c>
      <c r="D1436" s="59" t="str">
        <f t="shared" si="828"/>
        <v/>
      </c>
      <c r="E1436" s="59" t="str">
        <f t="shared" si="828"/>
        <v/>
      </c>
      <c r="F1436" s="59" t="str">
        <f t="shared" si="828"/>
        <v/>
      </c>
      <c r="G1436" s="59"/>
      <c r="H1436" s="59"/>
      <c r="I1436" s="59"/>
      <c r="J1436" s="59"/>
      <c r="K1436" s="60">
        <f t="shared" ref="K1436:X1436" si="831">IF(AND($D1436="tak",OR($E1436="nie dotyczy",$E1436="badania przemysłowe"),K$1421&lt;=Koniec_Projekt),ROUND(K129*K151,0),0)</f>
        <v>0</v>
      </c>
      <c r="L1436" s="60">
        <f t="shared" si="831"/>
        <v>0</v>
      </c>
      <c r="M1436" s="60">
        <f t="shared" si="831"/>
        <v>0</v>
      </c>
      <c r="N1436" s="60">
        <f t="shared" si="831"/>
        <v>0</v>
      </c>
      <c r="O1436" s="60">
        <f t="shared" si="831"/>
        <v>0</v>
      </c>
      <c r="P1436" s="60">
        <f t="shared" si="831"/>
        <v>0</v>
      </c>
      <c r="Q1436" s="60">
        <f t="shared" si="831"/>
        <v>0</v>
      </c>
      <c r="R1436" s="60">
        <f t="shared" si="831"/>
        <v>0</v>
      </c>
      <c r="S1436" s="60">
        <f t="shared" si="831"/>
        <v>0</v>
      </c>
      <c r="T1436" s="60">
        <f t="shared" si="831"/>
        <v>0</v>
      </c>
      <c r="U1436" s="60">
        <f t="shared" si="831"/>
        <v>0</v>
      </c>
      <c r="V1436" s="60">
        <f t="shared" si="831"/>
        <v>0</v>
      </c>
      <c r="W1436" s="60">
        <f t="shared" si="831"/>
        <v>0</v>
      </c>
      <c r="X1436" s="60">
        <f t="shared" si="831"/>
        <v>0</v>
      </c>
    </row>
    <row r="1437" spans="2:24" hidden="1">
      <c r="B1437" s="59" t="str">
        <f t="shared" si="828"/>
        <v/>
      </c>
      <c r="C1437" s="59" t="str">
        <f t="shared" si="828"/>
        <v/>
      </c>
      <c r="D1437" s="59" t="str">
        <f t="shared" si="828"/>
        <v/>
      </c>
      <c r="E1437" s="59" t="str">
        <f t="shared" si="828"/>
        <v/>
      </c>
      <c r="F1437" s="59" t="str">
        <f t="shared" si="828"/>
        <v/>
      </c>
      <c r="G1437" s="59"/>
      <c r="H1437" s="59"/>
      <c r="I1437" s="59"/>
      <c r="J1437" s="59"/>
      <c r="K1437" s="60">
        <f t="shared" ref="K1437:X1437" si="832">IF(AND($D1437="tak",OR($E1437="nie dotyczy",$E1437="badania przemysłowe"),K$1421&lt;=Koniec_Projekt),ROUND(K130*K152,0),0)</f>
        <v>0</v>
      </c>
      <c r="L1437" s="60">
        <f t="shared" si="832"/>
        <v>0</v>
      </c>
      <c r="M1437" s="60">
        <f t="shared" si="832"/>
        <v>0</v>
      </c>
      <c r="N1437" s="60">
        <f t="shared" si="832"/>
        <v>0</v>
      </c>
      <c r="O1437" s="60">
        <f t="shared" si="832"/>
        <v>0</v>
      </c>
      <c r="P1437" s="60">
        <f t="shared" si="832"/>
        <v>0</v>
      </c>
      <c r="Q1437" s="60">
        <f t="shared" si="832"/>
        <v>0</v>
      </c>
      <c r="R1437" s="60">
        <f t="shared" si="832"/>
        <v>0</v>
      </c>
      <c r="S1437" s="60">
        <f t="shared" si="832"/>
        <v>0</v>
      </c>
      <c r="T1437" s="60">
        <f t="shared" si="832"/>
        <v>0</v>
      </c>
      <c r="U1437" s="60">
        <f t="shared" si="832"/>
        <v>0</v>
      </c>
      <c r="V1437" s="60">
        <f t="shared" si="832"/>
        <v>0</v>
      </c>
      <c r="W1437" s="60">
        <f t="shared" si="832"/>
        <v>0</v>
      </c>
      <c r="X1437" s="60">
        <f t="shared" si="832"/>
        <v>0</v>
      </c>
    </row>
    <row r="1438" spans="2:24" hidden="1">
      <c r="B1438" s="59" t="str">
        <f t="shared" si="828"/>
        <v/>
      </c>
      <c r="C1438" s="59" t="str">
        <f t="shared" si="828"/>
        <v/>
      </c>
      <c r="D1438" s="59" t="str">
        <f t="shared" si="828"/>
        <v/>
      </c>
      <c r="E1438" s="59" t="str">
        <f t="shared" si="828"/>
        <v/>
      </c>
      <c r="F1438" s="59" t="str">
        <f t="shared" si="828"/>
        <v/>
      </c>
      <c r="G1438" s="59"/>
      <c r="H1438" s="59"/>
      <c r="I1438" s="59"/>
      <c r="J1438" s="59"/>
      <c r="K1438" s="60">
        <f t="shared" ref="K1438:X1438" si="833">IF(AND($D1438="tak",OR($E1438="nie dotyczy",$E1438="badania przemysłowe"),K$1421&lt;=Koniec_Projekt),ROUND(K131*K153,0),0)</f>
        <v>0</v>
      </c>
      <c r="L1438" s="60">
        <f t="shared" si="833"/>
        <v>0</v>
      </c>
      <c r="M1438" s="60">
        <f t="shared" si="833"/>
        <v>0</v>
      </c>
      <c r="N1438" s="60">
        <f t="shared" si="833"/>
        <v>0</v>
      </c>
      <c r="O1438" s="60">
        <f t="shared" si="833"/>
        <v>0</v>
      </c>
      <c r="P1438" s="60">
        <f t="shared" si="833"/>
        <v>0</v>
      </c>
      <c r="Q1438" s="60">
        <f t="shared" si="833"/>
        <v>0</v>
      </c>
      <c r="R1438" s="60">
        <f t="shared" si="833"/>
        <v>0</v>
      </c>
      <c r="S1438" s="60">
        <f t="shared" si="833"/>
        <v>0</v>
      </c>
      <c r="T1438" s="60">
        <f t="shared" si="833"/>
        <v>0</v>
      </c>
      <c r="U1438" s="60">
        <f t="shared" si="833"/>
        <v>0</v>
      </c>
      <c r="V1438" s="60">
        <f t="shared" si="833"/>
        <v>0</v>
      </c>
      <c r="W1438" s="60">
        <f t="shared" si="833"/>
        <v>0</v>
      </c>
      <c r="X1438" s="60">
        <f t="shared" si="833"/>
        <v>0</v>
      </c>
    </row>
    <row r="1439" spans="2:24" hidden="1">
      <c r="B1439" s="59" t="str">
        <f t="shared" si="828"/>
        <v/>
      </c>
      <c r="C1439" s="59" t="str">
        <f t="shared" si="828"/>
        <v/>
      </c>
      <c r="D1439" s="59" t="str">
        <f t="shared" si="828"/>
        <v/>
      </c>
      <c r="E1439" s="59" t="str">
        <f t="shared" si="828"/>
        <v/>
      </c>
      <c r="F1439" s="59" t="str">
        <f t="shared" si="828"/>
        <v/>
      </c>
      <c r="G1439" s="59"/>
      <c r="H1439" s="59"/>
      <c r="I1439" s="59"/>
      <c r="J1439" s="59"/>
      <c r="K1439" s="60">
        <f t="shared" ref="K1439:X1439" si="834">IF(AND($D1439="tak",OR($E1439="nie dotyczy",$E1439="badania przemysłowe"),K$1421&lt;=Koniec_Projekt),ROUND(K132*K154,0),0)</f>
        <v>0</v>
      </c>
      <c r="L1439" s="60">
        <f t="shared" si="834"/>
        <v>0</v>
      </c>
      <c r="M1439" s="60">
        <f t="shared" si="834"/>
        <v>0</v>
      </c>
      <c r="N1439" s="60">
        <f t="shared" si="834"/>
        <v>0</v>
      </c>
      <c r="O1439" s="60">
        <f t="shared" si="834"/>
        <v>0</v>
      </c>
      <c r="P1439" s="60">
        <f t="shared" si="834"/>
        <v>0</v>
      </c>
      <c r="Q1439" s="60">
        <f t="shared" si="834"/>
        <v>0</v>
      </c>
      <c r="R1439" s="60">
        <f t="shared" si="834"/>
        <v>0</v>
      </c>
      <c r="S1439" s="60">
        <f t="shared" si="834"/>
        <v>0</v>
      </c>
      <c r="T1439" s="60">
        <f t="shared" si="834"/>
        <v>0</v>
      </c>
      <c r="U1439" s="60">
        <f t="shared" si="834"/>
        <v>0</v>
      </c>
      <c r="V1439" s="60">
        <f t="shared" si="834"/>
        <v>0</v>
      </c>
      <c r="W1439" s="60">
        <f t="shared" si="834"/>
        <v>0</v>
      </c>
      <c r="X1439" s="60">
        <f t="shared" si="834"/>
        <v>0</v>
      </c>
    </row>
    <row r="1440" spans="2:24" hidden="1">
      <c r="B1440" s="59" t="str">
        <f t="shared" si="828"/>
        <v/>
      </c>
      <c r="C1440" s="59" t="str">
        <f t="shared" si="828"/>
        <v/>
      </c>
      <c r="D1440" s="59" t="str">
        <f t="shared" si="828"/>
        <v/>
      </c>
      <c r="E1440" s="59" t="str">
        <f t="shared" si="828"/>
        <v/>
      </c>
      <c r="F1440" s="59" t="str">
        <f t="shared" si="828"/>
        <v/>
      </c>
      <c r="G1440" s="59"/>
      <c r="H1440" s="59"/>
      <c r="I1440" s="59"/>
      <c r="J1440" s="59"/>
      <c r="K1440" s="60">
        <f t="shared" ref="K1440:X1440" si="835">IF(AND($D1440="tak",OR($E1440="nie dotyczy",$E1440="badania przemysłowe"),K$1421&lt;=Koniec_Projekt),ROUND(K133*K155,0),0)</f>
        <v>0</v>
      </c>
      <c r="L1440" s="60">
        <f t="shared" si="835"/>
        <v>0</v>
      </c>
      <c r="M1440" s="60">
        <f t="shared" si="835"/>
        <v>0</v>
      </c>
      <c r="N1440" s="60">
        <f t="shared" si="835"/>
        <v>0</v>
      </c>
      <c r="O1440" s="60">
        <f t="shared" si="835"/>
        <v>0</v>
      </c>
      <c r="P1440" s="60">
        <f t="shared" si="835"/>
        <v>0</v>
      </c>
      <c r="Q1440" s="60">
        <f t="shared" si="835"/>
        <v>0</v>
      </c>
      <c r="R1440" s="60">
        <f t="shared" si="835"/>
        <v>0</v>
      </c>
      <c r="S1440" s="60">
        <f t="shared" si="835"/>
        <v>0</v>
      </c>
      <c r="T1440" s="60">
        <f t="shared" si="835"/>
        <v>0</v>
      </c>
      <c r="U1440" s="60">
        <f t="shared" si="835"/>
        <v>0</v>
      </c>
      <c r="V1440" s="60">
        <f t="shared" si="835"/>
        <v>0</v>
      </c>
      <c r="W1440" s="60">
        <f t="shared" si="835"/>
        <v>0</v>
      </c>
      <c r="X1440" s="60">
        <f t="shared" si="835"/>
        <v>0</v>
      </c>
    </row>
    <row r="1441" spans="2:24" hidden="1">
      <c r="B1441" s="59" t="str">
        <f t="shared" si="828"/>
        <v/>
      </c>
      <c r="C1441" s="59" t="str">
        <f t="shared" si="828"/>
        <v/>
      </c>
      <c r="D1441" s="59" t="str">
        <f t="shared" si="828"/>
        <v/>
      </c>
      <c r="E1441" s="59" t="str">
        <f t="shared" si="828"/>
        <v/>
      </c>
      <c r="F1441" s="59" t="str">
        <f t="shared" si="828"/>
        <v/>
      </c>
      <c r="G1441" s="59"/>
      <c r="H1441" s="59"/>
      <c r="I1441" s="59"/>
      <c r="J1441" s="59"/>
      <c r="K1441" s="60">
        <f t="shared" ref="K1441:X1441" si="836">IF(AND($D1441="tak",OR($E1441="nie dotyczy",$E1441="badania przemysłowe"),K$1421&lt;=Koniec_Projekt),ROUND(K134*K156,0),0)</f>
        <v>0</v>
      </c>
      <c r="L1441" s="60">
        <f t="shared" si="836"/>
        <v>0</v>
      </c>
      <c r="M1441" s="60">
        <f t="shared" si="836"/>
        <v>0</v>
      </c>
      <c r="N1441" s="60">
        <f t="shared" si="836"/>
        <v>0</v>
      </c>
      <c r="O1441" s="60">
        <f t="shared" si="836"/>
        <v>0</v>
      </c>
      <c r="P1441" s="60">
        <f t="shared" si="836"/>
        <v>0</v>
      </c>
      <c r="Q1441" s="60">
        <f t="shared" si="836"/>
        <v>0</v>
      </c>
      <c r="R1441" s="60">
        <f t="shared" si="836"/>
        <v>0</v>
      </c>
      <c r="S1441" s="60">
        <f t="shared" si="836"/>
        <v>0</v>
      </c>
      <c r="T1441" s="60">
        <f t="shared" si="836"/>
        <v>0</v>
      </c>
      <c r="U1441" s="60">
        <f t="shared" si="836"/>
        <v>0</v>
      </c>
      <c r="V1441" s="60">
        <f t="shared" si="836"/>
        <v>0</v>
      </c>
      <c r="W1441" s="60">
        <f t="shared" si="836"/>
        <v>0</v>
      </c>
      <c r="X1441" s="60">
        <f t="shared" si="836"/>
        <v>0</v>
      </c>
    </row>
    <row r="1442" spans="2:24" hidden="1">
      <c r="B1442" s="59" t="str">
        <f t="shared" si="828"/>
        <v/>
      </c>
      <c r="C1442" s="59" t="str">
        <f t="shared" si="828"/>
        <v/>
      </c>
      <c r="D1442" s="59" t="str">
        <f t="shared" si="828"/>
        <v/>
      </c>
      <c r="E1442" s="59" t="str">
        <f t="shared" si="828"/>
        <v/>
      </c>
      <c r="F1442" s="59" t="str">
        <f t="shared" si="828"/>
        <v/>
      </c>
      <c r="G1442" s="59"/>
      <c r="H1442" s="59"/>
      <c r="I1442" s="59"/>
      <c r="J1442" s="59"/>
      <c r="K1442" s="60">
        <f t="shared" ref="K1442:X1442" si="837">IF(AND($D1442="tak",OR($E1442="nie dotyczy",$E1442="badania przemysłowe"),K$1421&lt;=Koniec_Projekt),ROUND(K135*K157,0),0)</f>
        <v>0</v>
      </c>
      <c r="L1442" s="60">
        <f t="shared" si="837"/>
        <v>0</v>
      </c>
      <c r="M1442" s="60">
        <f t="shared" si="837"/>
        <v>0</v>
      </c>
      <c r="N1442" s="60">
        <f t="shared" si="837"/>
        <v>0</v>
      </c>
      <c r="O1442" s="60">
        <f t="shared" si="837"/>
        <v>0</v>
      </c>
      <c r="P1442" s="60">
        <f t="shared" si="837"/>
        <v>0</v>
      </c>
      <c r="Q1442" s="60">
        <f t="shared" si="837"/>
        <v>0</v>
      </c>
      <c r="R1442" s="60">
        <f t="shared" si="837"/>
        <v>0</v>
      </c>
      <c r="S1442" s="60">
        <f t="shared" si="837"/>
        <v>0</v>
      </c>
      <c r="T1442" s="60">
        <f t="shared" si="837"/>
        <v>0</v>
      </c>
      <c r="U1442" s="60">
        <f t="shared" si="837"/>
        <v>0</v>
      </c>
      <c r="V1442" s="60">
        <f t="shared" si="837"/>
        <v>0</v>
      </c>
      <c r="W1442" s="60">
        <f t="shared" si="837"/>
        <v>0</v>
      </c>
      <c r="X1442" s="60">
        <f t="shared" si="837"/>
        <v>0</v>
      </c>
    </row>
    <row r="1443" spans="2:24" hidden="1">
      <c r="B1443" s="59" t="str">
        <f t="shared" si="828"/>
        <v/>
      </c>
      <c r="C1443" s="59" t="str">
        <f t="shared" si="828"/>
        <v/>
      </c>
      <c r="D1443" s="59" t="str">
        <f t="shared" si="828"/>
        <v/>
      </c>
      <c r="E1443" s="59" t="str">
        <f t="shared" si="828"/>
        <v/>
      </c>
      <c r="F1443" s="59" t="str">
        <f t="shared" si="828"/>
        <v/>
      </c>
      <c r="G1443" s="59"/>
      <c r="H1443" s="59"/>
      <c r="I1443" s="59"/>
      <c r="J1443" s="59"/>
      <c r="K1443" s="60">
        <f t="shared" ref="K1443:X1443" si="838">IF(AND($D1443="tak",OR($E1443="nie dotyczy",$E1443="badania przemysłowe"),K$1421&lt;=Koniec_Projekt),ROUND(K136*K158,0),0)</f>
        <v>0</v>
      </c>
      <c r="L1443" s="60">
        <f t="shared" si="838"/>
        <v>0</v>
      </c>
      <c r="M1443" s="60">
        <f t="shared" si="838"/>
        <v>0</v>
      </c>
      <c r="N1443" s="60">
        <f t="shared" si="838"/>
        <v>0</v>
      </c>
      <c r="O1443" s="60">
        <f t="shared" si="838"/>
        <v>0</v>
      </c>
      <c r="P1443" s="60">
        <f t="shared" si="838"/>
        <v>0</v>
      </c>
      <c r="Q1443" s="60">
        <f t="shared" si="838"/>
        <v>0</v>
      </c>
      <c r="R1443" s="60">
        <f t="shared" si="838"/>
        <v>0</v>
      </c>
      <c r="S1443" s="60">
        <f t="shared" si="838"/>
        <v>0</v>
      </c>
      <c r="T1443" s="60">
        <f t="shared" si="838"/>
        <v>0</v>
      </c>
      <c r="U1443" s="60">
        <f t="shared" si="838"/>
        <v>0</v>
      </c>
      <c r="V1443" s="60">
        <f t="shared" si="838"/>
        <v>0</v>
      </c>
      <c r="W1443" s="60">
        <f t="shared" si="838"/>
        <v>0</v>
      </c>
      <c r="X1443" s="60">
        <f t="shared" si="838"/>
        <v>0</v>
      </c>
    </row>
    <row r="1444" spans="2:24" hidden="1">
      <c r="B1444" s="20" t="s">
        <v>339</v>
      </c>
      <c r="C1444" s="20"/>
      <c r="D1444" s="80"/>
      <c r="E1444" s="21"/>
      <c r="F1444" s="21"/>
      <c r="G1444" s="21"/>
      <c r="H1444" s="21"/>
      <c r="I1444" s="21"/>
      <c r="J1444" s="21"/>
      <c r="K1444" s="61">
        <f t="shared" ref="K1444:X1444" si="839">ROUND(SUM(K1424:K1443),0)</f>
        <v>0</v>
      </c>
      <c r="L1444" s="61">
        <f t="shared" si="839"/>
        <v>0</v>
      </c>
      <c r="M1444" s="61">
        <f t="shared" si="839"/>
        <v>0</v>
      </c>
      <c r="N1444" s="61">
        <f t="shared" si="839"/>
        <v>0</v>
      </c>
      <c r="O1444" s="61">
        <f t="shared" si="839"/>
        <v>0</v>
      </c>
      <c r="P1444" s="61">
        <f t="shared" si="839"/>
        <v>0</v>
      </c>
      <c r="Q1444" s="61">
        <f t="shared" si="839"/>
        <v>0</v>
      </c>
      <c r="R1444" s="61">
        <f t="shared" si="839"/>
        <v>0</v>
      </c>
      <c r="S1444" s="61">
        <f t="shared" si="839"/>
        <v>0</v>
      </c>
      <c r="T1444" s="61">
        <f t="shared" si="839"/>
        <v>0</v>
      </c>
      <c r="U1444" s="61">
        <f t="shared" si="839"/>
        <v>0</v>
      </c>
      <c r="V1444" s="61">
        <f t="shared" si="839"/>
        <v>0</v>
      </c>
      <c r="W1444" s="61">
        <f t="shared" si="839"/>
        <v>0</v>
      </c>
      <c r="X1444" s="61">
        <f t="shared" si="839"/>
        <v>0</v>
      </c>
    </row>
    <row r="1445" spans="2:24" hidden="1">
      <c r="B1445" s="21"/>
      <c r="C1445" s="21"/>
      <c r="D1445" s="80"/>
      <c r="E1445" s="21"/>
      <c r="F1445" s="21"/>
      <c r="G1445" s="21"/>
      <c r="H1445" s="21"/>
      <c r="I1445" s="21"/>
      <c r="J1445" s="21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</row>
    <row r="1446" spans="2:24" hidden="1">
      <c r="B1446" s="21"/>
      <c r="C1446" s="21"/>
      <c r="D1446" s="80"/>
      <c r="E1446" s="21"/>
      <c r="F1446" s="21"/>
      <c r="G1446" s="21"/>
      <c r="H1446" s="21"/>
      <c r="I1446" s="21"/>
      <c r="J1446" s="21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</row>
    <row r="1447" spans="2:24" hidden="1">
      <c r="B1447" s="20" t="s">
        <v>342</v>
      </c>
      <c r="C1447" s="20"/>
      <c r="D1447" s="82" t="s">
        <v>336</v>
      </c>
      <c r="E1447" s="20" t="s">
        <v>337</v>
      </c>
      <c r="F1447" s="21"/>
      <c r="G1447" s="21"/>
      <c r="H1447" s="21"/>
      <c r="I1447" s="21"/>
      <c r="J1447" s="21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</row>
    <row r="1448" spans="2:24" hidden="1">
      <c r="B1448" s="59" t="str">
        <f t="shared" ref="B1448:E1467" si="840">IF(ISBLANK(B1208),"",B1208)</f>
        <v/>
      </c>
      <c r="C1448" s="59" t="str">
        <f t="shared" si="840"/>
        <v/>
      </c>
      <c r="D1448" s="59" t="str">
        <f t="shared" si="840"/>
        <v/>
      </c>
      <c r="E1448" s="59" t="str">
        <f t="shared" si="840"/>
        <v/>
      </c>
      <c r="F1448" s="59"/>
      <c r="G1448" s="59"/>
      <c r="H1448" s="59"/>
      <c r="I1448" s="59"/>
      <c r="J1448" s="59"/>
      <c r="K1448" s="60">
        <f t="shared" ref="K1448:X1448" si="841">IF(AND($D1448="tak",OR($E1448="nie dotyczy",$E1448="badania przemysłowe"),K$1421&lt;=Koniec_Projekt),ROUND(K162*K184,0),0)</f>
        <v>0</v>
      </c>
      <c r="L1448" s="60">
        <f t="shared" si="841"/>
        <v>0</v>
      </c>
      <c r="M1448" s="60">
        <f t="shared" si="841"/>
        <v>0</v>
      </c>
      <c r="N1448" s="60">
        <f t="shared" si="841"/>
        <v>0</v>
      </c>
      <c r="O1448" s="60">
        <f t="shared" si="841"/>
        <v>0</v>
      </c>
      <c r="P1448" s="60">
        <f t="shared" si="841"/>
        <v>0</v>
      </c>
      <c r="Q1448" s="60">
        <f t="shared" si="841"/>
        <v>0</v>
      </c>
      <c r="R1448" s="60">
        <f t="shared" si="841"/>
        <v>0</v>
      </c>
      <c r="S1448" s="60">
        <f t="shared" si="841"/>
        <v>0</v>
      </c>
      <c r="T1448" s="60">
        <f t="shared" si="841"/>
        <v>0</v>
      </c>
      <c r="U1448" s="60">
        <f t="shared" si="841"/>
        <v>0</v>
      </c>
      <c r="V1448" s="60">
        <f t="shared" si="841"/>
        <v>0</v>
      </c>
      <c r="W1448" s="60">
        <f t="shared" si="841"/>
        <v>0</v>
      </c>
      <c r="X1448" s="60">
        <f t="shared" si="841"/>
        <v>0</v>
      </c>
    </row>
    <row r="1449" spans="2:24" hidden="1">
      <c r="B1449" s="59" t="str">
        <f t="shared" si="840"/>
        <v/>
      </c>
      <c r="C1449" s="59" t="str">
        <f t="shared" si="840"/>
        <v/>
      </c>
      <c r="D1449" s="59" t="str">
        <f t="shared" si="840"/>
        <v/>
      </c>
      <c r="E1449" s="59" t="str">
        <f t="shared" si="840"/>
        <v/>
      </c>
      <c r="F1449" s="59"/>
      <c r="G1449" s="59"/>
      <c r="H1449" s="59"/>
      <c r="I1449" s="59"/>
      <c r="J1449" s="59"/>
      <c r="K1449" s="60">
        <f t="shared" ref="K1449:X1449" si="842">IF(AND($D1449="tak",OR($E1449="nie dotyczy",$E1449="badania przemysłowe"),K$1421&lt;=Koniec_Projekt),ROUND(K163*K185,0),0)</f>
        <v>0</v>
      </c>
      <c r="L1449" s="60">
        <f t="shared" si="842"/>
        <v>0</v>
      </c>
      <c r="M1449" s="60">
        <f t="shared" si="842"/>
        <v>0</v>
      </c>
      <c r="N1449" s="60">
        <f t="shared" si="842"/>
        <v>0</v>
      </c>
      <c r="O1449" s="60">
        <f t="shared" si="842"/>
        <v>0</v>
      </c>
      <c r="P1449" s="60">
        <f t="shared" si="842"/>
        <v>0</v>
      </c>
      <c r="Q1449" s="60">
        <f t="shared" si="842"/>
        <v>0</v>
      </c>
      <c r="R1449" s="60">
        <f t="shared" si="842"/>
        <v>0</v>
      </c>
      <c r="S1449" s="60">
        <f t="shared" si="842"/>
        <v>0</v>
      </c>
      <c r="T1449" s="60">
        <f t="shared" si="842"/>
        <v>0</v>
      </c>
      <c r="U1449" s="60">
        <f t="shared" si="842"/>
        <v>0</v>
      </c>
      <c r="V1449" s="60">
        <f t="shared" si="842"/>
        <v>0</v>
      </c>
      <c r="W1449" s="60">
        <f t="shared" si="842"/>
        <v>0</v>
      </c>
      <c r="X1449" s="60">
        <f t="shared" si="842"/>
        <v>0</v>
      </c>
    </row>
    <row r="1450" spans="2:24" hidden="1">
      <c r="B1450" s="59" t="str">
        <f t="shared" si="840"/>
        <v/>
      </c>
      <c r="C1450" s="59" t="str">
        <f t="shared" si="840"/>
        <v/>
      </c>
      <c r="D1450" s="59" t="str">
        <f t="shared" si="840"/>
        <v/>
      </c>
      <c r="E1450" s="59" t="str">
        <f t="shared" si="840"/>
        <v/>
      </c>
      <c r="F1450" s="59"/>
      <c r="G1450" s="59"/>
      <c r="H1450" s="59"/>
      <c r="I1450" s="59"/>
      <c r="J1450" s="59"/>
      <c r="K1450" s="60">
        <f t="shared" ref="K1450:X1450" si="843">IF(AND($D1450="tak",OR($E1450="nie dotyczy",$E1450="badania przemysłowe"),K$1421&lt;=Koniec_Projekt),ROUND(K164*K186,0),0)</f>
        <v>0</v>
      </c>
      <c r="L1450" s="60">
        <f t="shared" si="843"/>
        <v>0</v>
      </c>
      <c r="M1450" s="60">
        <f t="shared" si="843"/>
        <v>0</v>
      </c>
      <c r="N1450" s="60">
        <f t="shared" si="843"/>
        <v>0</v>
      </c>
      <c r="O1450" s="60">
        <f t="shared" si="843"/>
        <v>0</v>
      </c>
      <c r="P1450" s="60">
        <f t="shared" si="843"/>
        <v>0</v>
      </c>
      <c r="Q1450" s="60">
        <f t="shared" si="843"/>
        <v>0</v>
      </c>
      <c r="R1450" s="60">
        <f t="shared" si="843"/>
        <v>0</v>
      </c>
      <c r="S1450" s="60">
        <f t="shared" si="843"/>
        <v>0</v>
      </c>
      <c r="T1450" s="60">
        <f t="shared" si="843"/>
        <v>0</v>
      </c>
      <c r="U1450" s="60">
        <f t="shared" si="843"/>
        <v>0</v>
      </c>
      <c r="V1450" s="60">
        <f t="shared" si="843"/>
        <v>0</v>
      </c>
      <c r="W1450" s="60">
        <f t="shared" si="843"/>
        <v>0</v>
      </c>
      <c r="X1450" s="60">
        <f t="shared" si="843"/>
        <v>0</v>
      </c>
    </row>
    <row r="1451" spans="2:24" hidden="1">
      <c r="B1451" s="59" t="str">
        <f t="shared" si="840"/>
        <v/>
      </c>
      <c r="C1451" s="59" t="str">
        <f t="shared" si="840"/>
        <v/>
      </c>
      <c r="D1451" s="59" t="str">
        <f t="shared" si="840"/>
        <v/>
      </c>
      <c r="E1451" s="59" t="str">
        <f t="shared" si="840"/>
        <v/>
      </c>
      <c r="F1451" s="59"/>
      <c r="G1451" s="59"/>
      <c r="H1451" s="59"/>
      <c r="I1451" s="59"/>
      <c r="J1451" s="59"/>
      <c r="K1451" s="60">
        <f t="shared" ref="K1451:X1451" si="844">IF(AND($D1451="tak",OR($E1451="nie dotyczy",$E1451="badania przemysłowe"),K$1421&lt;=Koniec_Projekt),ROUND(K165*K187,0),0)</f>
        <v>0</v>
      </c>
      <c r="L1451" s="60">
        <f t="shared" si="844"/>
        <v>0</v>
      </c>
      <c r="M1451" s="60">
        <f t="shared" si="844"/>
        <v>0</v>
      </c>
      <c r="N1451" s="60">
        <f t="shared" si="844"/>
        <v>0</v>
      </c>
      <c r="O1451" s="60">
        <f t="shared" si="844"/>
        <v>0</v>
      </c>
      <c r="P1451" s="60">
        <f t="shared" si="844"/>
        <v>0</v>
      </c>
      <c r="Q1451" s="60">
        <f t="shared" si="844"/>
        <v>0</v>
      </c>
      <c r="R1451" s="60">
        <f t="shared" si="844"/>
        <v>0</v>
      </c>
      <c r="S1451" s="60">
        <f t="shared" si="844"/>
        <v>0</v>
      </c>
      <c r="T1451" s="60">
        <f t="shared" si="844"/>
        <v>0</v>
      </c>
      <c r="U1451" s="60">
        <f t="shared" si="844"/>
        <v>0</v>
      </c>
      <c r="V1451" s="60">
        <f t="shared" si="844"/>
        <v>0</v>
      </c>
      <c r="W1451" s="60">
        <f t="shared" si="844"/>
        <v>0</v>
      </c>
      <c r="X1451" s="60">
        <f t="shared" si="844"/>
        <v>0</v>
      </c>
    </row>
    <row r="1452" spans="2:24" hidden="1">
      <c r="B1452" s="59" t="str">
        <f t="shared" si="840"/>
        <v/>
      </c>
      <c r="C1452" s="59" t="str">
        <f t="shared" si="840"/>
        <v/>
      </c>
      <c r="D1452" s="59" t="str">
        <f t="shared" si="840"/>
        <v/>
      </c>
      <c r="E1452" s="59" t="str">
        <f t="shared" si="840"/>
        <v/>
      </c>
      <c r="F1452" s="59"/>
      <c r="G1452" s="59"/>
      <c r="H1452" s="59"/>
      <c r="I1452" s="59"/>
      <c r="J1452" s="59"/>
      <c r="K1452" s="60">
        <f t="shared" ref="K1452:X1452" si="845">IF(AND($D1452="tak",OR($E1452="nie dotyczy",$E1452="badania przemysłowe"),K$1421&lt;=Koniec_Projekt),ROUND(K166*K188,0),0)</f>
        <v>0</v>
      </c>
      <c r="L1452" s="60">
        <f t="shared" si="845"/>
        <v>0</v>
      </c>
      <c r="M1452" s="60">
        <f t="shared" si="845"/>
        <v>0</v>
      </c>
      <c r="N1452" s="60">
        <f t="shared" si="845"/>
        <v>0</v>
      </c>
      <c r="O1452" s="60">
        <f t="shared" si="845"/>
        <v>0</v>
      </c>
      <c r="P1452" s="60">
        <f t="shared" si="845"/>
        <v>0</v>
      </c>
      <c r="Q1452" s="60">
        <f t="shared" si="845"/>
        <v>0</v>
      </c>
      <c r="R1452" s="60">
        <f t="shared" si="845"/>
        <v>0</v>
      </c>
      <c r="S1452" s="60">
        <f t="shared" si="845"/>
        <v>0</v>
      </c>
      <c r="T1452" s="60">
        <f t="shared" si="845"/>
        <v>0</v>
      </c>
      <c r="U1452" s="60">
        <f t="shared" si="845"/>
        <v>0</v>
      </c>
      <c r="V1452" s="60">
        <f t="shared" si="845"/>
        <v>0</v>
      </c>
      <c r="W1452" s="60">
        <f t="shared" si="845"/>
        <v>0</v>
      </c>
      <c r="X1452" s="60">
        <f t="shared" si="845"/>
        <v>0</v>
      </c>
    </row>
    <row r="1453" spans="2:24" hidden="1">
      <c r="B1453" s="59" t="str">
        <f t="shared" si="840"/>
        <v/>
      </c>
      <c r="C1453" s="59" t="str">
        <f t="shared" si="840"/>
        <v/>
      </c>
      <c r="D1453" s="59" t="str">
        <f t="shared" si="840"/>
        <v/>
      </c>
      <c r="E1453" s="59" t="str">
        <f t="shared" si="840"/>
        <v/>
      </c>
      <c r="F1453" s="59"/>
      <c r="G1453" s="59"/>
      <c r="H1453" s="59"/>
      <c r="I1453" s="59"/>
      <c r="J1453" s="59"/>
      <c r="K1453" s="60">
        <f t="shared" ref="K1453:X1453" si="846">IF(AND($D1453="tak",OR($E1453="nie dotyczy",$E1453="badania przemysłowe"),K$1421&lt;=Koniec_Projekt),ROUND(K167*K189,0),0)</f>
        <v>0</v>
      </c>
      <c r="L1453" s="60">
        <f t="shared" si="846"/>
        <v>0</v>
      </c>
      <c r="M1453" s="60">
        <f t="shared" si="846"/>
        <v>0</v>
      </c>
      <c r="N1453" s="60">
        <f t="shared" si="846"/>
        <v>0</v>
      </c>
      <c r="O1453" s="60">
        <f t="shared" si="846"/>
        <v>0</v>
      </c>
      <c r="P1453" s="60">
        <f t="shared" si="846"/>
        <v>0</v>
      </c>
      <c r="Q1453" s="60">
        <f t="shared" si="846"/>
        <v>0</v>
      </c>
      <c r="R1453" s="60">
        <f t="shared" si="846"/>
        <v>0</v>
      </c>
      <c r="S1453" s="60">
        <f t="shared" si="846"/>
        <v>0</v>
      </c>
      <c r="T1453" s="60">
        <f t="shared" si="846"/>
        <v>0</v>
      </c>
      <c r="U1453" s="60">
        <f t="shared" si="846"/>
        <v>0</v>
      </c>
      <c r="V1453" s="60">
        <f t="shared" si="846"/>
        <v>0</v>
      </c>
      <c r="W1453" s="60">
        <f t="shared" si="846"/>
        <v>0</v>
      </c>
      <c r="X1453" s="60">
        <f t="shared" si="846"/>
        <v>0</v>
      </c>
    </row>
    <row r="1454" spans="2:24" hidden="1">
      <c r="B1454" s="59" t="str">
        <f t="shared" si="840"/>
        <v/>
      </c>
      <c r="C1454" s="59" t="str">
        <f t="shared" si="840"/>
        <v/>
      </c>
      <c r="D1454" s="59" t="str">
        <f t="shared" si="840"/>
        <v/>
      </c>
      <c r="E1454" s="59" t="str">
        <f t="shared" si="840"/>
        <v/>
      </c>
      <c r="F1454" s="59"/>
      <c r="G1454" s="59"/>
      <c r="H1454" s="59"/>
      <c r="I1454" s="59"/>
      <c r="J1454" s="59"/>
      <c r="K1454" s="60">
        <f t="shared" ref="K1454:X1454" si="847">IF(AND($D1454="tak",OR($E1454="nie dotyczy",$E1454="badania przemysłowe"),K$1421&lt;=Koniec_Projekt),ROUND(K168*K190,0),0)</f>
        <v>0</v>
      </c>
      <c r="L1454" s="60">
        <f t="shared" si="847"/>
        <v>0</v>
      </c>
      <c r="M1454" s="60">
        <f t="shared" si="847"/>
        <v>0</v>
      </c>
      <c r="N1454" s="60">
        <f t="shared" si="847"/>
        <v>0</v>
      </c>
      <c r="O1454" s="60">
        <f t="shared" si="847"/>
        <v>0</v>
      </c>
      <c r="P1454" s="60">
        <f t="shared" si="847"/>
        <v>0</v>
      </c>
      <c r="Q1454" s="60">
        <f t="shared" si="847"/>
        <v>0</v>
      </c>
      <c r="R1454" s="60">
        <f t="shared" si="847"/>
        <v>0</v>
      </c>
      <c r="S1454" s="60">
        <f t="shared" si="847"/>
        <v>0</v>
      </c>
      <c r="T1454" s="60">
        <f t="shared" si="847"/>
        <v>0</v>
      </c>
      <c r="U1454" s="60">
        <f t="shared" si="847"/>
        <v>0</v>
      </c>
      <c r="V1454" s="60">
        <f t="shared" si="847"/>
        <v>0</v>
      </c>
      <c r="W1454" s="60">
        <f t="shared" si="847"/>
        <v>0</v>
      </c>
      <c r="X1454" s="60">
        <f t="shared" si="847"/>
        <v>0</v>
      </c>
    </row>
    <row r="1455" spans="2:24" hidden="1">
      <c r="B1455" s="59" t="str">
        <f t="shared" si="840"/>
        <v/>
      </c>
      <c r="C1455" s="59" t="str">
        <f t="shared" si="840"/>
        <v/>
      </c>
      <c r="D1455" s="59" t="str">
        <f t="shared" si="840"/>
        <v/>
      </c>
      <c r="E1455" s="59" t="str">
        <f t="shared" si="840"/>
        <v/>
      </c>
      <c r="F1455" s="59"/>
      <c r="G1455" s="59"/>
      <c r="H1455" s="59"/>
      <c r="I1455" s="59"/>
      <c r="J1455" s="59"/>
      <c r="K1455" s="60">
        <f t="shared" ref="K1455:X1455" si="848">IF(AND($D1455="tak",OR($E1455="nie dotyczy",$E1455="badania przemysłowe"),K$1421&lt;=Koniec_Projekt),ROUND(K169*K191,0),0)</f>
        <v>0</v>
      </c>
      <c r="L1455" s="60">
        <f t="shared" si="848"/>
        <v>0</v>
      </c>
      <c r="M1455" s="60">
        <f t="shared" si="848"/>
        <v>0</v>
      </c>
      <c r="N1455" s="60">
        <f t="shared" si="848"/>
        <v>0</v>
      </c>
      <c r="O1455" s="60">
        <f t="shared" si="848"/>
        <v>0</v>
      </c>
      <c r="P1455" s="60">
        <f t="shared" si="848"/>
        <v>0</v>
      </c>
      <c r="Q1455" s="60">
        <f t="shared" si="848"/>
        <v>0</v>
      </c>
      <c r="R1455" s="60">
        <f t="shared" si="848"/>
        <v>0</v>
      </c>
      <c r="S1455" s="60">
        <f t="shared" si="848"/>
        <v>0</v>
      </c>
      <c r="T1455" s="60">
        <f t="shared" si="848"/>
        <v>0</v>
      </c>
      <c r="U1455" s="60">
        <f t="shared" si="848"/>
        <v>0</v>
      </c>
      <c r="V1455" s="60">
        <f t="shared" si="848"/>
        <v>0</v>
      </c>
      <c r="W1455" s="60">
        <f t="shared" si="848"/>
        <v>0</v>
      </c>
      <c r="X1455" s="60">
        <f t="shared" si="848"/>
        <v>0</v>
      </c>
    </row>
    <row r="1456" spans="2:24" hidden="1">
      <c r="B1456" s="59" t="str">
        <f t="shared" si="840"/>
        <v/>
      </c>
      <c r="C1456" s="59" t="str">
        <f t="shared" si="840"/>
        <v/>
      </c>
      <c r="D1456" s="59" t="str">
        <f t="shared" si="840"/>
        <v/>
      </c>
      <c r="E1456" s="59" t="str">
        <f t="shared" si="840"/>
        <v/>
      </c>
      <c r="F1456" s="59"/>
      <c r="G1456" s="59"/>
      <c r="H1456" s="59"/>
      <c r="I1456" s="59"/>
      <c r="J1456" s="59"/>
      <c r="K1456" s="60">
        <f t="shared" ref="K1456:X1456" si="849">IF(AND($D1456="tak",OR($E1456="nie dotyczy",$E1456="badania przemysłowe"),K$1421&lt;=Koniec_Projekt),ROUND(K170*K192,0),0)</f>
        <v>0</v>
      </c>
      <c r="L1456" s="60">
        <f t="shared" si="849"/>
        <v>0</v>
      </c>
      <c r="M1456" s="60">
        <f t="shared" si="849"/>
        <v>0</v>
      </c>
      <c r="N1456" s="60">
        <f t="shared" si="849"/>
        <v>0</v>
      </c>
      <c r="O1456" s="60">
        <f t="shared" si="849"/>
        <v>0</v>
      </c>
      <c r="P1456" s="60">
        <f t="shared" si="849"/>
        <v>0</v>
      </c>
      <c r="Q1456" s="60">
        <f t="shared" si="849"/>
        <v>0</v>
      </c>
      <c r="R1456" s="60">
        <f t="shared" si="849"/>
        <v>0</v>
      </c>
      <c r="S1456" s="60">
        <f t="shared" si="849"/>
        <v>0</v>
      </c>
      <c r="T1456" s="60">
        <f t="shared" si="849"/>
        <v>0</v>
      </c>
      <c r="U1456" s="60">
        <f t="shared" si="849"/>
        <v>0</v>
      </c>
      <c r="V1456" s="60">
        <f t="shared" si="849"/>
        <v>0</v>
      </c>
      <c r="W1456" s="60">
        <f t="shared" si="849"/>
        <v>0</v>
      </c>
      <c r="X1456" s="60">
        <f t="shared" si="849"/>
        <v>0</v>
      </c>
    </row>
    <row r="1457" spans="2:24" hidden="1">
      <c r="B1457" s="59" t="str">
        <f t="shared" si="840"/>
        <v/>
      </c>
      <c r="C1457" s="59" t="str">
        <f t="shared" si="840"/>
        <v/>
      </c>
      <c r="D1457" s="59" t="str">
        <f t="shared" si="840"/>
        <v/>
      </c>
      <c r="E1457" s="59" t="str">
        <f t="shared" si="840"/>
        <v/>
      </c>
      <c r="F1457" s="59"/>
      <c r="G1457" s="59"/>
      <c r="H1457" s="59"/>
      <c r="I1457" s="59"/>
      <c r="J1457" s="59"/>
      <c r="K1457" s="60">
        <f t="shared" ref="K1457:X1457" si="850">IF(AND($D1457="tak",OR($E1457="nie dotyczy",$E1457="badania przemysłowe"),K$1421&lt;=Koniec_Projekt),ROUND(K171*K193,0),0)</f>
        <v>0</v>
      </c>
      <c r="L1457" s="60">
        <f t="shared" si="850"/>
        <v>0</v>
      </c>
      <c r="M1457" s="60">
        <f t="shared" si="850"/>
        <v>0</v>
      </c>
      <c r="N1457" s="60">
        <f t="shared" si="850"/>
        <v>0</v>
      </c>
      <c r="O1457" s="60">
        <f t="shared" si="850"/>
        <v>0</v>
      </c>
      <c r="P1457" s="60">
        <f t="shared" si="850"/>
        <v>0</v>
      </c>
      <c r="Q1457" s="60">
        <f t="shared" si="850"/>
        <v>0</v>
      </c>
      <c r="R1457" s="60">
        <f t="shared" si="850"/>
        <v>0</v>
      </c>
      <c r="S1457" s="60">
        <f t="shared" si="850"/>
        <v>0</v>
      </c>
      <c r="T1457" s="60">
        <f t="shared" si="850"/>
        <v>0</v>
      </c>
      <c r="U1457" s="60">
        <f t="shared" si="850"/>
        <v>0</v>
      </c>
      <c r="V1457" s="60">
        <f t="shared" si="850"/>
        <v>0</v>
      </c>
      <c r="W1457" s="60">
        <f t="shared" si="850"/>
        <v>0</v>
      </c>
      <c r="X1457" s="60">
        <f t="shared" si="850"/>
        <v>0</v>
      </c>
    </row>
    <row r="1458" spans="2:24" hidden="1">
      <c r="B1458" s="59" t="str">
        <f t="shared" si="840"/>
        <v/>
      </c>
      <c r="C1458" s="59" t="str">
        <f t="shared" si="840"/>
        <v/>
      </c>
      <c r="D1458" s="59" t="str">
        <f t="shared" si="840"/>
        <v/>
      </c>
      <c r="E1458" s="59" t="str">
        <f t="shared" si="840"/>
        <v/>
      </c>
      <c r="F1458" s="59"/>
      <c r="G1458" s="59"/>
      <c r="H1458" s="59"/>
      <c r="I1458" s="59"/>
      <c r="J1458" s="59"/>
      <c r="K1458" s="60">
        <f t="shared" ref="K1458:X1458" si="851">IF(AND($D1458="tak",OR($E1458="nie dotyczy",$E1458="badania przemysłowe"),K$1421&lt;=Koniec_Projekt),ROUND(K172*K194,0),0)</f>
        <v>0</v>
      </c>
      <c r="L1458" s="60">
        <f t="shared" si="851"/>
        <v>0</v>
      </c>
      <c r="M1458" s="60">
        <f t="shared" si="851"/>
        <v>0</v>
      </c>
      <c r="N1458" s="60">
        <f t="shared" si="851"/>
        <v>0</v>
      </c>
      <c r="O1458" s="60">
        <f t="shared" si="851"/>
        <v>0</v>
      </c>
      <c r="P1458" s="60">
        <f t="shared" si="851"/>
        <v>0</v>
      </c>
      <c r="Q1458" s="60">
        <f t="shared" si="851"/>
        <v>0</v>
      </c>
      <c r="R1458" s="60">
        <f t="shared" si="851"/>
        <v>0</v>
      </c>
      <c r="S1458" s="60">
        <f t="shared" si="851"/>
        <v>0</v>
      </c>
      <c r="T1458" s="60">
        <f t="shared" si="851"/>
        <v>0</v>
      </c>
      <c r="U1458" s="60">
        <f t="shared" si="851"/>
        <v>0</v>
      </c>
      <c r="V1458" s="60">
        <f t="shared" si="851"/>
        <v>0</v>
      </c>
      <c r="W1458" s="60">
        <f t="shared" si="851"/>
        <v>0</v>
      </c>
      <c r="X1458" s="60">
        <f t="shared" si="851"/>
        <v>0</v>
      </c>
    </row>
    <row r="1459" spans="2:24" hidden="1">
      <c r="B1459" s="59" t="str">
        <f t="shared" si="840"/>
        <v/>
      </c>
      <c r="C1459" s="59" t="str">
        <f t="shared" si="840"/>
        <v/>
      </c>
      <c r="D1459" s="59" t="str">
        <f t="shared" si="840"/>
        <v/>
      </c>
      <c r="E1459" s="59" t="str">
        <f t="shared" si="840"/>
        <v/>
      </c>
      <c r="F1459" s="59"/>
      <c r="G1459" s="59"/>
      <c r="H1459" s="59"/>
      <c r="I1459" s="59"/>
      <c r="J1459" s="59"/>
      <c r="K1459" s="60">
        <f t="shared" ref="K1459:X1459" si="852">IF(AND($D1459="tak",OR($E1459="nie dotyczy",$E1459="badania przemysłowe"),K$1421&lt;=Koniec_Projekt),ROUND(K173*K195,0),0)</f>
        <v>0</v>
      </c>
      <c r="L1459" s="60">
        <f t="shared" si="852"/>
        <v>0</v>
      </c>
      <c r="M1459" s="60">
        <f t="shared" si="852"/>
        <v>0</v>
      </c>
      <c r="N1459" s="60">
        <f t="shared" si="852"/>
        <v>0</v>
      </c>
      <c r="O1459" s="60">
        <f t="shared" si="852"/>
        <v>0</v>
      </c>
      <c r="P1459" s="60">
        <f t="shared" si="852"/>
        <v>0</v>
      </c>
      <c r="Q1459" s="60">
        <f t="shared" si="852"/>
        <v>0</v>
      </c>
      <c r="R1459" s="60">
        <f t="shared" si="852"/>
        <v>0</v>
      </c>
      <c r="S1459" s="60">
        <f t="shared" si="852"/>
        <v>0</v>
      </c>
      <c r="T1459" s="60">
        <f t="shared" si="852"/>
        <v>0</v>
      </c>
      <c r="U1459" s="60">
        <f t="shared" si="852"/>
        <v>0</v>
      </c>
      <c r="V1459" s="60">
        <f t="shared" si="852"/>
        <v>0</v>
      </c>
      <c r="W1459" s="60">
        <f t="shared" si="852"/>
        <v>0</v>
      </c>
      <c r="X1459" s="60">
        <f t="shared" si="852"/>
        <v>0</v>
      </c>
    </row>
    <row r="1460" spans="2:24" hidden="1">
      <c r="B1460" s="59" t="str">
        <f t="shared" si="840"/>
        <v/>
      </c>
      <c r="C1460" s="59" t="str">
        <f t="shared" si="840"/>
        <v/>
      </c>
      <c r="D1460" s="59" t="str">
        <f t="shared" si="840"/>
        <v/>
      </c>
      <c r="E1460" s="59" t="str">
        <f t="shared" si="840"/>
        <v/>
      </c>
      <c r="F1460" s="59"/>
      <c r="G1460" s="59"/>
      <c r="H1460" s="59"/>
      <c r="I1460" s="59"/>
      <c r="J1460" s="59"/>
      <c r="K1460" s="60">
        <f t="shared" ref="K1460:X1460" si="853">IF(AND($D1460="tak",OR($E1460="nie dotyczy",$E1460="badania przemysłowe"),K$1421&lt;=Koniec_Projekt),ROUND(K174*K196,0),0)</f>
        <v>0</v>
      </c>
      <c r="L1460" s="60">
        <f t="shared" si="853"/>
        <v>0</v>
      </c>
      <c r="M1460" s="60">
        <f t="shared" si="853"/>
        <v>0</v>
      </c>
      <c r="N1460" s="60">
        <f t="shared" si="853"/>
        <v>0</v>
      </c>
      <c r="O1460" s="60">
        <f t="shared" si="853"/>
        <v>0</v>
      </c>
      <c r="P1460" s="60">
        <f t="shared" si="853"/>
        <v>0</v>
      </c>
      <c r="Q1460" s="60">
        <f t="shared" si="853"/>
        <v>0</v>
      </c>
      <c r="R1460" s="60">
        <f t="shared" si="853"/>
        <v>0</v>
      </c>
      <c r="S1460" s="60">
        <f t="shared" si="853"/>
        <v>0</v>
      </c>
      <c r="T1460" s="60">
        <f t="shared" si="853"/>
        <v>0</v>
      </c>
      <c r="U1460" s="60">
        <f t="shared" si="853"/>
        <v>0</v>
      </c>
      <c r="V1460" s="60">
        <f t="shared" si="853"/>
        <v>0</v>
      </c>
      <c r="W1460" s="60">
        <f t="shared" si="853"/>
        <v>0</v>
      </c>
      <c r="X1460" s="60">
        <f t="shared" si="853"/>
        <v>0</v>
      </c>
    </row>
    <row r="1461" spans="2:24" hidden="1">
      <c r="B1461" s="59" t="str">
        <f t="shared" si="840"/>
        <v/>
      </c>
      <c r="C1461" s="59" t="str">
        <f t="shared" si="840"/>
        <v/>
      </c>
      <c r="D1461" s="59" t="str">
        <f t="shared" si="840"/>
        <v/>
      </c>
      <c r="E1461" s="59" t="str">
        <f t="shared" si="840"/>
        <v/>
      </c>
      <c r="F1461" s="59"/>
      <c r="G1461" s="59"/>
      <c r="H1461" s="59"/>
      <c r="I1461" s="59"/>
      <c r="J1461" s="59"/>
      <c r="K1461" s="60">
        <f t="shared" ref="K1461:X1461" si="854">IF(AND($D1461="tak",OR($E1461="nie dotyczy",$E1461="badania przemysłowe"),K$1421&lt;=Koniec_Projekt),ROUND(K175*K197,0),0)</f>
        <v>0</v>
      </c>
      <c r="L1461" s="60">
        <f t="shared" si="854"/>
        <v>0</v>
      </c>
      <c r="M1461" s="60">
        <f t="shared" si="854"/>
        <v>0</v>
      </c>
      <c r="N1461" s="60">
        <f t="shared" si="854"/>
        <v>0</v>
      </c>
      <c r="O1461" s="60">
        <f t="shared" si="854"/>
        <v>0</v>
      </c>
      <c r="P1461" s="60">
        <f t="shared" si="854"/>
        <v>0</v>
      </c>
      <c r="Q1461" s="60">
        <f t="shared" si="854"/>
        <v>0</v>
      </c>
      <c r="R1461" s="60">
        <f t="shared" si="854"/>
        <v>0</v>
      </c>
      <c r="S1461" s="60">
        <f t="shared" si="854"/>
        <v>0</v>
      </c>
      <c r="T1461" s="60">
        <f t="shared" si="854"/>
        <v>0</v>
      </c>
      <c r="U1461" s="60">
        <f t="shared" si="854"/>
        <v>0</v>
      </c>
      <c r="V1461" s="60">
        <f t="shared" si="854"/>
        <v>0</v>
      </c>
      <c r="W1461" s="60">
        <f t="shared" si="854"/>
        <v>0</v>
      </c>
      <c r="X1461" s="60">
        <f t="shared" si="854"/>
        <v>0</v>
      </c>
    </row>
    <row r="1462" spans="2:24" hidden="1">
      <c r="B1462" s="59" t="str">
        <f t="shared" si="840"/>
        <v/>
      </c>
      <c r="C1462" s="59" t="str">
        <f t="shared" si="840"/>
        <v/>
      </c>
      <c r="D1462" s="59" t="str">
        <f t="shared" si="840"/>
        <v/>
      </c>
      <c r="E1462" s="59" t="str">
        <f t="shared" si="840"/>
        <v/>
      </c>
      <c r="F1462" s="59"/>
      <c r="G1462" s="59"/>
      <c r="H1462" s="59"/>
      <c r="I1462" s="59"/>
      <c r="J1462" s="59"/>
      <c r="K1462" s="60">
        <f t="shared" ref="K1462:X1462" si="855">IF(AND($D1462="tak",OR($E1462="nie dotyczy",$E1462="badania przemysłowe"),K$1421&lt;=Koniec_Projekt),ROUND(K176*K198,0),0)</f>
        <v>0</v>
      </c>
      <c r="L1462" s="60">
        <f t="shared" si="855"/>
        <v>0</v>
      </c>
      <c r="M1462" s="60">
        <f t="shared" si="855"/>
        <v>0</v>
      </c>
      <c r="N1462" s="60">
        <f t="shared" si="855"/>
        <v>0</v>
      </c>
      <c r="O1462" s="60">
        <f t="shared" si="855"/>
        <v>0</v>
      </c>
      <c r="P1462" s="60">
        <f t="shared" si="855"/>
        <v>0</v>
      </c>
      <c r="Q1462" s="60">
        <f t="shared" si="855"/>
        <v>0</v>
      </c>
      <c r="R1462" s="60">
        <f t="shared" si="855"/>
        <v>0</v>
      </c>
      <c r="S1462" s="60">
        <f t="shared" si="855"/>
        <v>0</v>
      </c>
      <c r="T1462" s="60">
        <f t="shared" si="855"/>
        <v>0</v>
      </c>
      <c r="U1462" s="60">
        <f t="shared" si="855"/>
        <v>0</v>
      </c>
      <c r="V1462" s="60">
        <f t="shared" si="855"/>
        <v>0</v>
      </c>
      <c r="W1462" s="60">
        <f t="shared" si="855"/>
        <v>0</v>
      </c>
      <c r="X1462" s="60">
        <f t="shared" si="855"/>
        <v>0</v>
      </c>
    </row>
    <row r="1463" spans="2:24" hidden="1">
      <c r="B1463" s="59" t="str">
        <f t="shared" si="840"/>
        <v/>
      </c>
      <c r="C1463" s="59" t="str">
        <f t="shared" si="840"/>
        <v/>
      </c>
      <c r="D1463" s="59" t="str">
        <f t="shared" si="840"/>
        <v/>
      </c>
      <c r="E1463" s="59" t="str">
        <f t="shared" si="840"/>
        <v/>
      </c>
      <c r="F1463" s="59"/>
      <c r="G1463" s="59"/>
      <c r="H1463" s="59"/>
      <c r="I1463" s="59"/>
      <c r="J1463" s="59"/>
      <c r="K1463" s="60">
        <f t="shared" ref="K1463:X1463" si="856">IF(AND($D1463="tak",OR($E1463="nie dotyczy",$E1463="badania przemysłowe"),K$1421&lt;=Koniec_Projekt),ROUND(K177*K199,0),0)</f>
        <v>0</v>
      </c>
      <c r="L1463" s="60">
        <f t="shared" si="856"/>
        <v>0</v>
      </c>
      <c r="M1463" s="60">
        <f t="shared" si="856"/>
        <v>0</v>
      </c>
      <c r="N1463" s="60">
        <f t="shared" si="856"/>
        <v>0</v>
      </c>
      <c r="O1463" s="60">
        <f t="shared" si="856"/>
        <v>0</v>
      </c>
      <c r="P1463" s="60">
        <f t="shared" si="856"/>
        <v>0</v>
      </c>
      <c r="Q1463" s="60">
        <f t="shared" si="856"/>
        <v>0</v>
      </c>
      <c r="R1463" s="60">
        <f t="shared" si="856"/>
        <v>0</v>
      </c>
      <c r="S1463" s="60">
        <f t="shared" si="856"/>
        <v>0</v>
      </c>
      <c r="T1463" s="60">
        <f t="shared" si="856"/>
        <v>0</v>
      </c>
      <c r="U1463" s="60">
        <f t="shared" si="856"/>
        <v>0</v>
      </c>
      <c r="V1463" s="60">
        <f t="shared" si="856"/>
        <v>0</v>
      </c>
      <c r="W1463" s="60">
        <f t="shared" si="856"/>
        <v>0</v>
      </c>
      <c r="X1463" s="60">
        <f t="shared" si="856"/>
        <v>0</v>
      </c>
    </row>
    <row r="1464" spans="2:24" hidden="1">
      <c r="B1464" s="59" t="str">
        <f t="shared" si="840"/>
        <v/>
      </c>
      <c r="C1464" s="59" t="str">
        <f t="shared" si="840"/>
        <v/>
      </c>
      <c r="D1464" s="59" t="str">
        <f t="shared" si="840"/>
        <v/>
      </c>
      <c r="E1464" s="59" t="str">
        <f t="shared" si="840"/>
        <v/>
      </c>
      <c r="F1464" s="59"/>
      <c r="G1464" s="59"/>
      <c r="H1464" s="59"/>
      <c r="I1464" s="59"/>
      <c r="J1464" s="59"/>
      <c r="K1464" s="60">
        <f t="shared" ref="K1464:X1464" si="857">IF(AND($D1464="tak",OR($E1464="nie dotyczy",$E1464="badania przemysłowe"),K$1421&lt;=Koniec_Projekt),ROUND(K178*K200,0),0)</f>
        <v>0</v>
      </c>
      <c r="L1464" s="60">
        <f t="shared" si="857"/>
        <v>0</v>
      </c>
      <c r="M1464" s="60">
        <f t="shared" si="857"/>
        <v>0</v>
      </c>
      <c r="N1464" s="60">
        <f t="shared" si="857"/>
        <v>0</v>
      </c>
      <c r="O1464" s="60">
        <f t="shared" si="857"/>
        <v>0</v>
      </c>
      <c r="P1464" s="60">
        <f t="shared" si="857"/>
        <v>0</v>
      </c>
      <c r="Q1464" s="60">
        <f t="shared" si="857"/>
        <v>0</v>
      </c>
      <c r="R1464" s="60">
        <f t="shared" si="857"/>
        <v>0</v>
      </c>
      <c r="S1464" s="60">
        <f t="shared" si="857"/>
        <v>0</v>
      </c>
      <c r="T1464" s="60">
        <f t="shared" si="857"/>
        <v>0</v>
      </c>
      <c r="U1464" s="60">
        <f t="shared" si="857"/>
        <v>0</v>
      </c>
      <c r="V1464" s="60">
        <f t="shared" si="857"/>
        <v>0</v>
      </c>
      <c r="W1464" s="60">
        <f t="shared" si="857"/>
        <v>0</v>
      </c>
      <c r="X1464" s="60">
        <f t="shared" si="857"/>
        <v>0</v>
      </c>
    </row>
    <row r="1465" spans="2:24" hidden="1">
      <c r="B1465" s="59" t="str">
        <f t="shared" si="840"/>
        <v/>
      </c>
      <c r="C1465" s="59" t="str">
        <f t="shared" si="840"/>
        <v/>
      </c>
      <c r="D1465" s="59" t="str">
        <f t="shared" si="840"/>
        <v/>
      </c>
      <c r="E1465" s="59" t="str">
        <f t="shared" si="840"/>
        <v/>
      </c>
      <c r="F1465" s="59"/>
      <c r="G1465" s="59"/>
      <c r="H1465" s="59"/>
      <c r="I1465" s="59"/>
      <c r="J1465" s="59"/>
      <c r="K1465" s="60">
        <f t="shared" ref="K1465:X1465" si="858">IF(AND($D1465="tak",OR($E1465="nie dotyczy",$E1465="badania przemysłowe"),K$1421&lt;=Koniec_Projekt),ROUND(K179*K201,0),0)</f>
        <v>0</v>
      </c>
      <c r="L1465" s="60">
        <f t="shared" si="858"/>
        <v>0</v>
      </c>
      <c r="M1465" s="60">
        <f t="shared" si="858"/>
        <v>0</v>
      </c>
      <c r="N1465" s="60">
        <f t="shared" si="858"/>
        <v>0</v>
      </c>
      <c r="O1465" s="60">
        <f t="shared" si="858"/>
        <v>0</v>
      </c>
      <c r="P1465" s="60">
        <f t="shared" si="858"/>
        <v>0</v>
      </c>
      <c r="Q1465" s="60">
        <f t="shared" si="858"/>
        <v>0</v>
      </c>
      <c r="R1465" s="60">
        <f t="shared" si="858"/>
        <v>0</v>
      </c>
      <c r="S1465" s="60">
        <f t="shared" si="858"/>
        <v>0</v>
      </c>
      <c r="T1465" s="60">
        <f t="shared" si="858"/>
        <v>0</v>
      </c>
      <c r="U1465" s="60">
        <f t="shared" si="858"/>
        <v>0</v>
      </c>
      <c r="V1465" s="60">
        <f t="shared" si="858"/>
        <v>0</v>
      </c>
      <c r="W1465" s="60">
        <f t="shared" si="858"/>
        <v>0</v>
      </c>
      <c r="X1465" s="60">
        <f t="shared" si="858"/>
        <v>0</v>
      </c>
    </row>
    <row r="1466" spans="2:24" hidden="1">
      <c r="B1466" s="59" t="str">
        <f t="shared" si="840"/>
        <v/>
      </c>
      <c r="C1466" s="59" t="str">
        <f t="shared" si="840"/>
        <v/>
      </c>
      <c r="D1466" s="59" t="str">
        <f t="shared" si="840"/>
        <v/>
      </c>
      <c r="E1466" s="59" t="str">
        <f t="shared" si="840"/>
        <v/>
      </c>
      <c r="F1466" s="59"/>
      <c r="G1466" s="59"/>
      <c r="H1466" s="59"/>
      <c r="I1466" s="59"/>
      <c r="J1466" s="59"/>
      <c r="K1466" s="60">
        <f t="shared" ref="K1466:X1466" si="859">IF(AND($D1466="tak",OR($E1466="nie dotyczy",$E1466="badania przemysłowe"),K$1421&lt;=Koniec_Projekt),ROUND(K180*K202,0),0)</f>
        <v>0</v>
      </c>
      <c r="L1466" s="60">
        <f t="shared" si="859"/>
        <v>0</v>
      </c>
      <c r="M1466" s="60">
        <f t="shared" si="859"/>
        <v>0</v>
      </c>
      <c r="N1466" s="60">
        <f t="shared" si="859"/>
        <v>0</v>
      </c>
      <c r="O1466" s="60">
        <f t="shared" si="859"/>
        <v>0</v>
      </c>
      <c r="P1466" s="60">
        <f t="shared" si="859"/>
        <v>0</v>
      </c>
      <c r="Q1466" s="60">
        <f t="shared" si="859"/>
        <v>0</v>
      </c>
      <c r="R1466" s="60">
        <f t="shared" si="859"/>
        <v>0</v>
      </c>
      <c r="S1466" s="60">
        <f t="shared" si="859"/>
        <v>0</v>
      </c>
      <c r="T1466" s="60">
        <f t="shared" si="859"/>
        <v>0</v>
      </c>
      <c r="U1466" s="60">
        <f t="shared" si="859"/>
        <v>0</v>
      </c>
      <c r="V1466" s="60">
        <f t="shared" si="859"/>
        <v>0</v>
      </c>
      <c r="W1466" s="60">
        <f t="shared" si="859"/>
        <v>0</v>
      </c>
      <c r="X1466" s="60">
        <f t="shared" si="859"/>
        <v>0</v>
      </c>
    </row>
    <row r="1467" spans="2:24" hidden="1">
      <c r="B1467" s="59" t="str">
        <f t="shared" si="840"/>
        <v/>
      </c>
      <c r="C1467" s="59" t="str">
        <f t="shared" si="840"/>
        <v/>
      </c>
      <c r="D1467" s="59" t="str">
        <f t="shared" si="840"/>
        <v/>
      </c>
      <c r="E1467" s="59" t="str">
        <f t="shared" si="840"/>
        <v/>
      </c>
      <c r="F1467" s="59"/>
      <c r="G1467" s="59"/>
      <c r="H1467" s="59"/>
      <c r="I1467" s="59"/>
      <c r="J1467" s="59"/>
      <c r="K1467" s="60">
        <f t="shared" ref="K1467:X1467" si="860">IF(AND($D1467="tak",OR($E1467="nie dotyczy",$E1467="badania przemysłowe"),K$1421&lt;=Koniec_Projekt),ROUND(K181*K203,0),0)</f>
        <v>0</v>
      </c>
      <c r="L1467" s="60">
        <f t="shared" si="860"/>
        <v>0</v>
      </c>
      <c r="M1467" s="60">
        <f t="shared" si="860"/>
        <v>0</v>
      </c>
      <c r="N1467" s="60">
        <f t="shared" si="860"/>
        <v>0</v>
      </c>
      <c r="O1467" s="60">
        <f t="shared" si="860"/>
        <v>0</v>
      </c>
      <c r="P1467" s="60">
        <f t="shared" si="860"/>
        <v>0</v>
      </c>
      <c r="Q1467" s="60">
        <f t="shared" si="860"/>
        <v>0</v>
      </c>
      <c r="R1467" s="60">
        <f t="shared" si="860"/>
        <v>0</v>
      </c>
      <c r="S1467" s="60">
        <f t="shared" si="860"/>
        <v>0</v>
      </c>
      <c r="T1467" s="60">
        <f t="shared" si="860"/>
        <v>0</v>
      </c>
      <c r="U1467" s="60">
        <f t="shared" si="860"/>
        <v>0</v>
      </c>
      <c r="V1467" s="60">
        <f t="shared" si="860"/>
        <v>0</v>
      </c>
      <c r="W1467" s="60">
        <f t="shared" si="860"/>
        <v>0</v>
      </c>
      <c r="X1467" s="60">
        <f t="shared" si="860"/>
        <v>0</v>
      </c>
    </row>
    <row r="1468" spans="2:24" hidden="1">
      <c r="B1468" s="20" t="s">
        <v>343</v>
      </c>
      <c r="C1468" s="20"/>
      <c r="D1468" s="80"/>
      <c r="E1468" s="21"/>
      <c r="F1468" s="21"/>
      <c r="G1468" s="21"/>
      <c r="H1468" s="21"/>
      <c r="I1468" s="21"/>
      <c r="J1468" s="21"/>
      <c r="K1468" s="61">
        <f t="shared" ref="K1468:X1468" si="861">ROUND(SUM(K1448:K1467),0)</f>
        <v>0</v>
      </c>
      <c r="L1468" s="61">
        <f t="shared" si="861"/>
        <v>0</v>
      </c>
      <c r="M1468" s="61">
        <f t="shared" si="861"/>
        <v>0</v>
      </c>
      <c r="N1468" s="61">
        <f t="shared" si="861"/>
        <v>0</v>
      </c>
      <c r="O1468" s="61">
        <f t="shared" si="861"/>
        <v>0</v>
      </c>
      <c r="P1468" s="61">
        <f t="shared" si="861"/>
        <v>0</v>
      </c>
      <c r="Q1468" s="61">
        <f t="shared" si="861"/>
        <v>0</v>
      </c>
      <c r="R1468" s="61">
        <f t="shared" si="861"/>
        <v>0</v>
      </c>
      <c r="S1468" s="61">
        <f t="shared" si="861"/>
        <v>0</v>
      </c>
      <c r="T1468" s="61">
        <f t="shared" si="861"/>
        <v>0</v>
      </c>
      <c r="U1468" s="61">
        <f t="shared" si="861"/>
        <v>0</v>
      </c>
      <c r="V1468" s="61">
        <f t="shared" si="861"/>
        <v>0</v>
      </c>
      <c r="W1468" s="61">
        <f t="shared" si="861"/>
        <v>0</v>
      </c>
      <c r="X1468" s="61">
        <f t="shared" si="861"/>
        <v>0</v>
      </c>
    </row>
    <row r="1469" spans="2:24" hidden="1">
      <c r="B1469" s="21"/>
      <c r="C1469" s="21"/>
      <c r="D1469" s="80"/>
      <c r="E1469" s="21"/>
      <c r="F1469" s="21"/>
      <c r="G1469" s="21"/>
      <c r="H1469" s="21"/>
      <c r="I1469" s="21"/>
      <c r="J1469" s="21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</row>
    <row r="1470" spans="2:24" hidden="1">
      <c r="B1470" s="21"/>
      <c r="C1470" s="21"/>
      <c r="D1470" s="80"/>
      <c r="E1470" s="21"/>
      <c r="F1470" s="21"/>
      <c r="G1470" s="21"/>
      <c r="H1470" s="21"/>
      <c r="I1470" s="21"/>
      <c r="J1470" s="21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</row>
    <row r="1471" spans="2:24" hidden="1">
      <c r="B1471" s="20" t="s">
        <v>344</v>
      </c>
      <c r="C1471" s="20"/>
      <c r="D1471" s="82" t="s">
        <v>336</v>
      </c>
      <c r="E1471" s="20" t="s">
        <v>337</v>
      </c>
      <c r="F1471" s="21"/>
      <c r="G1471" s="21"/>
      <c r="H1471" s="21"/>
      <c r="I1471" s="21"/>
      <c r="J1471" s="21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</row>
    <row r="1472" spans="2:24" hidden="1">
      <c r="B1472" s="59" t="str">
        <f t="shared" ref="B1472:E1476" si="862">IF(ISBLANK(B1232),"",B1232)</f>
        <v/>
      </c>
      <c r="C1472" s="59" t="str">
        <f t="shared" si="862"/>
        <v/>
      </c>
      <c r="D1472" s="59" t="str">
        <f t="shared" si="862"/>
        <v/>
      </c>
      <c r="E1472" s="59" t="str">
        <f t="shared" si="862"/>
        <v/>
      </c>
      <c r="F1472" s="59"/>
      <c r="G1472" s="59"/>
      <c r="H1472" s="59"/>
      <c r="I1472" s="59"/>
      <c r="J1472" s="59"/>
      <c r="K1472" s="60">
        <f t="shared" ref="K1472:X1472" si="863">IF(AND($D1472="tak",OR($E1472="nie dotyczy",$E1472="badania przemysłowe"),K$1421&lt;=Koniec_Projekt),ROUND(K207*K214,0),0)</f>
        <v>0</v>
      </c>
      <c r="L1472" s="60">
        <f t="shared" si="863"/>
        <v>0</v>
      </c>
      <c r="M1472" s="60">
        <f t="shared" si="863"/>
        <v>0</v>
      </c>
      <c r="N1472" s="60">
        <f t="shared" si="863"/>
        <v>0</v>
      </c>
      <c r="O1472" s="60">
        <f t="shared" si="863"/>
        <v>0</v>
      </c>
      <c r="P1472" s="60">
        <f t="shared" si="863"/>
        <v>0</v>
      </c>
      <c r="Q1472" s="60">
        <f t="shared" si="863"/>
        <v>0</v>
      </c>
      <c r="R1472" s="60">
        <f t="shared" si="863"/>
        <v>0</v>
      </c>
      <c r="S1472" s="60">
        <f t="shared" si="863"/>
        <v>0</v>
      </c>
      <c r="T1472" s="60">
        <f t="shared" si="863"/>
        <v>0</v>
      </c>
      <c r="U1472" s="60">
        <f t="shared" si="863"/>
        <v>0</v>
      </c>
      <c r="V1472" s="60">
        <f t="shared" si="863"/>
        <v>0</v>
      </c>
      <c r="W1472" s="60">
        <f t="shared" si="863"/>
        <v>0</v>
      </c>
      <c r="X1472" s="60">
        <f t="shared" si="863"/>
        <v>0</v>
      </c>
    </row>
    <row r="1473" spans="2:24" hidden="1">
      <c r="B1473" s="59" t="str">
        <f t="shared" si="862"/>
        <v/>
      </c>
      <c r="C1473" s="59" t="str">
        <f t="shared" si="862"/>
        <v/>
      </c>
      <c r="D1473" s="59" t="str">
        <f t="shared" si="862"/>
        <v/>
      </c>
      <c r="E1473" s="59" t="str">
        <f t="shared" si="862"/>
        <v/>
      </c>
      <c r="F1473" s="59"/>
      <c r="G1473" s="59"/>
      <c r="H1473" s="59"/>
      <c r="I1473" s="59"/>
      <c r="J1473" s="59"/>
      <c r="K1473" s="60">
        <f t="shared" ref="K1473:X1473" si="864">IF(AND($D1473="tak",OR($E1473="nie dotyczy",$E1473="badania przemysłowe"),K$1421&lt;=Koniec_Projekt),ROUND(K208*K215,0),0)</f>
        <v>0</v>
      </c>
      <c r="L1473" s="60">
        <f t="shared" si="864"/>
        <v>0</v>
      </c>
      <c r="M1473" s="60">
        <f t="shared" si="864"/>
        <v>0</v>
      </c>
      <c r="N1473" s="60">
        <f t="shared" si="864"/>
        <v>0</v>
      </c>
      <c r="O1473" s="60">
        <f t="shared" si="864"/>
        <v>0</v>
      </c>
      <c r="P1473" s="60">
        <f t="shared" si="864"/>
        <v>0</v>
      </c>
      <c r="Q1473" s="60">
        <f t="shared" si="864"/>
        <v>0</v>
      </c>
      <c r="R1473" s="60">
        <f t="shared" si="864"/>
        <v>0</v>
      </c>
      <c r="S1473" s="60">
        <f t="shared" si="864"/>
        <v>0</v>
      </c>
      <c r="T1473" s="60">
        <f t="shared" si="864"/>
        <v>0</v>
      </c>
      <c r="U1473" s="60">
        <f t="shared" si="864"/>
        <v>0</v>
      </c>
      <c r="V1473" s="60">
        <f t="shared" si="864"/>
        <v>0</v>
      </c>
      <c r="W1473" s="60">
        <f t="shared" si="864"/>
        <v>0</v>
      </c>
      <c r="X1473" s="60">
        <f t="shared" si="864"/>
        <v>0</v>
      </c>
    </row>
    <row r="1474" spans="2:24" hidden="1">
      <c r="B1474" s="59" t="str">
        <f t="shared" si="862"/>
        <v/>
      </c>
      <c r="C1474" s="59" t="str">
        <f t="shared" si="862"/>
        <v/>
      </c>
      <c r="D1474" s="59" t="str">
        <f t="shared" si="862"/>
        <v/>
      </c>
      <c r="E1474" s="59" t="str">
        <f t="shared" si="862"/>
        <v/>
      </c>
      <c r="F1474" s="59"/>
      <c r="G1474" s="59"/>
      <c r="H1474" s="59"/>
      <c r="I1474" s="59"/>
      <c r="J1474" s="59"/>
      <c r="K1474" s="60">
        <f t="shared" ref="K1474:X1474" si="865">IF(AND($D1474="tak",OR($E1474="nie dotyczy",$E1474="badania przemysłowe"),K$1421&lt;=Koniec_Projekt),ROUND(K209*K216,0),0)</f>
        <v>0</v>
      </c>
      <c r="L1474" s="60">
        <f t="shared" si="865"/>
        <v>0</v>
      </c>
      <c r="M1474" s="60">
        <f t="shared" si="865"/>
        <v>0</v>
      </c>
      <c r="N1474" s="60">
        <f t="shared" si="865"/>
        <v>0</v>
      </c>
      <c r="O1474" s="60">
        <f t="shared" si="865"/>
        <v>0</v>
      </c>
      <c r="P1474" s="60">
        <f t="shared" si="865"/>
        <v>0</v>
      </c>
      <c r="Q1474" s="60">
        <f t="shared" si="865"/>
        <v>0</v>
      </c>
      <c r="R1474" s="60">
        <f t="shared" si="865"/>
        <v>0</v>
      </c>
      <c r="S1474" s="60">
        <f t="shared" si="865"/>
        <v>0</v>
      </c>
      <c r="T1474" s="60">
        <f t="shared" si="865"/>
        <v>0</v>
      </c>
      <c r="U1474" s="60">
        <f t="shared" si="865"/>
        <v>0</v>
      </c>
      <c r="V1474" s="60">
        <f t="shared" si="865"/>
        <v>0</v>
      </c>
      <c r="W1474" s="60">
        <f t="shared" si="865"/>
        <v>0</v>
      </c>
      <c r="X1474" s="60">
        <f t="shared" si="865"/>
        <v>0</v>
      </c>
    </row>
    <row r="1475" spans="2:24" hidden="1">
      <c r="B1475" s="59" t="str">
        <f t="shared" si="862"/>
        <v/>
      </c>
      <c r="C1475" s="59" t="str">
        <f t="shared" si="862"/>
        <v/>
      </c>
      <c r="D1475" s="59" t="str">
        <f t="shared" si="862"/>
        <v/>
      </c>
      <c r="E1475" s="59" t="str">
        <f t="shared" si="862"/>
        <v/>
      </c>
      <c r="F1475" s="59"/>
      <c r="G1475" s="59"/>
      <c r="H1475" s="59"/>
      <c r="I1475" s="59"/>
      <c r="J1475" s="59"/>
      <c r="K1475" s="60">
        <f t="shared" ref="K1475:X1475" si="866">IF(AND($D1475="tak",OR($E1475="nie dotyczy",$E1475="badania przemysłowe"),K$1421&lt;=Koniec_Projekt),ROUND(K210*K217,0),0)</f>
        <v>0</v>
      </c>
      <c r="L1475" s="60">
        <f t="shared" si="866"/>
        <v>0</v>
      </c>
      <c r="M1475" s="60">
        <f t="shared" si="866"/>
        <v>0</v>
      </c>
      <c r="N1475" s="60">
        <f t="shared" si="866"/>
        <v>0</v>
      </c>
      <c r="O1475" s="60">
        <f t="shared" si="866"/>
        <v>0</v>
      </c>
      <c r="P1475" s="60">
        <f t="shared" si="866"/>
        <v>0</v>
      </c>
      <c r="Q1475" s="60">
        <f t="shared" si="866"/>
        <v>0</v>
      </c>
      <c r="R1475" s="60">
        <f t="shared" si="866"/>
        <v>0</v>
      </c>
      <c r="S1475" s="60">
        <f t="shared" si="866"/>
        <v>0</v>
      </c>
      <c r="T1475" s="60">
        <f t="shared" si="866"/>
        <v>0</v>
      </c>
      <c r="U1475" s="60">
        <f t="shared" si="866"/>
        <v>0</v>
      </c>
      <c r="V1475" s="60">
        <f t="shared" si="866"/>
        <v>0</v>
      </c>
      <c r="W1475" s="60">
        <f t="shared" si="866"/>
        <v>0</v>
      </c>
      <c r="X1475" s="60">
        <f t="shared" si="866"/>
        <v>0</v>
      </c>
    </row>
    <row r="1476" spans="2:24" hidden="1">
      <c r="B1476" s="59" t="str">
        <f t="shared" si="862"/>
        <v/>
      </c>
      <c r="C1476" s="59" t="str">
        <f t="shared" si="862"/>
        <v/>
      </c>
      <c r="D1476" s="59" t="str">
        <f t="shared" si="862"/>
        <v/>
      </c>
      <c r="E1476" s="59" t="str">
        <f t="shared" si="862"/>
        <v/>
      </c>
      <c r="F1476" s="59"/>
      <c r="G1476" s="59"/>
      <c r="H1476" s="59"/>
      <c r="I1476" s="59"/>
      <c r="J1476" s="59"/>
      <c r="K1476" s="60">
        <f t="shared" ref="K1476:X1476" si="867">IF(AND($D1476="tak",OR($E1476="nie dotyczy",$E1476="badania przemysłowe"),K$1421&lt;=Koniec_Projekt),ROUND(K211*K218,0),0)</f>
        <v>0</v>
      </c>
      <c r="L1476" s="60">
        <f t="shared" si="867"/>
        <v>0</v>
      </c>
      <c r="M1476" s="60">
        <f t="shared" si="867"/>
        <v>0</v>
      </c>
      <c r="N1476" s="60">
        <f t="shared" si="867"/>
        <v>0</v>
      </c>
      <c r="O1476" s="60">
        <f t="shared" si="867"/>
        <v>0</v>
      </c>
      <c r="P1476" s="60">
        <f t="shared" si="867"/>
        <v>0</v>
      </c>
      <c r="Q1476" s="60">
        <f t="shared" si="867"/>
        <v>0</v>
      </c>
      <c r="R1476" s="60">
        <f t="shared" si="867"/>
        <v>0</v>
      </c>
      <c r="S1476" s="60">
        <f t="shared" si="867"/>
        <v>0</v>
      </c>
      <c r="T1476" s="60">
        <f t="shared" si="867"/>
        <v>0</v>
      </c>
      <c r="U1476" s="60">
        <f t="shared" si="867"/>
        <v>0</v>
      </c>
      <c r="V1476" s="60">
        <f t="shared" si="867"/>
        <v>0</v>
      </c>
      <c r="W1476" s="60">
        <f t="shared" si="867"/>
        <v>0</v>
      </c>
      <c r="X1476" s="60">
        <f t="shared" si="867"/>
        <v>0</v>
      </c>
    </row>
    <row r="1477" spans="2:24" hidden="1">
      <c r="B1477" s="20" t="s">
        <v>345</v>
      </c>
      <c r="C1477" s="20"/>
      <c r="D1477" s="80"/>
      <c r="E1477" s="21"/>
      <c r="F1477" s="21"/>
      <c r="G1477" s="21"/>
      <c r="H1477" s="21"/>
      <c r="I1477" s="21"/>
      <c r="J1477" s="21"/>
      <c r="K1477" s="61">
        <f>ROUND(SUM(K1472:K1476),0)</f>
        <v>0</v>
      </c>
      <c r="L1477" s="61">
        <f t="shared" ref="L1477:X1477" si="868">ROUND(SUM(L1472:L1476),0)</f>
        <v>0</v>
      </c>
      <c r="M1477" s="61">
        <f t="shared" si="868"/>
        <v>0</v>
      </c>
      <c r="N1477" s="61">
        <f t="shared" si="868"/>
        <v>0</v>
      </c>
      <c r="O1477" s="61">
        <f t="shared" si="868"/>
        <v>0</v>
      </c>
      <c r="P1477" s="61">
        <f t="shared" si="868"/>
        <v>0</v>
      </c>
      <c r="Q1477" s="61">
        <f t="shared" si="868"/>
        <v>0</v>
      </c>
      <c r="R1477" s="61">
        <f t="shared" si="868"/>
        <v>0</v>
      </c>
      <c r="S1477" s="61">
        <f t="shared" si="868"/>
        <v>0</v>
      </c>
      <c r="T1477" s="61">
        <f t="shared" si="868"/>
        <v>0</v>
      </c>
      <c r="U1477" s="61">
        <f t="shared" si="868"/>
        <v>0</v>
      </c>
      <c r="V1477" s="61">
        <f t="shared" si="868"/>
        <v>0</v>
      </c>
      <c r="W1477" s="61">
        <f t="shared" si="868"/>
        <v>0</v>
      </c>
      <c r="X1477" s="61">
        <f t="shared" si="868"/>
        <v>0</v>
      </c>
    </row>
    <row r="1478" spans="2:24" hidden="1">
      <c r="B1478" s="21"/>
      <c r="C1478" s="21"/>
      <c r="D1478" s="80"/>
      <c r="E1478" s="21"/>
      <c r="F1478" s="21"/>
      <c r="G1478" s="21"/>
      <c r="H1478" s="21"/>
      <c r="I1478" s="21"/>
      <c r="J1478" s="21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</row>
    <row r="1479" spans="2:24" hidden="1">
      <c r="B1479" s="21"/>
      <c r="C1479" s="21"/>
      <c r="D1479" s="80"/>
      <c r="E1479" s="21"/>
      <c r="F1479" s="21"/>
      <c r="G1479" s="21"/>
      <c r="H1479" s="21"/>
      <c r="I1479" s="21"/>
      <c r="J1479" s="21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</row>
    <row r="1480" spans="2:24" hidden="1">
      <c r="B1480" s="20" t="s">
        <v>346</v>
      </c>
      <c r="C1480" s="20"/>
      <c r="D1480" s="80"/>
      <c r="E1480" s="21"/>
      <c r="F1480" s="21"/>
      <c r="G1480" s="21"/>
      <c r="H1480" s="21"/>
      <c r="I1480" s="21"/>
      <c r="J1480" s="21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</row>
    <row r="1481" spans="2:24" hidden="1">
      <c r="B1481" s="20" t="s">
        <v>321</v>
      </c>
      <c r="C1481" s="20"/>
      <c r="D1481" s="82" t="s">
        <v>336</v>
      </c>
      <c r="E1481" s="20" t="s">
        <v>337</v>
      </c>
      <c r="F1481" s="21"/>
      <c r="G1481" s="21"/>
      <c r="H1481" s="21"/>
      <c r="I1481" s="21"/>
      <c r="J1481" s="21"/>
      <c r="K1481" s="61" t="s">
        <v>318</v>
      </c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</row>
    <row r="1482" spans="2:24" hidden="1">
      <c r="B1482" s="59" t="str">
        <f t="shared" ref="B1482:E1501" si="869">IF(ISBLANK(B1242),"",B1242)</f>
        <v/>
      </c>
      <c r="C1482" s="59" t="str">
        <f t="shared" si="869"/>
        <v/>
      </c>
      <c r="D1482" s="59" t="str">
        <f t="shared" si="869"/>
        <v/>
      </c>
      <c r="E1482" s="59" t="str">
        <f t="shared" si="869"/>
        <v/>
      </c>
      <c r="F1482" s="59"/>
      <c r="G1482" s="59"/>
      <c r="H1482" s="59"/>
      <c r="I1482" s="59"/>
      <c r="J1482" s="59"/>
      <c r="K1482" s="60">
        <f t="shared" ref="K1482:X1482" si="870">IF(AND($D1482="tak",OR($E1482="nie dotyczy",$E1482="badania przemysłowe"),K$1421&lt;=Koniec_Projekt),ROUND(K391*K349,0),0)</f>
        <v>0</v>
      </c>
      <c r="L1482" s="60">
        <f t="shared" si="870"/>
        <v>0</v>
      </c>
      <c r="M1482" s="60">
        <f t="shared" si="870"/>
        <v>0</v>
      </c>
      <c r="N1482" s="60">
        <f t="shared" si="870"/>
        <v>0</v>
      </c>
      <c r="O1482" s="60">
        <f t="shared" si="870"/>
        <v>0</v>
      </c>
      <c r="P1482" s="60">
        <f t="shared" si="870"/>
        <v>0</v>
      </c>
      <c r="Q1482" s="60">
        <f t="shared" si="870"/>
        <v>0</v>
      </c>
      <c r="R1482" s="60">
        <f t="shared" si="870"/>
        <v>0</v>
      </c>
      <c r="S1482" s="60">
        <f t="shared" si="870"/>
        <v>0</v>
      </c>
      <c r="T1482" s="60">
        <f t="shared" si="870"/>
        <v>0</v>
      </c>
      <c r="U1482" s="60">
        <f t="shared" si="870"/>
        <v>0</v>
      </c>
      <c r="V1482" s="60">
        <f t="shared" si="870"/>
        <v>0</v>
      </c>
      <c r="W1482" s="60">
        <f t="shared" si="870"/>
        <v>0</v>
      </c>
      <c r="X1482" s="60">
        <f t="shared" si="870"/>
        <v>0</v>
      </c>
    </row>
    <row r="1483" spans="2:24" hidden="1">
      <c r="B1483" s="59" t="str">
        <f t="shared" si="869"/>
        <v/>
      </c>
      <c r="C1483" s="59" t="str">
        <f t="shared" si="869"/>
        <v/>
      </c>
      <c r="D1483" s="59" t="str">
        <f t="shared" si="869"/>
        <v/>
      </c>
      <c r="E1483" s="59" t="str">
        <f t="shared" si="869"/>
        <v/>
      </c>
      <c r="F1483" s="59"/>
      <c r="G1483" s="59"/>
      <c r="H1483" s="59"/>
      <c r="I1483" s="59"/>
      <c r="J1483" s="59"/>
      <c r="K1483" s="60">
        <f t="shared" ref="K1483:X1483" si="871">IF(AND($D1483="tak",OR($E1483="nie dotyczy",$E1483="badania przemysłowe"),K$1421&lt;=Koniec_Projekt),ROUND(K392*K350,0),0)</f>
        <v>0</v>
      </c>
      <c r="L1483" s="60">
        <f t="shared" si="871"/>
        <v>0</v>
      </c>
      <c r="M1483" s="60">
        <f t="shared" si="871"/>
        <v>0</v>
      </c>
      <c r="N1483" s="60">
        <f t="shared" si="871"/>
        <v>0</v>
      </c>
      <c r="O1483" s="60">
        <f t="shared" si="871"/>
        <v>0</v>
      </c>
      <c r="P1483" s="60">
        <f t="shared" si="871"/>
        <v>0</v>
      </c>
      <c r="Q1483" s="60">
        <f t="shared" si="871"/>
        <v>0</v>
      </c>
      <c r="R1483" s="60">
        <f t="shared" si="871"/>
        <v>0</v>
      </c>
      <c r="S1483" s="60">
        <f t="shared" si="871"/>
        <v>0</v>
      </c>
      <c r="T1483" s="60">
        <f t="shared" si="871"/>
        <v>0</v>
      </c>
      <c r="U1483" s="60">
        <f t="shared" si="871"/>
        <v>0</v>
      </c>
      <c r="V1483" s="60">
        <f t="shared" si="871"/>
        <v>0</v>
      </c>
      <c r="W1483" s="60">
        <f t="shared" si="871"/>
        <v>0</v>
      </c>
      <c r="X1483" s="60">
        <f t="shared" si="871"/>
        <v>0</v>
      </c>
    </row>
    <row r="1484" spans="2:24" hidden="1">
      <c r="B1484" s="59" t="str">
        <f t="shared" si="869"/>
        <v/>
      </c>
      <c r="C1484" s="59" t="str">
        <f t="shared" si="869"/>
        <v/>
      </c>
      <c r="D1484" s="59" t="str">
        <f t="shared" si="869"/>
        <v/>
      </c>
      <c r="E1484" s="59" t="str">
        <f t="shared" si="869"/>
        <v/>
      </c>
      <c r="F1484" s="59"/>
      <c r="G1484" s="59"/>
      <c r="H1484" s="59"/>
      <c r="I1484" s="59"/>
      <c r="J1484" s="59"/>
      <c r="K1484" s="60">
        <f t="shared" ref="K1484:X1484" si="872">IF(AND($D1484="tak",OR($E1484="nie dotyczy",$E1484="badania przemysłowe"),K$1421&lt;=Koniec_Projekt),ROUND(K393*K351,0),0)</f>
        <v>0</v>
      </c>
      <c r="L1484" s="60">
        <f t="shared" si="872"/>
        <v>0</v>
      </c>
      <c r="M1484" s="60">
        <f t="shared" si="872"/>
        <v>0</v>
      </c>
      <c r="N1484" s="60">
        <f t="shared" si="872"/>
        <v>0</v>
      </c>
      <c r="O1484" s="60">
        <f t="shared" si="872"/>
        <v>0</v>
      </c>
      <c r="P1484" s="60">
        <f t="shared" si="872"/>
        <v>0</v>
      </c>
      <c r="Q1484" s="60">
        <f t="shared" si="872"/>
        <v>0</v>
      </c>
      <c r="R1484" s="60">
        <f t="shared" si="872"/>
        <v>0</v>
      </c>
      <c r="S1484" s="60">
        <f t="shared" si="872"/>
        <v>0</v>
      </c>
      <c r="T1484" s="60">
        <f t="shared" si="872"/>
        <v>0</v>
      </c>
      <c r="U1484" s="60">
        <f t="shared" si="872"/>
        <v>0</v>
      </c>
      <c r="V1484" s="60">
        <f t="shared" si="872"/>
        <v>0</v>
      </c>
      <c r="W1484" s="60">
        <f t="shared" si="872"/>
        <v>0</v>
      </c>
      <c r="X1484" s="60">
        <f t="shared" si="872"/>
        <v>0</v>
      </c>
    </row>
    <row r="1485" spans="2:24" hidden="1">
      <c r="B1485" s="59" t="str">
        <f t="shared" si="869"/>
        <v/>
      </c>
      <c r="C1485" s="59" t="str">
        <f t="shared" si="869"/>
        <v/>
      </c>
      <c r="D1485" s="59" t="str">
        <f t="shared" si="869"/>
        <v/>
      </c>
      <c r="E1485" s="59" t="str">
        <f t="shared" si="869"/>
        <v/>
      </c>
      <c r="F1485" s="59"/>
      <c r="G1485" s="59"/>
      <c r="H1485" s="59"/>
      <c r="I1485" s="59"/>
      <c r="J1485" s="59"/>
      <c r="K1485" s="60">
        <f t="shared" ref="K1485:X1485" si="873">IF(AND($D1485="tak",OR($E1485="nie dotyczy",$E1485="badania przemysłowe"),K$1421&lt;=Koniec_Projekt),ROUND(K394*K352,0),0)</f>
        <v>0</v>
      </c>
      <c r="L1485" s="60">
        <f t="shared" si="873"/>
        <v>0</v>
      </c>
      <c r="M1485" s="60">
        <f t="shared" si="873"/>
        <v>0</v>
      </c>
      <c r="N1485" s="60">
        <f t="shared" si="873"/>
        <v>0</v>
      </c>
      <c r="O1485" s="60">
        <f t="shared" si="873"/>
        <v>0</v>
      </c>
      <c r="P1485" s="60">
        <f t="shared" si="873"/>
        <v>0</v>
      </c>
      <c r="Q1485" s="60">
        <f t="shared" si="873"/>
        <v>0</v>
      </c>
      <c r="R1485" s="60">
        <f t="shared" si="873"/>
        <v>0</v>
      </c>
      <c r="S1485" s="60">
        <f t="shared" si="873"/>
        <v>0</v>
      </c>
      <c r="T1485" s="60">
        <f t="shared" si="873"/>
        <v>0</v>
      </c>
      <c r="U1485" s="60">
        <f t="shared" si="873"/>
        <v>0</v>
      </c>
      <c r="V1485" s="60">
        <f t="shared" si="873"/>
        <v>0</v>
      </c>
      <c r="W1485" s="60">
        <f t="shared" si="873"/>
        <v>0</v>
      </c>
      <c r="X1485" s="60">
        <f t="shared" si="873"/>
        <v>0</v>
      </c>
    </row>
    <row r="1486" spans="2:24" hidden="1">
      <c r="B1486" s="59" t="str">
        <f t="shared" si="869"/>
        <v/>
      </c>
      <c r="C1486" s="59" t="str">
        <f t="shared" si="869"/>
        <v/>
      </c>
      <c r="D1486" s="59" t="str">
        <f t="shared" si="869"/>
        <v/>
      </c>
      <c r="E1486" s="59" t="str">
        <f t="shared" si="869"/>
        <v/>
      </c>
      <c r="F1486" s="59"/>
      <c r="G1486" s="59"/>
      <c r="H1486" s="59"/>
      <c r="I1486" s="59"/>
      <c r="J1486" s="59"/>
      <c r="K1486" s="60">
        <f t="shared" ref="K1486:X1486" si="874">IF(AND($D1486="tak",OR($E1486="nie dotyczy",$E1486="badania przemysłowe"),K$1421&lt;=Koniec_Projekt),ROUND(K395*K353,0),0)</f>
        <v>0</v>
      </c>
      <c r="L1486" s="60">
        <f t="shared" si="874"/>
        <v>0</v>
      </c>
      <c r="M1486" s="60">
        <f t="shared" si="874"/>
        <v>0</v>
      </c>
      <c r="N1486" s="60">
        <f t="shared" si="874"/>
        <v>0</v>
      </c>
      <c r="O1486" s="60">
        <f t="shared" si="874"/>
        <v>0</v>
      </c>
      <c r="P1486" s="60">
        <f t="shared" si="874"/>
        <v>0</v>
      </c>
      <c r="Q1486" s="60">
        <f t="shared" si="874"/>
        <v>0</v>
      </c>
      <c r="R1486" s="60">
        <f t="shared" si="874"/>
        <v>0</v>
      </c>
      <c r="S1486" s="60">
        <f t="shared" si="874"/>
        <v>0</v>
      </c>
      <c r="T1486" s="60">
        <f t="shared" si="874"/>
        <v>0</v>
      </c>
      <c r="U1486" s="60">
        <f t="shared" si="874"/>
        <v>0</v>
      </c>
      <c r="V1486" s="60">
        <f t="shared" si="874"/>
        <v>0</v>
      </c>
      <c r="W1486" s="60">
        <f t="shared" si="874"/>
        <v>0</v>
      </c>
      <c r="X1486" s="60">
        <f t="shared" si="874"/>
        <v>0</v>
      </c>
    </row>
    <row r="1487" spans="2:24" hidden="1">
      <c r="B1487" s="59" t="str">
        <f t="shared" si="869"/>
        <v/>
      </c>
      <c r="C1487" s="59" t="str">
        <f t="shared" si="869"/>
        <v/>
      </c>
      <c r="D1487" s="59" t="str">
        <f t="shared" si="869"/>
        <v/>
      </c>
      <c r="E1487" s="59" t="str">
        <f t="shared" si="869"/>
        <v/>
      </c>
      <c r="F1487" s="59"/>
      <c r="G1487" s="59"/>
      <c r="H1487" s="59"/>
      <c r="I1487" s="59"/>
      <c r="J1487" s="59"/>
      <c r="K1487" s="60">
        <f t="shared" ref="K1487:X1487" si="875">IF(AND($D1487="tak",OR($E1487="nie dotyczy",$E1487="badania przemysłowe"),K$1421&lt;=Koniec_Projekt),ROUND(K396*K354,0),0)</f>
        <v>0</v>
      </c>
      <c r="L1487" s="60">
        <f t="shared" si="875"/>
        <v>0</v>
      </c>
      <c r="M1487" s="60">
        <f t="shared" si="875"/>
        <v>0</v>
      </c>
      <c r="N1487" s="60">
        <f t="shared" si="875"/>
        <v>0</v>
      </c>
      <c r="O1487" s="60">
        <f t="shared" si="875"/>
        <v>0</v>
      </c>
      <c r="P1487" s="60">
        <f t="shared" si="875"/>
        <v>0</v>
      </c>
      <c r="Q1487" s="60">
        <f t="shared" si="875"/>
        <v>0</v>
      </c>
      <c r="R1487" s="60">
        <f t="shared" si="875"/>
        <v>0</v>
      </c>
      <c r="S1487" s="60">
        <f t="shared" si="875"/>
        <v>0</v>
      </c>
      <c r="T1487" s="60">
        <f t="shared" si="875"/>
        <v>0</v>
      </c>
      <c r="U1487" s="60">
        <f t="shared" si="875"/>
        <v>0</v>
      </c>
      <c r="V1487" s="60">
        <f t="shared" si="875"/>
        <v>0</v>
      </c>
      <c r="W1487" s="60">
        <f t="shared" si="875"/>
        <v>0</v>
      </c>
      <c r="X1487" s="60">
        <f t="shared" si="875"/>
        <v>0</v>
      </c>
    </row>
    <row r="1488" spans="2:24" hidden="1">
      <c r="B1488" s="59" t="str">
        <f t="shared" si="869"/>
        <v/>
      </c>
      <c r="C1488" s="59" t="str">
        <f t="shared" si="869"/>
        <v/>
      </c>
      <c r="D1488" s="59" t="str">
        <f t="shared" si="869"/>
        <v/>
      </c>
      <c r="E1488" s="59" t="str">
        <f t="shared" si="869"/>
        <v/>
      </c>
      <c r="F1488" s="59"/>
      <c r="G1488" s="59"/>
      <c r="H1488" s="59"/>
      <c r="I1488" s="59"/>
      <c r="J1488" s="59"/>
      <c r="K1488" s="60">
        <f t="shared" ref="K1488:X1488" si="876">IF(AND($D1488="tak",OR($E1488="nie dotyczy",$E1488="badania przemysłowe"),K$1421&lt;=Koniec_Projekt),ROUND(K397*K355,0),0)</f>
        <v>0</v>
      </c>
      <c r="L1488" s="60">
        <f t="shared" si="876"/>
        <v>0</v>
      </c>
      <c r="M1488" s="60">
        <f t="shared" si="876"/>
        <v>0</v>
      </c>
      <c r="N1488" s="60">
        <f t="shared" si="876"/>
        <v>0</v>
      </c>
      <c r="O1488" s="60">
        <f t="shared" si="876"/>
        <v>0</v>
      </c>
      <c r="P1488" s="60">
        <f t="shared" si="876"/>
        <v>0</v>
      </c>
      <c r="Q1488" s="60">
        <f t="shared" si="876"/>
        <v>0</v>
      </c>
      <c r="R1488" s="60">
        <f t="shared" si="876"/>
        <v>0</v>
      </c>
      <c r="S1488" s="60">
        <f t="shared" si="876"/>
        <v>0</v>
      </c>
      <c r="T1488" s="60">
        <f t="shared" si="876"/>
        <v>0</v>
      </c>
      <c r="U1488" s="60">
        <f t="shared" si="876"/>
        <v>0</v>
      </c>
      <c r="V1488" s="60">
        <f t="shared" si="876"/>
        <v>0</v>
      </c>
      <c r="W1488" s="60">
        <f t="shared" si="876"/>
        <v>0</v>
      </c>
      <c r="X1488" s="60">
        <f t="shared" si="876"/>
        <v>0</v>
      </c>
    </row>
    <row r="1489" spans="2:24" hidden="1">
      <c r="B1489" s="59" t="str">
        <f t="shared" si="869"/>
        <v/>
      </c>
      <c r="C1489" s="59" t="str">
        <f t="shared" si="869"/>
        <v/>
      </c>
      <c r="D1489" s="59" t="str">
        <f t="shared" si="869"/>
        <v/>
      </c>
      <c r="E1489" s="59" t="str">
        <f t="shared" si="869"/>
        <v/>
      </c>
      <c r="F1489" s="59"/>
      <c r="G1489" s="59"/>
      <c r="H1489" s="59"/>
      <c r="I1489" s="59"/>
      <c r="J1489" s="59"/>
      <c r="K1489" s="60">
        <f t="shared" ref="K1489:X1489" si="877">IF(AND($D1489="tak",OR($E1489="nie dotyczy",$E1489="badania przemysłowe"),K$1421&lt;=Koniec_Projekt),ROUND(K398*K356,0),0)</f>
        <v>0</v>
      </c>
      <c r="L1489" s="60">
        <f t="shared" si="877"/>
        <v>0</v>
      </c>
      <c r="M1489" s="60">
        <f t="shared" si="877"/>
        <v>0</v>
      </c>
      <c r="N1489" s="60">
        <f t="shared" si="877"/>
        <v>0</v>
      </c>
      <c r="O1489" s="60">
        <f t="shared" si="877"/>
        <v>0</v>
      </c>
      <c r="P1489" s="60">
        <f t="shared" si="877"/>
        <v>0</v>
      </c>
      <c r="Q1489" s="60">
        <f t="shared" si="877"/>
        <v>0</v>
      </c>
      <c r="R1489" s="60">
        <f t="shared" si="877"/>
        <v>0</v>
      </c>
      <c r="S1489" s="60">
        <f t="shared" si="877"/>
        <v>0</v>
      </c>
      <c r="T1489" s="60">
        <f t="shared" si="877"/>
        <v>0</v>
      </c>
      <c r="U1489" s="60">
        <f t="shared" si="877"/>
        <v>0</v>
      </c>
      <c r="V1489" s="60">
        <f t="shared" si="877"/>
        <v>0</v>
      </c>
      <c r="W1489" s="60">
        <f t="shared" si="877"/>
        <v>0</v>
      </c>
      <c r="X1489" s="60">
        <f t="shared" si="877"/>
        <v>0</v>
      </c>
    </row>
    <row r="1490" spans="2:24" hidden="1">
      <c r="B1490" s="59" t="str">
        <f t="shared" si="869"/>
        <v/>
      </c>
      <c r="C1490" s="59" t="str">
        <f t="shared" si="869"/>
        <v/>
      </c>
      <c r="D1490" s="59" t="str">
        <f t="shared" si="869"/>
        <v/>
      </c>
      <c r="E1490" s="59" t="str">
        <f t="shared" si="869"/>
        <v/>
      </c>
      <c r="F1490" s="59"/>
      <c r="G1490" s="59"/>
      <c r="H1490" s="59"/>
      <c r="I1490" s="59"/>
      <c r="J1490" s="59"/>
      <c r="K1490" s="60">
        <f t="shared" ref="K1490:X1490" si="878">IF(AND($D1490="tak",OR($E1490="nie dotyczy",$E1490="badania przemysłowe"),K$1421&lt;=Koniec_Projekt),ROUND(K399*K357,0),0)</f>
        <v>0</v>
      </c>
      <c r="L1490" s="60">
        <f t="shared" si="878"/>
        <v>0</v>
      </c>
      <c r="M1490" s="60">
        <f t="shared" si="878"/>
        <v>0</v>
      </c>
      <c r="N1490" s="60">
        <f t="shared" si="878"/>
        <v>0</v>
      </c>
      <c r="O1490" s="60">
        <f t="shared" si="878"/>
        <v>0</v>
      </c>
      <c r="P1490" s="60">
        <f t="shared" si="878"/>
        <v>0</v>
      </c>
      <c r="Q1490" s="60">
        <f t="shared" si="878"/>
        <v>0</v>
      </c>
      <c r="R1490" s="60">
        <f t="shared" si="878"/>
        <v>0</v>
      </c>
      <c r="S1490" s="60">
        <f t="shared" si="878"/>
        <v>0</v>
      </c>
      <c r="T1490" s="60">
        <f t="shared" si="878"/>
        <v>0</v>
      </c>
      <c r="U1490" s="60">
        <f t="shared" si="878"/>
        <v>0</v>
      </c>
      <c r="V1490" s="60">
        <f t="shared" si="878"/>
        <v>0</v>
      </c>
      <c r="W1490" s="60">
        <f t="shared" si="878"/>
        <v>0</v>
      </c>
      <c r="X1490" s="60">
        <f t="shared" si="878"/>
        <v>0</v>
      </c>
    </row>
    <row r="1491" spans="2:24" hidden="1">
      <c r="B1491" s="59" t="str">
        <f t="shared" si="869"/>
        <v/>
      </c>
      <c r="C1491" s="59" t="str">
        <f t="shared" si="869"/>
        <v/>
      </c>
      <c r="D1491" s="59" t="str">
        <f t="shared" si="869"/>
        <v/>
      </c>
      <c r="E1491" s="59" t="str">
        <f t="shared" si="869"/>
        <v/>
      </c>
      <c r="F1491" s="59"/>
      <c r="G1491" s="59"/>
      <c r="H1491" s="59"/>
      <c r="I1491" s="59"/>
      <c r="J1491" s="59"/>
      <c r="K1491" s="60">
        <f t="shared" ref="K1491:X1491" si="879">IF(AND($D1491="tak",OR($E1491="nie dotyczy",$E1491="badania przemysłowe"),K$1421&lt;=Koniec_Projekt),ROUND(K400*K358,0),0)</f>
        <v>0</v>
      </c>
      <c r="L1491" s="60">
        <f t="shared" si="879"/>
        <v>0</v>
      </c>
      <c r="M1491" s="60">
        <f t="shared" si="879"/>
        <v>0</v>
      </c>
      <c r="N1491" s="60">
        <f t="shared" si="879"/>
        <v>0</v>
      </c>
      <c r="O1491" s="60">
        <f t="shared" si="879"/>
        <v>0</v>
      </c>
      <c r="P1491" s="60">
        <f t="shared" si="879"/>
        <v>0</v>
      </c>
      <c r="Q1491" s="60">
        <f t="shared" si="879"/>
        <v>0</v>
      </c>
      <c r="R1491" s="60">
        <f t="shared" si="879"/>
        <v>0</v>
      </c>
      <c r="S1491" s="60">
        <f t="shared" si="879"/>
        <v>0</v>
      </c>
      <c r="T1491" s="60">
        <f t="shared" si="879"/>
        <v>0</v>
      </c>
      <c r="U1491" s="60">
        <f t="shared" si="879"/>
        <v>0</v>
      </c>
      <c r="V1491" s="60">
        <f t="shared" si="879"/>
        <v>0</v>
      </c>
      <c r="W1491" s="60">
        <f t="shared" si="879"/>
        <v>0</v>
      </c>
      <c r="X1491" s="60">
        <f t="shared" si="879"/>
        <v>0</v>
      </c>
    </row>
    <row r="1492" spans="2:24" hidden="1">
      <c r="B1492" s="59" t="str">
        <f t="shared" si="869"/>
        <v/>
      </c>
      <c r="C1492" s="59" t="str">
        <f t="shared" si="869"/>
        <v/>
      </c>
      <c r="D1492" s="59" t="str">
        <f t="shared" si="869"/>
        <v/>
      </c>
      <c r="E1492" s="59" t="str">
        <f t="shared" si="869"/>
        <v/>
      </c>
      <c r="F1492" s="59"/>
      <c r="G1492" s="59"/>
      <c r="H1492" s="59"/>
      <c r="I1492" s="59"/>
      <c r="J1492" s="59"/>
      <c r="K1492" s="60">
        <f t="shared" ref="K1492:X1492" si="880">IF(AND($D1492="tak",OR($E1492="nie dotyczy",$E1492="badania przemysłowe"),K$1421&lt;=Koniec_Projekt),ROUND(K401*K359,0),0)</f>
        <v>0</v>
      </c>
      <c r="L1492" s="60">
        <f t="shared" si="880"/>
        <v>0</v>
      </c>
      <c r="M1492" s="60">
        <f t="shared" si="880"/>
        <v>0</v>
      </c>
      <c r="N1492" s="60">
        <f t="shared" si="880"/>
        <v>0</v>
      </c>
      <c r="O1492" s="60">
        <f t="shared" si="880"/>
        <v>0</v>
      </c>
      <c r="P1492" s="60">
        <f t="shared" si="880"/>
        <v>0</v>
      </c>
      <c r="Q1492" s="60">
        <f t="shared" si="880"/>
        <v>0</v>
      </c>
      <c r="R1492" s="60">
        <f t="shared" si="880"/>
        <v>0</v>
      </c>
      <c r="S1492" s="60">
        <f t="shared" si="880"/>
        <v>0</v>
      </c>
      <c r="T1492" s="60">
        <f t="shared" si="880"/>
        <v>0</v>
      </c>
      <c r="U1492" s="60">
        <f t="shared" si="880"/>
        <v>0</v>
      </c>
      <c r="V1492" s="60">
        <f t="shared" si="880"/>
        <v>0</v>
      </c>
      <c r="W1492" s="60">
        <f t="shared" si="880"/>
        <v>0</v>
      </c>
      <c r="X1492" s="60">
        <f t="shared" si="880"/>
        <v>0</v>
      </c>
    </row>
    <row r="1493" spans="2:24" hidden="1">
      <c r="B1493" s="59" t="str">
        <f t="shared" si="869"/>
        <v/>
      </c>
      <c r="C1493" s="59" t="str">
        <f t="shared" si="869"/>
        <v/>
      </c>
      <c r="D1493" s="59" t="str">
        <f t="shared" si="869"/>
        <v/>
      </c>
      <c r="E1493" s="59" t="str">
        <f t="shared" si="869"/>
        <v/>
      </c>
      <c r="F1493" s="59"/>
      <c r="G1493" s="59"/>
      <c r="H1493" s="59"/>
      <c r="I1493" s="59"/>
      <c r="J1493" s="59"/>
      <c r="K1493" s="60">
        <f t="shared" ref="K1493:X1493" si="881">IF(AND($D1493="tak",OR($E1493="nie dotyczy",$E1493="badania przemysłowe"),K$1421&lt;=Koniec_Projekt),ROUND(K402*K360,0),0)</f>
        <v>0</v>
      </c>
      <c r="L1493" s="60">
        <f t="shared" si="881"/>
        <v>0</v>
      </c>
      <c r="M1493" s="60">
        <f t="shared" si="881"/>
        <v>0</v>
      </c>
      <c r="N1493" s="60">
        <f t="shared" si="881"/>
        <v>0</v>
      </c>
      <c r="O1493" s="60">
        <f t="shared" si="881"/>
        <v>0</v>
      </c>
      <c r="P1493" s="60">
        <f t="shared" si="881"/>
        <v>0</v>
      </c>
      <c r="Q1493" s="60">
        <f t="shared" si="881"/>
        <v>0</v>
      </c>
      <c r="R1493" s="60">
        <f t="shared" si="881"/>
        <v>0</v>
      </c>
      <c r="S1493" s="60">
        <f t="shared" si="881"/>
        <v>0</v>
      </c>
      <c r="T1493" s="60">
        <f t="shared" si="881"/>
        <v>0</v>
      </c>
      <c r="U1493" s="60">
        <f t="shared" si="881"/>
        <v>0</v>
      </c>
      <c r="V1493" s="60">
        <f t="shared" si="881"/>
        <v>0</v>
      </c>
      <c r="W1493" s="60">
        <f t="shared" si="881"/>
        <v>0</v>
      </c>
      <c r="X1493" s="60">
        <f t="shared" si="881"/>
        <v>0</v>
      </c>
    </row>
    <row r="1494" spans="2:24" hidden="1">
      <c r="B1494" s="59" t="str">
        <f t="shared" si="869"/>
        <v/>
      </c>
      <c r="C1494" s="59" t="str">
        <f t="shared" si="869"/>
        <v/>
      </c>
      <c r="D1494" s="59" t="str">
        <f t="shared" si="869"/>
        <v/>
      </c>
      <c r="E1494" s="59" t="str">
        <f t="shared" si="869"/>
        <v/>
      </c>
      <c r="F1494" s="59"/>
      <c r="G1494" s="59"/>
      <c r="H1494" s="59"/>
      <c r="I1494" s="59"/>
      <c r="J1494" s="59"/>
      <c r="K1494" s="60">
        <f t="shared" ref="K1494:X1494" si="882">IF(AND($D1494="tak",OR($E1494="nie dotyczy",$E1494="badania przemysłowe"),K$1421&lt;=Koniec_Projekt),ROUND(K403*K361,0),0)</f>
        <v>0</v>
      </c>
      <c r="L1494" s="60">
        <f t="shared" si="882"/>
        <v>0</v>
      </c>
      <c r="M1494" s="60">
        <f t="shared" si="882"/>
        <v>0</v>
      </c>
      <c r="N1494" s="60">
        <f t="shared" si="882"/>
        <v>0</v>
      </c>
      <c r="O1494" s="60">
        <f t="shared" si="882"/>
        <v>0</v>
      </c>
      <c r="P1494" s="60">
        <f t="shared" si="882"/>
        <v>0</v>
      </c>
      <c r="Q1494" s="60">
        <f t="shared" si="882"/>
        <v>0</v>
      </c>
      <c r="R1494" s="60">
        <f t="shared" si="882"/>
        <v>0</v>
      </c>
      <c r="S1494" s="60">
        <f t="shared" si="882"/>
        <v>0</v>
      </c>
      <c r="T1494" s="60">
        <f t="shared" si="882"/>
        <v>0</v>
      </c>
      <c r="U1494" s="60">
        <f t="shared" si="882"/>
        <v>0</v>
      </c>
      <c r="V1494" s="60">
        <f t="shared" si="882"/>
        <v>0</v>
      </c>
      <c r="W1494" s="60">
        <f t="shared" si="882"/>
        <v>0</v>
      </c>
      <c r="X1494" s="60">
        <f t="shared" si="882"/>
        <v>0</v>
      </c>
    </row>
    <row r="1495" spans="2:24" hidden="1">
      <c r="B1495" s="59" t="str">
        <f t="shared" si="869"/>
        <v/>
      </c>
      <c r="C1495" s="59" t="str">
        <f t="shared" si="869"/>
        <v/>
      </c>
      <c r="D1495" s="59" t="str">
        <f t="shared" si="869"/>
        <v/>
      </c>
      <c r="E1495" s="59" t="str">
        <f t="shared" si="869"/>
        <v/>
      </c>
      <c r="F1495" s="59"/>
      <c r="G1495" s="59"/>
      <c r="H1495" s="59"/>
      <c r="I1495" s="59"/>
      <c r="J1495" s="59"/>
      <c r="K1495" s="60">
        <f t="shared" ref="K1495:X1495" si="883">IF(AND($D1495="tak",OR($E1495="nie dotyczy",$E1495="badania przemysłowe"),K$1421&lt;=Koniec_Projekt),ROUND(K404*K362,0),0)</f>
        <v>0</v>
      </c>
      <c r="L1495" s="60">
        <f t="shared" si="883"/>
        <v>0</v>
      </c>
      <c r="M1495" s="60">
        <f t="shared" si="883"/>
        <v>0</v>
      </c>
      <c r="N1495" s="60">
        <f t="shared" si="883"/>
        <v>0</v>
      </c>
      <c r="O1495" s="60">
        <f t="shared" si="883"/>
        <v>0</v>
      </c>
      <c r="P1495" s="60">
        <f t="shared" si="883"/>
        <v>0</v>
      </c>
      <c r="Q1495" s="60">
        <f t="shared" si="883"/>
        <v>0</v>
      </c>
      <c r="R1495" s="60">
        <f t="shared" si="883"/>
        <v>0</v>
      </c>
      <c r="S1495" s="60">
        <f t="shared" si="883"/>
        <v>0</v>
      </c>
      <c r="T1495" s="60">
        <f t="shared" si="883"/>
        <v>0</v>
      </c>
      <c r="U1495" s="60">
        <f t="shared" si="883"/>
        <v>0</v>
      </c>
      <c r="V1495" s="60">
        <f t="shared" si="883"/>
        <v>0</v>
      </c>
      <c r="W1495" s="60">
        <f t="shared" si="883"/>
        <v>0</v>
      </c>
      <c r="X1495" s="60">
        <f t="shared" si="883"/>
        <v>0</v>
      </c>
    </row>
    <row r="1496" spans="2:24" hidden="1">
      <c r="B1496" s="59" t="str">
        <f t="shared" si="869"/>
        <v/>
      </c>
      <c r="C1496" s="59" t="str">
        <f t="shared" si="869"/>
        <v/>
      </c>
      <c r="D1496" s="59" t="str">
        <f t="shared" si="869"/>
        <v/>
      </c>
      <c r="E1496" s="59" t="str">
        <f t="shared" si="869"/>
        <v/>
      </c>
      <c r="F1496" s="59"/>
      <c r="G1496" s="59"/>
      <c r="H1496" s="59"/>
      <c r="I1496" s="59"/>
      <c r="J1496" s="59"/>
      <c r="K1496" s="60">
        <f t="shared" ref="K1496:X1496" si="884">IF(AND($D1496="tak",OR($E1496="nie dotyczy",$E1496="badania przemysłowe"),K$1421&lt;=Koniec_Projekt),ROUND(K405*K363,0),0)</f>
        <v>0</v>
      </c>
      <c r="L1496" s="60">
        <f t="shared" si="884"/>
        <v>0</v>
      </c>
      <c r="M1496" s="60">
        <f t="shared" si="884"/>
        <v>0</v>
      </c>
      <c r="N1496" s="60">
        <f t="shared" si="884"/>
        <v>0</v>
      </c>
      <c r="O1496" s="60">
        <f t="shared" si="884"/>
        <v>0</v>
      </c>
      <c r="P1496" s="60">
        <f t="shared" si="884"/>
        <v>0</v>
      </c>
      <c r="Q1496" s="60">
        <f t="shared" si="884"/>
        <v>0</v>
      </c>
      <c r="R1496" s="60">
        <f t="shared" si="884"/>
        <v>0</v>
      </c>
      <c r="S1496" s="60">
        <f t="shared" si="884"/>
        <v>0</v>
      </c>
      <c r="T1496" s="60">
        <f t="shared" si="884"/>
        <v>0</v>
      </c>
      <c r="U1496" s="60">
        <f t="shared" si="884"/>
        <v>0</v>
      </c>
      <c r="V1496" s="60">
        <f t="shared" si="884"/>
        <v>0</v>
      </c>
      <c r="W1496" s="60">
        <f t="shared" si="884"/>
        <v>0</v>
      </c>
      <c r="X1496" s="60">
        <f t="shared" si="884"/>
        <v>0</v>
      </c>
    </row>
    <row r="1497" spans="2:24" hidden="1">
      <c r="B1497" s="59" t="str">
        <f t="shared" si="869"/>
        <v/>
      </c>
      <c r="C1497" s="59" t="str">
        <f t="shared" si="869"/>
        <v/>
      </c>
      <c r="D1497" s="59" t="str">
        <f t="shared" si="869"/>
        <v/>
      </c>
      <c r="E1497" s="59" t="str">
        <f t="shared" si="869"/>
        <v/>
      </c>
      <c r="F1497" s="59"/>
      <c r="G1497" s="59"/>
      <c r="H1497" s="59"/>
      <c r="I1497" s="59"/>
      <c r="J1497" s="59"/>
      <c r="K1497" s="60">
        <f t="shared" ref="K1497:X1497" si="885">IF(AND($D1497="tak",OR($E1497="nie dotyczy",$E1497="badania przemysłowe"),K$1421&lt;=Koniec_Projekt),ROUND(K406*K364,0),0)</f>
        <v>0</v>
      </c>
      <c r="L1497" s="60">
        <f t="shared" si="885"/>
        <v>0</v>
      </c>
      <c r="M1497" s="60">
        <f t="shared" si="885"/>
        <v>0</v>
      </c>
      <c r="N1497" s="60">
        <f t="shared" si="885"/>
        <v>0</v>
      </c>
      <c r="O1497" s="60">
        <f t="shared" si="885"/>
        <v>0</v>
      </c>
      <c r="P1497" s="60">
        <f t="shared" si="885"/>
        <v>0</v>
      </c>
      <c r="Q1497" s="60">
        <f t="shared" si="885"/>
        <v>0</v>
      </c>
      <c r="R1497" s="60">
        <f t="shared" si="885"/>
        <v>0</v>
      </c>
      <c r="S1497" s="60">
        <f t="shared" si="885"/>
        <v>0</v>
      </c>
      <c r="T1497" s="60">
        <f t="shared" si="885"/>
        <v>0</v>
      </c>
      <c r="U1497" s="60">
        <f t="shared" si="885"/>
        <v>0</v>
      </c>
      <c r="V1497" s="60">
        <f t="shared" si="885"/>
        <v>0</v>
      </c>
      <c r="W1497" s="60">
        <f t="shared" si="885"/>
        <v>0</v>
      </c>
      <c r="X1497" s="60">
        <f t="shared" si="885"/>
        <v>0</v>
      </c>
    </row>
    <row r="1498" spans="2:24" hidden="1">
      <c r="B1498" s="59" t="str">
        <f t="shared" si="869"/>
        <v/>
      </c>
      <c r="C1498" s="59" t="str">
        <f t="shared" si="869"/>
        <v/>
      </c>
      <c r="D1498" s="59" t="str">
        <f t="shared" si="869"/>
        <v/>
      </c>
      <c r="E1498" s="59" t="str">
        <f t="shared" si="869"/>
        <v/>
      </c>
      <c r="F1498" s="59"/>
      <c r="G1498" s="59"/>
      <c r="H1498" s="59"/>
      <c r="I1498" s="59"/>
      <c r="J1498" s="59"/>
      <c r="K1498" s="60">
        <f t="shared" ref="K1498:X1498" si="886">IF(AND($D1498="tak",OR($E1498="nie dotyczy",$E1498="badania przemysłowe"),K$1421&lt;=Koniec_Projekt),ROUND(K407*K365,0),0)</f>
        <v>0</v>
      </c>
      <c r="L1498" s="60">
        <f t="shared" si="886"/>
        <v>0</v>
      </c>
      <c r="M1498" s="60">
        <f t="shared" si="886"/>
        <v>0</v>
      </c>
      <c r="N1498" s="60">
        <f t="shared" si="886"/>
        <v>0</v>
      </c>
      <c r="O1498" s="60">
        <f t="shared" si="886"/>
        <v>0</v>
      </c>
      <c r="P1498" s="60">
        <f t="shared" si="886"/>
        <v>0</v>
      </c>
      <c r="Q1498" s="60">
        <f t="shared" si="886"/>
        <v>0</v>
      </c>
      <c r="R1498" s="60">
        <f t="shared" si="886"/>
        <v>0</v>
      </c>
      <c r="S1498" s="60">
        <f t="shared" si="886"/>
        <v>0</v>
      </c>
      <c r="T1498" s="60">
        <f t="shared" si="886"/>
        <v>0</v>
      </c>
      <c r="U1498" s="60">
        <f t="shared" si="886"/>
        <v>0</v>
      </c>
      <c r="V1498" s="60">
        <f t="shared" si="886"/>
        <v>0</v>
      </c>
      <c r="W1498" s="60">
        <f t="shared" si="886"/>
        <v>0</v>
      </c>
      <c r="X1498" s="60">
        <f t="shared" si="886"/>
        <v>0</v>
      </c>
    </row>
    <row r="1499" spans="2:24" hidden="1">
      <c r="B1499" s="59" t="str">
        <f t="shared" si="869"/>
        <v/>
      </c>
      <c r="C1499" s="59" t="str">
        <f t="shared" si="869"/>
        <v/>
      </c>
      <c r="D1499" s="59" t="str">
        <f t="shared" si="869"/>
        <v/>
      </c>
      <c r="E1499" s="59" t="str">
        <f t="shared" si="869"/>
        <v/>
      </c>
      <c r="F1499" s="59"/>
      <c r="G1499" s="59"/>
      <c r="H1499" s="59"/>
      <c r="I1499" s="59"/>
      <c r="J1499" s="59"/>
      <c r="K1499" s="60">
        <f t="shared" ref="K1499:X1499" si="887">IF(AND($D1499="tak",OR($E1499="nie dotyczy",$E1499="badania przemysłowe"),K$1421&lt;=Koniec_Projekt),ROUND(K408*K366,0),0)</f>
        <v>0</v>
      </c>
      <c r="L1499" s="60">
        <f t="shared" si="887"/>
        <v>0</v>
      </c>
      <c r="M1499" s="60">
        <f t="shared" si="887"/>
        <v>0</v>
      </c>
      <c r="N1499" s="60">
        <f t="shared" si="887"/>
        <v>0</v>
      </c>
      <c r="O1499" s="60">
        <f t="shared" si="887"/>
        <v>0</v>
      </c>
      <c r="P1499" s="60">
        <f t="shared" si="887"/>
        <v>0</v>
      </c>
      <c r="Q1499" s="60">
        <f t="shared" si="887"/>
        <v>0</v>
      </c>
      <c r="R1499" s="60">
        <f t="shared" si="887"/>
        <v>0</v>
      </c>
      <c r="S1499" s="60">
        <f t="shared" si="887"/>
        <v>0</v>
      </c>
      <c r="T1499" s="60">
        <f t="shared" si="887"/>
        <v>0</v>
      </c>
      <c r="U1499" s="60">
        <f t="shared" si="887"/>
        <v>0</v>
      </c>
      <c r="V1499" s="60">
        <f t="shared" si="887"/>
        <v>0</v>
      </c>
      <c r="W1499" s="60">
        <f t="shared" si="887"/>
        <v>0</v>
      </c>
      <c r="X1499" s="60">
        <f t="shared" si="887"/>
        <v>0</v>
      </c>
    </row>
    <row r="1500" spans="2:24" hidden="1">
      <c r="B1500" s="59" t="str">
        <f t="shared" si="869"/>
        <v/>
      </c>
      <c r="C1500" s="59" t="str">
        <f t="shared" si="869"/>
        <v/>
      </c>
      <c r="D1500" s="59" t="str">
        <f t="shared" si="869"/>
        <v/>
      </c>
      <c r="E1500" s="59" t="str">
        <f t="shared" si="869"/>
        <v/>
      </c>
      <c r="F1500" s="59"/>
      <c r="G1500" s="59"/>
      <c r="H1500" s="59"/>
      <c r="I1500" s="59"/>
      <c r="J1500" s="59"/>
      <c r="K1500" s="60">
        <f t="shared" ref="K1500:X1500" si="888">IF(AND($D1500="tak",OR($E1500="nie dotyczy",$E1500="badania przemysłowe"),K$1421&lt;=Koniec_Projekt),ROUND(K409*K367,0),0)</f>
        <v>0</v>
      </c>
      <c r="L1500" s="60">
        <f t="shared" si="888"/>
        <v>0</v>
      </c>
      <c r="M1500" s="60">
        <f t="shared" si="888"/>
        <v>0</v>
      </c>
      <c r="N1500" s="60">
        <f t="shared" si="888"/>
        <v>0</v>
      </c>
      <c r="O1500" s="60">
        <f t="shared" si="888"/>
        <v>0</v>
      </c>
      <c r="P1500" s="60">
        <f t="shared" si="888"/>
        <v>0</v>
      </c>
      <c r="Q1500" s="60">
        <f t="shared" si="888"/>
        <v>0</v>
      </c>
      <c r="R1500" s="60">
        <f t="shared" si="888"/>
        <v>0</v>
      </c>
      <c r="S1500" s="60">
        <f t="shared" si="888"/>
        <v>0</v>
      </c>
      <c r="T1500" s="60">
        <f t="shared" si="888"/>
        <v>0</v>
      </c>
      <c r="U1500" s="60">
        <f t="shared" si="888"/>
        <v>0</v>
      </c>
      <c r="V1500" s="60">
        <f t="shared" si="888"/>
        <v>0</v>
      </c>
      <c r="W1500" s="60">
        <f t="shared" si="888"/>
        <v>0</v>
      </c>
      <c r="X1500" s="60">
        <f t="shared" si="888"/>
        <v>0</v>
      </c>
    </row>
    <row r="1501" spans="2:24" hidden="1">
      <c r="B1501" s="59" t="str">
        <f t="shared" si="869"/>
        <v/>
      </c>
      <c r="C1501" s="59" t="str">
        <f t="shared" si="869"/>
        <v/>
      </c>
      <c r="D1501" s="59" t="str">
        <f t="shared" si="869"/>
        <v/>
      </c>
      <c r="E1501" s="59" t="str">
        <f t="shared" si="869"/>
        <v/>
      </c>
      <c r="F1501" s="59"/>
      <c r="G1501" s="59"/>
      <c r="H1501" s="59"/>
      <c r="I1501" s="59"/>
      <c r="J1501" s="59"/>
      <c r="K1501" s="60">
        <f t="shared" ref="K1501:X1501" si="889">IF(AND($D1501="tak",OR($E1501="nie dotyczy",$E1501="badania przemysłowe"),K$1421&lt;=Koniec_Projekt),ROUND(K410*K368,0),0)</f>
        <v>0</v>
      </c>
      <c r="L1501" s="60">
        <f t="shared" si="889"/>
        <v>0</v>
      </c>
      <c r="M1501" s="60">
        <f t="shared" si="889"/>
        <v>0</v>
      </c>
      <c r="N1501" s="60">
        <f t="shared" si="889"/>
        <v>0</v>
      </c>
      <c r="O1501" s="60">
        <f t="shared" si="889"/>
        <v>0</v>
      </c>
      <c r="P1501" s="60">
        <f t="shared" si="889"/>
        <v>0</v>
      </c>
      <c r="Q1501" s="60">
        <f t="shared" si="889"/>
        <v>0</v>
      </c>
      <c r="R1501" s="60">
        <f t="shared" si="889"/>
        <v>0</v>
      </c>
      <c r="S1501" s="60">
        <f t="shared" si="889"/>
        <v>0</v>
      </c>
      <c r="T1501" s="60">
        <f t="shared" si="889"/>
        <v>0</v>
      </c>
      <c r="U1501" s="60">
        <f t="shared" si="889"/>
        <v>0</v>
      </c>
      <c r="V1501" s="60">
        <f t="shared" si="889"/>
        <v>0</v>
      </c>
      <c r="W1501" s="60">
        <f t="shared" si="889"/>
        <v>0</v>
      </c>
      <c r="X1501" s="60">
        <f t="shared" si="889"/>
        <v>0</v>
      </c>
    </row>
    <row r="1502" spans="2:24" hidden="1">
      <c r="B1502" s="59" t="str">
        <f t="shared" ref="B1502:E1521" si="890">IF(ISBLANK(B1262),"",B1262)</f>
        <v/>
      </c>
      <c r="C1502" s="59" t="str">
        <f t="shared" si="890"/>
        <v/>
      </c>
      <c r="D1502" s="59" t="str">
        <f t="shared" si="890"/>
        <v/>
      </c>
      <c r="E1502" s="59" t="str">
        <f t="shared" si="890"/>
        <v/>
      </c>
      <c r="F1502" s="59"/>
      <c r="G1502" s="59"/>
      <c r="H1502" s="59"/>
      <c r="I1502" s="59"/>
      <c r="J1502" s="59"/>
      <c r="K1502" s="60">
        <f t="shared" ref="K1502:X1502" si="891">IF(AND($D1502="tak",OR($E1502="nie dotyczy",$E1502="badania przemysłowe"),K$1421&lt;=Koniec_Projekt),ROUND(K411*K369,0),0)</f>
        <v>0</v>
      </c>
      <c r="L1502" s="60">
        <f t="shared" si="891"/>
        <v>0</v>
      </c>
      <c r="M1502" s="60">
        <f t="shared" si="891"/>
        <v>0</v>
      </c>
      <c r="N1502" s="60">
        <f t="shared" si="891"/>
        <v>0</v>
      </c>
      <c r="O1502" s="60">
        <f t="shared" si="891"/>
        <v>0</v>
      </c>
      <c r="P1502" s="60">
        <f t="shared" si="891"/>
        <v>0</v>
      </c>
      <c r="Q1502" s="60">
        <f t="shared" si="891"/>
        <v>0</v>
      </c>
      <c r="R1502" s="60">
        <f t="shared" si="891"/>
        <v>0</v>
      </c>
      <c r="S1502" s="60">
        <f t="shared" si="891"/>
        <v>0</v>
      </c>
      <c r="T1502" s="60">
        <f t="shared" si="891"/>
        <v>0</v>
      </c>
      <c r="U1502" s="60">
        <f t="shared" si="891"/>
        <v>0</v>
      </c>
      <c r="V1502" s="60">
        <f t="shared" si="891"/>
        <v>0</v>
      </c>
      <c r="W1502" s="60">
        <f t="shared" si="891"/>
        <v>0</v>
      </c>
      <c r="X1502" s="60">
        <f t="shared" si="891"/>
        <v>0</v>
      </c>
    </row>
    <row r="1503" spans="2:24" hidden="1">
      <c r="B1503" s="59" t="str">
        <f t="shared" si="890"/>
        <v/>
      </c>
      <c r="C1503" s="59" t="str">
        <f t="shared" si="890"/>
        <v/>
      </c>
      <c r="D1503" s="59" t="str">
        <f t="shared" si="890"/>
        <v/>
      </c>
      <c r="E1503" s="59" t="str">
        <f t="shared" si="890"/>
        <v/>
      </c>
      <c r="F1503" s="59"/>
      <c r="G1503" s="59"/>
      <c r="H1503" s="59"/>
      <c r="I1503" s="59"/>
      <c r="J1503" s="59"/>
      <c r="K1503" s="60">
        <f t="shared" ref="K1503:X1503" si="892">IF(AND($D1503="tak",OR($E1503="nie dotyczy",$E1503="badania przemysłowe"),K$1421&lt;=Koniec_Projekt),ROUND(K412*K370,0),0)</f>
        <v>0</v>
      </c>
      <c r="L1503" s="60">
        <f t="shared" si="892"/>
        <v>0</v>
      </c>
      <c r="M1503" s="60">
        <f t="shared" si="892"/>
        <v>0</v>
      </c>
      <c r="N1503" s="60">
        <f t="shared" si="892"/>
        <v>0</v>
      </c>
      <c r="O1503" s="60">
        <f t="shared" si="892"/>
        <v>0</v>
      </c>
      <c r="P1503" s="60">
        <f t="shared" si="892"/>
        <v>0</v>
      </c>
      <c r="Q1503" s="60">
        <f t="shared" si="892"/>
        <v>0</v>
      </c>
      <c r="R1503" s="60">
        <f t="shared" si="892"/>
        <v>0</v>
      </c>
      <c r="S1503" s="60">
        <f t="shared" si="892"/>
        <v>0</v>
      </c>
      <c r="T1503" s="60">
        <f t="shared" si="892"/>
        <v>0</v>
      </c>
      <c r="U1503" s="60">
        <f t="shared" si="892"/>
        <v>0</v>
      </c>
      <c r="V1503" s="60">
        <f t="shared" si="892"/>
        <v>0</v>
      </c>
      <c r="W1503" s="60">
        <f t="shared" si="892"/>
        <v>0</v>
      </c>
      <c r="X1503" s="60">
        <f t="shared" si="892"/>
        <v>0</v>
      </c>
    </row>
    <row r="1504" spans="2:24" hidden="1">
      <c r="B1504" s="59" t="str">
        <f t="shared" si="890"/>
        <v/>
      </c>
      <c r="C1504" s="59" t="str">
        <f t="shared" si="890"/>
        <v/>
      </c>
      <c r="D1504" s="59" t="str">
        <f t="shared" si="890"/>
        <v/>
      </c>
      <c r="E1504" s="59" t="str">
        <f t="shared" si="890"/>
        <v/>
      </c>
      <c r="F1504" s="59"/>
      <c r="G1504" s="59"/>
      <c r="H1504" s="59"/>
      <c r="I1504" s="59"/>
      <c r="J1504" s="59"/>
      <c r="K1504" s="60">
        <f t="shared" ref="K1504:X1504" si="893">IF(AND($D1504="tak",OR($E1504="nie dotyczy",$E1504="badania przemysłowe"),K$1421&lt;=Koniec_Projekt),ROUND(K413*K371,0),0)</f>
        <v>0</v>
      </c>
      <c r="L1504" s="60">
        <f t="shared" si="893"/>
        <v>0</v>
      </c>
      <c r="M1504" s="60">
        <f t="shared" si="893"/>
        <v>0</v>
      </c>
      <c r="N1504" s="60">
        <f t="shared" si="893"/>
        <v>0</v>
      </c>
      <c r="O1504" s="60">
        <f t="shared" si="893"/>
        <v>0</v>
      </c>
      <c r="P1504" s="60">
        <f t="shared" si="893"/>
        <v>0</v>
      </c>
      <c r="Q1504" s="60">
        <f t="shared" si="893"/>
        <v>0</v>
      </c>
      <c r="R1504" s="60">
        <f t="shared" si="893"/>
        <v>0</v>
      </c>
      <c r="S1504" s="60">
        <f t="shared" si="893"/>
        <v>0</v>
      </c>
      <c r="T1504" s="60">
        <f t="shared" si="893"/>
        <v>0</v>
      </c>
      <c r="U1504" s="60">
        <f t="shared" si="893"/>
        <v>0</v>
      </c>
      <c r="V1504" s="60">
        <f t="shared" si="893"/>
        <v>0</v>
      </c>
      <c r="W1504" s="60">
        <f t="shared" si="893"/>
        <v>0</v>
      </c>
      <c r="X1504" s="60">
        <f t="shared" si="893"/>
        <v>0</v>
      </c>
    </row>
    <row r="1505" spans="2:24" hidden="1">
      <c r="B1505" s="59" t="str">
        <f t="shared" si="890"/>
        <v/>
      </c>
      <c r="C1505" s="59" t="str">
        <f t="shared" si="890"/>
        <v/>
      </c>
      <c r="D1505" s="59" t="str">
        <f t="shared" si="890"/>
        <v/>
      </c>
      <c r="E1505" s="59" t="str">
        <f t="shared" si="890"/>
        <v/>
      </c>
      <c r="F1505" s="59"/>
      <c r="G1505" s="59"/>
      <c r="H1505" s="59"/>
      <c r="I1505" s="59"/>
      <c r="J1505" s="59"/>
      <c r="K1505" s="60">
        <f t="shared" ref="K1505:X1505" si="894">IF(AND($D1505="tak",OR($E1505="nie dotyczy",$E1505="badania przemysłowe"),K$1421&lt;=Koniec_Projekt),ROUND(K414*K372,0),0)</f>
        <v>0</v>
      </c>
      <c r="L1505" s="60">
        <f t="shared" si="894"/>
        <v>0</v>
      </c>
      <c r="M1505" s="60">
        <f t="shared" si="894"/>
        <v>0</v>
      </c>
      <c r="N1505" s="60">
        <f t="shared" si="894"/>
        <v>0</v>
      </c>
      <c r="O1505" s="60">
        <f t="shared" si="894"/>
        <v>0</v>
      </c>
      <c r="P1505" s="60">
        <f t="shared" si="894"/>
        <v>0</v>
      </c>
      <c r="Q1505" s="60">
        <f t="shared" si="894"/>
        <v>0</v>
      </c>
      <c r="R1505" s="60">
        <f t="shared" si="894"/>
        <v>0</v>
      </c>
      <c r="S1505" s="60">
        <f t="shared" si="894"/>
        <v>0</v>
      </c>
      <c r="T1505" s="60">
        <f t="shared" si="894"/>
        <v>0</v>
      </c>
      <c r="U1505" s="60">
        <f t="shared" si="894"/>
        <v>0</v>
      </c>
      <c r="V1505" s="60">
        <f t="shared" si="894"/>
        <v>0</v>
      </c>
      <c r="W1505" s="60">
        <f t="shared" si="894"/>
        <v>0</v>
      </c>
      <c r="X1505" s="60">
        <f t="shared" si="894"/>
        <v>0</v>
      </c>
    </row>
    <row r="1506" spans="2:24" hidden="1">
      <c r="B1506" s="59" t="str">
        <f t="shared" si="890"/>
        <v/>
      </c>
      <c r="C1506" s="59" t="str">
        <f t="shared" si="890"/>
        <v/>
      </c>
      <c r="D1506" s="59" t="str">
        <f t="shared" si="890"/>
        <v/>
      </c>
      <c r="E1506" s="59" t="str">
        <f t="shared" si="890"/>
        <v/>
      </c>
      <c r="F1506" s="59"/>
      <c r="G1506" s="59"/>
      <c r="H1506" s="59"/>
      <c r="I1506" s="59"/>
      <c r="J1506" s="59"/>
      <c r="K1506" s="60">
        <f t="shared" ref="K1506:X1506" si="895">IF(AND($D1506="tak",OR($E1506="nie dotyczy",$E1506="badania przemysłowe"),K$1421&lt;=Koniec_Projekt),ROUND(K415*K373,0),0)</f>
        <v>0</v>
      </c>
      <c r="L1506" s="60">
        <f t="shared" si="895"/>
        <v>0</v>
      </c>
      <c r="M1506" s="60">
        <f t="shared" si="895"/>
        <v>0</v>
      </c>
      <c r="N1506" s="60">
        <f t="shared" si="895"/>
        <v>0</v>
      </c>
      <c r="O1506" s="60">
        <f t="shared" si="895"/>
        <v>0</v>
      </c>
      <c r="P1506" s="60">
        <f t="shared" si="895"/>
        <v>0</v>
      </c>
      <c r="Q1506" s="60">
        <f t="shared" si="895"/>
        <v>0</v>
      </c>
      <c r="R1506" s="60">
        <f t="shared" si="895"/>
        <v>0</v>
      </c>
      <c r="S1506" s="60">
        <f t="shared" si="895"/>
        <v>0</v>
      </c>
      <c r="T1506" s="60">
        <f t="shared" si="895"/>
        <v>0</v>
      </c>
      <c r="U1506" s="60">
        <f t="shared" si="895"/>
        <v>0</v>
      </c>
      <c r="V1506" s="60">
        <f t="shared" si="895"/>
        <v>0</v>
      </c>
      <c r="W1506" s="60">
        <f t="shared" si="895"/>
        <v>0</v>
      </c>
      <c r="X1506" s="60">
        <f t="shared" si="895"/>
        <v>0</v>
      </c>
    </row>
    <row r="1507" spans="2:24" hidden="1">
      <c r="B1507" s="59" t="str">
        <f t="shared" si="890"/>
        <v/>
      </c>
      <c r="C1507" s="59" t="str">
        <f t="shared" si="890"/>
        <v/>
      </c>
      <c r="D1507" s="59" t="str">
        <f t="shared" si="890"/>
        <v/>
      </c>
      <c r="E1507" s="59" t="str">
        <f t="shared" si="890"/>
        <v/>
      </c>
      <c r="F1507" s="59"/>
      <c r="G1507" s="59"/>
      <c r="H1507" s="59"/>
      <c r="I1507" s="59"/>
      <c r="J1507" s="59"/>
      <c r="K1507" s="60">
        <f t="shared" ref="K1507:X1507" si="896">IF(AND($D1507="tak",OR($E1507="nie dotyczy",$E1507="badania przemysłowe"),K$1421&lt;=Koniec_Projekt),ROUND(K416*K374,0),0)</f>
        <v>0</v>
      </c>
      <c r="L1507" s="60">
        <f t="shared" si="896"/>
        <v>0</v>
      </c>
      <c r="M1507" s="60">
        <f t="shared" si="896"/>
        <v>0</v>
      </c>
      <c r="N1507" s="60">
        <f t="shared" si="896"/>
        <v>0</v>
      </c>
      <c r="O1507" s="60">
        <f t="shared" si="896"/>
        <v>0</v>
      </c>
      <c r="P1507" s="60">
        <f t="shared" si="896"/>
        <v>0</v>
      </c>
      <c r="Q1507" s="60">
        <f t="shared" si="896"/>
        <v>0</v>
      </c>
      <c r="R1507" s="60">
        <f t="shared" si="896"/>
        <v>0</v>
      </c>
      <c r="S1507" s="60">
        <f t="shared" si="896"/>
        <v>0</v>
      </c>
      <c r="T1507" s="60">
        <f t="shared" si="896"/>
        <v>0</v>
      </c>
      <c r="U1507" s="60">
        <f t="shared" si="896"/>
        <v>0</v>
      </c>
      <c r="V1507" s="60">
        <f t="shared" si="896"/>
        <v>0</v>
      </c>
      <c r="W1507" s="60">
        <f t="shared" si="896"/>
        <v>0</v>
      </c>
      <c r="X1507" s="60">
        <f t="shared" si="896"/>
        <v>0</v>
      </c>
    </row>
    <row r="1508" spans="2:24" hidden="1">
      <c r="B1508" s="59" t="str">
        <f t="shared" si="890"/>
        <v/>
      </c>
      <c r="C1508" s="59" t="str">
        <f t="shared" si="890"/>
        <v/>
      </c>
      <c r="D1508" s="59" t="str">
        <f t="shared" si="890"/>
        <v/>
      </c>
      <c r="E1508" s="59" t="str">
        <f t="shared" si="890"/>
        <v/>
      </c>
      <c r="F1508" s="59"/>
      <c r="G1508" s="59"/>
      <c r="H1508" s="59"/>
      <c r="I1508" s="59"/>
      <c r="J1508" s="59"/>
      <c r="K1508" s="60">
        <f t="shared" ref="K1508:X1508" si="897">IF(AND($D1508="tak",OR($E1508="nie dotyczy",$E1508="badania przemysłowe"),K$1421&lt;=Koniec_Projekt),ROUND(K417*K375,0),0)</f>
        <v>0</v>
      </c>
      <c r="L1508" s="60">
        <f t="shared" si="897"/>
        <v>0</v>
      </c>
      <c r="M1508" s="60">
        <f t="shared" si="897"/>
        <v>0</v>
      </c>
      <c r="N1508" s="60">
        <f t="shared" si="897"/>
        <v>0</v>
      </c>
      <c r="O1508" s="60">
        <f t="shared" si="897"/>
        <v>0</v>
      </c>
      <c r="P1508" s="60">
        <f t="shared" si="897"/>
        <v>0</v>
      </c>
      <c r="Q1508" s="60">
        <f t="shared" si="897"/>
        <v>0</v>
      </c>
      <c r="R1508" s="60">
        <f t="shared" si="897"/>
        <v>0</v>
      </c>
      <c r="S1508" s="60">
        <f t="shared" si="897"/>
        <v>0</v>
      </c>
      <c r="T1508" s="60">
        <f t="shared" si="897"/>
        <v>0</v>
      </c>
      <c r="U1508" s="60">
        <f t="shared" si="897"/>
        <v>0</v>
      </c>
      <c r="V1508" s="60">
        <f t="shared" si="897"/>
        <v>0</v>
      </c>
      <c r="W1508" s="60">
        <f t="shared" si="897"/>
        <v>0</v>
      </c>
      <c r="X1508" s="60">
        <f t="shared" si="897"/>
        <v>0</v>
      </c>
    </row>
    <row r="1509" spans="2:24" hidden="1">
      <c r="B1509" s="59" t="str">
        <f t="shared" si="890"/>
        <v/>
      </c>
      <c r="C1509" s="59" t="str">
        <f t="shared" si="890"/>
        <v/>
      </c>
      <c r="D1509" s="59" t="str">
        <f t="shared" si="890"/>
        <v/>
      </c>
      <c r="E1509" s="59" t="str">
        <f t="shared" si="890"/>
        <v/>
      </c>
      <c r="F1509" s="59"/>
      <c r="G1509" s="59"/>
      <c r="H1509" s="59"/>
      <c r="I1509" s="59"/>
      <c r="J1509" s="59"/>
      <c r="K1509" s="60">
        <f t="shared" ref="K1509:X1509" si="898">IF(AND($D1509="tak",OR($E1509="nie dotyczy",$E1509="badania przemysłowe"),K$1421&lt;=Koniec_Projekt),ROUND(K418*K376,0),0)</f>
        <v>0</v>
      </c>
      <c r="L1509" s="60">
        <f t="shared" si="898"/>
        <v>0</v>
      </c>
      <c r="M1509" s="60">
        <f t="shared" si="898"/>
        <v>0</v>
      </c>
      <c r="N1509" s="60">
        <f t="shared" si="898"/>
        <v>0</v>
      </c>
      <c r="O1509" s="60">
        <f t="shared" si="898"/>
        <v>0</v>
      </c>
      <c r="P1509" s="60">
        <f t="shared" si="898"/>
        <v>0</v>
      </c>
      <c r="Q1509" s="60">
        <f t="shared" si="898"/>
        <v>0</v>
      </c>
      <c r="R1509" s="60">
        <f t="shared" si="898"/>
        <v>0</v>
      </c>
      <c r="S1509" s="60">
        <f t="shared" si="898"/>
        <v>0</v>
      </c>
      <c r="T1509" s="60">
        <f t="shared" si="898"/>
        <v>0</v>
      </c>
      <c r="U1509" s="60">
        <f t="shared" si="898"/>
        <v>0</v>
      </c>
      <c r="V1509" s="60">
        <f t="shared" si="898"/>
        <v>0</v>
      </c>
      <c r="W1509" s="60">
        <f t="shared" si="898"/>
        <v>0</v>
      </c>
      <c r="X1509" s="60">
        <f t="shared" si="898"/>
        <v>0</v>
      </c>
    </row>
    <row r="1510" spans="2:24" hidden="1">
      <c r="B1510" s="59" t="str">
        <f t="shared" si="890"/>
        <v/>
      </c>
      <c r="C1510" s="59" t="str">
        <f t="shared" si="890"/>
        <v/>
      </c>
      <c r="D1510" s="59" t="str">
        <f t="shared" si="890"/>
        <v/>
      </c>
      <c r="E1510" s="59" t="str">
        <f t="shared" si="890"/>
        <v/>
      </c>
      <c r="F1510" s="59"/>
      <c r="G1510" s="59"/>
      <c r="H1510" s="59"/>
      <c r="I1510" s="59"/>
      <c r="J1510" s="59"/>
      <c r="K1510" s="60">
        <f t="shared" ref="K1510:X1510" si="899">IF(AND($D1510="tak",OR($E1510="nie dotyczy",$E1510="badania przemysłowe"),K$1421&lt;=Koniec_Projekt),ROUND(K419*K377,0),0)</f>
        <v>0</v>
      </c>
      <c r="L1510" s="60">
        <f t="shared" si="899"/>
        <v>0</v>
      </c>
      <c r="M1510" s="60">
        <f t="shared" si="899"/>
        <v>0</v>
      </c>
      <c r="N1510" s="60">
        <f t="shared" si="899"/>
        <v>0</v>
      </c>
      <c r="O1510" s="60">
        <f t="shared" si="899"/>
        <v>0</v>
      </c>
      <c r="P1510" s="60">
        <f t="shared" si="899"/>
        <v>0</v>
      </c>
      <c r="Q1510" s="60">
        <f t="shared" si="899"/>
        <v>0</v>
      </c>
      <c r="R1510" s="60">
        <f t="shared" si="899"/>
        <v>0</v>
      </c>
      <c r="S1510" s="60">
        <f t="shared" si="899"/>
        <v>0</v>
      </c>
      <c r="T1510" s="60">
        <f t="shared" si="899"/>
        <v>0</v>
      </c>
      <c r="U1510" s="60">
        <f t="shared" si="899"/>
        <v>0</v>
      </c>
      <c r="V1510" s="60">
        <f t="shared" si="899"/>
        <v>0</v>
      </c>
      <c r="W1510" s="60">
        <f t="shared" si="899"/>
        <v>0</v>
      </c>
      <c r="X1510" s="60">
        <f t="shared" si="899"/>
        <v>0</v>
      </c>
    </row>
    <row r="1511" spans="2:24" hidden="1">
      <c r="B1511" s="59" t="str">
        <f t="shared" si="890"/>
        <v/>
      </c>
      <c r="C1511" s="59" t="str">
        <f t="shared" si="890"/>
        <v/>
      </c>
      <c r="D1511" s="59" t="str">
        <f t="shared" si="890"/>
        <v/>
      </c>
      <c r="E1511" s="59" t="str">
        <f t="shared" si="890"/>
        <v/>
      </c>
      <c r="F1511" s="59"/>
      <c r="G1511" s="59"/>
      <c r="H1511" s="59"/>
      <c r="I1511" s="59"/>
      <c r="J1511" s="59"/>
      <c r="K1511" s="60">
        <f t="shared" ref="K1511:X1511" si="900">IF(AND($D1511="tak",OR($E1511="nie dotyczy",$E1511="badania przemysłowe"),K$1421&lt;=Koniec_Projekt),ROUND(K420*K378,0),0)</f>
        <v>0</v>
      </c>
      <c r="L1511" s="60">
        <f t="shared" si="900"/>
        <v>0</v>
      </c>
      <c r="M1511" s="60">
        <f t="shared" si="900"/>
        <v>0</v>
      </c>
      <c r="N1511" s="60">
        <f t="shared" si="900"/>
        <v>0</v>
      </c>
      <c r="O1511" s="60">
        <f t="shared" si="900"/>
        <v>0</v>
      </c>
      <c r="P1511" s="60">
        <f t="shared" si="900"/>
        <v>0</v>
      </c>
      <c r="Q1511" s="60">
        <f t="shared" si="900"/>
        <v>0</v>
      </c>
      <c r="R1511" s="60">
        <f t="shared" si="900"/>
        <v>0</v>
      </c>
      <c r="S1511" s="60">
        <f t="shared" si="900"/>
        <v>0</v>
      </c>
      <c r="T1511" s="60">
        <f t="shared" si="900"/>
        <v>0</v>
      </c>
      <c r="U1511" s="60">
        <f t="shared" si="900"/>
        <v>0</v>
      </c>
      <c r="V1511" s="60">
        <f t="shared" si="900"/>
        <v>0</v>
      </c>
      <c r="W1511" s="60">
        <f t="shared" si="900"/>
        <v>0</v>
      </c>
      <c r="X1511" s="60">
        <f t="shared" si="900"/>
        <v>0</v>
      </c>
    </row>
    <row r="1512" spans="2:24" hidden="1">
      <c r="B1512" s="59" t="str">
        <f t="shared" si="890"/>
        <v/>
      </c>
      <c r="C1512" s="59" t="str">
        <f t="shared" si="890"/>
        <v/>
      </c>
      <c r="D1512" s="59" t="str">
        <f t="shared" si="890"/>
        <v/>
      </c>
      <c r="E1512" s="59" t="str">
        <f t="shared" si="890"/>
        <v/>
      </c>
      <c r="F1512" s="59"/>
      <c r="G1512" s="59"/>
      <c r="H1512" s="59"/>
      <c r="I1512" s="59"/>
      <c r="J1512" s="59"/>
      <c r="K1512" s="60">
        <f t="shared" ref="K1512:X1512" si="901">IF(AND($D1512="tak",OR($E1512="nie dotyczy",$E1512="badania przemysłowe"),K$1421&lt;=Koniec_Projekt),ROUND(K421*K379,0),0)</f>
        <v>0</v>
      </c>
      <c r="L1512" s="60">
        <f t="shared" si="901"/>
        <v>0</v>
      </c>
      <c r="M1512" s="60">
        <f t="shared" si="901"/>
        <v>0</v>
      </c>
      <c r="N1512" s="60">
        <f t="shared" si="901"/>
        <v>0</v>
      </c>
      <c r="O1512" s="60">
        <f t="shared" si="901"/>
        <v>0</v>
      </c>
      <c r="P1512" s="60">
        <f t="shared" si="901"/>
        <v>0</v>
      </c>
      <c r="Q1512" s="60">
        <f t="shared" si="901"/>
        <v>0</v>
      </c>
      <c r="R1512" s="60">
        <f t="shared" si="901"/>
        <v>0</v>
      </c>
      <c r="S1512" s="60">
        <f t="shared" si="901"/>
        <v>0</v>
      </c>
      <c r="T1512" s="60">
        <f t="shared" si="901"/>
        <v>0</v>
      </c>
      <c r="U1512" s="60">
        <f t="shared" si="901"/>
        <v>0</v>
      </c>
      <c r="V1512" s="60">
        <f t="shared" si="901"/>
        <v>0</v>
      </c>
      <c r="W1512" s="60">
        <f t="shared" si="901"/>
        <v>0</v>
      </c>
      <c r="X1512" s="60">
        <f t="shared" si="901"/>
        <v>0</v>
      </c>
    </row>
    <row r="1513" spans="2:24" hidden="1">
      <c r="B1513" s="59" t="str">
        <f t="shared" si="890"/>
        <v/>
      </c>
      <c r="C1513" s="59" t="str">
        <f t="shared" si="890"/>
        <v/>
      </c>
      <c r="D1513" s="59" t="str">
        <f t="shared" si="890"/>
        <v/>
      </c>
      <c r="E1513" s="59" t="str">
        <f t="shared" si="890"/>
        <v/>
      </c>
      <c r="F1513" s="59"/>
      <c r="G1513" s="59"/>
      <c r="H1513" s="59"/>
      <c r="I1513" s="59"/>
      <c r="J1513" s="59"/>
      <c r="K1513" s="60">
        <f t="shared" ref="K1513:X1513" si="902">IF(AND($D1513="tak",OR($E1513="nie dotyczy",$E1513="badania przemysłowe"),K$1421&lt;=Koniec_Projekt),ROUND(K422*K380,0),0)</f>
        <v>0</v>
      </c>
      <c r="L1513" s="60">
        <f t="shared" si="902"/>
        <v>0</v>
      </c>
      <c r="M1513" s="60">
        <f t="shared" si="902"/>
        <v>0</v>
      </c>
      <c r="N1513" s="60">
        <f t="shared" si="902"/>
        <v>0</v>
      </c>
      <c r="O1513" s="60">
        <f t="shared" si="902"/>
        <v>0</v>
      </c>
      <c r="P1513" s="60">
        <f t="shared" si="902"/>
        <v>0</v>
      </c>
      <c r="Q1513" s="60">
        <f t="shared" si="902"/>
        <v>0</v>
      </c>
      <c r="R1513" s="60">
        <f t="shared" si="902"/>
        <v>0</v>
      </c>
      <c r="S1513" s="60">
        <f t="shared" si="902"/>
        <v>0</v>
      </c>
      <c r="T1513" s="60">
        <f t="shared" si="902"/>
        <v>0</v>
      </c>
      <c r="U1513" s="60">
        <f t="shared" si="902"/>
        <v>0</v>
      </c>
      <c r="V1513" s="60">
        <f t="shared" si="902"/>
        <v>0</v>
      </c>
      <c r="W1513" s="60">
        <f t="shared" si="902"/>
        <v>0</v>
      </c>
      <c r="X1513" s="60">
        <f t="shared" si="902"/>
        <v>0</v>
      </c>
    </row>
    <row r="1514" spans="2:24" hidden="1">
      <c r="B1514" s="59" t="str">
        <f t="shared" si="890"/>
        <v/>
      </c>
      <c r="C1514" s="59" t="str">
        <f t="shared" si="890"/>
        <v/>
      </c>
      <c r="D1514" s="59" t="str">
        <f t="shared" si="890"/>
        <v/>
      </c>
      <c r="E1514" s="59" t="str">
        <f t="shared" si="890"/>
        <v/>
      </c>
      <c r="F1514" s="59"/>
      <c r="G1514" s="59"/>
      <c r="H1514" s="59"/>
      <c r="I1514" s="59"/>
      <c r="J1514" s="59"/>
      <c r="K1514" s="60">
        <f t="shared" ref="K1514:X1514" si="903">IF(AND($D1514="tak",OR($E1514="nie dotyczy",$E1514="badania przemysłowe"),K$1421&lt;=Koniec_Projekt),ROUND(K423*K381,0),0)</f>
        <v>0</v>
      </c>
      <c r="L1514" s="60">
        <f t="shared" si="903"/>
        <v>0</v>
      </c>
      <c r="M1514" s="60">
        <f t="shared" si="903"/>
        <v>0</v>
      </c>
      <c r="N1514" s="60">
        <f t="shared" si="903"/>
        <v>0</v>
      </c>
      <c r="O1514" s="60">
        <f t="shared" si="903"/>
        <v>0</v>
      </c>
      <c r="P1514" s="60">
        <f t="shared" si="903"/>
        <v>0</v>
      </c>
      <c r="Q1514" s="60">
        <f t="shared" si="903"/>
        <v>0</v>
      </c>
      <c r="R1514" s="60">
        <f t="shared" si="903"/>
        <v>0</v>
      </c>
      <c r="S1514" s="60">
        <f t="shared" si="903"/>
        <v>0</v>
      </c>
      <c r="T1514" s="60">
        <f t="shared" si="903"/>
        <v>0</v>
      </c>
      <c r="U1514" s="60">
        <f t="shared" si="903"/>
        <v>0</v>
      </c>
      <c r="V1514" s="60">
        <f t="shared" si="903"/>
        <v>0</v>
      </c>
      <c r="W1514" s="60">
        <f t="shared" si="903"/>
        <v>0</v>
      </c>
      <c r="X1514" s="60">
        <f t="shared" si="903"/>
        <v>0</v>
      </c>
    </row>
    <row r="1515" spans="2:24" hidden="1">
      <c r="B1515" s="59" t="str">
        <f t="shared" si="890"/>
        <v/>
      </c>
      <c r="C1515" s="59" t="str">
        <f t="shared" si="890"/>
        <v/>
      </c>
      <c r="D1515" s="59" t="str">
        <f t="shared" si="890"/>
        <v/>
      </c>
      <c r="E1515" s="59" t="str">
        <f t="shared" si="890"/>
        <v/>
      </c>
      <c r="F1515" s="59"/>
      <c r="G1515" s="59"/>
      <c r="H1515" s="59"/>
      <c r="I1515" s="59"/>
      <c r="J1515" s="59"/>
      <c r="K1515" s="60">
        <f t="shared" ref="K1515:X1515" si="904">IF(AND($D1515="tak",OR($E1515="nie dotyczy",$E1515="badania przemysłowe"),K$1421&lt;=Koniec_Projekt),ROUND(K424*K382,0),0)</f>
        <v>0</v>
      </c>
      <c r="L1515" s="60">
        <f t="shared" si="904"/>
        <v>0</v>
      </c>
      <c r="M1515" s="60">
        <f t="shared" si="904"/>
        <v>0</v>
      </c>
      <c r="N1515" s="60">
        <f t="shared" si="904"/>
        <v>0</v>
      </c>
      <c r="O1515" s="60">
        <f t="shared" si="904"/>
        <v>0</v>
      </c>
      <c r="P1515" s="60">
        <f t="shared" si="904"/>
        <v>0</v>
      </c>
      <c r="Q1515" s="60">
        <f t="shared" si="904"/>
        <v>0</v>
      </c>
      <c r="R1515" s="60">
        <f t="shared" si="904"/>
        <v>0</v>
      </c>
      <c r="S1515" s="60">
        <f t="shared" si="904"/>
        <v>0</v>
      </c>
      <c r="T1515" s="60">
        <f t="shared" si="904"/>
        <v>0</v>
      </c>
      <c r="U1515" s="60">
        <f t="shared" si="904"/>
        <v>0</v>
      </c>
      <c r="V1515" s="60">
        <f t="shared" si="904"/>
        <v>0</v>
      </c>
      <c r="W1515" s="60">
        <f t="shared" si="904"/>
        <v>0</v>
      </c>
      <c r="X1515" s="60">
        <f t="shared" si="904"/>
        <v>0</v>
      </c>
    </row>
    <row r="1516" spans="2:24" hidden="1">
      <c r="B1516" s="59" t="str">
        <f t="shared" si="890"/>
        <v/>
      </c>
      <c r="C1516" s="59" t="str">
        <f t="shared" si="890"/>
        <v/>
      </c>
      <c r="D1516" s="59" t="str">
        <f t="shared" si="890"/>
        <v/>
      </c>
      <c r="E1516" s="59" t="str">
        <f t="shared" si="890"/>
        <v/>
      </c>
      <c r="F1516" s="59"/>
      <c r="G1516" s="59"/>
      <c r="H1516" s="59"/>
      <c r="I1516" s="59"/>
      <c r="J1516" s="59"/>
      <c r="K1516" s="60">
        <f t="shared" ref="K1516:X1516" si="905">IF(AND($D1516="tak",OR($E1516="nie dotyczy",$E1516="badania przemysłowe"),K$1421&lt;=Koniec_Projekt),ROUND(K425*K383,0),0)</f>
        <v>0</v>
      </c>
      <c r="L1516" s="60">
        <f t="shared" si="905"/>
        <v>0</v>
      </c>
      <c r="M1516" s="60">
        <f t="shared" si="905"/>
        <v>0</v>
      </c>
      <c r="N1516" s="60">
        <f t="shared" si="905"/>
        <v>0</v>
      </c>
      <c r="O1516" s="60">
        <f t="shared" si="905"/>
        <v>0</v>
      </c>
      <c r="P1516" s="60">
        <f t="shared" si="905"/>
        <v>0</v>
      </c>
      <c r="Q1516" s="60">
        <f t="shared" si="905"/>
        <v>0</v>
      </c>
      <c r="R1516" s="60">
        <f t="shared" si="905"/>
        <v>0</v>
      </c>
      <c r="S1516" s="60">
        <f t="shared" si="905"/>
        <v>0</v>
      </c>
      <c r="T1516" s="60">
        <f t="shared" si="905"/>
        <v>0</v>
      </c>
      <c r="U1516" s="60">
        <f t="shared" si="905"/>
        <v>0</v>
      </c>
      <c r="V1516" s="60">
        <f t="shared" si="905"/>
        <v>0</v>
      </c>
      <c r="W1516" s="60">
        <f t="shared" si="905"/>
        <v>0</v>
      </c>
      <c r="X1516" s="60">
        <f t="shared" si="905"/>
        <v>0</v>
      </c>
    </row>
    <row r="1517" spans="2:24" hidden="1">
      <c r="B1517" s="59" t="str">
        <f t="shared" si="890"/>
        <v/>
      </c>
      <c r="C1517" s="59" t="str">
        <f t="shared" si="890"/>
        <v/>
      </c>
      <c r="D1517" s="59" t="str">
        <f t="shared" si="890"/>
        <v/>
      </c>
      <c r="E1517" s="59" t="str">
        <f t="shared" si="890"/>
        <v/>
      </c>
      <c r="F1517" s="59"/>
      <c r="G1517" s="59"/>
      <c r="H1517" s="59"/>
      <c r="I1517" s="59"/>
      <c r="J1517" s="59"/>
      <c r="K1517" s="60">
        <f t="shared" ref="K1517:X1517" si="906">IF(AND($D1517="tak",OR($E1517="nie dotyczy",$E1517="badania przemysłowe"),K$1421&lt;=Koniec_Projekt),ROUND(K426*K384,0),0)</f>
        <v>0</v>
      </c>
      <c r="L1517" s="60">
        <f t="shared" si="906"/>
        <v>0</v>
      </c>
      <c r="M1517" s="60">
        <f t="shared" si="906"/>
        <v>0</v>
      </c>
      <c r="N1517" s="60">
        <f t="shared" si="906"/>
        <v>0</v>
      </c>
      <c r="O1517" s="60">
        <f t="shared" si="906"/>
        <v>0</v>
      </c>
      <c r="P1517" s="60">
        <f t="shared" si="906"/>
        <v>0</v>
      </c>
      <c r="Q1517" s="60">
        <f t="shared" si="906"/>
        <v>0</v>
      </c>
      <c r="R1517" s="60">
        <f t="shared" si="906"/>
        <v>0</v>
      </c>
      <c r="S1517" s="60">
        <f t="shared" si="906"/>
        <v>0</v>
      </c>
      <c r="T1517" s="60">
        <f t="shared" si="906"/>
        <v>0</v>
      </c>
      <c r="U1517" s="60">
        <f t="shared" si="906"/>
        <v>0</v>
      </c>
      <c r="V1517" s="60">
        <f t="shared" si="906"/>
        <v>0</v>
      </c>
      <c r="W1517" s="60">
        <f t="shared" si="906"/>
        <v>0</v>
      </c>
      <c r="X1517" s="60">
        <f t="shared" si="906"/>
        <v>0</v>
      </c>
    </row>
    <row r="1518" spans="2:24" hidden="1">
      <c r="B1518" s="59" t="str">
        <f t="shared" si="890"/>
        <v/>
      </c>
      <c r="C1518" s="59" t="str">
        <f t="shared" si="890"/>
        <v/>
      </c>
      <c r="D1518" s="59" t="str">
        <f t="shared" si="890"/>
        <v/>
      </c>
      <c r="E1518" s="59" t="str">
        <f t="shared" si="890"/>
        <v/>
      </c>
      <c r="F1518" s="59"/>
      <c r="G1518" s="59"/>
      <c r="H1518" s="59"/>
      <c r="I1518" s="59"/>
      <c r="J1518" s="59"/>
      <c r="K1518" s="60">
        <f t="shared" ref="K1518:X1518" si="907">IF(AND($D1518="tak",OR($E1518="nie dotyczy",$E1518="badania przemysłowe"),K$1421&lt;=Koniec_Projekt),ROUND(K427*K385,0),0)</f>
        <v>0</v>
      </c>
      <c r="L1518" s="60">
        <f t="shared" si="907"/>
        <v>0</v>
      </c>
      <c r="M1518" s="60">
        <f t="shared" si="907"/>
        <v>0</v>
      </c>
      <c r="N1518" s="60">
        <f t="shared" si="907"/>
        <v>0</v>
      </c>
      <c r="O1518" s="60">
        <f t="shared" si="907"/>
        <v>0</v>
      </c>
      <c r="P1518" s="60">
        <f t="shared" si="907"/>
        <v>0</v>
      </c>
      <c r="Q1518" s="60">
        <f t="shared" si="907"/>
        <v>0</v>
      </c>
      <c r="R1518" s="60">
        <f t="shared" si="907"/>
        <v>0</v>
      </c>
      <c r="S1518" s="60">
        <f t="shared" si="907"/>
        <v>0</v>
      </c>
      <c r="T1518" s="60">
        <f t="shared" si="907"/>
        <v>0</v>
      </c>
      <c r="U1518" s="60">
        <f t="shared" si="907"/>
        <v>0</v>
      </c>
      <c r="V1518" s="60">
        <f t="shared" si="907"/>
        <v>0</v>
      </c>
      <c r="W1518" s="60">
        <f t="shared" si="907"/>
        <v>0</v>
      </c>
      <c r="X1518" s="60">
        <f t="shared" si="907"/>
        <v>0</v>
      </c>
    </row>
    <row r="1519" spans="2:24" hidden="1">
      <c r="B1519" s="59" t="str">
        <f t="shared" si="890"/>
        <v/>
      </c>
      <c r="C1519" s="59" t="str">
        <f t="shared" si="890"/>
        <v/>
      </c>
      <c r="D1519" s="59" t="str">
        <f t="shared" si="890"/>
        <v/>
      </c>
      <c r="E1519" s="59" t="str">
        <f t="shared" si="890"/>
        <v/>
      </c>
      <c r="F1519" s="59"/>
      <c r="G1519" s="59"/>
      <c r="H1519" s="59"/>
      <c r="I1519" s="59"/>
      <c r="J1519" s="59"/>
      <c r="K1519" s="60">
        <f t="shared" ref="K1519:X1519" si="908">IF(AND($D1519="tak",OR($E1519="nie dotyczy",$E1519="badania przemysłowe"),K$1421&lt;=Koniec_Projekt),ROUND(K428*K386,0),0)</f>
        <v>0</v>
      </c>
      <c r="L1519" s="60">
        <f t="shared" si="908"/>
        <v>0</v>
      </c>
      <c r="M1519" s="60">
        <f t="shared" si="908"/>
        <v>0</v>
      </c>
      <c r="N1519" s="60">
        <f t="shared" si="908"/>
        <v>0</v>
      </c>
      <c r="O1519" s="60">
        <f t="shared" si="908"/>
        <v>0</v>
      </c>
      <c r="P1519" s="60">
        <f t="shared" si="908"/>
        <v>0</v>
      </c>
      <c r="Q1519" s="60">
        <f t="shared" si="908"/>
        <v>0</v>
      </c>
      <c r="R1519" s="60">
        <f t="shared" si="908"/>
        <v>0</v>
      </c>
      <c r="S1519" s="60">
        <f t="shared" si="908"/>
        <v>0</v>
      </c>
      <c r="T1519" s="60">
        <f t="shared" si="908"/>
        <v>0</v>
      </c>
      <c r="U1519" s="60">
        <f t="shared" si="908"/>
        <v>0</v>
      </c>
      <c r="V1519" s="60">
        <f t="shared" si="908"/>
        <v>0</v>
      </c>
      <c r="W1519" s="60">
        <f t="shared" si="908"/>
        <v>0</v>
      </c>
      <c r="X1519" s="60">
        <f t="shared" si="908"/>
        <v>0</v>
      </c>
    </row>
    <row r="1520" spans="2:24" hidden="1">
      <c r="B1520" s="59" t="str">
        <f t="shared" si="890"/>
        <v/>
      </c>
      <c r="C1520" s="59" t="str">
        <f t="shared" si="890"/>
        <v/>
      </c>
      <c r="D1520" s="59" t="str">
        <f t="shared" si="890"/>
        <v/>
      </c>
      <c r="E1520" s="59" t="str">
        <f t="shared" si="890"/>
        <v/>
      </c>
      <c r="F1520" s="59"/>
      <c r="G1520" s="59"/>
      <c r="H1520" s="59"/>
      <c r="I1520" s="59"/>
      <c r="J1520" s="59"/>
      <c r="K1520" s="60">
        <f t="shared" ref="K1520:X1520" si="909">IF(AND($D1520="tak",OR($E1520="nie dotyczy",$E1520="badania przemysłowe"),K$1421&lt;=Koniec_Projekt),ROUND(K429*K387,0),0)</f>
        <v>0</v>
      </c>
      <c r="L1520" s="60">
        <f t="shared" si="909"/>
        <v>0</v>
      </c>
      <c r="M1520" s="60">
        <f t="shared" si="909"/>
        <v>0</v>
      </c>
      <c r="N1520" s="60">
        <f t="shared" si="909"/>
        <v>0</v>
      </c>
      <c r="O1520" s="60">
        <f t="shared" si="909"/>
        <v>0</v>
      </c>
      <c r="P1520" s="60">
        <f t="shared" si="909"/>
        <v>0</v>
      </c>
      <c r="Q1520" s="60">
        <f t="shared" si="909"/>
        <v>0</v>
      </c>
      <c r="R1520" s="60">
        <f t="shared" si="909"/>
        <v>0</v>
      </c>
      <c r="S1520" s="60">
        <f t="shared" si="909"/>
        <v>0</v>
      </c>
      <c r="T1520" s="60">
        <f t="shared" si="909"/>
        <v>0</v>
      </c>
      <c r="U1520" s="60">
        <f t="shared" si="909"/>
        <v>0</v>
      </c>
      <c r="V1520" s="60">
        <f t="shared" si="909"/>
        <v>0</v>
      </c>
      <c r="W1520" s="60">
        <f t="shared" si="909"/>
        <v>0</v>
      </c>
      <c r="X1520" s="60">
        <f t="shared" si="909"/>
        <v>0</v>
      </c>
    </row>
    <row r="1521" spans="2:24" hidden="1">
      <c r="B1521" s="59" t="str">
        <f t="shared" si="890"/>
        <v/>
      </c>
      <c r="C1521" s="59" t="str">
        <f t="shared" si="890"/>
        <v/>
      </c>
      <c r="D1521" s="59" t="str">
        <f t="shared" si="890"/>
        <v/>
      </c>
      <c r="E1521" s="59" t="str">
        <f t="shared" si="890"/>
        <v/>
      </c>
      <c r="F1521" s="59"/>
      <c r="G1521" s="59"/>
      <c r="H1521" s="59"/>
      <c r="I1521" s="59"/>
      <c r="J1521" s="59"/>
      <c r="K1521" s="60">
        <f t="shared" ref="K1521:X1521" si="910">IF(AND($D1521="tak",OR($E1521="nie dotyczy",$E1521="badania przemysłowe"),K$1421&lt;=Koniec_Projekt),ROUND(K430*K388,0),0)</f>
        <v>0</v>
      </c>
      <c r="L1521" s="60">
        <f t="shared" si="910"/>
        <v>0</v>
      </c>
      <c r="M1521" s="60">
        <f t="shared" si="910"/>
        <v>0</v>
      </c>
      <c r="N1521" s="60">
        <f t="shared" si="910"/>
        <v>0</v>
      </c>
      <c r="O1521" s="60">
        <f t="shared" si="910"/>
        <v>0</v>
      </c>
      <c r="P1521" s="60">
        <f t="shared" si="910"/>
        <v>0</v>
      </c>
      <c r="Q1521" s="60">
        <f t="shared" si="910"/>
        <v>0</v>
      </c>
      <c r="R1521" s="60">
        <f t="shared" si="910"/>
        <v>0</v>
      </c>
      <c r="S1521" s="60">
        <f t="shared" si="910"/>
        <v>0</v>
      </c>
      <c r="T1521" s="60">
        <f t="shared" si="910"/>
        <v>0</v>
      </c>
      <c r="U1521" s="60">
        <f t="shared" si="910"/>
        <v>0</v>
      </c>
      <c r="V1521" s="60">
        <f t="shared" si="910"/>
        <v>0</v>
      </c>
      <c r="W1521" s="60">
        <f t="shared" si="910"/>
        <v>0</v>
      </c>
      <c r="X1521" s="60">
        <f t="shared" si="910"/>
        <v>0</v>
      </c>
    </row>
    <row r="1522" spans="2:24" hidden="1">
      <c r="B1522" s="20" t="s">
        <v>319</v>
      </c>
      <c r="C1522" s="20"/>
      <c r="D1522" s="80"/>
      <c r="E1522" s="21"/>
      <c r="F1522" s="21"/>
      <c r="G1522" s="21"/>
      <c r="H1522" s="21"/>
      <c r="I1522" s="21"/>
      <c r="J1522" s="21"/>
      <c r="K1522" s="61">
        <f t="shared" ref="K1522:X1522" si="911">ROUND(SUM(K1482:K1521),0)</f>
        <v>0</v>
      </c>
      <c r="L1522" s="61">
        <f t="shared" si="911"/>
        <v>0</v>
      </c>
      <c r="M1522" s="61">
        <f t="shared" si="911"/>
        <v>0</v>
      </c>
      <c r="N1522" s="61">
        <f t="shared" si="911"/>
        <v>0</v>
      </c>
      <c r="O1522" s="61">
        <f t="shared" si="911"/>
        <v>0</v>
      </c>
      <c r="P1522" s="61">
        <f t="shared" si="911"/>
        <v>0</v>
      </c>
      <c r="Q1522" s="61">
        <f t="shared" si="911"/>
        <v>0</v>
      </c>
      <c r="R1522" s="61">
        <f t="shared" si="911"/>
        <v>0</v>
      </c>
      <c r="S1522" s="61">
        <f t="shared" si="911"/>
        <v>0</v>
      </c>
      <c r="T1522" s="61">
        <f t="shared" si="911"/>
        <v>0</v>
      </c>
      <c r="U1522" s="61">
        <f t="shared" si="911"/>
        <v>0</v>
      </c>
      <c r="V1522" s="61">
        <f t="shared" si="911"/>
        <v>0</v>
      </c>
      <c r="W1522" s="61">
        <f t="shared" si="911"/>
        <v>0</v>
      </c>
      <c r="X1522" s="61">
        <f t="shared" si="911"/>
        <v>0</v>
      </c>
    </row>
    <row r="1523" spans="2:24" hidden="1">
      <c r="B1523" s="21"/>
      <c r="C1523" s="21"/>
      <c r="D1523" s="80"/>
      <c r="E1523" s="21"/>
      <c r="F1523" s="21"/>
      <c r="G1523" s="21"/>
      <c r="H1523" s="21"/>
      <c r="I1523" s="21"/>
      <c r="J1523" s="21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</row>
    <row r="1524" spans="2:24" hidden="1">
      <c r="B1524" s="21"/>
      <c r="C1524" s="21"/>
      <c r="D1524" s="80"/>
      <c r="E1524" s="21"/>
      <c r="F1524" s="21"/>
      <c r="G1524" s="21"/>
      <c r="H1524" s="21"/>
      <c r="I1524" s="21"/>
      <c r="J1524" s="21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</row>
    <row r="1525" spans="2:24" hidden="1">
      <c r="B1525" s="20" t="s">
        <v>320</v>
      </c>
      <c r="C1525" s="20"/>
      <c r="D1525" s="80"/>
      <c r="E1525" s="21"/>
      <c r="F1525" s="21"/>
      <c r="G1525" s="21"/>
      <c r="H1525" s="21"/>
      <c r="I1525" s="21"/>
      <c r="J1525" s="21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</row>
    <row r="1526" spans="2:24" hidden="1">
      <c r="B1526" s="20" t="s">
        <v>321</v>
      </c>
      <c r="C1526" s="20"/>
      <c r="D1526" s="82" t="s">
        <v>336</v>
      </c>
      <c r="E1526" s="20" t="s">
        <v>337</v>
      </c>
      <c r="F1526" s="21"/>
      <c r="G1526" s="21"/>
      <c r="H1526" s="21"/>
      <c r="I1526" s="21"/>
      <c r="J1526" s="21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</row>
    <row r="1527" spans="2:24" hidden="1">
      <c r="B1527" s="59" t="str">
        <f t="shared" ref="B1527:E1546" si="912">IF(ISBLANK(B1287),"",B1287)</f>
        <v/>
      </c>
      <c r="C1527" s="59" t="str">
        <f t="shared" si="912"/>
        <v/>
      </c>
      <c r="D1527" s="59" t="str">
        <f t="shared" si="912"/>
        <v/>
      </c>
      <c r="E1527" s="59" t="str">
        <f t="shared" si="912"/>
        <v/>
      </c>
      <c r="F1527" s="59"/>
      <c r="G1527" s="59"/>
      <c r="H1527" s="59"/>
      <c r="I1527" s="59"/>
      <c r="J1527" s="59"/>
      <c r="K1527" s="60">
        <f t="shared" ref="K1527:X1527" si="913">IF(AND($D1527="tak",OR($E1527="nie dotyczy",$E1527="badania przemysłowe"),K$1421&lt;=Koniec_Projekt),ROUND(K436*K478,0),0)</f>
        <v>0</v>
      </c>
      <c r="L1527" s="60">
        <f t="shared" si="913"/>
        <v>0</v>
      </c>
      <c r="M1527" s="60">
        <f t="shared" si="913"/>
        <v>0</v>
      </c>
      <c r="N1527" s="60">
        <f t="shared" si="913"/>
        <v>0</v>
      </c>
      <c r="O1527" s="60">
        <f t="shared" si="913"/>
        <v>0</v>
      </c>
      <c r="P1527" s="60">
        <f t="shared" si="913"/>
        <v>0</v>
      </c>
      <c r="Q1527" s="60">
        <f t="shared" si="913"/>
        <v>0</v>
      </c>
      <c r="R1527" s="60">
        <f t="shared" si="913"/>
        <v>0</v>
      </c>
      <c r="S1527" s="60">
        <f t="shared" si="913"/>
        <v>0</v>
      </c>
      <c r="T1527" s="60">
        <f t="shared" si="913"/>
        <v>0</v>
      </c>
      <c r="U1527" s="60">
        <f t="shared" si="913"/>
        <v>0</v>
      </c>
      <c r="V1527" s="60">
        <f t="shared" si="913"/>
        <v>0</v>
      </c>
      <c r="W1527" s="60">
        <f t="shared" si="913"/>
        <v>0</v>
      </c>
      <c r="X1527" s="60">
        <f t="shared" si="913"/>
        <v>0</v>
      </c>
    </row>
    <row r="1528" spans="2:24" hidden="1">
      <c r="B1528" s="59" t="str">
        <f t="shared" si="912"/>
        <v/>
      </c>
      <c r="C1528" s="59" t="str">
        <f t="shared" si="912"/>
        <v/>
      </c>
      <c r="D1528" s="59" t="str">
        <f t="shared" si="912"/>
        <v/>
      </c>
      <c r="E1528" s="59" t="str">
        <f t="shared" si="912"/>
        <v/>
      </c>
      <c r="F1528" s="59"/>
      <c r="G1528" s="59"/>
      <c r="H1528" s="59"/>
      <c r="I1528" s="59"/>
      <c r="J1528" s="59"/>
      <c r="K1528" s="60">
        <f t="shared" ref="K1528:X1528" si="914">IF(AND($D1528="tak",OR($E1528="nie dotyczy",$E1528="badania przemysłowe"),K$1421&lt;=Koniec_Projekt),ROUND(K437*K479,0),0)</f>
        <v>0</v>
      </c>
      <c r="L1528" s="60">
        <f t="shared" si="914"/>
        <v>0</v>
      </c>
      <c r="M1528" s="60">
        <f t="shared" si="914"/>
        <v>0</v>
      </c>
      <c r="N1528" s="60">
        <f t="shared" si="914"/>
        <v>0</v>
      </c>
      <c r="O1528" s="60">
        <f t="shared" si="914"/>
        <v>0</v>
      </c>
      <c r="P1528" s="60">
        <f t="shared" si="914"/>
        <v>0</v>
      </c>
      <c r="Q1528" s="60">
        <f t="shared" si="914"/>
        <v>0</v>
      </c>
      <c r="R1528" s="60">
        <f t="shared" si="914"/>
        <v>0</v>
      </c>
      <c r="S1528" s="60">
        <f t="shared" si="914"/>
        <v>0</v>
      </c>
      <c r="T1528" s="60">
        <f t="shared" si="914"/>
        <v>0</v>
      </c>
      <c r="U1528" s="60">
        <f t="shared" si="914"/>
        <v>0</v>
      </c>
      <c r="V1528" s="60">
        <f t="shared" si="914"/>
        <v>0</v>
      </c>
      <c r="W1528" s="60">
        <f t="shared" si="914"/>
        <v>0</v>
      </c>
      <c r="X1528" s="60">
        <f t="shared" si="914"/>
        <v>0</v>
      </c>
    </row>
    <row r="1529" spans="2:24" hidden="1">
      <c r="B1529" s="59" t="str">
        <f t="shared" si="912"/>
        <v/>
      </c>
      <c r="C1529" s="59" t="str">
        <f t="shared" si="912"/>
        <v/>
      </c>
      <c r="D1529" s="59" t="str">
        <f t="shared" si="912"/>
        <v/>
      </c>
      <c r="E1529" s="59" t="str">
        <f t="shared" si="912"/>
        <v/>
      </c>
      <c r="F1529" s="59"/>
      <c r="G1529" s="59"/>
      <c r="H1529" s="59"/>
      <c r="I1529" s="59"/>
      <c r="J1529" s="59"/>
      <c r="K1529" s="60">
        <f t="shared" ref="K1529:X1529" si="915">IF(AND($D1529="tak",OR($E1529="nie dotyczy",$E1529="badania przemysłowe"),K$1421&lt;=Koniec_Projekt),ROUND(K438*K480,0),0)</f>
        <v>0</v>
      </c>
      <c r="L1529" s="60">
        <f t="shared" si="915"/>
        <v>0</v>
      </c>
      <c r="M1529" s="60">
        <f t="shared" si="915"/>
        <v>0</v>
      </c>
      <c r="N1529" s="60">
        <f t="shared" si="915"/>
        <v>0</v>
      </c>
      <c r="O1529" s="60">
        <f t="shared" si="915"/>
        <v>0</v>
      </c>
      <c r="P1529" s="60">
        <f t="shared" si="915"/>
        <v>0</v>
      </c>
      <c r="Q1529" s="60">
        <f t="shared" si="915"/>
        <v>0</v>
      </c>
      <c r="R1529" s="60">
        <f t="shared" si="915"/>
        <v>0</v>
      </c>
      <c r="S1529" s="60">
        <f t="shared" si="915"/>
        <v>0</v>
      </c>
      <c r="T1529" s="60">
        <f t="shared" si="915"/>
        <v>0</v>
      </c>
      <c r="U1529" s="60">
        <f t="shared" si="915"/>
        <v>0</v>
      </c>
      <c r="V1529" s="60">
        <f t="shared" si="915"/>
        <v>0</v>
      </c>
      <c r="W1529" s="60">
        <f t="shared" si="915"/>
        <v>0</v>
      </c>
      <c r="X1529" s="60">
        <f t="shared" si="915"/>
        <v>0</v>
      </c>
    </row>
    <row r="1530" spans="2:24" hidden="1">
      <c r="B1530" s="59" t="str">
        <f t="shared" si="912"/>
        <v/>
      </c>
      <c r="C1530" s="59" t="str">
        <f t="shared" si="912"/>
        <v/>
      </c>
      <c r="D1530" s="59" t="str">
        <f t="shared" si="912"/>
        <v/>
      </c>
      <c r="E1530" s="59" t="str">
        <f t="shared" si="912"/>
        <v/>
      </c>
      <c r="F1530" s="59"/>
      <c r="G1530" s="59"/>
      <c r="H1530" s="59"/>
      <c r="I1530" s="59"/>
      <c r="J1530" s="59"/>
      <c r="K1530" s="60">
        <f t="shared" ref="K1530:X1530" si="916">IF(AND($D1530="tak",OR($E1530="nie dotyczy",$E1530="badania przemysłowe"),K$1421&lt;=Koniec_Projekt),ROUND(K439*K481,0),0)</f>
        <v>0</v>
      </c>
      <c r="L1530" s="60">
        <f t="shared" si="916"/>
        <v>0</v>
      </c>
      <c r="M1530" s="60">
        <f t="shared" si="916"/>
        <v>0</v>
      </c>
      <c r="N1530" s="60">
        <f t="shared" si="916"/>
        <v>0</v>
      </c>
      <c r="O1530" s="60">
        <f t="shared" si="916"/>
        <v>0</v>
      </c>
      <c r="P1530" s="60">
        <f t="shared" si="916"/>
        <v>0</v>
      </c>
      <c r="Q1530" s="60">
        <f t="shared" si="916"/>
        <v>0</v>
      </c>
      <c r="R1530" s="60">
        <f t="shared" si="916"/>
        <v>0</v>
      </c>
      <c r="S1530" s="60">
        <f t="shared" si="916"/>
        <v>0</v>
      </c>
      <c r="T1530" s="60">
        <f t="shared" si="916"/>
        <v>0</v>
      </c>
      <c r="U1530" s="60">
        <f t="shared" si="916"/>
        <v>0</v>
      </c>
      <c r="V1530" s="60">
        <f t="shared" si="916"/>
        <v>0</v>
      </c>
      <c r="W1530" s="60">
        <f t="shared" si="916"/>
        <v>0</v>
      </c>
      <c r="X1530" s="60">
        <f t="shared" si="916"/>
        <v>0</v>
      </c>
    </row>
    <row r="1531" spans="2:24" hidden="1">
      <c r="B1531" s="59" t="str">
        <f t="shared" si="912"/>
        <v/>
      </c>
      <c r="C1531" s="59" t="str">
        <f t="shared" si="912"/>
        <v/>
      </c>
      <c r="D1531" s="59" t="str">
        <f t="shared" si="912"/>
        <v/>
      </c>
      <c r="E1531" s="59" t="str">
        <f t="shared" si="912"/>
        <v/>
      </c>
      <c r="F1531" s="59"/>
      <c r="G1531" s="59"/>
      <c r="H1531" s="59"/>
      <c r="I1531" s="59"/>
      <c r="J1531" s="59"/>
      <c r="K1531" s="60">
        <f t="shared" ref="K1531:X1531" si="917">IF(AND($D1531="tak",OR($E1531="nie dotyczy",$E1531="badania przemysłowe"),K$1421&lt;=Koniec_Projekt),ROUND(K440*K482,0),0)</f>
        <v>0</v>
      </c>
      <c r="L1531" s="60">
        <f t="shared" si="917"/>
        <v>0</v>
      </c>
      <c r="M1531" s="60">
        <f t="shared" si="917"/>
        <v>0</v>
      </c>
      <c r="N1531" s="60">
        <f t="shared" si="917"/>
        <v>0</v>
      </c>
      <c r="O1531" s="60">
        <f t="shared" si="917"/>
        <v>0</v>
      </c>
      <c r="P1531" s="60">
        <f t="shared" si="917"/>
        <v>0</v>
      </c>
      <c r="Q1531" s="60">
        <f t="shared" si="917"/>
        <v>0</v>
      </c>
      <c r="R1531" s="60">
        <f t="shared" si="917"/>
        <v>0</v>
      </c>
      <c r="S1531" s="60">
        <f t="shared" si="917"/>
        <v>0</v>
      </c>
      <c r="T1531" s="60">
        <f t="shared" si="917"/>
        <v>0</v>
      </c>
      <c r="U1531" s="60">
        <f t="shared" si="917"/>
        <v>0</v>
      </c>
      <c r="V1531" s="60">
        <f t="shared" si="917"/>
        <v>0</v>
      </c>
      <c r="W1531" s="60">
        <f t="shared" si="917"/>
        <v>0</v>
      </c>
      <c r="X1531" s="60">
        <f t="shared" si="917"/>
        <v>0</v>
      </c>
    </row>
    <row r="1532" spans="2:24" hidden="1">
      <c r="B1532" s="59" t="str">
        <f t="shared" si="912"/>
        <v/>
      </c>
      <c r="C1532" s="59" t="str">
        <f t="shared" si="912"/>
        <v/>
      </c>
      <c r="D1532" s="59" t="str">
        <f t="shared" si="912"/>
        <v/>
      </c>
      <c r="E1532" s="59" t="str">
        <f t="shared" si="912"/>
        <v/>
      </c>
      <c r="F1532" s="59"/>
      <c r="G1532" s="59"/>
      <c r="H1532" s="59"/>
      <c r="I1532" s="59"/>
      <c r="J1532" s="59"/>
      <c r="K1532" s="60">
        <f t="shared" ref="K1532:X1532" si="918">IF(AND($D1532="tak",OR($E1532="nie dotyczy",$E1532="badania przemysłowe"),K$1421&lt;=Koniec_Projekt),ROUND(K441*K483,0),0)</f>
        <v>0</v>
      </c>
      <c r="L1532" s="60">
        <f t="shared" si="918"/>
        <v>0</v>
      </c>
      <c r="M1532" s="60">
        <f t="shared" si="918"/>
        <v>0</v>
      </c>
      <c r="N1532" s="60">
        <f t="shared" si="918"/>
        <v>0</v>
      </c>
      <c r="O1532" s="60">
        <f t="shared" si="918"/>
        <v>0</v>
      </c>
      <c r="P1532" s="60">
        <f t="shared" si="918"/>
        <v>0</v>
      </c>
      <c r="Q1532" s="60">
        <f t="shared" si="918"/>
        <v>0</v>
      </c>
      <c r="R1532" s="60">
        <f t="shared" si="918"/>
        <v>0</v>
      </c>
      <c r="S1532" s="60">
        <f t="shared" si="918"/>
        <v>0</v>
      </c>
      <c r="T1532" s="60">
        <f t="shared" si="918"/>
        <v>0</v>
      </c>
      <c r="U1532" s="60">
        <f t="shared" si="918"/>
        <v>0</v>
      </c>
      <c r="V1532" s="60">
        <f t="shared" si="918"/>
        <v>0</v>
      </c>
      <c r="W1532" s="60">
        <f t="shared" si="918"/>
        <v>0</v>
      </c>
      <c r="X1532" s="60">
        <f t="shared" si="918"/>
        <v>0</v>
      </c>
    </row>
    <row r="1533" spans="2:24" hidden="1">
      <c r="B1533" s="59" t="str">
        <f t="shared" si="912"/>
        <v/>
      </c>
      <c r="C1533" s="59" t="str">
        <f t="shared" si="912"/>
        <v/>
      </c>
      <c r="D1533" s="59" t="str">
        <f t="shared" si="912"/>
        <v/>
      </c>
      <c r="E1533" s="59" t="str">
        <f t="shared" si="912"/>
        <v/>
      </c>
      <c r="F1533" s="59"/>
      <c r="G1533" s="59"/>
      <c r="H1533" s="59"/>
      <c r="I1533" s="59"/>
      <c r="J1533" s="59"/>
      <c r="K1533" s="60">
        <f t="shared" ref="K1533:X1533" si="919">IF(AND($D1533="tak",OR($E1533="nie dotyczy",$E1533="badania przemysłowe"),K$1421&lt;=Koniec_Projekt),ROUND(K442*K484,0),0)</f>
        <v>0</v>
      </c>
      <c r="L1533" s="60">
        <f t="shared" si="919"/>
        <v>0</v>
      </c>
      <c r="M1533" s="60">
        <f t="shared" si="919"/>
        <v>0</v>
      </c>
      <c r="N1533" s="60">
        <f t="shared" si="919"/>
        <v>0</v>
      </c>
      <c r="O1533" s="60">
        <f t="shared" si="919"/>
        <v>0</v>
      </c>
      <c r="P1533" s="60">
        <f t="shared" si="919"/>
        <v>0</v>
      </c>
      <c r="Q1533" s="60">
        <f t="shared" si="919"/>
        <v>0</v>
      </c>
      <c r="R1533" s="60">
        <f t="shared" si="919"/>
        <v>0</v>
      </c>
      <c r="S1533" s="60">
        <f t="shared" si="919"/>
        <v>0</v>
      </c>
      <c r="T1533" s="60">
        <f t="shared" si="919"/>
        <v>0</v>
      </c>
      <c r="U1533" s="60">
        <f t="shared" si="919"/>
        <v>0</v>
      </c>
      <c r="V1533" s="60">
        <f t="shared" si="919"/>
        <v>0</v>
      </c>
      <c r="W1533" s="60">
        <f t="shared" si="919"/>
        <v>0</v>
      </c>
      <c r="X1533" s="60">
        <f t="shared" si="919"/>
        <v>0</v>
      </c>
    </row>
    <row r="1534" spans="2:24" hidden="1">
      <c r="B1534" s="59" t="str">
        <f t="shared" si="912"/>
        <v/>
      </c>
      <c r="C1534" s="59" t="str">
        <f t="shared" si="912"/>
        <v/>
      </c>
      <c r="D1534" s="59" t="str">
        <f t="shared" si="912"/>
        <v/>
      </c>
      <c r="E1534" s="59" t="str">
        <f t="shared" si="912"/>
        <v/>
      </c>
      <c r="F1534" s="59"/>
      <c r="G1534" s="59"/>
      <c r="H1534" s="59"/>
      <c r="I1534" s="59"/>
      <c r="J1534" s="59"/>
      <c r="K1534" s="60">
        <f t="shared" ref="K1534:X1534" si="920">IF(AND($D1534="tak",OR($E1534="nie dotyczy",$E1534="badania przemysłowe"),K$1421&lt;=Koniec_Projekt),ROUND(K443*K485,0),0)</f>
        <v>0</v>
      </c>
      <c r="L1534" s="60">
        <f t="shared" si="920"/>
        <v>0</v>
      </c>
      <c r="M1534" s="60">
        <f t="shared" si="920"/>
        <v>0</v>
      </c>
      <c r="N1534" s="60">
        <f t="shared" si="920"/>
        <v>0</v>
      </c>
      <c r="O1534" s="60">
        <f t="shared" si="920"/>
        <v>0</v>
      </c>
      <c r="P1534" s="60">
        <f t="shared" si="920"/>
        <v>0</v>
      </c>
      <c r="Q1534" s="60">
        <f t="shared" si="920"/>
        <v>0</v>
      </c>
      <c r="R1534" s="60">
        <f t="shared" si="920"/>
        <v>0</v>
      </c>
      <c r="S1534" s="60">
        <f t="shared" si="920"/>
        <v>0</v>
      </c>
      <c r="T1534" s="60">
        <f t="shared" si="920"/>
        <v>0</v>
      </c>
      <c r="U1534" s="60">
        <f t="shared" si="920"/>
        <v>0</v>
      </c>
      <c r="V1534" s="60">
        <f t="shared" si="920"/>
        <v>0</v>
      </c>
      <c r="W1534" s="60">
        <f t="shared" si="920"/>
        <v>0</v>
      </c>
      <c r="X1534" s="60">
        <f t="shared" si="920"/>
        <v>0</v>
      </c>
    </row>
    <row r="1535" spans="2:24" hidden="1">
      <c r="B1535" s="59" t="str">
        <f t="shared" si="912"/>
        <v/>
      </c>
      <c r="C1535" s="59" t="str">
        <f t="shared" si="912"/>
        <v/>
      </c>
      <c r="D1535" s="59" t="str">
        <f t="shared" si="912"/>
        <v/>
      </c>
      <c r="E1535" s="59" t="str">
        <f t="shared" si="912"/>
        <v/>
      </c>
      <c r="F1535" s="59"/>
      <c r="G1535" s="59"/>
      <c r="H1535" s="59"/>
      <c r="I1535" s="59"/>
      <c r="J1535" s="59"/>
      <c r="K1535" s="60">
        <f t="shared" ref="K1535:X1535" si="921">IF(AND($D1535="tak",OR($E1535="nie dotyczy",$E1535="badania przemysłowe"),K$1421&lt;=Koniec_Projekt),ROUND(K444*K486,0),0)</f>
        <v>0</v>
      </c>
      <c r="L1535" s="60">
        <f t="shared" si="921"/>
        <v>0</v>
      </c>
      <c r="M1535" s="60">
        <f t="shared" si="921"/>
        <v>0</v>
      </c>
      <c r="N1535" s="60">
        <f t="shared" si="921"/>
        <v>0</v>
      </c>
      <c r="O1535" s="60">
        <f t="shared" si="921"/>
        <v>0</v>
      </c>
      <c r="P1535" s="60">
        <f t="shared" si="921"/>
        <v>0</v>
      </c>
      <c r="Q1535" s="60">
        <f t="shared" si="921"/>
        <v>0</v>
      </c>
      <c r="R1535" s="60">
        <f t="shared" si="921"/>
        <v>0</v>
      </c>
      <c r="S1535" s="60">
        <f t="shared" si="921"/>
        <v>0</v>
      </c>
      <c r="T1535" s="60">
        <f t="shared" si="921"/>
        <v>0</v>
      </c>
      <c r="U1535" s="60">
        <f t="shared" si="921"/>
        <v>0</v>
      </c>
      <c r="V1535" s="60">
        <f t="shared" si="921"/>
        <v>0</v>
      </c>
      <c r="W1535" s="60">
        <f t="shared" si="921"/>
        <v>0</v>
      </c>
      <c r="X1535" s="60">
        <f t="shared" si="921"/>
        <v>0</v>
      </c>
    </row>
    <row r="1536" spans="2:24" hidden="1">
      <c r="B1536" s="59" t="str">
        <f t="shared" si="912"/>
        <v/>
      </c>
      <c r="C1536" s="59" t="str">
        <f t="shared" si="912"/>
        <v/>
      </c>
      <c r="D1536" s="59" t="str">
        <f t="shared" si="912"/>
        <v/>
      </c>
      <c r="E1536" s="59" t="str">
        <f t="shared" si="912"/>
        <v/>
      </c>
      <c r="F1536" s="59"/>
      <c r="G1536" s="59"/>
      <c r="H1536" s="59"/>
      <c r="I1536" s="59"/>
      <c r="J1536" s="59"/>
      <c r="K1536" s="60">
        <f t="shared" ref="K1536:X1536" si="922">IF(AND($D1536="tak",OR($E1536="nie dotyczy",$E1536="badania przemysłowe"),K$1421&lt;=Koniec_Projekt),ROUND(K445*K487,0),0)</f>
        <v>0</v>
      </c>
      <c r="L1536" s="60">
        <f t="shared" si="922"/>
        <v>0</v>
      </c>
      <c r="M1536" s="60">
        <f t="shared" si="922"/>
        <v>0</v>
      </c>
      <c r="N1536" s="60">
        <f t="shared" si="922"/>
        <v>0</v>
      </c>
      <c r="O1536" s="60">
        <f t="shared" si="922"/>
        <v>0</v>
      </c>
      <c r="P1536" s="60">
        <f t="shared" si="922"/>
        <v>0</v>
      </c>
      <c r="Q1536" s="60">
        <f t="shared" si="922"/>
        <v>0</v>
      </c>
      <c r="R1536" s="60">
        <f t="shared" si="922"/>
        <v>0</v>
      </c>
      <c r="S1536" s="60">
        <f t="shared" si="922"/>
        <v>0</v>
      </c>
      <c r="T1536" s="60">
        <f t="shared" si="922"/>
        <v>0</v>
      </c>
      <c r="U1536" s="60">
        <f t="shared" si="922"/>
        <v>0</v>
      </c>
      <c r="V1536" s="60">
        <f t="shared" si="922"/>
        <v>0</v>
      </c>
      <c r="W1536" s="60">
        <f t="shared" si="922"/>
        <v>0</v>
      </c>
      <c r="X1536" s="60">
        <f t="shared" si="922"/>
        <v>0</v>
      </c>
    </row>
    <row r="1537" spans="2:24" hidden="1">
      <c r="B1537" s="59" t="str">
        <f t="shared" si="912"/>
        <v/>
      </c>
      <c r="C1537" s="59" t="str">
        <f t="shared" si="912"/>
        <v/>
      </c>
      <c r="D1537" s="59" t="str">
        <f t="shared" si="912"/>
        <v/>
      </c>
      <c r="E1537" s="59" t="str">
        <f t="shared" si="912"/>
        <v/>
      </c>
      <c r="F1537" s="59"/>
      <c r="G1537" s="59"/>
      <c r="H1537" s="59"/>
      <c r="I1537" s="59"/>
      <c r="J1537" s="59"/>
      <c r="K1537" s="60">
        <f t="shared" ref="K1537:X1537" si="923">IF(AND($D1537="tak",OR($E1537="nie dotyczy",$E1537="badania przemysłowe"),K$1421&lt;=Koniec_Projekt),ROUND(K446*K488,0),0)</f>
        <v>0</v>
      </c>
      <c r="L1537" s="60">
        <f t="shared" si="923"/>
        <v>0</v>
      </c>
      <c r="M1537" s="60">
        <f t="shared" si="923"/>
        <v>0</v>
      </c>
      <c r="N1537" s="60">
        <f t="shared" si="923"/>
        <v>0</v>
      </c>
      <c r="O1537" s="60">
        <f t="shared" si="923"/>
        <v>0</v>
      </c>
      <c r="P1537" s="60">
        <f t="shared" si="923"/>
        <v>0</v>
      </c>
      <c r="Q1537" s="60">
        <f t="shared" si="923"/>
        <v>0</v>
      </c>
      <c r="R1537" s="60">
        <f t="shared" si="923"/>
        <v>0</v>
      </c>
      <c r="S1537" s="60">
        <f t="shared" si="923"/>
        <v>0</v>
      </c>
      <c r="T1537" s="60">
        <f t="shared" si="923"/>
        <v>0</v>
      </c>
      <c r="U1537" s="60">
        <f t="shared" si="923"/>
        <v>0</v>
      </c>
      <c r="V1537" s="60">
        <f t="shared" si="923"/>
        <v>0</v>
      </c>
      <c r="W1537" s="60">
        <f t="shared" si="923"/>
        <v>0</v>
      </c>
      <c r="X1537" s="60">
        <f t="shared" si="923"/>
        <v>0</v>
      </c>
    </row>
    <row r="1538" spans="2:24" hidden="1">
      <c r="B1538" s="59" t="str">
        <f t="shared" si="912"/>
        <v/>
      </c>
      <c r="C1538" s="59" t="str">
        <f t="shared" si="912"/>
        <v/>
      </c>
      <c r="D1538" s="59" t="str">
        <f t="shared" si="912"/>
        <v/>
      </c>
      <c r="E1538" s="59" t="str">
        <f t="shared" si="912"/>
        <v/>
      </c>
      <c r="F1538" s="59"/>
      <c r="G1538" s="59"/>
      <c r="H1538" s="59"/>
      <c r="I1538" s="59"/>
      <c r="J1538" s="59"/>
      <c r="K1538" s="60">
        <f t="shared" ref="K1538:X1538" si="924">IF(AND($D1538="tak",OR($E1538="nie dotyczy",$E1538="badania przemysłowe"),K$1421&lt;=Koniec_Projekt),ROUND(K447*K489,0),0)</f>
        <v>0</v>
      </c>
      <c r="L1538" s="60">
        <f t="shared" si="924"/>
        <v>0</v>
      </c>
      <c r="M1538" s="60">
        <f t="shared" si="924"/>
        <v>0</v>
      </c>
      <c r="N1538" s="60">
        <f t="shared" si="924"/>
        <v>0</v>
      </c>
      <c r="O1538" s="60">
        <f t="shared" si="924"/>
        <v>0</v>
      </c>
      <c r="P1538" s="60">
        <f t="shared" si="924"/>
        <v>0</v>
      </c>
      <c r="Q1538" s="60">
        <f t="shared" si="924"/>
        <v>0</v>
      </c>
      <c r="R1538" s="60">
        <f t="shared" si="924"/>
        <v>0</v>
      </c>
      <c r="S1538" s="60">
        <f t="shared" si="924"/>
        <v>0</v>
      </c>
      <c r="T1538" s="60">
        <f t="shared" si="924"/>
        <v>0</v>
      </c>
      <c r="U1538" s="60">
        <f t="shared" si="924"/>
        <v>0</v>
      </c>
      <c r="V1538" s="60">
        <f t="shared" si="924"/>
        <v>0</v>
      </c>
      <c r="W1538" s="60">
        <f t="shared" si="924"/>
        <v>0</v>
      </c>
      <c r="X1538" s="60">
        <f t="shared" si="924"/>
        <v>0</v>
      </c>
    </row>
    <row r="1539" spans="2:24" hidden="1">
      <c r="B1539" s="59" t="str">
        <f t="shared" si="912"/>
        <v/>
      </c>
      <c r="C1539" s="59" t="str">
        <f t="shared" si="912"/>
        <v/>
      </c>
      <c r="D1539" s="59" t="str">
        <f t="shared" si="912"/>
        <v/>
      </c>
      <c r="E1539" s="59" t="str">
        <f t="shared" si="912"/>
        <v/>
      </c>
      <c r="F1539" s="59"/>
      <c r="G1539" s="59"/>
      <c r="H1539" s="59"/>
      <c r="I1539" s="59"/>
      <c r="J1539" s="59"/>
      <c r="K1539" s="60">
        <f t="shared" ref="K1539:X1539" si="925">IF(AND($D1539="tak",OR($E1539="nie dotyczy",$E1539="badania przemysłowe"),K$1421&lt;=Koniec_Projekt),ROUND(K448*K490,0),0)</f>
        <v>0</v>
      </c>
      <c r="L1539" s="60">
        <f t="shared" si="925"/>
        <v>0</v>
      </c>
      <c r="M1539" s="60">
        <f t="shared" si="925"/>
        <v>0</v>
      </c>
      <c r="N1539" s="60">
        <f t="shared" si="925"/>
        <v>0</v>
      </c>
      <c r="O1539" s="60">
        <f t="shared" si="925"/>
        <v>0</v>
      </c>
      <c r="P1539" s="60">
        <f t="shared" si="925"/>
        <v>0</v>
      </c>
      <c r="Q1539" s="60">
        <f t="shared" si="925"/>
        <v>0</v>
      </c>
      <c r="R1539" s="60">
        <f t="shared" si="925"/>
        <v>0</v>
      </c>
      <c r="S1539" s="60">
        <f t="shared" si="925"/>
        <v>0</v>
      </c>
      <c r="T1539" s="60">
        <f t="shared" si="925"/>
        <v>0</v>
      </c>
      <c r="U1539" s="60">
        <f t="shared" si="925"/>
        <v>0</v>
      </c>
      <c r="V1539" s="60">
        <f t="shared" si="925"/>
        <v>0</v>
      </c>
      <c r="W1539" s="60">
        <f t="shared" si="925"/>
        <v>0</v>
      </c>
      <c r="X1539" s="60">
        <f t="shared" si="925"/>
        <v>0</v>
      </c>
    </row>
    <row r="1540" spans="2:24" hidden="1">
      <c r="B1540" s="59" t="str">
        <f t="shared" si="912"/>
        <v/>
      </c>
      <c r="C1540" s="59" t="str">
        <f t="shared" si="912"/>
        <v/>
      </c>
      <c r="D1540" s="59" t="str">
        <f t="shared" si="912"/>
        <v/>
      </c>
      <c r="E1540" s="59" t="str">
        <f t="shared" si="912"/>
        <v/>
      </c>
      <c r="F1540" s="59"/>
      <c r="G1540" s="59"/>
      <c r="H1540" s="59"/>
      <c r="I1540" s="59"/>
      <c r="J1540" s="59"/>
      <c r="K1540" s="60">
        <f t="shared" ref="K1540:X1540" si="926">IF(AND($D1540="tak",OR($E1540="nie dotyczy",$E1540="badania przemysłowe"),K$1421&lt;=Koniec_Projekt),ROUND(K449*K491,0),0)</f>
        <v>0</v>
      </c>
      <c r="L1540" s="60">
        <f t="shared" si="926"/>
        <v>0</v>
      </c>
      <c r="M1540" s="60">
        <f t="shared" si="926"/>
        <v>0</v>
      </c>
      <c r="N1540" s="60">
        <f t="shared" si="926"/>
        <v>0</v>
      </c>
      <c r="O1540" s="60">
        <f t="shared" si="926"/>
        <v>0</v>
      </c>
      <c r="P1540" s="60">
        <f t="shared" si="926"/>
        <v>0</v>
      </c>
      <c r="Q1540" s="60">
        <f t="shared" si="926"/>
        <v>0</v>
      </c>
      <c r="R1540" s="60">
        <f t="shared" si="926"/>
        <v>0</v>
      </c>
      <c r="S1540" s="60">
        <f t="shared" si="926"/>
        <v>0</v>
      </c>
      <c r="T1540" s="60">
        <f t="shared" si="926"/>
        <v>0</v>
      </c>
      <c r="U1540" s="60">
        <f t="shared" si="926"/>
        <v>0</v>
      </c>
      <c r="V1540" s="60">
        <f t="shared" si="926"/>
        <v>0</v>
      </c>
      <c r="W1540" s="60">
        <f t="shared" si="926"/>
        <v>0</v>
      </c>
      <c r="X1540" s="60">
        <f t="shared" si="926"/>
        <v>0</v>
      </c>
    </row>
    <row r="1541" spans="2:24" hidden="1">
      <c r="B1541" s="59" t="str">
        <f t="shared" si="912"/>
        <v/>
      </c>
      <c r="C1541" s="59" t="str">
        <f t="shared" si="912"/>
        <v/>
      </c>
      <c r="D1541" s="59" t="str">
        <f t="shared" si="912"/>
        <v/>
      </c>
      <c r="E1541" s="59" t="str">
        <f t="shared" si="912"/>
        <v/>
      </c>
      <c r="F1541" s="59"/>
      <c r="G1541" s="59"/>
      <c r="H1541" s="59"/>
      <c r="I1541" s="59"/>
      <c r="J1541" s="59"/>
      <c r="K1541" s="60">
        <f t="shared" ref="K1541:X1541" si="927">IF(AND($D1541="tak",OR($E1541="nie dotyczy",$E1541="badania przemysłowe"),K$1421&lt;=Koniec_Projekt),ROUND(K450*K492,0),0)</f>
        <v>0</v>
      </c>
      <c r="L1541" s="60">
        <f t="shared" si="927"/>
        <v>0</v>
      </c>
      <c r="M1541" s="60">
        <f t="shared" si="927"/>
        <v>0</v>
      </c>
      <c r="N1541" s="60">
        <f t="shared" si="927"/>
        <v>0</v>
      </c>
      <c r="O1541" s="60">
        <f t="shared" si="927"/>
        <v>0</v>
      </c>
      <c r="P1541" s="60">
        <f t="shared" si="927"/>
        <v>0</v>
      </c>
      <c r="Q1541" s="60">
        <f t="shared" si="927"/>
        <v>0</v>
      </c>
      <c r="R1541" s="60">
        <f t="shared" si="927"/>
        <v>0</v>
      </c>
      <c r="S1541" s="60">
        <f t="shared" si="927"/>
        <v>0</v>
      </c>
      <c r="T1541" s="60">
        <f t="shared" si="927"/>
        <v>0</v>
      </c>
      <c r="U1541" s="60">
        <f t="shared" si="927"/>
        <v>0</v>
      </c>
      <c r="V1541" s="60">
        <f t="shared" si="927"/>
        <v>0</v>
      </c>
      <c r="W1541" s="60">
        <f t="shared" si="927"/>
        <v>0</v>
      </c>
      <c r="X1541" s="60">
        <f t="shared" si="927"/>
        <v>0</v>
      </c>
    </row>
    <row r="1542" spans="2:24" hidden="1">
      <c r="B1542" s="59" t="str">
        <f t="shared" si="912"/>
        <v/>
      </c>
      <c r="C1542" s="59" t="str">
        <f t="shared" si="912"/>
        <v/>
      </c>
      <c r="D1542" s="59" t="str">
        <f t="shared" si="912"/>
        <v/>
      </c>
      <c r="E1542" s="59" t="str">
        <f t="shared" si="912"/>
        <v/>
      </c>
      <c r="F1542" s="59"/>
      <c r="G1542" s="59"/>
      <c r="H1542" s="59"/>
      <c r="I1542" s="59"/>
      <c r="J1542" s="59"/>
      <c r="K1542" s="60">
        <f t="shared" ref="K1542:X1542" si="928">IF(AND($D1542="tak",OR($E1542="nie dotyczy",$E1542="badania przemysłowe"),K$1421&lt;=Koniec_Projekt),ROUND(K451*K493,0),0)</f>
        <v>0</v>
      </c>
      <c r="L1542" s="60">
        <f t="shared" si="928"/>
        <v>0</v>
      </c>
      <c r="M1542" s="60">
        <f t="shared" si="928"/>
        <v>0</v>
      </c>
      <c r="N1542" s="60">
        <f t="shared" si="928"/>
        <v>0</v>
      </c>
      <c r="O1542" s="60">
        <f t="shared" si="928"/>
        <v>0</v>
      </c>
      <c r="P1542" s="60">
        <f t="shared" si="928"/>
        <v>0</v>
      </c>
      <c r="Q1542" s="60">
        <f t="shared" si="928"/>
        <v>0</v>
      </c>
      <c r="R1542" s="60">
        <f t="shared" si="928"/>
        <v>0</v>
      </c>
      <c r="S1542" s="60">
        <f t="shared" si="928"/>
        <v>0</v>
      </c>
      <c r="T1542" s="60">
        <f t="shared" si="928"/>
        <v>0</v>
      </c>
      <c r="U1542" s="60">
        <f t="shared" si="928"/>
        <v>0</v>
      </c>
      <c r="V1542" s="60">
        <f t="shared" si="928"/>
        <v>0</v>
      </c>
      <c r="W1542" s="60">
        <f t="shared" si="928"/>
        <v>0</v>
      </c>
      <c r="X1542" s="60">
        <f t="shared" si="928"/>
        <v>0</v>
      </c>
    </row>
    <row r="1543" spans="2:24" hidden="1">
      <c r="B1543" s="59" t="str">
        <f t="shared" si="912"/>
        <v/>
      </c>
      <c r="C1543" s="59" t="str">
        <f t="shared" si="912"/>
        <v/>
      </c>
      <c r="D1543" s="59" t="str">
        <f t="shared" si="912"/>
        <v/>
      </c>
      <c r="E1543" s="59" t="str">
        <f t="shared" si="912"/>
        <v/>
      </c>
      <c r="F1543" s="59"/>
      <c r="G1543" s="59"/>
      <c r="H1543" s="59"/>
      <c r="I1543" s="59"/>
      <c r="J1543" s="59"/>
      <c r="K1543" s="60">
        <f t="shared" ref="K1543:X1543" si="929">IF(AND($D1543="tak",OR($E1543="nie dotyczy",$E1543="badania przemysłowe"),K$1421&lt;=Koniec_Projekt),ROUND(K452*K494,0),0)</f>
        <v>0</v>
      </c>
      <c r="L1543" s="60">
        <f t="shared" si="929"/>
        <v>0</v>
      </c>
      <c r="M1543" s="60">
        <f t="shared" si="929"/>
        <v>0</v>
      </c>
      <c r="N1543" s="60">
        <f t="shared" si="929"/>
        <v>0</v>
      </c>
      <c r="O1543" s="60">
        <f t="shared" si="929"/>
        <v>0</v>
      </c>
      <c r="P1543" s="60">
        <f t="shared" si="929"/>
        <v>0</v>
      </c>
      <c r="Q1543" s="60">
        <f t="shared" si="929"/>
        <v>0</v>
      </c>
      <c r="R1543" s="60">
        <f t="shared" si="929"/>
        <v>0</v>
      </c>
      <c r="S1543" s="60">
        <f t="shared" si="929"/>
        <v>0</v>
      </c>
      <c r="T1543" s="60">
        <f t="shared" si="929"/>
        <v>0</v>
      </c>
      <c r="U1543" s="60">
        <f t="shared" si="929"/>
        <v>0</v>
      </c>
      <c r="V1543" s="60">
        <f t="shared" si="929"/>
        <v>0</v>
      </c>
      <c r="W1543" s="60">
        <f t="shared" si="929"/>
        <v>0</v>
      </c>
      <c r="X1543" s="60">
        <f t="shared" si="929"/>
        <v>0</v>
      </c>
    </row>
    <row r="1544" spans="2:24" hidden="1">
      <c r="B1544" s="59" t="str">
        <f t="shared" si="912"/>
        <v/>
      </c>
      <c r="C1544" s="59" t="str">
        <f t="shared" si="912"/>
        <v/>
      </c>
      <c r="D1544" s="59" t="str">
        <f t="shared" si="912"/>
        <v/>
      </c>
      <c r="E1544" s="59" t="str">
        <f t="shared" si="912"/>
        <v/>
      </c>
      <c r="F1544" s="59"/>
      <c r="G1544" s="59"/>
      <c r="H1544" s="59"/>
      <c r="I1544" s="59"/>
      <c r="J1544" s="59"/>
      <c r="K1544" s="60">
        <f t="shared" ref="K1544:X1544" si="930">IF(AND($D1544="tak",OR($E1544="nie dotyczy",$E1544="badania przemysłowe"),K$1421&lt;=Koniec_Projekt),ROUND(K453*K495,0),0)</f>
        <v>0</v>
      </c>
      <c r="L1544" s="60">
        <f t="shared" si="930"/>
        <v>0</v>
      </c>
      <c r="M1544" s="60">
        <f t="shared" si="930"/>
        <v>0</v>
      </c>
      <c r="N1544" s="60">
        <f t="shared" si="930"/>
        <v>0</v>
      </c>
      <c r="O1544" s="60">
        <f t="shared" si="930"/>
        <v>0</v>
      </c>
      <c r="P1544" s="60">
        <f t="shared" si="930"/>
        <v>0</v>
      </c>
      <c r="Q1544" s="60">
        <f t="shared" si="930"/>
        <v>0</v>
      </c>
      <c r="R1544" s="60">
        <f t="shared" si="930"/>
        <v>0</v>
      </c>
      <c r="S1544" s="60">
        <f t="shared" si="930"/>
        <v>0</v>
      </c>
      <c r="T1544" s="60">
        <f t="shared" si="930"/>
        <v>0</v>
      </c>
      <c r="U1544" s="60">
        <f t="shared" si="930"/>
        <v>0</v>
      </c>
      <c r="V1544" s="60">
        <f t="shared" si="930"/>
        <v>0</v>
      </c>
      <c r="W1544" s="60">
        <f t="shared" si="930"/>
        <v>0</v>
      </c>
      <c r="X1544" s="60">
        <f t="shared" si="930"/>
        <v>0</v>
      </c>
    </row>
    <row r="1545" spans="2:24" hidden="1">
      <c r="B1545" s="59" t="str">
        <f t="shared" si="912"/>
        <v/>
      </c>
      <c r="C1545" s="59" t="str">
        <f t="shared" si="912"/>
        <v/>
      </c>
      <c r="D1545" s="59" t="str">
        <f t="shared" si="912"/>
        <v/>
      </c>
      <c r="E1545" s="59" t="str">
        <f t="shared" si="912"/>
        <v/>
      </c>
      <c r="F1545" s="59"/>
      <c r="G1545" s="59"/>
      <c r="H1545" s="59"/>
      <c r="I1545" s="59"/>
      <c r="J1545" s="59"/>
      <c r="K1545" s="60">
        <f t="shared" ref="K1545:X1545" si="931">IF(AND($D1545="tak",OR($E1545="nie dotyczy",$E1545="badania przemysłowe"),K$1421&lt;=Koniec_Projekt),ROUND(K454*K496,0),0)</f>
        <v>0</v>
      </c>
      <c r="L1545" s="60">
        <f t="shared" si="931"/>
        <v>0</v>
      </c>
      <c r="M1545" s="60">
        <f t="shared" si="931"/>
        <v>0</v>
      </c>
      <c r="N1545" s="60">
        <f t="shared" si="931"/>
        <v>0</v>
      </c>
      <c r="O1545" s="60">
        <f t="shared" si="931"/>
        <v>0</v>
      </c>
      <c r="P1545" s="60">
        <f t="shared" si="931"/>
        <v>0</v>
      </c>
      <c r="Q1545" s="60">
        <f t="shared" si="931"/>
        <v>0</v>
      </c>
      <c r="R1545" s="60">
        <f t="shared" si="931"/>
        <v>0</v>
      </c>
      <c r="S1545" s="60">
        <f t="shared" si="931"/>
        <v>0</v>
      </c>
      <c r="T1545" s="60">
        <f t="shared" si="931"/>
        <v>0</v>
      </c>
      <c r="U1545" s="60">
        <f t="shared" si="931"/>
        <v>0</v>
      </c>
      <c r="V1545" s="60">
        <f t="shared" si="931"/>
        <v>0</v>
      </c>
      <c r="W1545" s="60">
        <f t="shared" si="931"/>
        <v>0</v>
      </c>
      <c r="X1545" s="60">
        <f t="shared" si="931"/>
        <v>0</v>
      </c>
    </row>
    <row r="1546" spans="2:24" hidden="1">
      <c r="B1546" s="59" t="str">
        <f t="shared" si="912"/>
        <v/>
      </c>
      <c r="C1546" s="59" t="str">
        <f t="shared" si="912"/>
        <v/>
      </c>
      <c r="D1546" s="59" t="str">
        <f t="shared" si="912"/>
        <v/>
      </c>
      <c r="E1546" s="59" t="str">
        <f t="shared" si="912"/>
        <v/>
      </c>
      <c r="F1546" s="59"/>
      <c r="G1546" s="59"/>
      <c r="H1546" s="59"/>
      <c r="I1546" s="59"/>
      <c r="J1546" s="59"/>
      <c r="K1546" s="60">
        <f t="shared" ref="K1546:X1546" si="932">IF(AND($D1546="tak",OR($E1546="nie dotyczy",$E1546="badania przemysłowe"),K$1421&lt;=Koniec_Projekt),ROUND(K455*K497,0),0)</f>
        <v>0</v>
      </c>
      <c r="L1546" s="60">
        <f t="shared" si="932"/>
        <v>0</v>
      </c>
      <c r="M1546" s="60">
        <f t="shared" si="932"/>
        <v>0</v>
      </c>
      <c r="N1546" s="60">
        <f t="shared" si="932"/>
        <v>0</v>
      </c>
      <c r="O1546" s="60">
        <f t="shared" si="932"/>
        <v>0</v>
      </c>
      <c r="P1546" s="60">
        <f t="shared" si="932"/>
        <v>0</v>
      </c>
      <c r="Q1546" s="60">
        <f t="shared" si="932"/>
        <v>0</v>
      </c>
      <c r="R1546" s="60">
        <f t="shared" si="932"/>
        <v>0</v>
      </c>
      <c r="S1546" s="60">
        <f t="shared" si="932"/>
        <v>0</v>
      </c>
      <c r="T1546" s="60">
        <f t="shared" si="932"/>
        <v>0</v>
      </c>
      <c r="U1546" s="60">
        <f t="shared" si="932"/>
        <v>0</v>
      </c>
      <c r="V1546" s="60">
        <f t="shared" si="932"/>
        <v>0</v>
      </c>
      <c r="W1546" s="60">
        <f t="shared" si="932"/>
        <v>0</v>
      </c>
      <c r="X1546" s="60">
        <f t="shared" si="932"/>
        <v>0</v>
      </c>
    </row>
    <row r="1547" spans="2:24" hidden="1">
      <c r="B1547" s="59" t="str">
        <f t="shared" ref="B1547:E1566" si="933">IF(ISBLANK(B1307),"",B1307)</f>
        <v/>
      </c>
      <c r="C1547" s="59" t="str">
        <f t="shared" si="933"/>
        <v/>
      </c>
      <c r="D1547" s="59" t="str">
        <f t="shared" si="933"/>
        <v/>
      </c>
      <c r="E1547" s="59" t="str">
        <f t="shared" si="933"/>
        <v/>
      </c>
      <c r="F1547" s="59"/>
      <c r="G1547" s="59"/>
      <c r="H1547" s="59"/>
      <c r="I1547" s="59"/>
      <c r="J1547" s="59"/>
      <c r="K1547" s="60">
        <f t="shared" ref="K1547:X1547" si="934">IF(AND($D1547="tak",OR($E1547="nie dotyczy",$E1547="badania przemysłowe"),K$1421&lt;=Koniec_Projekt),ROUND(K456*K498,0),0)</f>
        <v>0</v>
      </c>
      <c r="L1547" s="60">
        <f t="shared" si="934"/>
        <v>0</v>
      </c>
      <c r="M1547" s="60">
        <f t="shared" si="934"/>
        <v>0</v>
      </c>
      <c r="N1547" s="60">
        <f t="shared" si="934"/>
        <v>0</v>
      </c>
      <c r="O1547" s="60">
        <f t="shared" si="934"/>
        <v>0</v>
      </c>
      <c r="P1547" s="60">
        <f t="shared" si="934"/>
        <v>0</v>
      </c>
      <c r="Q1547" s="60">
        <f t="shared" si="934"/>
        <v>0</v>
      </c>
      <c r="R1547" s="60">
        <f t="shared" si="934"/>
        <v>0</v>
      </c>
      <c r="S1547" s="60">
        <f t="shared" si="934"/>
        <v>0</v>
      </c>
      <c r="T1547" s="60">
        <f t="shared" si="934"/>
        <v>0</v>
      </c>
      <c r="U1547" s="60">
        <f t="shared" si="934"/>
        <v>0</v>
      </c>
      <c r="V1547" s="60">
        <f t="shared" si="934"/>
        <v>0</v>
      </c>
      <c r="W1547" s="60">
        <f t="shared" si="934"/>
        <v>0</v>
      </c>
      <c r="X1547" s="60">
        <f t="shared" si="934"/>
        <v>0</v>
      </c>
    </row>
    <row r="1548" spans="2:24" hidden="1">
      <c r="B1548" s="59" t="str">
        <f t="shared" si="933"/>
        <v/>
      </c>
      <c r="C1548" s="59" t="str">
        <f t="shared" si="933"/>
        <v/>
      </c>
      <c r="D1548" s="59" t="str">
        <f t="shared" si="933"/>
        <v/>
      </c>
      <c r="E1548" s="59" t="str">
        <f t="shared" si="933"/>
        <v/>
      </c>
      <c r="F1548" s="59"/>
      <c r="G1548" s="59"/>
      <c r="H1548" s="59"/>
      <c r="I1548" s="59"/>
      <c r="J1548" s="59"/>
      <c r="K1548" s="60">
        <f t="shared" ref="K1548:X1548" si="935">IF(AND($D1548="tak",OR($E1548="nie dotyczy",$E1548="badania przemysłowe"),K$1421&lt;=Koniec_Projekt),ROUND(K457*K499,0),0)</f>
        <v>0</v>
      </c>
      <c r="L1548" s="60">
        <f t="shared" si="935"/>
        <v>0</v>
      </c>
      <c r="M1548" s="60">
        <f t="shared" si="935"/>
        <v>0</v>
      </c>
      <c r="N1548" s="60">
        <f t="shared" si="935"/>
        <v>0</v>
      </c>
      <c r="O1548" s="60">
        <f t="shared" si="935"/>
        <v>0</v>
      </c>
      <c r="P1548" s="60">
        <f t="shared" si="935"/>
        <v>0</v>
      </c>
      <c r="Q1548" s="60">
        <f t="shared" si="935"/>
        <v>0</v>
      </c>
      <c r="R1548" s="60">
        <f t="shared" si="935"/>
        <v>0</v>
      </c>
      <c r="S1548" s="60">
        <f t="shared" si="935"/>
        <v>0</v>
      </c>
      <c r="T1548" s="60">
        <f t="shared" si="935"/>
        <v>0</v>
      </c>
      <c r="U1548" s="60">
        <f t="shared" si="935"/>
        <v>0</v>
      </c>
      <c r="V1548" s="60">
        <f t="shared" si="935"/>
        <v>0</v>
      </c>
      <c r="W1548" s="60">
        <f t="shared" si="935"/>
        <v>0</v>
      </c>
      <c r="X1548" s="60">
        <f t="shared" si="935"/>
        <v>0</v>
      </c>
    </row>
    <row r="1549" spans="2:24" hidden="1">
      <c r="B1549" s="59" t="str">
        <f t="shared" si="933"/>
        <v/>
      </c>
      <c r="C1549" s="59" t="str">
        <f t="shared" si="933"/>
        <v/>
      </c>
      <c r="D1549" s="59" t="str">
        <f t="shared" si="933"/>
        <v/>
      </c>
      <c r="E1549" s="59" t="str">
        <f t="shared" si="933"/>
        <v/>
      </c>
      <c r="F1549" s="59"/>
      <c r="G1549" s="59"/>
      <c r="H1549" s="59"/>
      <c r="I1549" s="59"/>
      <c r="J1549" s="59"/>
      <c r="K1549" s="60">
        <f t="shared" ref="K1549:X1549" si="936">IF(AND($D1549="tak",OR($E1549="nie dotyczy",$E1549="badania przemysłowe"),K$1421&lt;=Koniec_Projekt),ROUND(K458*K500,0),0)</f>
        <v>0</v>
      </c>
      <c r="L1549" s="60">
        <f t="shared" si="936"/>
        <v>0</v>
      </c>
      <c r="M1549" s="60">
        <f t="shared" si="936"/>
        <v>0</v>
      </c>
      <c r="N1549" s="60">
        <f t="shared" si="936"/>
        <v>0</v>
      </c>
      <c r="O1549" s="60">
        <f t="shared" si="936"/>
        <v>0</v>
      </c>
      <c r="P1549" s="60">
        <f t="shared" si="936"/>
        <v>0</v>
      </c>
      <c r="Q1549" s="60">
        <f t="shared" si="936"/>
        <v>0</v>
      </c>
      <c r="R1549" s="60">
        <f t="shared" si="936"/>
        <v>0</v>
      </c>
      <c r="S1549" s="60">
        <f t="shared" si="936"/>
        <v>0</v>
      </c>
      <c r="T1549" s="60">
        <f t="shared" si="936"/>
        <v>0</v>
      </c>
      <c r="U1549" s="60">
        <f t="shared" si="936"/>
        <v>0</v>
      </c>
      <c r="V1549" s="60">
        <f t="shared" si="936"/>
        <v>0</v>
      </c>
      <c r="W1549" s="60">
        <f t="shared" si="936"/>
        <v>0</v>
      </c>
      <c r="X1549" s="60">
        <f t="shared" si="936"/>
        <v>0</v>
      </c>
    </row>
    <row r="1550" spans="2:24" hidden="1">
      <c r="B1550" s="59" t="str">
        <f t="shared" si="933"/>
        <v/>
      </c>
      <c r="C1550" s="59" t="str">
        <f t="shared" si="933"/>
        <v/>
      </c>
      <c r="D1550" s="59" t="str">
        <f t="shared" si="933"/>
        <v/>
      </c>
      <c r="E1550" s="59" t="str">
        <f t="shared" si="933"/>
        <v/>
      </c>
      <c r="F1550" s="59"/>
      <c r="G1550" s="59"/>
      <c r="H1550" s="59"/>
      <c r="I1550" s="59"/>
      <c r="J1550" s="59"/>
      <c r="K1550" s="60">
        <f t="shared" ref="K1550:X1550" si="937">IF(AND($D1550="tak",OR($E1550="nie dotyczy",$E1550="badania przemysłowe"),K$1421&lt;=Koniec_Projekt),ROUND(K459*K501,0),0)</f>
        <v>0</v>
      </c>
      <c r="L1550" s="60">
        <f t="shared" si="937"/>
        <v>0</v>
      </c>
      <c r="M1550" s="60">
        <f t="shared" si="937"/>
        <v>0</v>
      </c>
      <c r="N1550" s="60">
        <f t="shared" si="937"/>
        <v>0</v>
      </c>
      <c r="O1550" s="60">
        <f t="shared" si="937"/>
        <v>0</v>
      </c>
      <c r="P1550" s="60">
        <f t="shared" si="937"/>
        <v>0</v>
      </c>
      <c r="Q1550" s="60">
        <f t="shared" si="937"/>
        <v>0</v>
      </c>
      <c r="R1550" s="60">
        <f t="shared" si="937"/>
        <v>0</v>
      </c>
      <c r="S1550" s="60">
        <f t="shared" si="937"/>
        <v>0</v>
      </c>
      <c r="T1550" s="60">
        <f t="shared" si="937"/>
        <v>0</v>
      </c>
      <c r="U1550" s="60">
        <f t="shared" si="937"/>
        <v>0</v>
      </c>
      <c r="V1550" s="60">
        <f t="shared" si="937"/>
        <v>0</v>
      </c>
      <c r="W1550" s="60">
        <f t="shared" si="937"/>
        <v>0</v>
      </c>
      <c r="X1550" s="60">
        <f t="shared" si="937"/>
        <v>0</v>
      </c>
    </row>
    <row r="1551" spans="2:24" hidden="1">
      <c r="B1551" s="59" t="str">
        <f t="shared" si="933"/>
        <v/>
      </c>
      <c r="C1551" s="59" t="str">
        <f t="shared" si="933"/>
        <v/>
      </c>
      <c r="D1551" s="59" t="str">
        <f t="shared" si="933"/>
        <v/>
      </c>
      <c r="E1551" s="59" t="str">
        <f t="shared" si="933"/>
        <v/>
      </c>
      <c r="F1551" s="59"/>
      <c r="G1551" s="59"/>
      <c r="H1551" s="59"/>
      <c r="I1551" s="59"/>
      <c r="J1551" s="59"/>
      <c r="K1551" s="60">
        <f t="shared" ref="K1551:X1551" si="938">IF(AND($D1551="tak",OR($E1551="nie dotyczy",$E1551="badania przemysłowe"),K$1421&lt;=Koniec_Projekt),ROUND(K460*K502,0),0)</f>
        <v>0</v>
      </c>
      <c r="L1551" s="60">
        <f t="shared" si="938"/>
        <v>0</v>
      </c>
      <c r="M1551" s="60">
        <f t="shared" si="938"/>
        <v>0</v>
      </c>
      <c r="N1551" s="60">
        <f t="shared" si="938"/>
        <v>0</v>
      </c>
      <c r="O1551" s="60">
        <f t="shared" si="938"/>
        <v>0</v>
      </c>
      <c r="P1551" s="60">
        <f t="shared" si="938"/>
        <v>0</v>
      </c>
      <c r="Q1551" s="60">
        <f t="shared" si="938"/>
        <v>0</v>
      </c>
      <c r="R1551" s="60">
        <f t="shared" si="938"/>
        <v>0</v>
      </c>
      <c r="S1551" s="60">
        <f t="shared" si="938"/>
        <v>0</v>
      </c>
      <c r="T1551" s="60">
        <f t="shared" si="938"/>
        <v>0</v>
      </c>
      <c r="U1551" s="60">
        <f t="shared" si="938"/>
        <v>0</v>
      </c>
      <c r="V1551" s="60">
        <f t="shared" si="938"/>
        <v>0</v>
      </c>
      <c r="W1551" s="60">
        <f t="shared" si="938"/>
        <v>0</v>
      </c>
      <c r="X1551" s="60">
        <f t="shared" si="938"/>
        <v>0</v>
      </c>
    </row>
    <row r="1552" spans="2:24" hidden="1">
      <c r="B1552" s="59" t="str">
        <f t="shared" si="933"/>
        <v/>
      </c>
      <c r="C1552" s="59" t="str">
        <f t="shared" si="933"/>
        <v/>
      </c>
      <c r="D1552" s="59" t="str">
        <f t="shared" si="933"/>
        <v/>
      </c>
      <c r="E1552" s="59" t="str">
        <f t="shared" si="933"/>
        <v/>
      </c>
      <c r="F1552" s="59"/>
      <c r="G1552" s="59"/>
      <c r="H1552" s="59"/>
      <c r="I1552" s="59"/>
      <c r="J1552" s="59"/>
      <c r="K1552" s="60">
        <f t="shared" ref="K1552:X1552" si="939">IF(AND($D1552="tak",OR($E1552="nie dotyczy",$E1552="badania przemysłowe"),K$1421&lt;=Koniec_Projekt),ROUND(K461*K503,0),0)</f>
        <v>0</v>
      </c>
      <c r="L1552" s="60">
        <f t="shared" si="939"/>
        <v>0</v>
      </c>
      <c r="M1552" s="60">
        <f t="shared" si="939"/>
        <v>0</v>
      </c>
      <c r="N1552" s="60">
        <f t="shared" si="939"/>
        <v>0</v>
      </c>
      <c r="O1552" s="60">
        <f t="shared" si="939"/>
        <v>0</v>
      </c>
      <c r="P1552" s="60">
        <f t="shared" si="939"/>
        <v>0</v>
      </c>
      <c r="Q1552" s="60">
        <f t="shared" si="939"/>
        <v>0</v>
      </c>
      <c r="R1552" s="60">
        <f t="shared" si="939"/>
        <v>0</v>
      </c>
      <c r="S1552" s="60">
        <f t="shared" si="939"/>
        <v>0</v>
      </c>
      <c r="T1552" s="60">
        <f t="shared" si="939"/>
        <v>0</v>
      </c>
      <c r="U1552" s="60">
        <f t="shared" si="939"/>
        <v>0</v>
      </c>
      <c r="V1552" s="60">
        <f t="shared" si="939"/>
        <v>0</v>
      </c>
      <c r="W1552" s="60">
        <f t="shared" si="939"/>
        <v>0</v>
      </c>
      <c r="X1552" s="60">
        <f t="shared" si="939"/>
        <v>0</v>
      </c>
    </row>
    <row r="1553" spans="2:24" hidden="1">
      <c r="B1553" s="59" t="str">
        <f t="shared" si="933"/>
        <v/>
      </c>
      <c r="C1553" s="59" t="str">
        <f t="shared" si="933"/>
        <v/>
      </c>
      <c r="D1553" s="59" t="str">
        <f t="shared" si="933"/>
        <v/>
      </c>
      <c r="E1553" s="59" t="str">
        <f t="shared" si="933"/>
        <v/>
      </c>
      <c r="F1553" s="59"/>
      <c r="G1553" s="59"/>
      <c r="H1553" s="59"/>
      <c r="I1553" s="59"/>
      <c r="J1553" s="59"/>
      <c r="K1553" s="60">
        <f t="shared" ref="K1553:X1553" si="940">IF(AND($D1553="tak",OR($E1553="nie dotyczy",$E1553="badania przemysłowe"),K$1421&lt;=Koniec_Projekt),ROUND(K462*K504,0),0)</f>
        <v>0</v>
      </c>
      <c r="L1553" s="60">
        <f t="shared" si="940"/>
        <v>0</v>
      </c>
      <c r="M1553" s="60">
        <f t="shared" si="940"/>
        <v>0</v>
      </c>
      <c r="N1553" s="60">
        <f t="shared" si="940"/>
        <v>0</v>
      </c>
      <c r="O1553" s="60">
        <f t="shared" si="940"/>
        <v>0</v>
      </c>
      <c r="P1553" s="60">
        <f t="shared" si="940"/>
        <v>0</v>
      </c>
      <c r="Q1553" s="60">
        <f t="shared" si="940"/>
        <v>0</v>
      </c>
      <c r="R1553" s="60">
        <f t="shared" si="940"/>
        <v>0</v>
      </c>
      <c r="S1553" s="60">
        <f t="shared" si="940"/>
        <v>0</v>
      </c>
      <c r="T1553" s="60">
        <f t="shared" si="940"/>
        <v>0</v>
      </c>
      <c r="U1553" s="60">
        <f t="shared" si="940"/>
        <v>0</v>
      </c>
      <c r="V1553" s="60">
        <f t="shared" si="940"/>
        <v>0</v>
      </c>
      <c r="W1553" s="60">
        <f t="shared" si="940"/>
        <v>0</v>
      </c>
      <c r="X1553" s="60">
        <f t="shared" si="940"/>
        <v>0</v>
      </c>
    </row>
    <row r="1554" spans="2:24" hidden="1">
      <c r="B1554" s="59" t="str">
        <f t="shared" si="933"/>
        <v/>
      </c>
      <c r="C1554" s="59" t="str">
        <f t="shared" si="933"/>
        <v/>
      </c>
      <c r="D1554" s="59" t="str">
        <f t="shared" si="933"/>
        <v/>
      </c>
      <c r="E1554" s="59" t="str">
        <f t="shared" si="933"/>
        <v/>
      </c>
      <c r="F1554" s="59"/>
      <c r="G1554" s="59"/>
      <c r="H1554" s="59"/>
      <c r="I1554" s="59"/>
      <c r="J1554" s="59"/>
      <c r="K1554" s="60">
        <f t="shared" ref="K1554:X1554" si="941">IF(AND($D1554="tak",OR($E1554="nie dotyczy",$E1554="badania przemysłowe"),K$1421&lt;=Koniec_Projekt),ROUND(K463*K505,0),0)</f>
        <v>0</v>
      </c>
      <c r="L1554" s="60">
        <f t="shared" si="941"/>
        <v>0</v>
      </c>
      <c r="M1554" s="60">
        <f t="shared" si="941"/>
        <v>0</v>
      </c>
      <c r="N1554" s="60">
        <f t="shared" si="941"/>
        <v>0</v>
      </c>
      <c r="O1554" s="60">
        <f t="shared" si="941"/>
        <v>0</v>
      </c>
      <c r="P1554" s="60">
        <f t="shared" si="941"/>
        <v>0</v>
      </c>
      <c r="Q1554" s="60">
        <f t="shared" si="941"/>
        <v>0</v>
      </c>
      <c r="R1554" s="60">
        <f t="shared" si="941"/>
        <v>0</v>
      </c>
      <c r="S1554" s="60">
        <f t="shared" si="941"/>
        <v>0</v>
      </c>
      <c r="T1554" s="60">
        <f t="shared" si="941"/>
        <v>0</v>
      </c>
      <c r="U1554" s="60">
        <f t="shared" si="941"/>
        <v>0</v>
      </c>
      <c r="V1554" s="60">
        <f t="shared" si="941"/>
        <v>0</v>
      </c>
      <c r="W1554" s="60">
        <f t="shared" si="941"/>
        <v>0</v>
      </c>
      <c r="X1554" s="60">
        <f t="shared" si="941"/>
        <v>0</v>
      </c>
    </row>
    <row r="1555" spans="2:24" hidden="1">
      <c r="B1555" s="59" t="str">
        <f t="shared" si="933"/>
        <v/>
      </c>
      <c r="C1555" s="59" t="str">
        <f t="shared" si="933"/>
        <v/>
      </c>
      <c r="D1555" s="59" t="str">
        <f t="shared" si="933"/>
        <v/>
      </c>
      <c r="E1555" s="59" t="str">
        <f t="shared" si="933"/>
        <v/>
      </c>
      <c r="F1555" s="59"/>
      <c r="G1555" s="59"/>
      <c r="H1555" s="59"/>
      <c r="I1555" s="59"/>
      <c r="J1555" s="59"/>
      <c r="K1555" s="60">
        <f t="shared" ref="K1555:X1555" si="942">IF(AND($D1555="tak",OR($E1555="nie dotyczy",$E1555="badania przemysłowe"),K$1421&lt;=Koniec_Projekt),ROUND(K464*K506,0),0)</f>
        <v>0</v>
      </c>
      <c r="L1555" s="60">
        <f t="shared" si="942"/>
        <v>0</v>
      </c>
      <c r="M1555" s="60">
        <f t="shared" si="942"/>
        <v>0</v>
      </c>
      <c r="N1555" s="60">
        <f t="shared" si="942"/>
        <v>0</v>
      </c>
      <c r="O1555" s="60">
        <f t="shared" si="942"/>
        <v>0</v>
      </c>
      <c r="P1555" s="60">
        <f t="shared" si="942"/>
        <v>0</v>
      </c>
      <c r="Q1555" s="60">
        <f t="shared" si="942"/>
        <v>0</v>
      </c>
      <c r="R1555" s="60">
        <f t="shared" si="942"/>
        <v>0</v>
      </c>
      <c r="S1555" s="60">
        <f t="shared" si="942"/>
        <v>0</v>
      </c>
      <c r="T1555" s="60">
        <f t="shared" si="942"/>
        <v>0</v>
      </c>
      <c r="U1555" s="60">
        <f t="shared" si="942"/>
        <v>0</v>
      </c>
      <c r="V1555" s="60">
        <f t="shared" si="942"/>
        <v>0</v>
      </c>
      <c r="W1555" s="60">
        <f t="shared" si="942"/>
        <v>0</v>
      </c>
      <c r="X1555" s="60">
        <f t="shared" si="942"/>
        <v>0</v>
      </c>
    </row>
    <row r="1556" spans="2:24" hidden="1">
      <c r="B1556" s="59" t="str">
        <f t="shared" si="933"/>
        <v/>
      </c>
      <c r="C1556" s="59" t="str">
        <f t="shared" si="933"/>
        <v/>
      </c>
      <c r="D1556" s="59" t="str">
        <f t="shared" si="933"/>
        <v/>
      </c>
      <c r="E1556" s="59" t="str">
        <f t="shared" si="933"/>
        <v/>
      </c>
      <c r="F1556" s="59"/>
      <c r="G1556" s="59"/>
      <c r="H1556" s="59"/>
      <c r="I1556" s="59"/>
      <c r="J1556" s="59"/>
      <c r="K1556" s="60">
        <f t="shared" ref="K1556:X1556" si="943">IF(AND($D1556="tak",OR($E1556="nie dotyczy",$E1556="badania przemysłowe"),K$1421&lt;=Koniec_Projekt),ROUND(K465*K507,0),0)</f>
        <v>0</v>
      </c>
      <c r="L1556" s="60">
        <f t="shared" si="943"/>
        <v>0</v>
      </c>
      <c r="M1556" s="60">
        <f t="shared" si="943"/>
        <v>0</v>
      </c>
      <c r="N1556" s="60">
        <f t="shared" si="943"/>
        <v>0</v>
      </c>
      <c r="O1556" s="60">
        <f t="shared" si="943"/>
        <v>0</v>
      </c>
      <c r="P1556" s="60">
        <f t="shared" si="943"/>
        <v>0</v>
      </c>
      <c r="Q1556" s="60">
        <f t="shared" si="943"/>
        <v>0</v>
      </c>
      <c r="R1556" s="60">
        <f t="shared" si="943"/>
        <v>0</v>
      </c>
      <c r="S1556" s="60">
        <f t="shared" si="943"/>
        <v>0</v>
      </c>
      <c r="T1556" s="60">
        <f t="shared" si="943"/>
        <v>0</v>
      </c>
      <c r="U1556" s="60">
        <f t="shared" si="943"/>
        <v>0</v>
      </c>
      <c r="V1556" s="60">
        <f t="shared" si="943"/>
        <v>0</v>
      </c>
      <c r="W1556" s="60">
        <f t="shared" si="943"/>
        <v>0</v>
      </c>
      <c r="X1556" s="60">
        <f t="shared" si="943"/>
        <v>0</v>
      </c>
    </row>
    <row r="1557" spans="2:24" hidden="1">
      <c r="B1557" s="59" t="str">
        <f t="shared" si="933"/>
        <v/>
      </c>
      <c r="C1557" s="59" t="str">
        <f t="shared" si="933"/>
        <v/>
      </c>
      <c r="D1557" s="59" t="str">
        <f t="shared" si="933"/>
        <v/>
      </c>
      <c r="E1557" s="59" t="str">
        <f t="shared" si="933"/>
        <v/>
      </c>
      <c r="F1557" s="59"/>
      <c r="G1557" s="59"/>
      <c r="H1557" s="59"/>
      <c r="I1557" s="59"/>
      <c r="J1557" s="59"/>
      <c r="K1557" s="60">
        <f t="shared" ref="K1557:X1557" si="944">IF(AND($D1557="tak",OR($E1557="nie dotyczy",$E1557="badania przemysłowe"),K$1421&lt;=Koniec_Projekt),ROUND(K466*K508,0),0)</f>
        <v>0</v>
      </c>
      <c r="L1557" s="60">
        <f t="shared" si="944"/>
        <v>0</v>
      </c>
      <c r="M1557" s="60">
        <f t="shared" si="944"/>
        <v>0</v>
      </c>
      <c r="N1557" s="60">
        <f t="shared" si="944"/>
        <v>0</v>
      </c>
      <c r="O1557" s="60">
        <f t="shared" si="944"/>
        <v>0</v>
      </c>
      <c r="P1557" s="60">
        <f t="shared" si="944"/>
        <v>0</v>
      </c>
      <c r="Q1557" s="60">
        <f t="shared" si="944"/>
        <v>0</v>
      </c>
      <c r="R1557" s="60">
        <f t="shared" si="944"/>
        <v>0</v>
      </c>
      <c r="S1557" s="60">
        <f t="shared" si="944"/>
        <v>0</v>
      </c>
      <c r="T1557" s="60">
        <f t="shared" si="944"/>
        <v>0</v>
      </c>
      <c r="U1557" s="60">
        <f t="shared" si="944"/>
        <v>0</v>
      </c>
      <c r="V1557" s="60">
        <f t="shared" si="944"/>
        <v>0</v>
      </c>
      <c r="W1557" s="60">
        <f t="shared" si="944"/>
        <v>0</v>
      </c>
      <c r="X1557" s="60">
        <f t="shared" si="944"/>
        <v>0</v>
      </c>
    </row>
    <row r="1558" spans="2:24" hidden="1">
      <c r="B1558" s="59" t="str">
        <f t="shared" si="933"/>
        <v/>
      </c>
      <c r="C1558" s="59" t="str">
        <f t="shared" si="933"/>
        <v/>
      </c>
      <c r="D1558" s="59" t="str">
        <f t="shared" si="933"/>
        <v/>
      </c>
      <c r="E1558" s="59" t="str">
        <f t="shared" si="933"/>
        <v/>
      </c>
      <c r="F1558" s="59"/>
      <c r="G1558" s="59"/>
      <c r="H1558" s="59"/>
      <c r="I1558" s="59"/>
      <c r="J1558" s="59"/>
      <c r="K1558" s="60">
        <f t="shared" ref="K1558:X1558" si="945">IF(AND($D1558="tak",OR($E1558="nie dotyczy",$E1558="badania przemysłowe"),K$1421&lt;=Koniec_Projekt),ROUND(K467*K509,0),0)</f>
        <v>0</v>
      </c>
      <c r="L1558" s="60">
        <f t="shared" si="945"/>
        <v>0</v>
      </c>
      <c r="M1558" s="60">
        <f t="shared" si="945"/>
        <v>0</v>
      </c>
      <c r="N1558" s="60">
        <f t="shared" si="945"/>
        <v>0</v>
      </c>
      <c r="O1558" s="60">
        <f t="shared" si="945"/>
        <v>0</v>
      </c>
      <c r="P1558" s="60">
        <f t="shared" si="945"/>
        <v>0</v>
      </c>
      <c r="Q1558" s="60">
        <f t="shared" si="945"/>
        <v>0</v>
      </c>
      <c r="R1558" s="60">
        <f t="shared" si="945"/>
        <v>0</v>
      </c>
      <c r="S1558" s="60">
        <f t="shared" si="945"/>
        <v>0</v>
      </c>
      <c r="T1558" s="60">
        <f t="shared" si="945"/>
        <v>0</v>
      </c>
      <c r="U1558" s="60">
        <f t="shared" si="945"/>
        <v>0</v>
      </c>
      <c r="V1558" s="60">
        <f t="shared" si="945"/>
        <v>0</v>
      </c>
      <c r="W1558" s="60">
        <f t="shared" si="945"/>
        <v>0</v>
      </c>
      <c r="X1558" s="60">
        <f t="shared" si="945"/>
        <v>0</v>
      </c>
    </row>
    <row r="1559" spans="2:24" hidden="1">
      <c r="B1559" s="59" t="str">
        <f t="shared" si="933"/>
        <v/>
      </c>
      <c r="C1559" s="59" t="str">
        <f t="shared" si="933"/>
        <v/>
      </c>
      <c r="D1559" s="59" t="str">
        <f t="shared" si="933"/>
        <v/>
      </c>
      <c r="E1559" s="59" t="str">
        <f t="shared" si="933"/>
        <v/>
      </c>
      <c r="F1559" s="59"/>
      <c r="G1559" s="59"/>
      <c r="H1559" s="59"/>
      <c r="I1559" s="59"/>
      <c r="J1559" s="59"/>
      <c r="K1559" s="60">
        <f t="shared" ref="K1559:X1559" si="946">IF(AND($D1559="tak",OR($E1559="nie dotyczy",$E1559="badania przemysłowe"),K$1421&lt;=Koniec_Projekt),ROUND(K468*K510,0),0)</f>
        <v>0</v>
      </c>
      <c r="L1559" s="60">
        <f t="shared" si="946"/>
        <v>0</v>
      </c>
      <c r="M1559" s="60">
        <f t="shared" si="946"/>
        <v>0</v>
      </c>
      <c r="N1559" s="60">
        <f t="shared" si="946"/>
        <v>0</v>
      </c>
      <c r="O1559" s="60">
        <f t="shared" si="946"/>
        <v>0</v>
      </c>
      <c r="P1559" s="60">
        <f t="shared" si="946"/>
        <v>0</v>
      </c>
      <c r="Q1559" s="60">
        <f t="shared" si="946"/>
        <v>0</v>
      </c>
      <c r="R1559" s="60">
        <f t="shared" si="946"/>
        <v>0</v>
      </c>
      <c r="S1559" s="60">
        <f t="shared" si="946"/>
        <v>0</v>
      </c>
      <c r="T1559" s="60">
        <f t="shared" si="946"/>
        <v>0</v>
      </c>
      <c r="U1559" s="60">
        <f t="shared" si="946"/>
        <v>0</v>
      </c>
      <c r="V1559" s="60">
        <f t="shared" si="946"/>
        <v>0</v>
      </c>
      <c r="W1559" s="60">
        <f t="shared" si="946"/>
        <v>0</v>
      </c>
      <c r="X1559" s="60">
        <f t="shared" si="946"/>
        <v>0</v>
      </c>
    </row>
    <row r="1560" spans="2:24" hidden="1">
      <c r="B1560" s="59" t="str">
        <f t="shared" si="933"/>
        <v/>
      </c>
      <c r="C1560" s="59" t="str">
        <f t="shared" si="933"/>
        <v/>
      </c>
      <c r="D1560" s="59" t="str">
        <f t="shared" si="933"/>
        <v/>
      </c>
      <c r="E1560" s="59" t="str">
        <f t="shared" si="933"/>
        <v/>
      </c>
      <c r="F1560" s="59"/>
      <c r="G1560" s="59"/>
      <c r="H1560" s="59"/>
      <c r="I1560" s="59"/>
      <c r="J1560" s="59"/>
      <c r="K1560" s="60">
        <f t="shared" ref="K1560:X1560" si="947">IF(AND($D1560="tak",OR($E1560="nie dotyczy",$E1560="badania przemysłowe"),K$1421&lt;=Koniec_Projekt),ROUND(K469*K511,0),0)</f>
        <v>0</v>
      </c>
      <c r="L1560" s="60">
        <f t="shared" si="947"/>
        <v>0</v>
      </c>
      <c r="M1560" s="60">
        <f t="shared" si="947"/>
        <v>0</v>
      </c>
      <c r="N1560" s="60">
        <f t="shared" si="947"/>
        <v>0</v>
      </c>
      <c r="O1560" s="60">
        <f t="shared" si="947"/>
        <v>0</v>
      </c>
      <c r="P1560" s="60">
        <f t="shared" si="947"/>
        <v>0</v>
      </c>
      <c r="Q1560" s="60">
        <f t="shared" si="947"/>
        <v>0</v>
      </c>
      <c r="R1560" s="60">
        <f t="shared" si="947"/>
        <v>0</v>
      </c>
      <c r="S1560" s="60">
        <f t="shared" si="947"/>
        <v>0</v>
      </c>
      <c r="T1560" s="60">
        <f t="shared" si="947"/>
        <v>0</v>
      </c>
      <c r="U1560" s="60">
        <f t="shared" si="947"/>
        <v>0</v>
      </c>
      <c r="V1560" s="60">
        <f t="shared" si="947"/>
        <v>0</v>
      </c>
      <c r="W1560" s="60">
        <f t="shared" si="947"/>
        <v>0</v>
      </c>
      <c r="X1560" s="60">
        <f t="shared" si="947"/>
        <v>0</v>
      </c>
    </row>
    <row r="1561" spans="2:24" hidden="1">
      <c r="B1561" s="59" t="str">
        <f t="shared" si="933"/>
        <v/>
      </c>
      <c r="C1561" s="59" t="str">
        <f t="shared" si="933"/>
        <v/>
      </c>
      <c r="D1561" s="59" t="str">
        <f t="shared" si="933"/>
        <v/>
      </c>
      <c r="E1561" s="59" t="str">
        <f t="shared" si="933"/>
        <v/>
      </c>
      <c r="F1561" s="59"/>
      <c r="G1561" s="59"/>
      <c r="H1561" s="59"/>
      <c r="I1561" s="59"/>
      <c r="J1561" s="59"/>
      <c r="K1561" s="60">
        <f t="shared" ref="K1561:X1561" si="948">IF(AND($D1561="tak",OR($E1561="nie dotyczy",$E1561="badania przemysłowe"),K$1421&lt;=Koniec_Projekt),ROUND(K470*K512,0),0)</f>
        <v>0</v>
      </c>
      <c r="L1561" s="60">
        <f t="shared" si="948"/>
        <v>0</v>
      </c>
      <c r="M1561" s="60">
        <f t="shared" si="948"/>
        <v>0</v>
      </c>
      <c r="N1561" s="60">
        <f t="shared" si="948"/>
        <v>0</v>
      </c>
      <c r="O1561" s="60">
        <f t="shared" si="948"/>
        <v>0</v>
      </c>
      <c r="P1561" s="60">
        <f t="shared" si="948"/>
        <v>0</v>
      </c>
      <c r="Q1561" s="60">
        <f t="shared" si="948"/>
        <v>0</v>
      </c>
      <c r="R1561" s="60">
        <f t="shared" si="948"/>
        <v>0</v>
      </c>
      <c r="S1561" s="60">
        <f t="shared" si="948"/>
        <v>0</v>
      </c>
      <c r="T1561" s="60">
        <f t="shared" si="948"/>
        <v>0</v>
      </c>
      <c r="U1561" s="60">
        <f t="shared" si="948"/>
        <v>0</v>
      </c>
      <c r="V1561" s="60">
        <f t="shared" si="948"/>
        <v>0</v>
      </c>
      <c r="W1561" s="60">
        <f t="shared" si="948"/>
        <v>0</v>
      </c>
      <c r="X1561" s="60">
        <f t="shared" si="948"/>
        <v>0</v>
      </c>
    </row>
    <row r="1562" spans="2:24" hidden="1">
      <c r="B1562" s="59" t="str">
        <f t="shared" si="933"/>
        <v/>
      </c>
      <c r="C1562" s="59" t="str">
        <f t="shared" si="933"/>
        <v/>
      </c>
      <c r="D1562" s="59" t="str">
        <f t="shared" si="933"/>
        <v/>
      </c>
      <c r="E1562" s="59" t="str">
        <f t="shared" si="933"/>
        <v/>
      </c>
      <c r="F1562" s="59"/>
      <c r="G1562" s="59"/>
      <c r="H1562" s="59"/>
      <c r="I1562" s="59"/>
      <c r="J1562" s="59"/>
      <c r="K1562" s="60">
        <f t="shared" ref="K1562:X1562" si="949">IF(AND($D1562="tak",OR($E1562="nie dotyczy",$E1562="badania przemysłowe"),K$1421&lt;=Koniec_Projekt),ROUND(K471*K513,0),0)</f>
        <v>0</v>
      </c>
      <c r="L1562" s="60">
        <f t="shared" si="949"/>
        <v>0</v>
      </c>
      <c r="M1562" s="60">
        <f t="shared" si="949"/>
        <v>0</v>
      </c>
      <c r="N1562" s="60">
        <f t="shared" si="949"/>
        <v>0</v>
      </c>
      <c r="O1562" s="60">
        <f t="shared" si="949"/>
        <v>0</v>
      </c>
      <c r="P1562" s="60">
        <f t="shared" si="949"/>
        <v>0</v>
      </c>
      <c r="Q1562" s="60">
        <f t="shared" si="949"/>
        <v>0</v>
      </c>
      <c r="R1562" s="60">
        <f t="shared" si="949"/>
        <v>0</v>
      </c>
      <c r="S1562" s="60">
        <f t="shared" si="949"/>
        <v>0</v>
      </c>
      <c r="T1562" s="60">
        <f t="shared" si="949"/>
        <v>0</v>
      </c>
      <c r="U1562" s="60">
        <f t="shared" si="949"/>
        <v>0</v>
      </c>
      <c r="V1562" s="60">
        <f t="shared" si="949"/>
        <v>0</v>
      </c>
      <c r="W1562" s="60">
        <f t="shared" si="949"/>
        <v>0</v>
      </c>
      <c r="X1562" s="60">
        <f t="shared" si="949"/>
        <v>0</v>
      </c>
    </row>
    <row r="1563" spans="2:24" hidden="1">
      <c r="B1563" s="59" t="str">
        <f t="shared" si="933"/>
        <v/>
      </c>
      <c r="C1563" s="59" t="str">
        <f t="shared" si="933"/>
        <v/>
      </c>
      <c r="D1563" s="59" t="str">
        <f t="shared" si="933"/>
        <v/>
      </c>
      <c r="E1563" s="59" t="str">
        <f t="shared" si="933"/>
        <v/>
      </c>
      <c r="F1563" s="59"/>
      <c r="G1563" s="59"/>
      <c r="H1563" s="59"/>
      <c r="I1563" s="59"/>
      <c r="J1563" s="59"/>
      <c r="K1563" s="60">
        <f t="shared" ref="K1563:X1563" si="950">IF(AND($D1563="tak",OR($E1563="nie dotyczy",$E1563="badania przemysłowe"),K$1421&lt;=Koniec_Projekt),ROUND(K472*K514,0),0)</f>
        <v>0</v>
      </c>
      <c r="L1563" s="60">
        <f t="shared" si="950"/>
        <v>0</v>
      </c>
      <c r="M1563" s="60">
        <f t="shared" si="950"/>
        <v>0</v>
      </c>
      <c r="N1563" s="60">
        <f t="shared" si="950"/>
        <v>0</v>
      </c>
      <c r="O1563" s="60">
        <f t="shared" si="950"/>
        <v>0</v>
      </c>
      <c r="P1563" s="60">
        <f t="shared" si="950"/>
        <v>0</v>
      </c>
      <c r="Q1563" s="60">
        <f t="shared" si="950"/>
        <v>0</v>
      </c>
      <c r="R1563" s="60">
        <f t="shared" si="950"/>
        <v>0</v>
      </c>
      <c r="S1563" s="60">
        <f t="shared" si="950"/>
        <v>0</v>
      </c>
      <c r="T1563" s="60">
        <f t="shared" si="950"/>
        <v>0</v>
      </c>
      <c r="U1563" s="60">
        <f t="shared" si="950"/>
        <v>0</v>
      </c>
      <c r="V1563" s="60">
        <f t="shared" si="950"/>
        <v>0</v>
      </c>
      <c r="W1563" s="60">
        <f t="shared" si="950"/>
        <v>0</v>
      </c>
      <c r="X1563" s="60">
        <f t="shared" si="950"/>
        <v>0</v>
      </c>
    </row>
    <row r="1564" spans="2:24" hidden="1">
      <c r="B1564" s="59" t="str">
        <f t="shared" si="933"/>
        <v/>
      </c>
      <c r="C1564" s="59" t="str">
        <f t="shared" si="933"/>
        <v/>
      </c>
      <c r="D1564" s="59" t="str">
        <f t="shared" si="933"/>
        <v/>
      </c>
      <c r="E1564" s="59" t="str">
        <f t="shared" si="933"/>
        <v/>
      </c>
      <c r="F1564" s="59"/>
      <c r="G1564" s="59"/>
      <c r="H1564" s="59"/>
      <c r="I1564" s="59"/>
      <c r="J1564" s="59"/>
      <c r="K1564" s="60">
        <f t="shared" ref="K1564:X1564" si="951">IF(AND($D1564="tak",OR($E1564="nie dotyczy",$E1564="badania przemysłowe"),K$1421&lt;=Koniec_Projekt),ROUND(K473*K515,0),0)</f>
        <v>0</v>
      </c>
      <c r="L1564" s="60">
        <f t="shared" si="951"/>
        <v>0</v>
      </c>
      <c r="M1564" s="60">
        <f t="shared" si="951"/>
        <v>0</v>
      </c>
      <c r="N1564" s="60">
        <f t="shared" si="951"/>
        <v>0</v>
      </c>
      <c r="O1564" s="60">
        <f t="shared" si="951"/>
        <v>0</v>
      </c>
      <c r="P1564" s="60">
        <f t="shared" si="951"/>
        <v>0</v>
      </c>
      <c r="Q1564" s="60">
        <f t="shared" si="951"/>
        <v>0</v>
      </c>
      <c r="R1564" s="60">
        <f t="shared" si="951"/>
        <v>0</v>
      </c>
      <c r="S1564" s="60">
        <f t="shared" si="951"/>
        <v>0</v>
      </c>
      <c r="T1564" s="60">
        <f t="shared" si="951"/>
        <v>0</v>
      </c>
      <c r="U1564" s="60">
        <f t="shared" si="951"/>
        <v>0</v>
      </c>
      <c r="V1564" s="60">
        <f t="shared" si="951"/>
        <v>0</v>
      </c>
      <c r="W1564" s="60">
        <f t="shared" si="951"/>
        <v>0</v>
      </c>
      <c r="X1564" s="60">
        <f t="shared" si="951"/>
        <v>0</v>
      </c>
    </row>
    <row r="1565" spans="2:24" hidden="1">
      <c r="B1565" s="59" t="str">
        <f t="shared" si="933"/>
        <v/>
      </c>
      <c r="C1565" s="59" t="str">
        <f t="shared" si="933"/>
        <v/>
      </c>
      <c r="D1565" s="59" t="str">
        <f t="shared" si="933"/>
        <v/>
      </c>
      <c r="E1565" s="59" t="str">
        <f t="shared" si="933"/>
        <v/>
      </c>
      <c r="F1565" s="59"/>
      <c r="G1565" s="59"/>
      <c r="H1565" s="59"/>
      <c r="I1565" s="59"/>
      <c r="J1565" s="59"/>
      <c r="K1565" s="60">
        <f t="shared" ref="K1565:X1565" si="952">IF(AND($D1565="tak",OR($E1565="nie dotyczy",$E1565="badania przemysłowe"),K$1421&lt;=Koniec_Projekt),ROUND(K474*K516,0),0)</f>
        <v>0</v>
      </c>
      <c r="L1565" s="60">
        <f t="shared" si="952"/>
        <v>0</v>
      </c>
      <c r="M1565" s="60">
        <f t="shared" si="952"/>
        <v>0</v>
      </c>
      <c r="N1565" s="60">
        <f t="shared" si="952"/>
        <v>0</v>
      </c>
      <c r="O1565" s="60">
        <f t="shared" si="952"/>
        <v>0</v>
      </c>
      <c r="P1565" s="60">
        <f t="shared" si="952"/>
        <v>0</v>
      </c>
      <c r="Q1565" s="60">
        <f t="shared" si="952"/>
        <v>0</v>
      </c>
      <c r="R1565" s="60">
        <f t="shared" si="952"/>
        <v>0</v>
      </c>
      <c r="S1565" s="60">
        <f t="shared" si="952"/>
        <v>0</v>
      </c>
      <c r="T1565" s="60">
        <f t="shared" si="952"/>
        <v>0</v>
      </c>
      <c r="U1565" s="60">
        <f t="shared" si="952"/>
        <v>0</v>
      </c>
      <c r="V1565" s="60">
        <f t="shared" si="952"/>
        <v>0</v>
      </c>
      <c r="W1565" s="60">
        <f t="shared" si="952"/>
        <v>0</v>
      </c>
      <c r="X1565" s="60">
        <f t="shared" si="952"/>
        <v>0</v>
      </c>
    </row>
    <row r="1566" spans="2:24" hidden="1">
      <c r="B1566" s="59" t="str">
        <f t="shared" si="933"/>
        <v/>
      </c>
      <c r="C1566" s="59" t="str">
        <f t="shared" si="933"/>
        <v/>
      </c>
      <c r="D1566" s="59" t="str">
        <f t="shared" si="933"/>
        <v/>
      </c>
      <c r="E1566" s="59" t="str">
        <f t="shared" si="933"/>
        <v/>
      </c>
      <c r="F1566" s="59"/>
      <c r="G1566" s="59"/>
      <c r="H1566" s="59"/>
      <c r="I1566" s="59"/>
      <c r="J1566" s="59"/>
      <c r="K1566" s="60">
        <f t="shared" ref="K1566:X1566" si="953">IF(AND($D1566="tak",OR($E1566="nie dotyczy",$E1566="badania przemysłowe"),K$1421&lt;=Koniec_Projekt),ROUND(K475*K517,0),0)</f>
        <v>0</v>
      </c>
      <c r="L1566" s="60">
        <f t="shared" si="953"/>
        <v>0</v>
      </c>
      <c r="M1566" s="60">
        <f t="shared" si="953"/>
        <v>0</v>
      </c>
      <c r="N1566" s="60">
        <f t="shared" si="953"/>
        <v>0</v>
      </c>
      <c r="O1566" s="60">
        <f t="shared" si="953"/>
        <v>0</v>
      </c>
      <c r="P1566" s="60">
        <f t="shared" si="953"/>
        <v>0</v>
      </c>
      <c r="Q1566" s="60">
        <f t="shared" si="953"/>
        <v>0</v>
      </c>
      <c r="R1566" s="60">
        <f t="shared" si="953"/>
        <v>0</v>
      </c>
      <c r="S1566" s="60">
        <f t="shared" si="953"/>
        <v>0</v>
      </c>
      <c r="T1566" s="60">
        <f t="shared" si="953"/>
        <v>0</v>
      </c>
      <c r="U1566" s="60">
        <f t="shared" si="953"/>
        <v>0</v>
      </c>
      <c r="V1566" s="60">
        <f t="shared" si="953"/>
        <v>0</v>
      </c>
      <c r="W1566" s="60">
        <f t="shared" si="953"/>
        <v>0</v>
      </c>
      <c r="X1566" s="60">
        <f t="shared" si="953"/>
        <v>0</v>
      </c>
    </row>
    <row r="1567" spans="2:24" hidden="1">
      <c r="B1567" s="20" t="s">
        <v>322</v>
      </c>
      <c r="C1567" s="20"/>
      <c r="D1567" s="80"/>
      <c r="E1567" s="21"/>
      <c r="F1567" s="21"/>
      <c r="G1567" s="21"/>
      <c r="H1567" s="21"/>
      <c r="I1567" s="21"/>
      <c r="J1567" s="21"/>
      <c r="K1567" s="61">
        <f t="shared" ref="K1567:X1567" si="954">ROUND(SUM(K1527:K1566),0)</f>
        <v>0</v>
      </c>
      <c r="L1567" s="61">
        <f t="shared" si="954"/>
        <v>0</v>
      </c>
      <c r="M1567" s="61">
        <f t="shared" si="954"/>
        <v>0</v>
      </c>
      <c r="N1567" s="61">
        <f t="shared" si="954"/>
        <v>0</v>
      </c>
      <c r="O1567" s="61">
        <f t="shared" si="954"/>
        <v>0</v>
      </c>
      <c r="P1567" s="61">
        <f t="shared" si="954"/>
        <v>0</v>
      </c>
      <c r="Q1567" s="61">
        <f t="shared" si="954"/>
        <v>0</v>
      </c>
      <c r="R1567" s="61">
        <f t="shared" si="954"/>
        <v>0</v>
      </c>
      <c r="S1567" s="61">
        <f t="shared" si="954"/>
        <v>0</v>
      </c>
      <c r="T1567" s="61">
        <f t="shared" si="954"/>
        <v>0</v>
      </c>
      <c r="U1567" s="61">
        <f t="shared" si="954"/>
        <v>0</v>
      </c>
      <c r="V1567" s="61">
        <f t="shared" si="954"/>
        <v>0</v>
      </c>
      <c r="W1567" s="61">
        <f t="shared" si="954"/>
        <v>0</v>
      </c>
      <c r="X1567" s="61">
        <f t="shared" si="954"/>
        <v>0</v>
      </c>
    </row>
    <row r="1568" spans="2:24" hidden="1">
      <c r="B1568" s="21"/>
      <c r="C1568" s="21"/>
      <c r="D1568" s="80"/>
      <c r="E1568" s="21"/>
      <c r="F1568" s="21"/>
      <c r="G1568" s="21"/>
      <c r="H1568" s="21"/>
      <c r="I1568" s="21"/>
      <c r="J1568" s="21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</row>
    <row r="1569" spans="2:24" hidden="1">
      <c r="B1569" s="21"/>
      <c r="C1569" s="21"/>
      <c r="D1569" s="80"/>
      <c r="E1569" s="21"/>
      <c r="F1569" s="21"/>
      <c r="G1569" s="21"/>
      <c r="H1569" s="21"/>
      <c r="I1569" s="21"/>
      <c r="J1569" s="21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</row>
    <row r="1570" spans="2:24" hidden="1">
      <c r="B1570" s="20" t="s">
        <v>323</v>
      </c>
      <c r="C1570" s="20"/>
      <c r="D1570" s="82" t="s">
        <v>336</v>
      </c>
      <c r="E1570" s="20" t="s">
        <v>337</v>
      </c>
      <c r="F1570" s="21"/>
      <c r="G1570" s="21"/>
      <c r="H1570" s="21"/>
      <c r="I1570" s="21"/>
      <c r="J1570" s="21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</row>
    <row r="1571" spans="2:24" hidden="1">
      <c r="B1571" s="59" t="str">
        <f t="shared" ref="B1571:E1600" si="955">IF(ISBLANK(B1331),"",B1331)</f>
        <v/>
      </c>
      <c r="C1571" s="59" t="str">
        <f t="shared" si="955"/>
        <v/>
      </c>
      <c r="D1571" s="59" t="str">
        <f t="shared" si="955"/>
        <v/>
      </c>
      <c r="E1571" s="59" t="str">
        <f t="shared" si="955"/>
        <v/>
      </c>
      <c r="F1571" s="59"/>
      <c r="G1571" s="59"/>
      <c r="H1571" s="59"/>
      <c r="I1571" s="59"/>
      <c r="J1571" s="59"/>
      <c r="K1571" s="60">
        <f t="shared" ref="K1571:X1571" si="956">IF(AND($D1571="tak",OR($E1571="nie dotyczy",$E1571="badania przemysłowe"),K$1421&lt;=Koniec_Projekt),ROUND(K521*K553,0),0)</f>
        <v>0</v>
      </c>
      <c r="L1571" s="60">
        <f t="shared" si="956"/>
        <v>0</v>
      </c>
      <c r="M1571" s="60">
        <f t="shared" si="956"/>
        <v>0</v>
      </c>
      <c r="N1571" s="60">
        <f t="shared" si="956"/>
        <v>0</v>
      </c>
      <c r="O1571" s="60">
        <f t="shared" si="956"/>
        <v>0</v>
      </c>
      <c r="P1571" s="60">
        <f t="shared" si="956"/>
        <v>0</v>
      </c>
      <c r="Q1571" s="60">
        <f t="shared" si="956"/>
        <v>0</v>
      </c>
      <c r="R1571" s="60">
        <f t="shared" si="956"/>
        <v>0</v>
      </c>
      <c r="S1571" s="60">
        <f t="shared" si="956"/>
        <v>0</v>
      </c>
      <c r="T1571" s="60">
        <f t="shared" si="956"/>
        <v>0</v>
      </c>
      <c r="U1571" s="60">
        <f t="shared" si="956"/>
        <v>0</v>
      </c>
      <c r="V1571" s="60">
        <f t="shared" si="956"/>
        <v>0</v>
      </c>
      <c r="W1571" s="60">
        <f t="shared" si="956"/>
        <v>0</v>
      </c>
      <c r="X1571" s="60">
        <f t="shared" si="956"/>
        <v>0</v>
      </c>
    </row>
    <row r="1572" spans="2:24" hidden="1">
      <c r="B1572" s="59" t="str">
        <f t="shared" si="955"/>
        <v/>
      </c>
      <c r="C1572" s="59" t="str">
        <f t="shared" si="955"/>
        <v/>
      </c>
      <c r="D1572" s="59" t="str">
        <f t="shared" si="955"/>
        <v/>
      </c>
      <c r="E1572" s="59" t="str">
        <f t="shared" si="955"/>
        <v/>
      </c>
      <c r="F1572" s="59"/>
      <c r="G1572" s="59"/>
      <c r="H1572" s="59"/>
      <c r="I1572" s="59"/>
      <c r="J1572" s="59"/>
      <c r="K1572" s="60">
        <f t="shared" ref="K1572:X1572" si="957">IF(AND($D1572="tak",OR($E1572="nie dotyczy",$E1572="badania przemysłowe"),K$1421&lt;=Koniec_Projekt),ROUND(K522*K554,0),0)</f>
        <v>0</v>
      </c>
      <c r="L1572" s="60">
        <f t="shared" si="957"/>
        <v>0</v>
      </c>
      <c r="M1572" s="60">
        <f t="shared" si="957"/>
        <v>0</v>
      </c>
      <c r="N1572" s="60">
        <f t="shared" si="957"/>
        <v>0</v>
      </c>
      <c r="O1572" s="60">
        <f t="shared" si="957"/>
        <v>0</v>
      </c>
      <c r="P1572" s="60">
        <f t="shared" si="957"/>
        <v>0</v>
      </c>
      <c r="Q1572" s="60">
        <f t="shared" si="957"/>
        <v>0</v>
      </c>
      <c r="R1572" s="60">
        <f t="shared" si="957"/>
        <v>0</v>
      </c>
      <c r="S1572" s="60">
        <f t="shared" si="957"/>
        <v>0</v>
      </c>
      <c r="T1572" s="60">
        <f t="shared" si="957"/>
        <v>0</v>
      </c>
      <c r="U1572" s="60">
        <f t="shared" si="957"/>
        <v>0</v>
      </c>
      <c r="V1572" s="60">
        <f t="shared" si="957"/>
        <v>0</v>
      </c>
      <c r="W1572" s="60">
        <f t="shared" si="957"/>
        <v>0</v>
      </c>
      <c r="X1572" s="60">
        <f t="shared" si="957"/>
        <v>0</v>
      </c>
    </row>
    <row r="1573" spans="2:24" hidden="1">
      <c r="B1573" s="59" t="str">
        <f t="shared" si="955"/>
        <v/>
      </c>
      <c r="C1573" s="59" t="str">
        <f t="shared" si="955"/>
        <v/>
      </c>
      <c r="D1573" s="59" t="str">
        <f t="shared" si="955"/>
        <v/>
      </c>
      <c r="E1573" s="59" t="str">
        <f t="shared" si="955"/>
        <v/>
      </c>
      <c r="F1573" s="59"/>
      <c r="G1573" s="59"/>
      <c r="H1573" s="59"/>
      <c r="I1573" s="59"/>
      <c r="J1573" s="59"/>
      <c r="K1573" s="60">
        <f t="shared" ref="K1573:X1573" si="958">IF(AND($D1573="tak",OR($E1573="nie dotyczy",$E1573="badania przemysłowe"),K$1421&lt;=Koniec_Projekt),ROUND(K523*K555,0),0)</f>
        <v>0</v>
      </c>
      <c r="L1573" s="60">
        <f t="shared" si="958"/>
        <v>0</v>
      </c>
      <c r="M1573" s="60">
        <f t="shared" si="958"/>
        <v>0</v>
      </c>
      <c r="N1573" s="60">
        <f t="shared" si="958"/>
        <v>0</v>
      </c>
      <c r="O1573" s="60">
        <f t="shared" si="958"/>
        <v>0</v>
      </c>
      <c r="P1573" s="60">
        <f t="shared" si="958"/>
        <v>0</v>
      </c>
      <c r="Q1573" s="60">
        <f t="shared" si="958"/>
        <v>0</v>
      </c>
      <c r="R1573" s="60">
        <f t="shared" si="958"/>
        <v>0</v>
      </c>
      <c r="S1573" s="60">
        <f t="shared" si="958"/>
        <v>0</v>
      </c>
      <c r="T1573" s="60">
        <f t="shared" si="958"/>
        <v>0</v>
      </c>
      <c r="U1573" s="60">
        <f t="shared" si="958"/>
        <v>0</v>
      </c>
      <c r="V1573" s="60">
        <f t="shared" si="958"/>
        <v>0</v>
      </c>
      <c r="W1573" s="60">
        <f t="shared" si="958"/>
        <v>0</v>
      </c>
      <c r="X1573" s="60">
        <f t="shared" si="958"/>
        <v>0</v>
      </c>
    </row>
    <row r="1574" spans="2:24" hidden="1">
      <c r="B1574" s="59" t="str">
        <f t="shared" si="955"/>
        <v/>
      </c>
      <c r="C1574" s="59" t="str">
        <f t="shared" si="955"/>
        <v/>
      </c>
      <c r="D1574" s="59" t="str">
        <f t="shared" si="955"/>
        <v/>
      </c>
      <c r="E1574" s="59" t="str">
        <f t="shared" si="955"/>
        <v/>
      </c>
      <c r="F1574" s="59"/>
      <c r="G1574" s="59"/>
      <c r="H1574" s="59"/>
      <c r="I1574" s="59"/>
      <c r="J1574" s="59"/>
      <c r="K1574" s="60">
        <f t="shared" ref="K1574:X1574" si="959">IF(AND($D1574="tak",OR($E1574="nie dotyczy",$E1574="badania przemysłowe"),K$1421&lt;=Koniec_Projekt),ROUND(K524*K556,0),0)</f>
        <v>0</v>
      </c>
      <c r="L1574" s="60">
        <f t="shared" si="959"/>
        <v>0</v>
      </c>
      <c r="M1574" s="60">
        <f t="shared" si="959"/>
        <v>0</v>
      </c>
      <c r="N1574" s="60">
        <f t="shared" si="959"/>
        <v>0</v>
      </c>
      <c r="O1574" s="60">
        <f t="shared" si="959"/>
        <v>0</v>
      </c>
      <c r="P1574" s="60">
        <f t="shared" si="959"/>
        <v>0</v>
      </c>
      <c r="Q1574" s="60">
        <f t="shared" si="959"/>
        <v>0</v>
      </c>
      <c r="R1574" s="60">
        <f t="shared" si="959"/>
        <v>0</v>
      </c>
      <c r="S1574" s="60">
        <f t="shared" si="959"/>
        <v>0</v>
      </c>
      <c r="T1574" s="60">
        <f t="shared" si="959"/>
        <v>0</v>
      </c>
      <c r="U1574" s="60">
        <f t="shared" si="959"/>
        <v>0</v>
      </c>
      <c r="V1574" s="60">
        <f t="shared" si="959"/>
        <v>0</v>
      </c>
      <c r="W1574" s="60">
        <f t="shared" si="959"/>
        <v>0</v>
      </c>
      <c r="X1574" s="60">
        <f t="shared" si="959"/>
        <v>0</v>
      </c>
    </row>
    <row r="1575" spans="2:24" hidden="1">
      <c r="B1575" s="59" t="str">
        <f t="shared" si="955"/>
        <v/>
      </c>
      <c r="C1575" s="59" t="str">
        <f t="shared" si="955"/>
        <v/>
      </c>
      <c r="D1575" s="59" t="str">
        <f t="shared" si="955"/>
        <v/>
      </c>
      <c r="E1575" s="59" t="str">
        <f t="shared" si="955"/>
        <v/>
      </c>
      <c r="F1575" s="59"/>
      <c r="G1575" s="59"/>
      <c r="H1575" s="59"/>
      <c r="I1575" s="59"/>
      <c r="J1575" s="59"/>
      <c r="K1575" s="60">
        <f t="shared" ref="K1575:X1575" si="960">IF(AND($D1575="tak",OR($E1575="nie dotyczy",$E1575="badania przemysłowe"),K$1421&lt;=Koniec_Projekt),ROUND(K525*K557,0),0)</f>
        <v>0</v>
      </c>
      <c r="L1575" s="60">
        <f t="shared" si="960"/>
        <v>0</v>
      </c>
      <c r="M1575" s="60">
        <f t="shared" si="960"/>
        <v>0</v>
      </c>
      <c r="N1575" s="60">
        <f t="shared" si="960"/>
        <v>0</v>
      </c>
      <c r="O1575" s="60">
        <f t="shared" si="960"/>
        <v>0</v>
      </c>
      <c r="P1575" s="60">
        <f t="shared" si="960"/>
        <v>0</v>
      </c>
      <c r="Q1575" s="60">
        <f t="shared" si="960"/>
        <v>0</v>
      </c>
      <c r="R1575" s="60">
        <f t="shared" si="960"/>
        <v>0</v>
      </c>
      <c r="S1575" s="60">
        <f t="shared" si="960"/>
        <v>0</v>
      </c>
      <c r="T1575" s="60">
        <f t="shared" si="960"/>
        <v>0</v>
      </c>
      <c r="U1575" s="60">
        <f t="shared" si="960"/>
        <v>0</v>
      </c>
      <c r="V1575" s="60">
        <f t="shared" si="960"/>
        <v>0</v>
      </c>
      <c r="W1575" s="60">
        <f t="shared" si="960"/>
        <v>0</v>
      </c>
      <c r="X1575" s="60">
        <f t="shared" si="960"/>
        <v>0</v>
      </c>
    </row>
    <row r="1576" spans="2:24" hidden="1">
      <c r="B1576" s="59" t="str">
        <f t="shared" si="955"/>
        <v/>
      </c>
      <c r="C1576" s="59" t="str">
        <f t="shared" si="955"/>
        <v/>
      </c>
      <c r="D1576" s="59" t="str">
        <f t="shared" si="955"/>
        <v/>
      </c>
      <c r="E1576" s="59" t="str">
        <f t="shared" si="955"/>
        <v/>
      </c>
      <c r="F1576" s="59"/>
      <c r="G1576" s="59"/>
      <c r="H1576" s="59"/>
      <c r="I1576" s="59"/>
      <c r="J1576" s="59"/>
      <c r="K1576" s="60">
        <f t="shared" ref="K1576:X1576" si="961">IF(AND($D1576="tak",OR($E1576="nie dotyczy",$E1576="badania przemysłowe"),K$1421&lt;=Koniec_Projekt),ROUND(K526*K558,0),0)</f>
        <v>0</v>
      </c>
      <c r="L1576" s="60">
        <f t="shared" si="961"/>
        <v>0</v>
      </c>
      <c r="M1576" s="60">
        <f t="shared" si="961"/>
        <v>0</v>
      </c>
      <c r="N1576" s="60">
        <f t="shared" si="961"/>
        <v>0</v>
      </c>
      <c r="O1576" s="60">
        <f t="shared" si="961"/>
        <v>0</v>
      </c>
      <c r="P1576" s="60">
        <f t="shared" si="961"/>
        <v>0</v>
      </c>
      <c r="Q1576" s="60">
        <f t="shared" si="961"/>
        <v>0</v>
      </c>
      <c r="R1576" s="60">
        <f t="shared" si="961"/>
        <v>0</v>
      </c>
      <c r="S1576" s="60">
        <f t="shared" si="961"/>
        <v>0</v>
      </c>
      <c r="T1576" s="60">
        <f t="shared" si="961"/>
        <v>0</v>
      </c>
      <c r="U1576" s="60">
        <f t="shared" si="961"/>
        <v>0</v>
      </c>
      <c r="V1576" s="60">
        <f t="shared" si="961"/>
        <v>0</v>
      </c>
      <c r="W1576" s="60">
        <f t="shared" si="961"/>
        <v>0</v>
      </c>
      <c r="X1576" s="60">
        <f t="shared" si="961"/>
        <v>0</v>
      </c>
    </row>
    <row r="1577" spans="2:24" hidden="1">
      <c r="B1577" s="59" t="str">
        <f t="shared" si="955"/>
        <v/>
      </c>
      <c r="C1577" s="59" t="str">
        <f t="shared" si="955"/>
        <v/>
      </c>
      <c r="D1577" s="59" t="str">
        <f t="shared" si="955"/>
        <v/>
      </c>
      <c r="E1577" s="59" t="str">
        <f t="shared" si="955"/>
        <v/>
      </c>
      <c r="F1577" s="59"/>
      <c r="G1577" s="59"/>
      <c r="H1577" s="59"/>
      <c r="I1577" s="59"/>
      <c r="J1577" s="59"/>
      <c r="K1577" s="60">
        <f t="shared" ref="K1577:X1577" si="962">IF(AND($D1577="tak",OR($E1577="nie dotyczy",$E1577="badania przemysłowe"),K$1421&lt;=Koniec_Projekt),ROUND(K527*K559,0),0)</f>
        <v>0</v>
      </c>
      <c r="L1577" s="60">
        <f t="shared" si="962"/>
        <v>0</v>
      </c>
      <c r="M1577" s="60">
        <f t="shared" si="962"/>
        <v>0</v>
      </c>
      <c r="N1577" s="60">
        <f t="shared" si="962"/>
        <v>0</v>
      </c>
      <c r="O1577" s="60">
        <f t="shared" si="962"/>
        <v>0</v>
      </c>
      <c r="P1577" s="60">
        <f t="shared" si="962"/>
        <v>0</v>
      </c>
      <c r="Q1577" s="60">
        <f t="shared" si="962"/>
        <v>0</v>
      </c>
      <c r="R1577" s="60">
        <f t="shared" si="962"/>
        <v>0</v>
      </c>
      <c r="S1577" s="60">
        <f t="shared" si="962"/>
        <v>0</v>
      </c>
      <c r="T1577" s="60">
        <f t="shared" si="962"/>
        <v>0</v>
      </c>
      <c r="U1577" s="60">
        <f t="shared" si="962"/>
        <v>0</v>
      </c>
      <c r="V1577" s="60">
        <f t="shared" si="962"/>
        <v>0</v>
      </c>
      <c r="W1577" s="60">
        <f t="shared" si="962"/>
        <v>0</v>
      </c>
      <c r="X1577" s="60">
        <f t="shared" si="962"/>
        <v>0</v>
      </c>
    </row>
    <row r="1578" spans="2:24" hidden="1">
      <c r="B1578" s="59" t="str">
        <f t="shared" si="955"/>
        <v/>
      </c>
      <c r="C1578" s="59" t="str">
        <f t="shared" si="955"/>
        <v/>
      </c>
      <c r="D1578" s="59" t="str">
        <f t="shared" si="955"/>
        <v/>
      </c>
      <c r="E1578" s="59" t="str">
        <f t="shared" si="955"/>
        <v/>
      </c>
      <c r="F1578" s="59"/>
      <c r="G1578" s="59"/>
      <c r="H1578" s="59"/>
      <c r="I1578" s="59"/>
      <c r="J1578" s="59"/>
      <c r="K1578" s="60">
        <f t="shared" ref="K1578:X1578" si="963">IF(AND($D1578="tak",OR($E1578="nie dotyczy",$E1578="badania przemysłowe"),K$1421&lt;=Koniec_Projekt),ROUND(K528*K560,0),0)</f>
        <v>0</v>
      </c>
      <c r="L1578" s="60">
        <f t="shared" si="963"/>
        <v>0</v>
      </c>
      <c r="M1578" s="60">
        <f t="shared" si="963"/>
        <v>0</v>
      </c>
      <c r="N1578" s="60">
        <f t="shared" si="963"/>
        <v>0</v>
      </c>
      <c r="O1578" s="60">
        <f t="shared" si="963"/>
        <v>0</v>
      </c>
      <c r="P1578" s="60">
        <f t="shared" si="963"/>
        <v>0</v>
      </c>
      <c r="Q1578" s="60">
        <f t="shared" si="963"/>
        <v>0</v>
      </c>
      <c r="R1578" s="60">
        <f t="shared" si="963"/>
        <v>0</v>
      </c>
      <c r="S1578" s="60">
        <f t="shared" si="963"/>
        <v>0</v>
      </c>
      <c r="T1578" s="60">
        <f t="shared" si="963"/>
        <v>0</v>
      </c>
      <c r="U1578" s="60">
        <f t="shared" si="963"/>
        <v>0</v>
      </c>
      <c r="V1578" s="60">
        <f t="shared" si="963"/>
        <v>0</v>
      </c>
      <c r="W1578" s="60">
        <f t="shared" si="963"/>
        <v>0</v>
      </c>
      <c r="X1578" s="60">
        <f t="shared" si="963"/>
        <v>0</v>
      </c>
    </row>
    <row r="1579" spans="2:24" hidden="1">
      <c r="B1579" s="59" t="str">
        <f t="shared" si="955"/>
        <v/>
      </c>
      <c r="C1579" s="59" t="str">
        <f t="shared" si="955"/>
        <v/>
      </c>
      <c r="D1579" s="59" t="str">
        <f t="shared" si="955"/>
        <v/>
      </c>
      <c r="E1579" s="59" t="str">
        <f t="shared" si="955"/>
        <v/>
      </c>
      <c r="F1579" s="59"/>
      <c r="G1579" s="59"/>
      <c r="H1579" s="59"/>
      <c r="I1579" s="59"/>
      <c r="J1579" s="59"/>
      <c r="K1579" s="60">
        <f t="shared" ref="K1579:X1579" si="964">IF(AND($D1579="tak",OR($E1579="nie dotyczy",$E1579="badania przemysłowe"),K$1421&lt;=Koniec_Projekt),ROUND(K529*K561,0),0)</f>
        <v>0</v>
      </c>
      <c r="L1579" s="60">
        <f t="shared" si="964"/>
        <v>0</v>
      </c>
      <c r="M1579" s="60">
        <f t="shared" si="964"/>
        <v>0</v>
      </c>
      <c r="N1579" s="60">
        <f t="shared" si="964"/>
        <v>0</v>
      </c>
      <c r="O1579" s="60">
        <f t="shared" si="964"/>
        <v>0</v>
      </c>
      <c r="P1579" s="60">
        <f t="shared" si="964"/>
        <v>0</v>
      </c>
      <c r="Q1579" s="60">
        <f t="shared" si="964"/>
        <v>0</v>
      </c>
      <c r="R1579" s="60">
        <f t="shared" si="964"/>
        <v>0</v>
      </c>
      <c r="S1579" s="60">
        <f t="shared" si="964"/>
        <v>0</v>
      </c>
      <c r="T1579" s="60">
        <f t="shared" si="964"/>
        <v>0</v>
      </c>
      <c r="U1579" s="60">
        <f t="shared" si="964"/>
        <v>0</v>
      </c>
      <c r="V1579" s="60">
        <f t="shared" si="964"/>
        <v>0</v>
      </c>
      <c r="W1579" s="60">
        <f t="shared" si="964"/>
        <v>0</v>
      </c>
      <c r="X1579" s="60">
        <f t="shared" si="964"/>
        <v>0</v>
      </c>
    </row>
    <row r="1580" spans="2:24" hidden="1">
      <c r="B1580" s="59" t="str">
        <f t="shared" si="955"/>
        <v/>
      </c>
      <c r="C1580" s="59" t="str">
        <f t="shared" si="955"/>
        <v/>
      </c>
      <c r="D1580" s="59" t="str">
        <f t="shared" si="955"/>
        <v/>
      </c>
      <c r="E1580" s="59" t="str">
        <f t="shared" si="955"/>
        <v/>
      </c>
      <c r="F1580" s="59"/>
      <c r="G1580" s="59"/>
      <c r="H1580" s="59"/>
      <c r="I1580" s="59"/>
      <c r="J1580" s="59"/>
      <c r="K1580" s="60">
        <f t="shared" ref="K1580:X1580" si="965">IF(AND($D1580="tak",OR($E1580="nie dotyczy",$E1580="badania przemysłowe"),K$1421&lt;=Koniec_Projekt),ROUND(K530*K562,0),0)</f>
        <v>0</v>
      </c>
      <c r="L1580" s="60">
        <f t="shared" si="965"/>
        <v>0</v>
      </c>
      <c r="M1580" s="60">
        <f t="shared" si="965"/>
        <v>0</v>
      </c>
      <c r="N1580" s="60">
        <f t="shared" si="965"/>
        <v>0</v>
      </c>
      <c r="O1580" s="60">
        <f t="shared" si="965"/>
        <v>0</v>
      </c>
      <c r="P1580" s="60">
        <f t="shared" si="965"/>
        <v>0</v>
      </c>
      <c r="Q1580" s="60">
        <f t="shared" si="965"/>
        <v>0</v>
      </c>
      <c r="R1580" s="60">
        <f t="shared" si="965"/>
        <v>0</v>
      </c>
      <c r="S1580" s="60">
        <f t="shared" si="965"/>
        <v>0</v>
      </c>
      <c r="T1580" s="60">
        <f t="shared" si="965"/>
        <v>0</v>
      </c>
      <c r="U1580" s="60">
        <f t="shared" si="965"/>
        <v>0</v>
      </c>
      <c r="V1580" s="60">
        <f t="shared" si="965"/>
        <v>0</v>
      </c>
      <c r="W1580" s="60">
        <f t="shared" si="965"/>
        <v>0</v>
      </c>
      <c r="X1580" s="60">
        <f t="shared" si="965"/>
        <v>0</v>
      </c>
    </row>
    <row r="1581" spans="2:24" hidden="1">
      <c r="B1581" s="59" t="str">
        <f t="shared" si="955"/>
        <v/>
      </c>
      <c r="C1581" s="59" t="str">
        <f t="shared" si="955"/>
        <v/>
      </c>
      <c r="D1581" s="59" t="str">
        <f t="shared" si="955"/>
        <v/>
      </c>
      <c r="E1581" s="59" t="str">
        <f t="shared" si="955"/>
        <v/>
      </c>
      <c r="F1581" s="59"/>
      <c r="G1581" s="59"/>
      <c r="H1581" s="59"/>
      <c r="I1581" s="59"/>
      <c r="J1581" s="59"/>
      <c r="K1581" s="60">
        <f t="shared" ref="K1581:X1581" si="966">IF(AND($D1581="tak",OR($E1581="nie dotyczy",$E1581="badania przemysłowe"),K$1421&lt;=Koniec_Projekt),ROUND(K531*K563,0),0)</f>
        <v>0</v>
      </c>
      <c r="L1581" s="60">
        <f t="shared" si="966"/>
        <v>0</v>
      </c>
      <c r="M1581" s="60">
        <f t="shared" si="966"/>
        <v>0</v>
      </c>
      <c r="N1581" s="60">
        <f t="shared" si="966"/>
        <v>0</v>
      </c>
      <c r="O1581" s="60">
        <f t="shared" si="966"/>
        <v>0</v>
      </c>
      <c r="P1581" s="60">
        <f t="shared" si="966"/>
        <v>0</v>
      </c>
      <c r="Q1581" s="60">
        <f t="shared" si="966"/>
        <v>0</v>
      </c>
      <c r="R1581" s="60">
        <f t="shared" si="966"/>
        <v>0</v>
      </c>
      <c r="S1581" s="60">
        <f t="shared" si="966"/>
        <v>0</v>
      </c>
      <c r="T1581" s="60">
        <f t="shared" si="966"/>
        <v>0</v>
      </c>
      <c r="U1581" s="60">
        <f t="shared" si="966"/>
        <v>0</v>
      </c>
      <c r="V1581" s="60">
        <f t="shared" si="966"/>
        <v>0</v>
      </c>
      <c r="W1581" s="60">
        <f t="shared" si="966"/>
        <v>0</v>
      </c>
      <c r="X1581" s="60">
        <f t="shared" si="966"/>
        <v>0</v>
      </c>
    </row>
    <row r="1582" spans="2:24" hidden="1">
      <c r="B1582" s="59" t="str">
        <f t="shared" si="955"/>
        <v/>
      </c>
      <c r="C1582" s="59" t="str">
        <f t="shared" si="955"/>
        <v/>
      </c>
      <c r="D1582" s="59" t="str">
        <f t="shared" si="955"/>
        <v/>
      </c>
      <c r="E1582" s="59" t="str">
        <f t="shared" si="955"/>
        <v/>
      </c>
      <c r="F1582" s="59"/>
      <c r="G1582" s="59"/>
      <c r="H1582" s="59"/>
      <c r="I1582" s="59"/>
      <c r="J1582" s="59"/>
      <c r="K1582" s="60">
        <f t="shared" ref="K1582:X1582" si="967">IF(AND($D1582="tak",OR($E1582="nie dotyczy",$E1582="badania przemysłowe"),K$1421&lt;=Koniec_Projekt),ROUND(K532*K564,0),0)</f>
        <v>0</v>
      </c>
      <c r="L1582" s="60">
        <f t="shared" si="967"/>
        <v>0</v>
      </c>
      <c r="M1582" s="60">
        <f t="shared" si="967"/>
        <v>0</v>
      </c>
      <c r="N1582" s="60">
        <f t="shared" si="967"/>
        <v>0</v>
      </c>
      <c r="O1582" s="60">
        <f t="shared" si="967"/>
        <v>0</v>
      </c>
      <c r="P1582" s="60">
        <f t="shared" si="967"/>
        <v>0</v>
      </c>
      <c r="Q1582" s="60">
        <f t="shared" si="967"/>
        <v>0</v>
      </c>
      <c r="R1582" s="60">
        <f t="shared" si="967"/>
        <v>0</v>
      </c>
      <c r="S1582" s="60">
        <f t="shared" si="967"/>
        <v>0</v>
      </c>
      <c r="T1582" s="60">
        <f t="shared" si="967"/>
        <v>0</v>
      </c>
      <c r="U1582" s="60">
        <f t="shared" si="967"/>
        <v>0</v>
      </c>
      <c r="V1582" s="60">
        <f t="shared" si="967"/>
        <v>0</v>
      </c>
      <c r="W1582" s="60">
        <f t="shared" si="967"/>
        <v>0</v>
      </c>
      <c r="X1582" s="60">
        <f t="shared" si="967"/>
        <v>0</v>
      </c>
    </row>
    <row r="1583" spans="2:24" hidden="1">
      <c r="B1583" s="59" t="str">
        <f t="shared" si="955"/>
        <v/>
      </c>
      <c r="C1583" s="59" t="str">
        <f t="shared" si="955"/>
        <v/>
      </c>
      <c r="D1583" s="59" t="str">
        <f t="shared" si="955"/>
        <v/>
      </c>
      <c r="E1583" s="59" t="str">
        <f t="shared" si="955"/>
        <v/>
      </c>
      <c r="F1583" s="59"/>
      <c r="G1583" s="59"/>
      <c r="H1583" s="59"/>
      <c r="I1583" s="59"/>
      <c r="J1583" s="59"/>
      <c r="K1583" s="60">
        <f t="shared" ref="K1583:X1583" si="968">IF(AND($D1583="tak",OR($E1583="nie dotyczy",$E1583="badania przemysłowe"),K$1421&lt;=Koniec_Projekt),ROUND(K533*K565,0),0)</f>
        <v>0</v>
      </c>
      <c r="L1583" s="60">
        <f t="shared" si="968"/>
        <v>0</v>
      </c>
      <c r="M1583" s="60">
        <f t="shared" si="968"/>
        <v>0</v>
      </c>
      <c r="N1583" s="60">
        <f t="shared" si="968"/>
        <v>0</v>
      </c>
      <c r="O1583" s="60">
        <f t="shared" si="968"/>
        <v>0</v>
      </c>
      <c r="P1583" s="60">
        <f t="shared" si="968"/>
        <v>0</v>
      </c>
      <c r="Q1583" s="60">
        <f t="shared" si="968"/>
        <v>0</v>
      </c>
      <c r="R1583" s="60">
        <f t="shared" si="968"/>
        <v>0</v>
      </c>
      <c r="S1583" s="60">
        <f t="shared" si="968"/>
        <v>0</v>
      </c>
      <c r="T1583" s="60">
        <f t="shared" si="968"/>
        <v>0</v>
      </c>
      <c r="U1583" s="60">
        <f t="shared" si="968"/>
        <v>0</v>
      </c>
      <c r="V1583" s="60">
        <f t="shared" si="968"/>
        <v>0</v>
      </c>
      <c r="W1583" s="60">
        <f t="shared" si="968"/>
        <v>0</v>
      </c>
      <c r="X1583" s="60">
        <f t="shared" si="968"/>
        <v>0</v>
      </c>
    </row>
    <row r="1584" spans="2:24" hidden="1">
      <c r="B1584" s="59" t="str">
        <f t="shared" si="955"/>
        <v/>
      </c>
      <c r="C1584" s="59" t="str">
        <f t="shared" si="955"/>
        <v/>
      </c>
      <c r="D1584" s="59" t="str">
        <f t="shared" si="955"/>
        <v/>
      </c>
      <c r="E1584" s="59" t="str">
        <f t="shared" si="955"/>
        <v/>
      </c>
      <c r="F1584" s="59"/>
      <c r="G1584" s="59"/>
      <c r="H1584" s="59"/>
      <c r="I1584" s="59"/>
      <c r="J1584" s="59"/>
      <c r="K1584" s="60">
        <f t="shared" ref="K1584:X1584" si="969">IF(AND($D1584="tak",OR($E1584="nie dotyczy",$E1584="badania przemysłowe"),K$1421&lt;=Koniec_Projekt),ROUND(K534*K566,0),0)</f>
        <v>0</v>
      </c>
      <c r="L1584" s="60">
        <f t="shared" si="969"/>
        <v>0</v>
      </c>
      <c r="M1584" s="60">
        <f t="shared" si="969"/>
        <v>0</v>
      </c>
      <c r="N1584" s="60">
        <f t="shared" si="969"/>
        <v>0</v>
      </c>
      <c r="O1584" s="60">
        <f t="shared" si="969"/>
        <v>0</v>
      </c>
      <c r="P1584" s="60">
        <f t="shared" si="969"/>
        <v>0</v>
      </c>
      <c r="Q1584" s="60">
        <f t="shared" si="969"/>
        <v>0</v>
      </c>
      <c r="R1584" s="60">
        <f t="shared" si="969"/>
        <v>0</v>
      </c>
      <c r="S1584" s="60">
        <f t="shared" si="969"/>
        <v>0</v>
      </c>
      <c r="T1584" s="60">
        <f t="shared" si="969"/>
        <v>0</v>
      </c>
      <c r="U1584" s="60">
        <f t="shared" si="969"/>
        <v>0</v>
      </c>
      <c r="V1584" s="60">
        <f t="shared" si="969"/>
        <v>0</v>
      </c>
      <c r="W1584" s="60">
        <f t="shared" si="969"/>
        <v>0</v>
      </c>
      <c r="X1584" s="60">
        <f t="shared" si="969"/>
        <v>0</v>
      </c>
    </row>
    <row r="1585" spans="2:24" hidden="1">
      <c r="B1585" s="59" t="str">
        <f t="shared" si="955"/>
        <v/>
      </c>
      <c r="C1585" s="59" t="str">
        <f t="shared" si="955"/>
        <v/>
      </c>
      <c r="D1585" s="59" t="str">
        <f t="shared" si="955"/>
        <v/>
      </c>
      <c r="E1585" s="59" t="str">
        <f t="shared" si="955"/>
        <v/>
      </c>
      <c r="F1585" s="59"/>
      <c r="G1585" s="59"/>
      <c r="H1585" s="59"/>
      <c r="I1585" s="59"/>
      <c r="J1585" s="59"/>
      <c r="K1585" s="60">
        <f t="shared" ref="K1585:X1585" si="970">IF(AND($D1585="tak",OR($E1585="nie dotyczy",$E1585="badania przemysłowe"),K$1421&lt;=Koniec_Projekt),ROUND(K535*K567,0),0)</f>
        <v>0</v>
      </c>
      <c r="L1585" s="60">
        <f t="shared" si="970"/>
        <v>0</v>
      </c>
      <c r="M1585" s="60">
        <f t="shared" si="970"/>
        <v>0</v>
      </c>
      <c r="N1585" s="60">
        <f t="shared" si="970"/>
        <v>0</v>
      </c>
      <c r="O1585" s="60">
        <f t="shared" si="970"/>
        <v>0</v>
      </c>
      <c r="P1585" s="60">
        <f t="shared" si="970"/>
        <v>0</v>
      </c>
      <c r="Q1585" s="60">
        <f t="shared" si="970"/>
        <v>0</v>
      </c>
      <c r="R1585" s="60">
        <f t="shared" si="970"/>
        <v>0</v>
      </c>
      <c r="S1585" s="60">
        <f t="shared" si="970"/>
        <v>0</v>
      </c>
      <c r="T1585" s="60">
        <f t="shared" si="970"/>
        <v>0</v>
      </c>
      <c r="U1585" s="60">
        <f t="shared" si="970"/>
        <v>0</v>
      </c>
      <c r="V1585" s="60">
        <f t="shared" si="970"/>
        <v>0</v>
      </c>
      <c r="W1585" s="60">
        <f t="shared" si="970"/>
        <v>0</v>
      </c>
      <c r="X1585" s="60">
        <f t="shared" si="970"/>
        <v>0</v>
      </c>
    </row>
    <row r="1586" spans="2:24" hidden="1">
      <c r="B1586" s="59" t="str">
        <f t="shared" si="955"/>
        <v/>
      </c>
      <c r="C1586" s="59" t="str">
        <f t="shared" si="955"/>
        <v/>
      </c>
      <c r="D1586" s="59" t="str">
        <f t="shared" si="955"/>
        <v/>
      </c>
      <c r="E1586" s="59" t="str">
        <f t="shared" si="955"/>
        <v/>
      </c>
      <c r="F1586" s="59"/>
      <c r="G1586" s="59"/>
      <c r="H1586" s="59"/>
      <c r="I1586" s="59"/>
      <c r="J1586" s="59"/>
      <c r="K1586" s="60">
        <f t="shared" ref="K1586:X1586" si="971">IF(AND($D1586="tak",OR($E1586="nie dotyczy",$E1586="badania przemysłowe"),K$1421&lt;=Koniec_Projekt),ROUND(K536*K568,0),0)</f>
        <v>0</v>
      </c>
      <c r="L1586" s="60">
        <f t="shared" si="971"/>
        <v>0</v>
      </c>
      <c r="M1586" s="60">
        <f t="shared" si="971"/>
        <v>0</v>
      </c>
      <c r="N1586" s="60">
        <f t="shared" si="971"/>
        <v>0</v>
      </c>
      <c r="O1586" s="60">
        <f t="shared" si="971"/>
        <v>0</v>
      </c>
      <c r="P1586" s="60">
        <f t="shared" si="971"/>
        <v>0</v>
      </c>
      <c r="Q1586" s="60">
        <f t="shared" si="971"/>
        <v>0</v>
      </c>
      <c r="R1586" s="60">
        <f t="shared" si="971"/>
        <v>0</v>
      </c>
      <c r="S1586" s="60">
        <f t="shared" si="971"/>
        <v>0</v>
      </c>
      <c r="T1586" s="60">
        <f t="shared" si="971"/>
        <v>0</v>
      </c>
      <c r="U1586" s="60">
        <f t="shared" si="971"/>
        <v>0</v>
      </c>
      <c r="V1586" s="60">
        <f t="shared" si="971"/>
        <v>0</v>
      </c>
      <c r="W1586" s="60">
        <f t="shared" si="971"/>
        <v>0</v>
      </c>
      <c r="X1586" s="60">
        <f t="shared" si="971"/>
        <v>0</v>
      </c>
    </row>
    <row r="1587" spans="2:24" hidden="1">
      <c r="B1587" s="59" t="str">
        <f t="shared" si="955"/>
        <v/>
      </c>
      <c r="C1587" s="59" t="str">
        <f t="shared" si="955"/>
        <v/>
      </c>
      <c r="D1587" s="59" t="str">
        <f t="shared" si="955"/>
        <v/>
      </c>
      <c r="E1587" s="59" t="str">
        <f t="shared" si="955"/>
        <v/>
      </c>
      <c r="F1587" s="59"/>
      <c r="G1587" s="59"/>
      <c r="H1587" s="59"/>
      <c r="I1587" s="59"/>
      <c r="J1587" s="59"/>
      <c r="K1587" s="60">
        <f t="shared" ref="K1587:X1587" si="972">IF(AND($D1587="tak",OR($E1587="nie dotyczy",$E1587="badania przemysłowe"),K$1421&lt;=Koniec_Projekt),ROUND(K537*K569,0),0)</f>
        <v>0</v>
      </c>
      <c r="L1587" s="60">
        <f t="shared" si="972"/>
        <v>0</v>
      </c>
      <c r="M1587" s="60">
        <f t="shared" si="972"/>
        <v>0</v>
      </c>
      <c r="N1587" s="60">
        <f t="shared" si="972"/>
        <v>0</v>
      </c>
      <c r="O1587" s="60">
        <f t="shared" si="972"/>
        <v>0</v>
      </c>
      <c r="P1587" s="60">
        <f t="shared" si="972"/>
        <v>0</v>
      </c>
      <c r="Q1587" s="60">
        <f t="shared" si="972"/>
        <v>0</v>
      </c>
      <c r="R1587" s="60">
        <f t="shared" si="972"/>
        <v>0</v>
      </c>
      <c r="S1587" s="60">
        <f t="shared" si="972"/>
        <v>0</v>
      </c>
      <c r="T1587" s="60">
        <f t="shared" si="972"/>
        <v>0</v>
      </c>
      <c r="U1587" s="60">
        <f t="shared" si="972"/>
        <v>0</v>
      </c>
      <c r="V1587" s="60">
        <f t="shared" si="972"/>
        <v>0</v>
      </c>
      <c r="W1587" s="60">
        <f t="shared" si="972"/>
        <v>0</v>
      </c>
      <c r="X1587" s="60">
        <f t="shared" si="972"/>
        <v>0</v>
      </c>
    </row>
    <row r="1588" spans="2:24" hidden="1">
      <c r="B1588" s="59" t="str">
        <f t="shared" si="955"/>
        <v/>
      </c>
      <c r="C1588" s="59" t="str">
        <f t="shared" si="955"/>
        <v/>
      </c>
      <c r="D1588" s="59" t="str">
        <f t="shared" si="955"/>
        <v/>
      </c>
      <c r="E1588" s="59" t="str">
        <f t="shared" si="955"/>
        <v/>
      </c>
      <c r="F1588" s="59"/>
      <c r="G1588" s="59"/>
      <c r="H1588" s="59"/>
      <c r="I1588" s="59"/>
      <c r="J1588" s="59"/>
      <c r="K1588" s="60">
        <f t="shared" ref="K1588:X1588" si="973">IF(AND($D1588="tak",OR($E1588="nie dotyczy",$E1588="badania przemysłowe"),K$1421&lt;=Koniec_Projekt),ROUND(K538*K570,0),0)</f>
        <v>0</v>
      </c>
      <c r="L1588" s="60">
        <f t="shared" si="973"/>
        <v>0</v>
      </c>
      <c r="M1588" s="60">
        <f t="shared" si="973"/>
        <v>0</v>
      </c>
      <c r="N1588" s="60">
        <f t="shared" si="973"/>
        <v>0</v>
      </c>
      <c r="O1588" s="60">
        <f t="shared" si="973"/>
        <v>0</v>
      </c>
      <c r="P1588" s="60">
        <f t="shared" si="973"/>
        <v>0</v>
      </c>
      <c r="Q1588" s="60">
        <f t="shared" si="973"/>
        <v>0</v>
      </c>
      <c r="R1588" s="60">
        <f t="shared" si="973"/>
        <v>0</v>
      </c>
      <c r="S1588" s="60">
        <f t="shared" si="973"/>
        <v>0</v>
      </c>
      <c r="T1588" s="60">
        <f t="shared" si="973"/>
        <v>0</v>
      </c>
      <c r="U1588" s="60">
        <f t="shared" si="973"/>
        <v>0</v>
      </c>
      <c r="V1588" s="60">
        <f t="shared" si="973"/>
        <v>0</v>
      </c>
      <c r="W1588" s="60">
        <f t="shared" si="973"/>
        <v>0</v>
      </c>
      <c r="X1588" s="60">
        <f t="shared" si="973"/>
        <v>0</v>
      </c>
    </row>
    <row r="1589" spans="2:24" hidden="1">
      <c r="B1589" s="59" t="str">
        <f t="shared" si="955"/>
        <v/>
      </c>
      <c r="C1589" s="59" t="str">
        <f t="shared" si="955"/>
        <v/>
      </c>
      <c r="D1589" s="59" t="str">
        <f t="shared" si="955"/>
        <v/>
      </c>
      <c r="E1589" s="59" t="str">
        <f t="shared" si="955"/>
        <v/>
      </c>
      <c r="F1589" s="59"/>
      <c r="G1589" s="59"/>
      <c r="H1589" s="59"/>
      <c r="I1589" s="59"/>
      <c r="J1589" s="59"/>
      <c r="K1589" s="60">
        <f t="shared" ref="K1589:X1589" si="974">IF(AND($D1589="tak",OR($E1589="nie dotyczy",$E1589="badania przemysłowe"),K$1421&lt;=Koniec_Projekt),ROUND(K539*K571,0),0)</f>
        <v>0</v>
      </c>
      <c r="L1589" s="60">
        <f t="shared" si="974"/>
        <v>0</v>
      </c>
      <c r="M1589" s="60">
        <f t="shared" si="974"/>
        <v>0</v>
      </c>
      <c r="N1589" s="60">
        <f t="shared" si="974"/>
        <v>0</v>
      </c>
      <c r="O1589" s="60">
        <f t="shared" si="974"/>
        <v>0</v>
      </c>
      <c r="P1589" s="60">
        <f t="shared" si="974"/>
        <v>0</v>
      </c>
      <c r="Q1589" s="60">
        <f t="shared" si="974"/>
        <v>0</v>
      </c>
      <c r="R1589" s="60">
        <f t="shared" si="974"/>
        <v>0</v>
      </c>
      <c r="S1589" s="60">
        <f t="shared" si="974"/>
        <v>0</v>
      </c>
      <c r="T1589" s="60">
        <f t="shared" si="974"/>
        <v>0</v>
      </c>
      <c r="U1589" s="60">
        <f t="shared" si="974"/>
        <v>0</v>
      </c>
      <c r="V1589" s="60">
        <f t="shared" si="974"/>
        <v>0</v>
      </c>
      <c r="W1589" s="60">
        <f t="shared" si="974"/>
        <v>0</v>
      </c>
      <c r="X1589" s="60">
        <f t="shared" si="974"/>
        <v>0</v>
      </c>
    </row>
    <row r="1590" spans="2:24" hidden="1">
      <c r="B1590" s="59" t="str">
        <f t="shared" si="955"/>
        <v/>
      </c>
      <c r="C1590" s="59" t="str">
        <f t="shared" si="955"/>
        <v/>
      </c>
      <c r="D1590" s="59" t="str">
        <f t="shared" si="955"/>
        <v/>
      </c>
      <c r="E1590" s="59" t="str">
        <f t="shared" si="955"/>
        <v/>
      </c>
      <c r="F1590" s="59"/>
      <c r="G1590" s="59"/>
      <c r="H1590" s="59"/>
      <c r="I1590" s="59"/>
      <c r="J1590" s="59"/>
      <c r="K1590" s="60">
        <f t="shared" ref="K1590:X1590" si="975">IF(AND($D1590="tak",OR($E1590="nie dotyczy",$E1590="badania przemysłowe"),K$1421&lt;=Koniec_Projekt),ROUND(K540*K572,0),0)</f>
        <v>0</v>
      </c>
      <c r="L1590" s="60">
        <f t="shared" si="975"/>
        <v>0</v>
      </c>
      <c r="M1590" s="60">
        <f t="shared" si="975"/>
        <v>0</v>
      </c>
      <c r="N1590" s="60">
        <f t="shared" si="975"/>
        <v>0</v>
      </c>
      <c r="O1590" s="60">
        <f t="shared" si="975"/>
        <v>0</v>
      </c>
      <c r="P1590" s="60">
        <f t="shared" si="975"/>
        <v>0</v>
      </c>
      <c r="Q1590" s="60">
        <f t="shared" si="975"/>
        <v>0</v>
      </c>
      <c r="R1590" s="60">
        <f t="shared" si="975"/>
        <v>0</v>
      </c>
      <c r="S1590" s="60">
        <f t="shared" si="975"/>
        <v>0</v>
      </c>
      <c r="T1590" s="60">
        <f t="shared" si="975"/>
        <v>0</v>
      </c>
      <c r="U1590" s="60">
        <f t="shared" si="975"/>
        <v>0</v>
      </c>
      <c r="V1590" s="60">
        <f t="shared" si="975"/>
        <v>0</v>
      </c>
      <c r="W1590" s="60">
        <f t="shared" si="975"/>
        <v>0</v>
      </c>
      <c r="X1590" s="60">
        <f t="shared" si="975"/>
        <v>0</v>
      </c>
    </row>
    <row r="1591" spans="2:24" hidden="1">
      <c r="B1591" s="59" t="str">
        <f t="shared" si="955"/>
        <v/>
      </c>
      <c r="C1591" s="59" t="str">
        <f t="shared" si="955"/>
        <v/>
      </c>
      <c r="D1591" s="59" t="str">
        <f t="shared" si="955"/>
        <v/>
      </c>
      <c r="E1591" s="59" t="str">
        <f t="shared" si="955"/>
        <v/>
      </c>
      <c r="F1591" s="59"/>
      <c r="G1591" s="59"/>
      <c r="H1591" s="59"/>
      <c r="I1591" s="59"/>
      <c r="J1591" s="59"/>
      <c r="K1591" s="60">
        <f t="shared" ref="K1591:X1591" si="976">IF(AND($D1591="tak",OR($E1591="nie dotyczy",$E1591="badania przemysłowe"),K$1421&lt;=Koniec_Projekt),ROUND(K541*K573,0),0)</f>
        <v>0</v>
      </c>
      <c r="L1591" s="60">
        <f t="shared" si="976"/>
        <v>0</v>
      </c>
      <c r="M1591" s="60">
        <f t="shared" si="976"/>
        <v>0</v>
      </c>
      <c r="N1591" s="60">
        <f t="shared" si="976"/>
        <v>0</v>
      </c>
      <c r="O1591" s="60">
        <f t="shared" si="976"/>
        <v>0</v>
      </c>
      <c r="P1591" s="60">
        <f t="shared" si="976"/>
        <v>0</v>
      </c>
      <c r="Q1591" s="60">
        <f t="shared" si="976"/>
        <v>0</v>
      </c>
      <c r="R1591" s="60">
        <f t="shared" si="976"/>
        <v>0</v>
      </c>
      <c r="S1591" s="60">
        <f t="shared" si="976"/>
        <v>0</v>
      </c>
      <c r="T1591" s="60">
        <f t="shared" si="976"/>
        <v>0</v>
      </c>
      <c r="U1591" s="60">
        <f t="shared" si="976"/>
        <v>0</v>
      </c>
      <c r="V1591" s="60">
        <f t="shared" si="976"/>
        <v>0</v>
      </c>
      <c r="W1591" s="60">
        <f t="shared" si="976"/>
        <v>0</v>
      </c>
      <c r="X1591" s="60">
        <f t="shared" si="976"/>
        <v>0</v>
      </c>
    </row>
    <row r="1592" spans="2:24" hidden="1">
      <c r="B1592" s="59" t="str">
        <f t="shared" si="955"/>
        <v/>
      </c>
      <c r="C1592" s="59" t="str">
        <f t="shared" si="955"/>
        <v/>
      </c>
      <c r="D1592" s="59" t="str">
        <f t="shared" si="955"/>
        <v/>
      </c>
      <c r="E1592" s="59" t="str">
        <f t="shared" si="955"/>
        <v/>
      </c>
      <c r="F1592" s="59"/>
      <c r="G1592" s="59"/>
      <c r="H1592" s="59"/>
      <c r="I1592" s="59"/>
      <c r="J1592" s="59"/>
      <c r="K1592" s="60">
        <f t="shared" ref="K1592:X1592" si="977">IF(AND($D1592="tak",OR($E1592="nie dotyczy",$E1592="badania przemysłowe"),K$1421&lt;=Koniec_Projekt),ROUND(K542*K574,0),0)</f>
        <v>0</v>
      </c>
      <c r="L1592" s="60">
        <f t="shared" si="977"/>
        <v>0</v>
      </c>
      <c r="M1592" s="60">
        <f t="shared" si="977"/>
        <v>0</v>
      </c>
      <c r="N1592" s="60">
        <f t="shared" si="977"/>
        <v>0</v>
      </c>
      <c r="O1592" s="60">
        <f t="shared" si="977"/>
        <v>0</v>
      </c>
      <c r="P1592" s="60">
        <f t="shared" si="977"/>
        <v>0</v>
      </c>
      <c r="Q1592" s="60">
        <f t="shared" si="977"/>
        <v>0</v>
      </c>
      <c r="R1592" s="60">
        <f t="shared" si="977"/>
        <v>0</v>
      </c>
      <c r="S1592" s="60">
        <f t="shared" si="977"/>
        <v>0</v>
      </c>
      <c r="T1592" s="60">
        <f t="shared" si="977"/>
        <v>0</v>
      </c>
      <c r="U1592" s="60">
        <f t="shared" si="977"/>
        <v>0</v>
      </c>
      <c r="V1592" s="60">
        <f t="shared" si="977"/>
        <v>0</v>
      </c>
      <c r="W1592" s="60">
        <f t="shared" si="977"/>
        <v>0</v>
      </c>
      <c r="X1592" s="60">
        <f t="shared" si="977"/>
        <v>0</v>
      </c>
    </row>
    <row r="1593" spans="2:24" hidden="1">
      <c r="B1593" s="59" t="str">
        <f t="shared" si="955"/>
        <v/>
      </c>
      <c r="C1593" s="59" t="str">
        <f t="shared" si="955"/>
        <v/>
      </c>
      <c r="D1593" s="59" t="str">
        <f t="shared" si="955"/>
        <v/>
      </c>
      <c r="E1593" s="59" t="str">
        <f t="shared" si="955"/>
        <v/>
      </c>
      <c r="F1593" s="59"/>
      <c r="G1593" s="59"/>
      <c r="H1593" s="59"/>
      <c r="I1593" s="59"/>
      <c r="J1593" s="59"/>
      <c r="K1593" s="60">
        <f t="shared" ref="K1593:X1593" si="978">IF(AND($D1593="tak",OR($E1593="nie dotyczy",$E1593="badania przemysłowe"),K$1421&lt;=Koniec_Projekt),ROUND(K543*K575,0),0)</f>
        <v>0</v>
      </c>
      <c r="L1593" s="60">
        <f t="shared" si="978"/>
        <v>0</v>
      </c>
      <c r="M1593" s="60">
        <f t="shared" si="978"/>
        <v>0</v>
      </c>
      <c r="N1593" s="60">
        <f t="shared" si="978"/>
        <v>0</v>
      </c>
      <c r="O1593" s="60">
        <f t="shared" si="978"/>
        <v>0</v>
      </c>
      <c r="P1593" s="60">
        <f t="shared" si="978"/>
        <v>0</v>
      </c>
      <c r="Q1593" s="60">
        <f t="shared" si="978"/>
        <v>0</v>
      </c>
      <c r="R1593" s="60">
        <f t="shared" si="978"/>
        <v>0</v>
      </c>
      <c r="S1593" s="60">
        <f t="shared" si="978"/>
        <v>0</v>
      </c>
      <c r="T1593" s="60">
        <f t="shared" si="978"/>
        <v>0</v>
      </c>
      <c r="U1593" s="60">
        <f t="shared" si="978"/>
        <v>0</v>
      </c>
      <c r="V1593" s="60">
        <f t="shared" si="978"/>
        <v>0</v>
      </c>
      <c r="W1593" s="60">
        <f t="shared" si="978"/>
        <v>0</v>
      </c>
      <c r="X1593" s="60">
        <f t="shared" si="978"/>
        <v>0</v>
      </c>
    </row>
    <row r="1594" spans="2:24" hidden="1">
      <c r="B1594" s="59" t="str">
        <f t="shared" si="955"/>
        <v/>
      </c>
      <c r="C1594" s="59" t="str">
        <f t="shared" si="955"/>
        <v/>
      </c>
      <c r="D1594" s="59" t="str">
        <f t="shared" si="955"/>
        <v/>
      </c>
      <c r="E1594" s="59" t="str">
        <f t="shared" si="955"/>
        <v/>
      </c>
      <c r="F1594" s="59"/>
      <c r="G1594" s="59"/>
      <c r="H1594" s="59"/>
      <c r="I1594" s="59"/>
      <c r="J1594" s="59"/>
      <c r="K1594" s="60">
        <f t="shared" ref="K1594:X1594" si="979">IF(AND($D1594="tak",OR($E1594="nie dotyczy",$E1594="badania przemysłowe"),K$1421&lt;=Koniec_Projekt),ROUND(K544*K576,0),0)</f>
        <v>0</v>
      </c>
      <c r="L1594" s="60">
        <f t="shared" si="979"/>
        <v>0</v>
      </c>
      <c r="M1594" s="60">
        <f t="shared" si="979"/>
        <v>0</v>
      </c>
      <c r="N1594" s="60">
        <f t="shared" si="979"/>
        <v>0</v>
      </c>
      <c r="O1594" s="60">
        <f t="shared" si="979"/>
        <v>0</v>
      </c>
      <c r="P1594" s="60">
        <f t="shared" si="979"/>
        <v>0</v>
      </c>
      <c r="Q1594" s="60">
        <f t="shared" si="979"/>
        <v>0</v>
      </c>
      <c r="R1594" s="60">
        <f t="shared" si="979"/>
        <v>0</v>
      </c>
      <c r="S1594" s="60">
        <f t="shared" si="979"/>
        <v>0</v>
      </c>
      <c r="T1594" s="60">
        <f t="shared" si="979"/>
        <v>0</v>
      </c>
      <c r="U1594" s="60">
        <f t="shared" si="979"/>
        <v>0</v>
      </c>
      <c r="V1594" s="60">
        <f t="shared" si="979"/>
        <v>0</v>
      </c>
      <c r="W1594" s="60">
        <f t="shared" si="979"/>
        <v>0</v>
      </c>
      <c r="X1594" s="60">
        <f t="shared" si="979"/>
        <v>0</v>
      </c>
    </row>
    <row r="1595" spans="2:24" hidden="1">
      <c r="B1595" s="59" t="str">
        <f t="shared" si="955"/>
        <v/>
      </c>
      <c r="C1595" s="59" t="str">
        <f t="shared" si="955"/>
        <v/>
      </c>
      <c r="D1595" s="59" t="str">
        <f t="shared" si="955"/>
        <v/>
      </c>
      <c r="E1595" s="59" t="str">
        <f t="shared" si="955"/>
        <v/>
      </c>
      <c r="F1595" s="59"/>
      <c r="G1595" s="59"/>
      <c r="H1595" s="59"/>
      <c r="I1595" s="59"/>
      <c r="J1595" s="59"/>
      <c r="K1595" s="60">
        <f t="shared" ref="K1595:X1595" si="980">IF(AND($D1595="tak",OR($E1595="nie dotyczy",$E1595="badania przemysłowe"),K$1421&lt;=Koniec_Projekt),ROUND(K545*K577,0),0)</f>
        <v>0</v>
      </c>
      <c r="L1595" s="60">
        <f t="shared" si="980"/>
        <v>0</v>
      </c>
      <c r="M1595" s="60">
        <f t="shared" si="980"/>
        <v>0</v>
      </c>
      <c r="N1595" s="60">
        <f t="shared" si="980"/>
        <v>0</v>
      </c>
      <c r="O1595" s="60">
        <f t="shared" si="980"/>
        <v>0</v>
      </c>
      <c r="P1595" s="60">
        <f t="shared" si="980"/>
        <v>0</v>
      </c>
      <c r="Q1595" s="60">
        <f t="shared" si="980"/>
        <v>0</v>
      </c>
      <c r="R1595" s="60">
        <f t="shared" si="980"/>
        <v>0</v>
      </c>
      <c r="S1595" s="60">
        <f t="shared" si="980"/>
        <v>0</v>
      </c>
      <c r="T1595" s="60">
        <f t="shared" si="980"/>
        <v>0</v>
      </c>
      <c r="U1595" s="60">
        <f t="shared" si="980"/>
        <v>0</v>
      </c>
      <c r="V1595" s="60">
        <f t="shared" si="980"/>
        <v>0</v>
      </c>
      <c r="W1595" s="60">
        <f t="shared" si="980"/>
        <v>0</v>
      </c>
      <c r="X1595" s="60">
        <f t="shared" si="980"/>
        <v>0</v>
      </c>
    </row>
    <row r="1596" spans="2:24" hidden="1">
      <c r="B1596" s="59" t="str">
        <f t="shared" si="955"/>
        <v/>
      </c>
      <c r="C1596" s="59" t="str">
        <f t="shared" si="955"/>
        <v/>
      </c>
      <c r="D1596" s="59" t="str">
        <f t="shared" si="955"/>
        <v/>
      </c>
      <c r="E1596" s="59" t="str">
        <f t="shared" si="955"/>
        <v/>
      </c>
      <c r="F1596" s="59"/>
      <c r="G1596" s="59"/>
      <c r="H1596" s="59"/>
      <c r="I1596" s="59"/>
      <c r="J1596" s="59"/>
      <c r="K1596" s="60">
        <f t="shared" ref="K1596:X1596" si="981">IF(AND($D1596="tak",OR($E1596="nie dotyczy",$E1596="badania przemysłowe"),K$1421&lt;=Koniec_Projekt),ROUND(K546*K578,0),0)</f>
        <v>0</v>
      </c>
      <c r="L1596" s="60">
        <f t="shared" si="981"/>
        <v>0</v>
      </c>
      <c r="M1596" s="60">
        <f t="shared" si="981"/>
        <v>0</v>
      </c>
      <c r="N1596" s="60">
        <f t="shared" si="981"/>
        <v>0</v>
      </c>
      <c r="O1596" s="60">
        <f t="shared" si="981"/>
        <v>0</v>
      </c>
      <c r="P1596" s="60">
        <f t="shared" si="981"/>
        <v>0</v>
      </c>
      <c r="Q1596" s="60">
        <f t="shared" si="981"/>
        <v>0</v>
      </c>
      <c r="R1596" s="60">
        <f t="shared" si="981"/>
        <v>0</v>
      </c>
      <c r="S1596" s="60">
        <f t="shared" si="981"/>
        <v>0</v>
      </c>
      <c r="T1596" s="60">
        <f t="shared" si="981"/>
        <v>0</v>
      </c>
      <c r="U1596" s="60">
        <f t="shared" si="981"/>
        <v>0</v>
      </c>
      <c r="V1596" s="60">
        <f t="shared" si="981"/>
        <v>0</v>
      </c>
      <c r="W1596" s="60">
        <f t="shared" si="981"/>
        <v>0</v>
      </c>
      <c r="X1596" s="60">
        <f t="shared" si="981"/>
        <v>0</v>
      </c>
    </row>
    <row r="1597" spans="2:24" hidden="1">
      <c r="B1597" s="59" t="str">
        <f t="shared" si="955"/>
        <v/>
      </c>
      <c r="C1597" s="59" t="str">
        <f t="shared" si="955"/>
        <v/>
      </c>
      <c r="D1597" s="59" t="str">
        <f t="shared" si="955"/>
        <v/>
      </c>
      <c r="E1597" s="59" t="str">
        <f t="shared" si="955"/>
        <v/>
      </c>
      <c r="F1597" s="59"/>
      <c r="G1597" s="59"/>
      <c r="H1597" s="59"/>
      <c r="I1597" s="59"/>
      <c r="J1597" s="59"/>
      <c r="K1597" s="60">
        <f t="shared" ref="K1597:X1597" si="982">IF(AND($D1597="tak",OR($E1597="nie dotyczy",$E1597="badania przemysłowe"),K$1421&lt;=Koniec_Projekt),ROUND(K547*K579,0),0)</f>
        <v>0</v>
      </c>
      <c r="L1597" s="60">
        <f t="shared" si="982"/>
        <v>0</v>
      </c>
      <c r="M1597" s="60">
        <f t="shared" si="982"/>
        <v>0</v>
      </c>
      <c r="N1597" s="60">
        <f t="shared" si="982"/>
        <v>0</v>
      </c>
      <c r="O1597" s="60">
        <f t="shared" si="982"/>
        <v>0</v>
      </c>
      <c r="P1597" s="60">
        <f t="shared" si="982"/>
        <v>0</v>
      </c>
      <c r="Q1597" s="60">
        <f t="shared" si="982"/>
        <v>0</v>
      </c>
      <c r="R1597" s="60">
        <f t="shared" si="982"/>
        <v>0</v>
      </c>
      <c r="S1597" s="60">
        <f t="shared" si="982"/>
        <v>0</v>
      </c>
      <c r="T1597" s="60">
        <f t="shared" si="982"/>
        <v>0</v>
      </c>
      <c r="U1597" s="60">
        <f t="shared" si="982"/>
        <v>0</v>
      </c>
      <c r="V1597" s="60">
        <f t="shared" si="982"/>
        <v>0</v>
      </c>
      <c r="W1597" s="60">
        <f t="shared" si="982"/>
        <v>0</v>
      </c>
      <c r="X1597" s="60">
        <f t="shared" si="982"/>
        <v>0</v>
      </c>
    </row>
    <row r="1598" spans="2:24" hidden="1">
      <c r="B1598" s="59" t="str">
        <f t="shared" si="955"/>
        <v/>
      </c>
      <c r="C1598" s="59" t="str">
        <f t="shared" si="955"/>
        <v/>
      </c>
      <c r="D1598" s="59" t="str">
        <f t="shared" si="955"/>
        <v/>
      </c>
      <c r="E1598" s="59" t="str">
        <f t="shared" si="955"/>
        <v/>
      </c>
      <c r="F1598" s="59"/>
      <c r="G1598" s="59"/>
      <c r="H1598" s="59"/>
      <c r="I1598" s="59"/>
      <c r="J1598" s="59"/>
      <c r="K1598" s="60">
        <f t="shared" ref="K1598:X1598" si="983">IF(AND($D1598="tak",OR($E1598="nie dotyczy",$E1598="badania przemysłowe"),K$1421&lt;=Koniec_Projekt),ROUND(K548*K580,0),0)</f>
        <v>0</v>
      </c>
      <c r="L1598" s="60">
        <f t="shared" si="983"/>
        <v>0</v>
      </c>
      <c r="M1598" s="60">
        <f t="shared" si="983"/>
        <v>0</v>
      </c>
      <c r="N1598" s="60">
        <f t="shared" si="983"/>
        <v>0</v>
      </c>
      <c r="O1598" s="60">
        <f t="shared" si="983"/>
        <v>0</v>
      </c>
      <c r="P1598" s="60">
        <f t="shared" si="983"/>
        <v>0</v>
      </c>
      <c r="Q1598" s="60">
        <f t="shared" si="983"/>
        <v>0</v>
      </c>
      <c r="R1598" s="60">
        <f t="shared" si="983"/>
        <v>0</v>
      </c>
      <c r="S1598" s="60">
        <f t="shared" si="983"/>
        <v>0</v>
      </c>
      <c r="T1598" s="60">
        <f t="shared" si="983"/>
        <v>0</v>
      </c>
      <c r="U1598" s="60">
        <f t="shared" si="983"/>
        <v>0</v>
      </c>
      <c r="V1598" s="60">
        <f t="shared" si="983"/>
        <v>0</v>
      </c>
      <c r="W1598" s="60">
        <f t="shared" si="983"/>
        <v>0</v>
      </c>
      <c r="X1598" s="60">
        <f t="shared" si="983"/>
        <v>0</v>
      </c>
    </row>
    <row r="1599" spans="2:24" hidden="1">
      <c r="B1599" s="59" t="str">
        <f t="shared" si="955"/>
        <v/>
      </c>
      <c r="C1599" s="59" t="str">
        <f t="shared" si="955"/>
        <v/>
      </c>
      <c r="D1599" s="59" t="str">
        <f t="shared" si="955"/>
        <v/>
      </c>
      <c r="E1599" s="59" t="str">
        <f t="shared" si="955"/>
        <v/>
      </c>
      <c r="F1599" s="59"/>
      <c r="G1599" s="59"/>
      <c r="H1599" s="59"/>
      <c r="I1599" s="59"/>
      <c r="J1599" s="59"/>
      <c r="K1599" s="60">
        <f t="shared" ref="K1599:X1599" si="984">IF(AND($D1599="tak",OR($E1599="nie dotyczy",$E1599="badania przemysłowe"),K$1421&lt;=Koniec_Projekt),ROUND(K549*K581,0),0)</f>
        <v>0</v>
      </c>
      <c r="L1599" s="60">
        <f t="shared" si="984"/>
        <v>0</v>
      </c>
      <c r="M1599" s="60">
        <f t="shared" si="984"/>
        <v>0</v>
      </c>
      <c r="N1599" s="60">
        <f t="shared" si="984"/>
        <v>0</v>
      </c>
      <c r="O1599" s="60">
        <f t="shared" si="984"/>
        <v>0</v>
      </c>
      <c r="P1599" s="60">
        <f t="shared" si="984"/>
        <v>0</v>
      </c>
      <c r="Q1599" s="60">
        <f t="shared" si="984"/>
        <v>0</v>
      </c>
      <c r="R1599" s="60">
        <f t="shared" si="984"/>
        <v>0</v>
      </c>
      <c r="S1599" s="60">
        <f t="shared" si="984"/>
        <v>0</v>
      </c>
      <c r="T1599" s="60">
        <f t="shared" si="984"/>
        <v>0</v>
      </c>
      <c r="U1599" s="60">
        <f t="shared" si="984"/>
        <v>0</v>
      </c>
      <c r="V1599" s="60">
        <f t="shared" si="984"/>
        <v>0</v>
      </c>
      <c r="W1599" s="60">
        <f t="shared" si="984"/>
        <v>0</v>
      </c>
      <c r="X1599" s="60">
        <f t="shared" si="984"/>
        <v>0</v>
      </c>
    </row>
    <row r="1600" spans="2:24" hidden="1">
      <c r="B1600" s="59" t="str">
        <f t="shared" si="955"/>
        <v/>
      </c>
      <c r="C1600" s="59" t="str">
        <f t="shared" si="955"/>
        <v/>
      </c>
      <c r="D1600" s="59" t="str">
        <f t="shared" si="955"/>
        <v/>
      </c>
      <c r="E1600" s="59" t="str">
        <f t="shared" si="955"/>
        <v/>
      </c>
      <c r="F1600" s="59"/>
      <c r="G1600" s="59"/>
      <c r="H1600" s="59"/>
      <c r="I1600" s="59"/>
      <c r="J1600" s="59"/>
      <c r="K1600" s="60">
        <f t="shared" ref="K1600:X1600" si="985">IF(AND($D1600="tak",OR($E1600="nie dotyczy",$E1600="badania przemysłowe"),K$1421&lt;=Koniec_Projekt),ROUND(K550*K582,0),0)</f>
        <v>0</v>
      </c>
      <c r="L1600" s="60">
        <f t="shared" si="985"/>
        <v>0</v>
      </c>
      <c r="M1600" s="60">
        <f t="shared" si="985"/>
        <v>0</v>
      </c>
      <c r="N1600" s="60">
        <f t="shared" si="985"/>
        <v>0</v>
      </c>
      <c r="O1600" s="60">
        <f t="shared" si="985"/>
        <v>0</v>
      </c>
      <c r="P1600" s="60">
        <f t="shared" si="985"/>
        <v>0</v>
      </c>
      <c r="Q1600" s="60">
        <f t="shared" si="985"/>
        <v>0</v>
      </c>
      <c r="R1600" s="60">
        <f t="shared" si="985"/>
        <v>0</v>
      </c>
      <c r="S1600" s="60">
        <f t="shared" si="985"/>
        <v>0</v>
      </c>
      <c r="T1600" s="60">
        <f t="shared" si="985"/>
        <v>0</v>
      </c>
      <c r="U1600" s="60">
        <f t="shared" si="985"/>
        <v>0</v>
      </c>
      <c r="V1600" s="60">
        <f t="shared" si="985"/>
        <v>0</v>
      </c>
      <c r="W1600" s="60">
        <f t="shared" si="985"/>
        <v>0</v>
      </c>
      <c r="X1600" s="60">
        <f t="shared" si="985"/>
        <v>0</v>
      </c>
    </row>
    <row r="1601" spans="2:24" hidden="1">
      <c r="B1601" s="20" t="s">
        <v>350</v>
      </c>
      <c r="C1601" s="20"/>
      <c r="D1601" s="80"/>
      <c r="E1601" s="21"/>
      <c r="F1601" s="21"/>
      <c r="G1601" s="21"/>
      <c r="H1601" s="21"/>
      <c r="I1601" s="21"/>
      <c r="J1601" s="21"/>
      <c r="K1601" s="61">
        <f t="shared" ref="K1601:X1601" si="986">ROUND(SUM(K1571:K1600),0)</f>
        <v>0</v>
      </c>
      <c r="L1601" s="61">
        <f t="shared" si="986"/>
        <v>0</v>
      </c>
      <c r="M1601" s="61">
        <f t="shared" si="986"/>
        <v>0</v>
      </c>
      <c r="N1601" s="61">
        <f t="shared" si="986"/>
        <v>0</v>
      </c>
      <c r="O1601" s="61">
        <f t="shared" si="986"/>
        <v>0</v>
      </c>
      <c r="P1601" s="61">
        <f t="shared" si="986"/>
        <v>0</v>
      </c>
      <c r="Q1601" s="61">
        <f t="shared" si="986"/>
        <v>0</v>
      </c>
      <c r="R1601" s="61">
        <f t="shared" si="986"/>
        <v>0</v>
      </c>
      <c r="S1601" s="61">
        <f t="shared" si="986"/>
        <v>0</v>
      </c>
      <c r="T1601" s="61">
        <f t="shared" si="986"/>
        <v>0</v>
      </c>
      <c r="U1601" s="61">
        <f t="shared" si="986"/>
        <v>0</v>
      </c>
      <c r="V1601" s="61">
        <f t="shared" si="986"/>
        <v>0</v>
      </c>
      <c r="W1601" s="61">
        <f t="shared" si="986"/>
        <v>0</v>
      </c>
      <c r="X1601" s="61">
        <f t="shared" si="986"/>
        <v>0</v>
      </c>
    </row>
    <row r="1602" spans="2:24" hidden="1">
      <c r="B1602" s="21"/>
      <c r="C1602" s="21"/>
      <c r="D1602" s="80"/>
      <c r="E1602" s="21"/>
      <c r="F1602" s="21"/>
      <c r="G1602" s="21"/>
      <c r="H1602" s="21"/>
      <c r="I1602" s="21"/>
      <c r="J1602" s="21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</row>
    <row r="1603" spans="2:24" hidden="1">
      <c r="B1603" s="20"/>
      <c r="C1603" s="20"/>
      <c r="D1603" s="80"/>
      <c r="E1603" s="21"/>
      <c r="F1603" s="21"/>
      <c r="G1603" s="21"/>
      <c r="H1603" s="21"/>
      <c r="I1603" s="21"/>
      <c r="J1603" s="21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</row>
    <row r="1604" spans="2:24" hidden="1">
      <c r="B1604" s="20" t="s">
        <v>334</v>
      </c>
      <c r="C1604" s="20"/>
      <c r="D1604" s="82" t="s">
        <v>336</v>
      </c>
      <c r="E1604" s="20" t="s">
        <v>337</v>
      </c>
      <c r="F1604" s="21"/>
      <c r="G1604" s="21"/>
      <c r="H1604" s="21"/>
      <c r="I1604" s="21"/>
      <c r="J1604" s="21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</row>
    <row r="1605" spans="2:24" hidden="1">
      <c r="B1605" s="59" t="str">
        <f>IF(ISBLANK(B1365),"",B1365)</f>
        <v/>
      </c>
      <c r="C1605" s="59"/>
      <c r="D1605" s="81"/>
      <c r="E1605" s="59"/>
      <c r="F1605" s="59"/>
      <c r="G1605" s="59"/>
      <c r="H1605" s="59"/>
      <c r="I1605" s="59"/>
      <c r="J1605" s="59"/>
      <c r="K1605" s="60"/>
      <c r="L1605" s="60"/>
      <c r="M1605" s="60"/>
      <c r="N1605" s="60"/>
      <c r="O1605" s="60"/>
      <c r="P1605" s="60"/>
      <c r="Q1605" s="60"/>
      <c r="R1605" s="60"/>
      <c r="S1605" s="60"/>
      <c r="T1605" s="60"/>
      <c r="U1605" s="60"/>
      <c r="V1605" s="60"/>
      <c r="W1605" s="60"/>
      <c r="X1605" s="60"/>
    </row>
    <row r="1606" spans="2:24" hidden="1">
      <c r="B1606" s="59" t="str">
        <f>IF(ISBLANK(B1366),"",B1366)</f>
        <v/>
      </c>
      <c r="C1606" s="59"/>
      <c r="D1606" s="81"/>
      <c r="E1606" s="59"/>
      <c r="F1606" s="59"/>
      <c r="G1606" s="59"/>
      <c r="H1606" s="59"/>
      <c r="I1606" s="59"/>
      <c r="J1606" s="59"/>
      <c r="K1606" s="60"/>
      <c r="L1606" s="60"/>
      <c r="M1606" s="60"/>
      <c r="N1606" s="60"/>
      <c r="O1606" s="60"/>
      <c r="P1606" s="60"/>
      <c r="Q1606" s="60"/>
      <c r="R1606" s="60"/>
      <c r="S1606" s="60"/>
      <c r="T1606" s="60"/>
      <c r="U1606" s="60"/>
      <c r="V1606" s="60"/>
      <c r="W1606" s="60"/>
      <c r="X1606" s="60"/>
    </row>
    <row r="1607" spans="2:24" hidden="1">
      <c r="B1607" s="59" t="str">
        <f>IF(ISBLANK(B1367),"",B1367)</f>
        <v/>
      </c>
      <c r="C1607" s="59"/>
      <c r="D1607" s="81"/>
      <c r="E1607" s="59"/>
      <c r="F1607" s="59"/>
      <c r="G1607" s="59"/>
      <c r="H1607" s="59"/>
      <c r="I1607" s="59"/>
      <c r="J1607" s="59"/>
      <c r="K1607" s="60"/>
      <c r="L1607" s="60"/>
      <c r="M1607" s="60"/>
      <c r="N1607" s="60"/>
      <c r="O1607" s="60"/>
      <c r="P1607" s="60"/>
      <c r="Q1607" s="60"/>
      <c r="R1607" s="60"/>
      <c r="S1607" s="60"/>
      <c r="T1607" s="60"/>
      <c r="U1607" s="60"/>
      <c r="V1607" s="60"/>
      <c r="W1607" s="60"/>
      <c r="X1607" s="60"/>
    </row>
    <row r="1608" spans="2:24" hidden="1">
      <c r="B1608" s="59" t="str">
        <f>IF(ISBLANK(B1368),"",B1368)</f>
        <v/>
      </c>
      <c r="C1608" s="59"/>
      <c r="D1608" s="81"/>
      <c r="E1608" s="59"/>
      <c r="F1608" s="59"/>
      <c r="G1608" s="59"/>
      <c r="H1608" s="59"/>
      <c r="I1608" s="59"/>
      <c r="J1608" s="59"/>
      <c r="K1608" s="60"/>
      <c r="L1608" s="60"/>
      <c r="M1608" s="60"/>
      <c r="N1608" s="60"/>
      <c r="O1608" s="60"/>
      <c r="P1608" s="60"/>
      <c r="Q1608" s="60"/>
      <c r="R1608" s="60"/>
      <c r="S1608" s="60"/>
      <c r="T1608" s="60"/>
      <c r="U1608" s="60"/>
      <c r="V1608" s="60"/>
      <c r="W1608" s="60"/>
      <c r="X1608" s="60"/>
    </row>
    <row r="1609" spans="2:24" hidden="1">
      <c r="B1609" s="59" t="str">
        <f>IF(ISBLANK(B1369),"",B1369)</f>
        <v/>
      </c>
      <c r="C1609" s="59"/>
      <c r="D1609" s="81"/>
      <c r="E1609" s="59"/>
      <c r="F1609" s="59"/>
      <c r="G1609" s="59"/>
      <c r="H1609" s="59"/>
      <c r="I1609" s="59"/>
      <c r="J1609" s="59"/>
      <c r="K1609" s="60"/>
      <c r="L1609" s="60"/>
      <c r="M1609" s="60"/>
      <c r="N1609" s="60"/>
      <c r="O1609" s="60"/>
      <c r="P1609" s="60"/>
      <c r="Q1609" s="60"/>
      <c r="R1609" s="60"/>
      <c r="S1609" s="60"/>
      <c r="T1609" s="60"/>
      <c r="U1609" s="60"/>
      <c r="V1609" s="60"/>
      <c r="W1609" s="60"/>
      <c r="X1609" s="60"/>
    </row>
    <row r="1610" spans="2:24" hidden="1">
      <c r="B1610" s="20" t="s">
        <v>280</v>
      </c>
      <c r="C1610" s="20"/>
      <c r="D1610" s="80"/>
      <c r="E1610" s="21"/>
      <c r="F1610" s="21"/>
      <c r="G1610" s="21"/>
      <c r="H1610" s="21"/>
      <c r="I1610" s="21"/>
      <c r="J1610" s="21"/>
      <c r="K1610" s="61">
        <f>ROUND(SUM(K1605:K1609),0)</f>
        <v>0</v>
      </c>
      <c r="L1610" s="61">
        <f t="shared" ref="L1610:X1610" si="987">ROUND(SUM(L1605:L1609),0)</f>
        <v>0</v>
      </c>
      <c r="M1610" s="61">
        <f t="shared" si="987"/>
        <v>0</v>
      </c>
      <c r="N1610" s="61">
        <f t="shared" si="987"/>
        <v>0</v>
      </c>
      <c r="O1610" s="61">
        <f t="shared" si="987"/>
        <v>0</v>
      </c>
      <c r="P1610" s="61">
        <f t="shared" si="987"/>
        <v>0</v>
      </c>
      <c r="Q1610" s="61">
        <f t="shared" si="987"/>
        <v>0</v>
      </c>
      <c r="R1610" s="61">
        <f t="shared" si="987"/>
        <v>0</v>
      </c>
      <c r="S1610" s="61">
        <f t="shared" si="987"/>
        <v>0</v>
      </c>
      <c r="T1610" s="61">
        <f t="shared" si="987"/>
        <v>0</v>
      </c>
      <c r="U1610" s="61">
        <f t="shared" si="987"/>
        <v>0</v>
      </c>
      <c r="V1610" s="61">
        <f t="shared" si="987"/>
        <v>0</v>
      </c>
      <c r="W1610" s="61">
        <f t="shared" si="987"/>
        <v>0</v>
      </c>
      <c r="X1610" s="61">
        <f t="shared" si="987"/>
        <v>0</v>
      </c>
    </row>
    <row r="1611" spans="2:24" hidden="1">
      <c r="B1611" s="21"/>
      <c r="C1611" s="21"/>
      <c r="D1611" s="80"/>
      <c r="E1611" s="21"/>
      <c r="F1611" s="21"/>
      <c r="G1611" s="21"/>
      <c r="H1611" s="21"/>
      <c r="I1611" s="21"/>
      <c r="J1611" s="21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</row>
    <row r="1612" spans="2:24" hidden="1">
      <c r="B1612" s="21"/>
      <c r="C1612" s="21"/>
      <c r="D1612" s="80"/>
      <c r="E1612" s="21"/>
      <c r="F1612" s="21"/>
      <c r="G1612" s="21"/>
      <c r="H1612" s="21"/>
      <c r="I1612" s="21"/>
      <c r="J1612" s="21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</row>
    <row r="1613" spans="2:24" hidden="1">
      <c r="B1613" s="20" t="s">
        <v>325</v>
      </c>
      <c r="C1613" s="20"/>
      <c r="D1613" s="82" t="s">
        <v>336</v>
      </c>
      <c r="E1613" s="20" t="s">
        <v>337</v>
      </c>
      <c r="F1613" s="21"/>
      <c r="G1613" s="21"/>
      <c r="H1613" s="21"/>
      <c r="I1613" s="21"/>
      <c r="J1613" s="21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</row>
    <row r="1614" spans="2:24" hidden="1">
      <c r="B1614" s="59" t="str">
        <f>IF(ISBLANK(B1374),"",B1374)</f>
        <v/>
      </c>
      <c r="C1614" s="59"/>
      <c r="D1614" s="81" t="str">
        <f>D1133</f>
        <v/>
      </c>
      <c r="E1614" s="59"/>
      <c r="F1614" s="59"/>
      <c r="G1614" s="59"/>
      <c r="H1614" s="59"/>
      <c r="I1614" s="59"/>
      <c r="J1614" s="59"/>
      <c r="K1614" s="60"/>
      <c r="L1614" s="60"/>
      <c r="M1614" s="60"/>
      <c r="N1614" s="60"/>
      <c r="O1614" s="60"/>
      <c r="P1614" s="60"/>
      <c r="Q1614" s="60"/>
      <c r="R1614" s="60"/>
      <c r="S1614" s="60"/>
      <c r="T1614" s="60"/>
      <c r="U1614" s="60"/>
      <c r="V1614" s="60"/>
      <c r="W1614" s="60"/>
      <c r="X1614" s="60"/>
    </row>
    <row r="1615" spans="2:24" hidden="1">
      <c r="B1615" s="59" t="str">
        <f>IF(ISBLANK(B1375),"",B1375)</f>
        <v/>
      </c>
      <c r="C1615" s="59"/>
      <c r="D1615" s="81" t="str">
        <f>D1134</f>
        <v/>
      </c>
      <c r="E1615" s="59"/>
      <c r="F1615" s="59"/>
      <c r="G1615" s="59"/>
      <c r="H1615" s="59"/>
      <c r="I1615" s="59"/>
      <c r="J1615" s="59"/>
      <c r="K1615" s="60"/>
      <c r="L1615" s="60"/>
      <c r="M1615" s="60"/>
      <c r="N1615" s="60"/>
      <c r="O1615" s="60"/>
      <c r="P1615" s="60"/>
      <c r="Q1615" s="60"/>
      <c r="R1615" s="60"/>
      <c r="S1615" s="60"/>
      <c r="T1615" s="60"/>
      <c r="U1615" s="60"/>
      <c r="V1615" s="60"/>
      <c r="W1615" s="60"/>
      <c r="X1615" s="60"/>
    </row>
    <row r="1616" spans="2:24" hidden="1">
      <c r="B1616" s="59" t="str">
        <f>IF(ISBLANK(B1376),"",B1376)</f>
        <v/>
      </c>
      <c r="C1616" s="59"/>
      <c r="D1616" s="81" t="str">
        <f>D1135</f>
        <v/>
      </c>
      <c r="E1616" s="59"/>
      <c r="F1616" s="59"/>
      <c r="G1616" s="59"/>
      <c r="H1616" s="59"/>
      <c r="I1616" s="59"/>
      <c r="J1616" s="59"/>
      <c r="K1616" s="60"/>
      <c r="L1616" s="60"/>
      <c r="M1616" s="60"/>
      <c r="N1616" s="60"/>
      <c r="O1616" s="60"/>
      <c r="P1616" s="60"/>
      <c r="Q1616" s="60"/>
      <c r="R1616" s="60"/>
      <c r="S1616" s="60"/>
      <c r="T1616" s="60"/>
      <c r="U1616" s="60"/>
      <c r="V1616" s="60"/>
      <c r="W1616" s="60"/>
      <c r="X1616" s="60"/>
    </row>
    <row r="1617" spans="2:24" hidden="1">
      <c r="B1617" s="59" t="str">
        <f>IF(ISBLANK(B1377),"",B1377)</f>
        <v/>
      </c>
      <c r="C1617" s="59"/>
      <c r="D1617" s="81" t="str">
        <f>D1136</f>
        <v/>
      </c>
      <c r="E1617" s="59"/>
      <c r="F1617" s="59"/>
      <c r="G1617" s="59"/>
      <c r="H1617" s="59"/>
      <c r="I1617" s="59"/>
      <c r="J1617" s="59"/>
      <c r="K1617" s="60"/>
      <c r="L1617" s="60"/>
      <c r="M1617" s="60"/>
      <c r="N1617" s="60"/>
      <c r="O1617" s="60"/>
      <c r="P1617" s="60"/>
      <c r="Q1617" s="60"/>
      <c r="R1617" s="60"/>
      <c r="S1617" s="60"/>
      <c r="T1617" s="60"/>
      <c r="U1617" s="60"/>
      <c r="V1617" s="60"/>
      <c r="W1617" s="60"/>
      <c r="X1617" s="60"/>
    </row>
    <row r="1618" spans="2:24" hidden="1">
      <c r="B1618" s="59" t="str">
        <f>IF(ISBLANK(B1378),"",B1378)</f>
        <v/>
      </c>
      <c r="C1618" s="59"/>
      <c r="D1618" s="81" t="str">
        <f>D1137</f>
        <v/>
      </c>
      <c r="E1618" s="59"/>
      <c r="F1618" s="59"/>
      <c r="G1618" s="59"/>
      <c r="H1618" s="59"/>
      <c r="I1618" s="59"/>
      <c r="J1618" s="59"/>
      <c r="K1618" s="60"/>
      <c r="L1618" s="60"/>
      <c r="M1618" s="60"/>
      <c r="N1618" s="60"/>
      <c r="O1618" s="60"/>
      <c r="P1618" s="60"/>
      <c r="Q1618" s="60"/>
      <c r="R1618" s="60"/>
      <c r="S1618" s="60"/>
      <c r="T1618" s="60"/>
      <c r="U1618" s="60"/>
      <c r="V1618" s="60"/>
      <c r="W1618" s="60"/>
      <c r="X1618" s="60"/>
    </row>
    <row r="1619" spans="2:24" hidden="1">
      <c r="B1619" s="20" t="s">
        <v>326</v>
      </c>
      <c r="C1619" s="20"/>
      <c r="D1619" s="80"/>
      <c r="E1619" s="21"/>
      <c r="F1619" s="21"/>
      <c r="G1619" s="21"/>
      <c r="H1619" s="21"/>
      <c r="I1619" s="21"/>
      <c r="J1619" s="21"/>
      <c r="K1619" s="61">
        <f>ROUND(SUM(K1614:K1618),0)</f>
        <v>0</v>
      </c>
      <c r="L1619" s="61">
        <f t="shared" ref="L1619:X1619" si="988">ROUND(SUM(L1614:L1618),0)</f>
        <v>0</v>
      </c>
      <c r="M1619" s="61">
        <f t="shared" si="988"/>
        <v>0</v>
      </c>
      <c r="N1619" s="61">
        <f t="shared" si="988"/>
        <v>0</v>
      </c>
      <c r="O1619" s="61">
        <f t="shared" si="988"/>
        <v>0</v>
      </c>
      <c r="P1619" s="61">
        <f t="shared" si="988"/>
        <v>0</v>
      </c>
      <c r="Q1619" s="61">
        <f t="shared" si="988"/>
        <v>0</v>
      </c>
      <c r="R1619" s="61">
        <f t="shared" si="988"/>
        <v>0</v>
      </c>
      <c r="S1619" s="61">
        <f t="shared" si="988"/>
        <v>0</v>
      </c>
      <c r="T1619" s="61">
        <f t="shared" si="988"/>
        <v>0</v>
      </c>
      <c r="U1619" s="61">
        <f t="shared" si="988"/>
        <v>0</v>
      </c>
      <c r="V1619" s="61">
        <f t="shared" si="988"/>
        <v>0</v>
      </c>
      <c r="W1619" s="61">
        <f t="shared" si="988"/>
        <v>0</v>
      </c>
      <c r="X1619" s="61">
        <f t="shared" si="988"/>
        <v>0</v>
      </c>
    </row>
    <row r="1620" spans="2:24" hidden="1">
      <c r="B1620" s="21"/>
      <c r="C1620" s="21"/>
      <c r="D1620" s="80"/>
      <c r="E1620" s="21"/>
      <c r="F1620" s="21"/>
      <c r="G1620" s="21"/>
      <c r="H1620" s="21"/>
      <c r="I1620" s="21"/>
      <c r="J1620" s="21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</row>
    <row r="1621" spans="2:24" hidden="1">
      <c r="B1621" s="21"/>
      <c r="C1621" s="21"/>
      <c r="D1621" s="80"/>
      <c r="E1621" s="21"/>
      <c r="F1621" s="21"/>
      <c r="G1621" s="21"/>
      <c r="H1621" s="21"/>
      <c r="I1621" s="21"/>
      <c r="J1621" s="21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</row>
    <row r="1622" spans="2:24" hidden="1">
      <c r="B1622" s="20" t="s">
        <v>327</v>
      </c>
      <c r="C1622" s="20"/>
      <c r="D1622" s="82" t="s">
        <v>336</v>
      </c>
      <c r="E1622" s="20" t="s">
        <v>337</v>
      </c>
      <c r="F1622" s="21"/>
      <c r="G1622" s="21"/>
      <c r="H1622" s="21"/>
      <c r="I1622" s="21"/>
      <c r="J1622" s="21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</row>
    <row r="1623" spans="2:24" hidden="1">
      <c r="B1623" s="59" t="str">
        <f>IF(ISBLANK(B1383),"",B1383)</f>
        <v>Koszty z tytułu oprocentowania kredytów i pożyczek</v>
      </c>
      <c r="C1623" s="59"/>
      <c r="D1623" s="81" t="str">
        <f>D1142</f>
        <v/>
      </c>
      <c r="E1623" s="59"/>
      <c r="F1623" s="59"/>
      <c r="G1623" s="59"/>
      <c r="H1623" s="59"/>
      <c r="I1623" s="59"/>
      <c r="J1623" s="59"/>
      <c r="K1623" s="60"/>
      <c r="L1623" s="60"/>
      <c r="M1623" s="60"/>
      <c r="N1623" s="60"/>
      <c r="O1623" s="60"/>
      <c r="P1623" s="60"/>
      <c r="Q1623" s="60"/>
      <c r="R1623" s="60"/>
      <c r="S1623" s="60"/>
      <c r="T1623" s="60"/>
      <c r="U1623" s="60"/>
      <c r="V1623" s="60"/>
      <c r="W1623" s="60"/>
      <c r="X1623" s="60"/>
    </row>
    <row r="1624" spans="2:24" hidden="1">
      <c r="B1624" s="59" t="str">
        <f>IF(ISBLANK(B1384),"",B1384)</f>
        <v/>
      </c>
      <c r="C1624" s="59"/>
      <c r="D1624" s="81" t="str">
        <f>D1143</f>
        <v/>
      </c>
      <c r="E1624" s="59"/>
      <c r="F1624" s="59"/>
      <c r="G1624" s="59"/>
      <c r="H1624" s="59"/>
      <c r="I1624" s="59"/>
      <c r="J1624" s="59"/>
      <c r="K1624" s="60"/>
      <c r="L1624" s="60"/>
      <c r="M1624" s="60"/>
      <c r="N1624" s="60"/>
      <c r="O1624" s="60"/>
      <c r="P1624" s="60"/>
      <c r="Q1624" s="60"/>
      <c r="R1624" s="60"/>
      <c r="S1624" s="60"/>
      <c r="T1624" s="60"/>
      <c r="U1624" s="60"/>
      <c r="V1624" s="60"/>
      <c r="W1624" s="60"/>
      <c r="X1624" s="60"/>
    </row>
    <row r="1625" spans="2:24" hidden="1">
      <c r="B1625" s="59" t="str">
        <f>IF(ISBLANK(B1385),"",B1385)</f>
        <v/>
      </c>
      <c r="C1625" s="59"/>
      <c r="D1625" s="81" t="str">
        <f>D1144</f>
        <v/>
      </c>
      <c r="E1625" s="59"/>
      <c r="F1625" s="59"/>
      <c r="G1625" s="59"/>
      <c r="H1625" s="59"/>
      <c r="I1625" s="59"/>
      <c r="J1625" s="59"/>
      <c r="K1625" s="60"/>
      <c r="L1625" s="60"/>
      <c r="M1625" s="60"/>
      <c r="N1625" s="60"/>
      <c r="O1625" s="60"/>
      <c r="P1625" s="60"/>
      <c r="Q1625" s="60"/>
      <c r="R1625" s="60"/>
      <c r="S1625" s="60"/>
      <c r="T1625" s="60"/>
      <c r="U1625" s="60"/>
      <c r="V1625" s="60"/>
      <c r="W1625" s="60"/>
      <c r="X1625" s="60"/>
    </row>
    <row r="1626" spans="2:24" hidden="1">
      <c r="B1626" s="59" t="str">
        <f>IF(ISBLANK(B1386),"",B1386)</f>
        <v/>
      </c>
      <c r="C1626" s="59"/>
      <c r="D1626" s="81" t="str">
        <f>D1145</f>
        <v/>
      </c>
      <c r="E1626" s="59"/>
      <c r="F1626" s="59"/>
      <c r="G1626" s="59"/>
      <c r="H1626" s="59"/>
      <c r="I1626" s="59"/>
      <c r="J1626" s="59"/>
      <c r="K1626" s="60"/>
      <c r="L1626" s="60"/>
      <c r="M1626" s="60"/>
      <c r="N1626" s="60"/>
      <c r="O1626" s="60"/>
      <c r="P1626" s="60"/>
      <c r="Q1626" s="60"/>
      <c r="R1626" s="60"/>
      <c r="S1626" s="60"/>
      <c r="T1626" s="60"/>
      <c r="U1626" s="60"/>
      <c r="V1626" s="60"/>
      <c r="W1626" s="60"/>
      <c r="X1626" s="60"/>
    </row>
    <row r="1627" spans="2:24" hidden="1">
      <c r="B1627" s="59" t="str">
        <f>IF(ISBLANK(B1387),"",B1387)</f>
        <v/>
      </c>
      <c r="C1627" s="59"/>
      <c r="D1627" s="81" t="str">
        <f>D1146</f>
        <v/>
      </c>
      <c r="E1627" s="59"/>
      <c r="F1627" s="59"/>
      <c r="G1627" s="59"/>
      <c r="H1627" s="59"/>
      <c r="I1627" s="59"/>
      <c r="J1627" s="59"/>
      <c r="K1627" s="60"/>
      <c r="L1627" s="60"/>
      <c r="M1627" s="60"/>
      <c r="N1627" s="60"/>
      <c r="O1627" s="60"/>
      <c r="P1627" s="60"/>
      <c r="Q1627" s="60"/>
      <c r="R1627" s="60"/>
      <c r="S1627" s="60"/>
      <c r="T1627" s="60"/>
      <c r="U1627" s="60"/>
      <c r="V1627" s="60"/>
      <c r="W1627" s="60"/>
      <c r="X1627" s="60"/>
    </row>
    <row r="1628" spans="2:24" hidden="1">
      <c r="B1628" s="20" t="s">
        <v>329</v>
      </c>
      <c r="C1628" s="20"/>
      <c r="D1628" s="21"/>
      <c r="E1628" s="21"/>
      <c r="F1628" s="21"/>
      <c r="G1628" s="21"/>
      <c r="H1628" s="21"/>
      <c r="I1628" s="21"/>
      <c r="J1628" s="21"/>
      <c r="K1628" s="61">
        <f>ROUND(SUM(K1623:K1627),0)</f>
        <v>0</v>
      </c>
      <c r="L1628" s="61">
        <f t="shared" ref="L1628:X1628" si="989">ROUND(SUM(L1623:L1627),0)</f>
        <v>0</v>
      </c>
      <c r="M1628" s="61">
        <f t="shared" si="989"/>
        <v>0</v>
      </c>
      <c r="N1628" s="61">
        <f t="shared" si="989"/>
        <v>0</v>
      </c>
      <c r="O1628" s="61">
        <f t="shared" si="989"/>
        <v>0</v>
      </c>
      <c r="P1628" s="61">
        <f t="shared" si="989"/>
        <v>0</v>
      </c>
      <c r="Q1628" s="61">
        <f t="shared" si="989"/>
        <v>0</v>
      </c>
      <c r="R1628" s="61">
        <f t="shared" si="989"/>
        <v>0</v>
      </c>
      <c r="S1628" s="61">
        <f t="shared" si="989"/>
        <v>0</v>
      </c>
      <c r="T1628" s="61">
        <f t="shared" si="989"/>
        <v>0</v>
      </c>
      <c r="U1628" s="61">
        <f t="shared" si="989"/>
        <v>0</v>
      </c>
      <c r="V1628" s="61">
        <f t="shared" si="989"/>
        <v>0</v>
      </c>
      <c r="W1628" s="61">
        <f t="shared" si="989"/>
        <v>0</v>
      </c>
      <c r="X1628" s="61">
        <f t="shared" si="989"/>
        <v>0</v>
      </c>
    </row>
    <row r="1629" spans="2:24" hidden="1">
      <c r="B1629" s="20"/>
      <c r="C1629" s="20"/>
      <c r="D1629" s="21"/>
      <c r="E1629" s="21"/>
      <c r="F1629" s="21"/>
      <c r="G1629" s="21"/>
      <c r="H1629" s="21"/>
      <c r="I1629" s="21"/>
      <c r="J1629" s="21"/>
      <c r="K1629" s="61"/>
      <c r="L1629" s="61"/>
      <c r="M1629" s="61"/>
      <c r="N1629" s="61"/>
      <c r="O1629" s="61"/>
      <c r="P1629" s="61"/>
      <c r="Q1629" s="61"/>
      <c r="R1629" s="61"/>
      <c r="S1629" s="61"/>
      <c r="T1629" s="61"/>
      <c r="U1629" s="61"/>
      <c r="V1629" s="61"/>
      <c r="W1629" s="61"/>
      <c r="X1629" s="61"/>
    </row>
    <row r="1630" spans="2:24" hidden="1">
      <c r="B1630" s="20"/>
      <c r="C1630" s="20"/>
      <c r="D1630" s="21"/>
      <c r="E1630" s="21"/>
      <c r="F1630" s="21"/>
      <c r="G1630" s="21"/>
      <c r="H1630" s="21"/>
      <c r="I1630" s="21"/>
      <c r="J1630" s="21"/>
      <c r="K1630" s="61"/>
      <c r="L1630" s="61"/>
      <c r="M1630" s="61"/>
      <c r="N1630" s="61"/>
      <c r="O1630" s="61"/>
      <c r="P1630" s="61"/>
      <c r="Q1630" s="61"/>
      <c r="R1630" s="61"/>
      <c r="S1630" s="61"/>
      <c r="T1630" s="61"/>
      <c r="U1630" s="61"/>
      <c r="V1630" s="61"/>
      <c r="W1630" s="61"/>
      <c r="X1630" s="61"/>
    </row>
    <row r="1631" spans="2:24" hidden="1">
      <c r="B1631" s="20" t="s">
        <v>352</v>
      </c>
      <c r="C1631" s="20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</row>
    <row r="1632" spans="2:24" hidden="1">
      <c r="B1632" s="21" t="s">
        <v>332</v>
      </c>
      <c r="C1632" s="21"/>
      <c r="D1632" s="21"/>
      <c r="E1632" s="21"/>
      <c r="F1632" s="21"/>
      <c r="G1632" s="21"/>
      <c r="H1632" s="21"/>
      <c r="I1632" s="21"/>
      <c r="J1632" s="21"/>
      <c r="K1632" s="22">
        <f t="shared" ref="K1632:X1632" si="990">IF(LataProjekcji&lt;=Koniec_Projekt,ROUND(K1444,0),0)</f>
        <v>0</v>
      </c>
      <c r="L1632" s="22">
        <f t="shared" si="990"/>
        <v>0</v>
      </c>
      <c r="M1632" s="22">
        <f t="shared" si="990"/>
        <v>0</v>
      </c>
      <c r="N1632" s="22">
        <f t="shared" si="990"/>
        <v>0</v>
      </c>
      <c r="O1632" s="22">
        <f t="shared" si="990"/>
        <v>0</v>
      </c>
      <c r="P1632" s="22">
        <f t="shared" si="990"/>
        <v>0</v>
      </c>
      <c r="Q1632" s="22">
        <f t="shared" si="990"/>
        <v>0</v>
      </c>
      <c r="R1632" s="22">
        <f t="shared" si="990"/>
        <v>0</v>
      </c>
      <c r="S1632" s="22">
        <f t="shared" si="990"/>
        <v>0</v>
      </c>
      <c r="T1632" s="22">
        <f t="shared" si="990"/>
        <v>0</v>
      </c>
      <c r="U1632" s="22">
        <f t="shared" si="990"/>
        <v>0</v>
      </c>
      <c r="V1632" s="22">
        <f t="shared" si="990"/>
        <v>0</v>
      </c>
      <c r="W1632" s="22">
        <f t="shared" si="990"/>
        <v>0</v>
      </c>
      <c r="X1632" s="22">
        <f t="shared" si="990"/>
        <v>0</v>
      </c>
    </row>
    <row r="1633" spans="2:24" hidden="1">
      <c r="B1633" s="21" t="s">
        <v>312</v>
      </c>
      <c r="C1633" s="21"/>
      <c r="D1633" s="21"/>
      <c r="E1633" s="21"/>
      <c r="F1633" s="21"/>
      <c r="G1633" s="21"/>
      <c r="H1633" s="21"/>
      <c r="I1633" s="21"/>
      <c r="J1633" s="21"/>
      <c r="K1633" s="22">
        <f t="shared" ref="K1633:X1633" si="991">IF(LataProjekcji&lt;=Koniec_Projekt,ROUND(K1468,0),0)</f>
        <v>0</v>
      </c>
      <c r="L1633" s="22">
        <f t="shared" si="991"/>
        <v>0</v>
      </c>
      <c r="M1633" s="22">
        <f t="shared" si="991"/>
        <v>0</v>
      </c>
      <c r="N1633" s="22">
        <f t="shared" si="991"/>
        <v>0</v>
      </c>
      <c r="O1633" s="22">
        <f t="shared" si="991"/>
        <v>0</v>
      </c>
      <c r="P1633" s="22">
        <f t="shared" si="991"/>
        <v>0</v>
      </c>
      <c r="Q1633" s="22">
        <f t="shared" si="991"/>
        <v>0</v>
      </c>
      <c r="R1633" s="22">
        <f t="shared" si="991"/>
        <v>0</v>
      </c>
      <c r="S1633" s="22">
        <f t="shared" si="991"/>
        <v>0</v>
      </c>
      <c r="T1633" s="22">
        <f t="shared" si="991"/>
        <v>0</v>
      </c>
      <c r="U1633" s="22">
        <f t="shared" si="991"/>
        <v>0</v>
      </c>
      <c r="V1633" s="22">
        <f t="shared" si="991"/>
        <v>0</v>
      </c>
      <c r="W1633" s="22">
        <f t="shared" si="991"/>
        <v>0</v>
      </c>
      <c r="X1633" s="22">
        <f t="shared" si="991"/>
        <v>0</v>
      </c>
    </row>
    <row r="1634" spans="2:24" hidden="1">
      <c r="B1634" s="21" t="s">
        <v>314</v>
      </c>
      <c r="C1634" s="21"/>
      <c r="D1634" s="21"/>
      <c r="E1634" s="21"/>
      <c r="F1634" s="21"/>
      <c r="G1634" s="21"/>
      <c r="H1634" s="21"/>
      <c r="I1634" s="21"/>
      <c r="J1634" s="21"/>
      <c r="K1634" s="22">
        <f t="shared" ref="K1634:X1634" si="992">IF(LataProjekcji&lt;=Koniec_Projekt,ROUND(K1477,0),0)</f>
        <v>0</v>
      </c>
      <c r="L1634" s="22">
        <f t="shared" si="992"/>
        <v>0</v>
      </c>
      <c r="M1634" s="22">
        <f t="shared" si="992"/>
        <v>0</v>
      </c>
      <c r="N1634" s="22">
        <f t="shared" si="992"/>
        <v>0</v>
      </c>
      <c r="O1634" s="22">
        <f t="shared" si="992"/>
        <v>0</v>
      </c>
      <c r="P1634" s="22">
        <f t="shared" si="992"/>
        <v>0</v>
      </c>
      <c r="Q1634" s="22">
        <f t="shared" si="992"/>
        <v>0</v>
      </c>
      <c r="R1634" s="22">
        <f t="shared" si="992"/>
        <v>0</v>
      </c>
      <c r="S1634" s="22">
        <f t="shared" si="992"/>
        <v>0</v>
      </c>
      <c r="T1634" s="22">
        <f t="shared" si="992"/>
        <v>0</v>
      </c>
      <c r="U1634" s="22">
        <f t="shared" si="992"/>
        <v>0</v>
      </c>
      <c r="V1634" s="22">
        <f t="shared" si="992"/>
        <v>0</v>
      </c>
      <c r="W1634" s="22">
        <f t="shared" si="992"/>
        <v>0</v>
      </c>
      <c r="X1634" s="22">
        <f t="shared" si="992"/>
        <v>0</v>
      </c>
    </row>
    <row r="1635" spans="2:24" hidden="1">
      <c r="B1635" s="21" t="s">
        <v>333</v>
      </c>
      <c r="C1635" s="21"/>
      <c r="D1635" s="21"/>
      <c r="E1635" s="21"/>
      <c r="F1635" s="21"/>
      <c r="G1635" s="21"/>
      <c r="H1635" s="21"/>
      <c r="I1635" s="21"/>
      <c r="J1635" s="21"/>
      <c r="K1635" s="22">
        <f t="shared" ref="K1635:X1635" si="993">IF(LataProjekcji&lt;=Koniec_Projekt,ROUND(K1522,0),0)</f>
        <v>0</v>
      </c>
      <c r="L1635" s="22">
        <f t="shared" si="993"/>
        <v>0</v>
      </c>
      <c r="M1635" s="22">
        <f t="shared" si="993"/>
        <v>0</v>
      </c>
      <c r="N1635" s="22">
        <f t="shared" si="993"/>
        <v>0</v>
      </c>
      <c r="O1635" s="22">
        <f t="shared" si="993"/>
        <v>0</v>
      </c>
      <c r="P1635" s="22">
        <f t="shared" si="993"/>
        <v>0</v>
      </c>
      <c r="Q1635" s="22">
        <f t="shared" si="993"/>
        <v>0</v>
      </c>
      <c r="R1635" s="22">
        <f t="shared" si="993"/>
        <v>0</v>
      </c>
      <c r="S1635" s="22">
        <f t="shared" si="993"/>
        <v>0</v>
      </c>
      <c r="T1635" s="22">
        <f t="shared" si="993"/>
        <v>0</v>
      </c>
      <c r="U1635" s="22">
        <f t="shared" si="993"/>
        <v>0</v>
      </c>
      <c r="V1635" s="22">
        <f t="shared" si="993"/>
        <v>0</v>
      </c>
      <c r="W1635" s="22">
        <f t="shared" si="993"/>
        <v>0</v>
      </c>
      <c r="X1635" s="22">
        <f t="shared" si="993"/>
        <v>0</v>
      </c>
    </row>
    <row r="1636" spans="2:24" hidden="1">
      <c r="B1636" s="21" t="s">
        <v>320</v>
      </c>
      <c r="C1636" s="21"/>
      <c r="D1636" s="21"/>
      <c r="E1636" s="21"/>
      <c r="F1636" s="21"/>
      <c r="G1636" s="21"/>
      <c r="H1636" s="21"/>
      <c r="I1636" s="21"/>
      <c r="J1636" s="21"/>
      <c r="K1636" s="22">
        <f t="shared" ref="K1636:X1636" si="994">IF(LataProjekcji&lt;=Koniec_Projekt,ROUND(K1567,0),0)</f>
        <v>0</v>
      </c>
      <c r="L1636" s="22">
        <f t="shared" si="994"/>
        <v>0</v>
      </c>
      <c r="M1636" s="22">
        <f t="shared" si="994"/>
        <v>0</v>
      </c>
      <c r="N1636" s="22">
        <f t="shared" si="994"/>
        <v>0</v>
      </c>
      <c r="O1636" s="22">
        <f t="shared" si="994"/>
        <v>0</v>
      </c>
      <c r="P1636" s="22">
        <f t="shared" si="994"/>
        <v>0</v>
      </c>
      <c r="Q1636" s="22">
        <f t="shared" si="994"/>
        <v>0</v>
      </c>
      <c r="R1636" s="22">
        <f t="shared" si="994"/>
        <v>0</v>
      </c>
      <c r="S1636" s="22">
        <f t="shared" si="994"/>
        <v>0</v>
      </c>
      <c r="T1636" s="22">
        <f t="shared" si="994"/>
        <v>0</v>
      </c>
      <c r="U1636" s="22">
        <f t="shared" si="994"/>
        <v>0</v>
      </c>
      <c r="V1636" s="22">
        <f t="shared" si="994"/>
        <v>0</v>
      </c>
      <c r="W1636" s="22">
        <f t="shared" si="994"/>
        <v>0</v>
      </c>
      <c r="X1636" s="22">
        <f t="shared" si="994"/>
        <v>0</v>
      </c>
    </row>
    <row r="1637" spans="2:24" hidden="1">
      <c r="B1637" s="21" t="s">
        <v>323</v>
      </c>
      <c r="C1637" s="21"/>
      <c r="D1637" s="21"/>
      <c r="E1637" s="21"/>
      <c r="F1637" s="21"/>
      <c r="G1637" s="21"/>
      <c r="H1637" s="21"/>
      <c r="I1637" s="21"/>
      <c r="J1637" s="21"/>
      <c r="K1637" s="22">
        <f t="shared" ref="K1637:X1637" si="995">IF(LataProjekcji&lt;=Koniec_Projekt,ROUND(K1601,0),0)</f>
        <v>0</v>
      </c>
      <c r="L1637" s="22">
        <f t="shared" si="995"/>
        <v>0</v>
      </c>
      <c r="M1637" s="22">
        <f t="shared" si="995"/>
        <v>0</v>
      </c>
      <c r="N1637" s="22">
        <f t="shared" si="995"/>
        <v>0</v>
      </c>
      <c r="O1637" s="22">
        <f t="shared" si="995"/>
        <v>0</v>
      </c>
      <c r="P1637" s="22">
        <f t="shared" si="995"/>
        <v>0</v>
      </c>
      <c r="Q1637" s="22">
        <f t="shared" si="995"/>
        <v>0</v>
      </c>
      <c r="R1637" s="22">
        <f t="shared" si="995"/>
        <v>0</v>
      </c>
      <c r="S1637" s="22">
        <f t="shared" si="995"/>
        <v>0</v>
      </c>
      <c r="T1637" s="22">
        <f t="shared" si="995"/>
        <v>0</v>
      </c>
      <c r="U1637" s="22">
        <f t="shared" si="995"/>
        <v>0</v>
      </c>
      <c r="V1637" s="22">
        <f t="shared" si="995"/>
        <v>0</v>
      </c>
      <c r="W1637" s="22">
        <f t="shared" si="995"/>
        <v>0</v>
      </c>
      <c r="X1637" s="22">
        <f t="shared" si="995"/>
        <v>0</v>
      </c>
    </row>
    <row r="1638" spans="2:24" hidden="1">
      <c r="B1638" s="21" t="s">
        <v>334</v>
      </c>
      <c r="C1638" s="21"/>
      <c r="D1638" s="21"/>
      <c r="E1638" s="21"/>
      <c r="F1638" s="21"/>
      <c r="G1638" s="21"/>
      <c r="H1638" s="21"/>
      <c r="I1638" s="21"/>
      <c r="J1638" s="21"/>
      <c r="K1638" s="22">
        <f t="shared" ref="K1638:X1638" si="996">IF(LataProjekcji&lt;=Koniec_Projekt,K1610,0)</f>
        <v>0</v>
      </c>
      <c r="L1638" s="22">
        <f t="shared" si="996"/>
        <v>0</v>
      </c>
      <c r="M1638" s="22">
        <f t="shared" si="996"/>
        <v>0</v>
      </c>
      <c r="N1638" s="22">
        <f t="shared" si="996"/>
        <v>0</v>
      </c>
      <c r="O1638" s="22">
        <f t="shared" si="996"/>
        <v>0</v>
      </c>
      <c r="P1638" s="22">
        <f t="shared" si="996"/>
        <v>0</v>
      </c>
      <c r="Q1638" s="22">
        <f t="shared" si="996"/>
        <v>0</v>
      </c>
      <c r="R1638" s="22">
        <f t="shared" si="996"/>
        <v>0</v>
      </c>
      <c r="S1638" s="22">
        <f t="shared" si="996"/>
        <v>0</v>
      </c>
      <c r="T1638" s="22">
        <f t="shared" si="996"/>
        <v>0</v>
      </c>
      <c r="U1638" s="22">
        <f t="shared" si="996"/>
        <v>0</v>
      </c>
      <c r="V1638" s="22">
        <f t="shared" si="996"/>
        <v>0</v>
      </c>
      <c r="W1638" s="22">
        <f t="shared" si="996"/>
        <v>0</v>
      </c>
      <c r="X1638" s="22">
        <f t="shared" si="996"/>
        <v>0</v>
      </c>
    </row>
    <row r="1639" spans="2:24" hidden="1">
      <c r="B1639" s="21" t="s">
        <v>325</v>
      </c>
      <c r="C1639" s="21"/>
      <c r="D1639" s="21"/>
      <c r="E1639" s="21"/>
      <c r="F1639" s="21"/>
      <c r="G1639" s="21"/>
      <c r="H1639" s="21"/>
      <c r="I1639" s="21"/>
      <c r="J1639" s="21"/>
      <c r="K1639" s="22">
        <f t="shared" ref="K1639:X1639" si="997">IF(LataProjekcji&lt;=Koniec_Projekt,ROUND(K1619,0),0)</f>
        <v>0</v>
      </c>
      <c r="L1639" s="22">
        <f t="shared" si="997"/>
        <v>0</v>
      </c>
      <c r="M1639" s="22">
        <f t="shared" si="997"/>
        <v>0</v>
      </c>
      <c r="N1639" s="22">
        <f t="shared" si="997"/>
        <v>0</v>
      </c>
      <c r="O1639" s="22">
        <f t="shared" si="997"/>
        <v>0</v>
      </c>
      <c r="P1639" s="22">
        <f t="shared" si="997"/>
        <v>0</v>
      </c>
      <c r="Q1639" s="22">
        <f t="shared" si="997"/>
        <v>0</v>
      </c>
      <c r="R1639" s="22">
        <f t="shared" si="997"/>
        <v>0</v>
      </c>
      <c r="S1639" s="22">
        <f t="shared" si="997"/>
        <v>0</v>
      </c>
      <c r="T1639" s="22">
        <f t="shared" si="997"/>
        <v>0</v>
      </c>
      <c r="U1639" s="22">
        <f t="shared" si="997"/>
        <v>0</v>
      </c>
      <c r="V1639" s="22">
        <f t="shared" si="997"/>
        <v>0</v>
      </c>
      <c r="W1639" s="22">
        <f t="shared" si="997"/>
        <v>0</v>
      </c>
      <c r="X1639" s="22">
        <f t="shared" si="997"/>
        <v>0</v>
      </c>
    </row>
    <row r="1640" spans="2:24" hidden="1">
      <c r="B1640" s="21" t="s">
        <v>327</v>
      </c>
      <c r="C1640" s="21"/>
      <c r="D1640" s="21"/>
      <c r="E1640" s="21"/>
      <c r="F1640" s="21"/>
      <c r="G1640" s="21"/>
      <c r="H1640" s="21"/>
      <c r="I1640" s="21"/>
      <c r="J1640" s="21"/>
      <c r="K1640" s="22">
        <f t="shared" ref="K1640:X1640" si="998">IF(LataProjekcji&lt;=Koniec_Projekt,ROUND(K1628,0),0)</f>
        <v>0</v>
      </c>
      <c r="L1640" s="22">
        <f t="shared" si="998"/>
        <v>0</v>
      </c>
      <c r="M1640" s="22">
        <f t="shared" si="998"/>
        <v>0</v>
      </c>
      <c r="N1640" s="22">
        <f t="shared" si="998"/>
        <v>0</v>
      </c>
      <c r="O1640" s="22">
        <f t="shared" si="998"/>
        <v>0</v>
      </c>
      <c r="P1640" s="22">
        <f t="shared" si="998"/>
        <v>0</v>
      </c>
      <c r="Q1640" s="22">
        <f t="shared" si="998"/>
        <v>0</v>
      </c>
      <c r="R1640" s="22">
        <f t="shared" si="998"/>
        <v>0</v>
      </c>
      <c r="S1640" s="22">
        <f t="shared" si="998"/>
        <v>0</v>
      </c>
      <c r="T1640" s="22">
        <f t="shared" si="998"/>
        <v>0</v>
      </c>
      <c r="U1640" s="22">
        <f t="shared" si="998"/>
        <v>0</v>
      </c>
      <c r="V1640" s="22">
        <f t="shared" si="998"/>
        <v>0</v>
      </c>
      <c r="W1640" s="22">
        <f t="shared" si="998"/>
        <v>0</v>
      </c>
      <c r="X1640" s="22">
        <f t="shared" si="998"/>
        <v>0</v>
      </c>
    </row>
    <row r="1641" spans="2:24" hidden="1">
      <c r="B1641" s="65" t="s">
        <v>335</v>
      </c>
      <c r="C1641" s="65"/>
      <c r="D1641" s="58"/>
      <c r="E1641" s="58"/>
      <c r="F1641" s="58"/>
      <c r="G1641" s="58"/>
      <c r="H1641" s="58"/>
      <c r="I1641" s="58"/>
      <c r="J1641" s="58"/>
      <c r="K1641" s="66">
        <f>ROUND(SUM(K1632:K1640),0)</f>
        <v>0</v>
      </c>
      <c r="L1641" s="66">
        <f t="shared" ref="L1641:X1641" si="999">ROUND(SUM(L1632:L1640),0)</f>
        <v>0</v>
      </c>
      <c r="M1641" s="66">
        <f t="shared" si="999"/>
        <v>0</v>
      </c>
      <c r="N1641" s="66">
        <f t="shared" si="999"/>
        <v>0</v>
      </c>
      <c r="O1641" s="66">
        <f t="shared" si="999"/>
        <v>0</v>
      </c>
      <c r="P1641" s="66">
        <f t="shared" si="999"/>
        <v>0</v>
      </c>
      <c r="Q1641" s="66">
        <f t="shared" si="999"/>
        <v>0</v>
      </c>
      <c r="R1641" s="66">
        <f t="shared" si="999"/>
        <v>0</v>
      </c>
      <c r="S1641" s="66">
        <f t="shared" si="999"/>
        <v>0</v>
      </c>
      <c r="T1641" s="66">
        <f t="shared" si="999"/>
        <v>0</v>
      </c>
      <c r="U1641" s="66">
        <f t="shared" si="999"/>
        <v>0</v>
      </c>
      <c r="V1641" s="66">
        <f t="shared" si="999"/>
        <v>0</v>
      </c>
      <c r="W1641" s="66">
        <f t="shared" si="999"/>
        <v>0</v>
      </c>
      <c r="X1641" s="66">
        <f t="shared" si="999"/>
        <v>0</v>
      </c>
    </row>
    <row r="1642" spans="2:24" hidden="1">
      <c r="B1642" s="58"/>
      <c r="C1642" s="58"/>
      <c r="D1642" s="58"/>
      <c r="E1642" s="58"/>
      <c r="F1642" s="58"/>
      <c r="G1642" s="58"/>
      <c r="H1642" s="58"/>
      <c r="I1642" s="58"/>
      <c r="J1642" s="58"/>
      <c r="K1642" s="58"/>
      <c r="L1642" s="58"/>
      <c r="M1642" s="58"/>
      <c r="N1642" s="58"/>
      <c r="O1642" s="58"/>
      <c r="P1642" s="58"/>
      <c r="Q1642" s="58"/>
      <c r="R1642" s="58"/>
      <c r="S1642" s="58"/>
      <c r="T1642" s="58"/>
      <c r="U1642" s="58"/>
      <c r="V1642" s="58"/>
      <c r="W1642" s="58"/>
      <c r="X1642" s="58"/>
    </row>
    <row r="1643" spans="2:24" hidden="1">
      <c r="B1643" s="67"/>
      <c r="C1643" s="67"/>
      <c r="D1643" s="67"/>
      <c r="E1643" s="67"/>
      <c r="F1643" s="67"/>
      <c r="G1643" s="67"/>
      <c r="H1643" s="67"/>
      <c r="I1643" s="67"/>
      <c r="J1643" s="67"/>
      <c r="K1643" s="67"/>
      <c r="L1643" s="67"/>
      <c r="M1643" s="67"/>
      <c r="N1643" s="67"/>
      <c r="O1643" s="67"/>
      <c r="P1643" s="67"/>
      <c r="Q1643" s="67"/>
      <c r="R1643" s="67"/>
      <c r="S1643" s="67"/>
      <c r="T1643" s="67"/>
      <c r="U1643" s="67"/>
      <c r="V1643" s="67"/>
      <c r="W1643" s="67"/>
      <c r="X1643" s="67"/>
    </row>
    <row r="1644" spans="2:24" hidden="1">
      <c r="B1644" s="67"/>
      <c r="C1644" s="67"/>
      <c r="D1644" s="67"/>
      <c r="E1644" s="67"/>
      <c r="F1644" s="67"/>
      <c r="G1644" s="67"/>
      <c r="H1644" s="67"/>
      <c r="I1644" s="67"/>
      <c r="J1644" s="67"/>
      <c r="K1644" s="64" t="str">
        <f t="shared" ref="K1644:X1644" si="1000">LataProjekcji</f>
        <v>Uzupełnij dane</v>
      </c>
      <c r="L1644" s="64" t="str">
        <f t="shared" si="1000"/>
        <v/>
      </c>
      <c r="M1644" s="64" t="str">
        <f t="shared" si="1000"/>
        <v/>
      </c>
      <c r="N1644" s="64" t="str">
        <f t="shared" si="1000"/>
        <v/>
      </c>
      <c r="O1644" s="64" t="str">
        <f t="shared" si="1000"/>
        <v/>
      </c>
      <c r="P1644" s="64" t="str">
        <f t="shared" si="1000"/>
        <v/>
      </c>
      <c r="Q1644" s="64" t="str">
        <f t="shared" si="1000"/>
        <v/>
      </c>
      <c r="R1644" s="64" t="str">
        <f t="shared" si="1000"/>
        <v/>
      </c>
      <c r="S1644" s="64" t="str">
        <f t="shared" si="1000"/>
        <v/>
      </c>
      <c r="T1644" s="64" t="str">
        <f t="shared" si="1000"/>
        <v/>
      </c>
      <c r="U1644" s="64" t="str">
        <f t="shared" si="1000"/>
        <v/>
      </c>
      <c r="V1644" s="64" t="str">
        <f t="shared" si="1000"/>
        <v/>
      </c>
      <c r="W1644" s="64" t="str">
        <f t="shared" si="1000"/>
        <v/>
      </c>
      <c r="X1644" s="64" t="str">
        <f t="shared" si="1000"/>
        <v/>
      </c>
    </row>
    <row r="1645" spans="2:24" hidden="1">
      <c r="B1645" s="67"/>
      <c r="C1645" s="67"/>
      <c r="D1645" s="67"/>
      <c r="E1645" s="67"/>
      <c r="F1645" s="67"/>
      <c r="G1645" s="67"/>
      <c r="H1645" s="67"/>
      <c r="I1645" s="67"/>
      <c r="J1645" s="67"/>
      <c r="K1645" s="67"/>
      <c r="L1645" s="67"/>
      <c r="M1645" s="67"/>
      <c r="N1645" s="67"/>
      <c r="O1645" s="67"/>
      <c r="P1645" s="67"/>
      <c r="Q1645" s="67"/>
      <c r="R1645" s="67"/>
      <c r="S1645" s="67"/>
      <c r="T1645" s="67"/>
      <c r="U1645" s="67"/>
      <c r="V1645" s="67"/>
      <c r="W1645" s="67"/>
      <c r="X1645" s="67"/>
    </row>
    <row r="1646" spans="2:24" hidden="1">
      <c r="B1646" s="68" t="s">
        <v>365</v>
      </c>
      <c r="C1646" s="68"/>
      <c r="D1646" s="67"/>
      <c r="E1646" s="67"/>
      <c r="F1646" s="67"/>
      <c r="G1646" s="67"/>
      <c r="H1646" s="67"/>
      <c r="I1646" s="67"/>
      <c r="J1646" s="67"/>
      <c r="K1646" s="66">
        <f>ROUND(K1641,0)</f>
        <v>0</v>
      </c>
      <c r="L1646" s="66">
        <f t="shared" ref="L1646:X1646" si="1001">ROUND(K1646+L1641,0)</f>
        <v>0</v>
      </c>
      <c r="M1646" s="66">
        <f t="shared" si="1001"/>
        <v>0</v>
      </c>
      <c r="N1646" s="66">
        <f t="shared" si="1001"/>
        <v>0</v>
      </c>
      <c r="O1646" s="66">
        <f t="shared" si="1001"/>
        <v>0</v>
      </c>
      <c r="P1646" s="66">
        <f t="shared" si="1001"/>
        <v>0</v>
      </c>
      <c r="Q1646" s="66">
        <f t="shared" si="1001"/>
        <v>0</v>
      </c>
      <c r="R1646" s="66">
        <f t="shared" si="1001"/>
        <v>0</v>
      </c>
      <c r="S1646" s="66">
        <f t="shared" si="1001"/>
        <v>0</v>
      </c>
      <c r="T1646" s="66">
        <f t="shared" si="1001"/>
        <v>0</v>
      </c>
      <c r="U1646" s="66">
        <f t="shared" si="1001"/>
        <v>0</v>
      </c>
      <c r="V1646" s="66">
        <f t="shared" si="1001"/>
        <v>0</v>
      </c>
      <c r="W1646" s="66">
        <f t="shared" si="1001"/>
        <v>0</v>
      </c>
      <c r="X1646" s="66">
        <f t="shared" si="1001"/>
        <v>0</v>
      </c>
    </row>
    <row r="1647" spans="2:24" hidden="1">
      <c r="B1647" s="67"/>
      <c r="C1647" s="67"/>
      <c r="D1647" s="67"/>
      <c r="E1647" s="67" t="s">
        <v>354</v>
      </c>
      <c r="F1647" s="67" t="s">
        <v>355</v>
      </c>
      <c r="G1647" s="67" t="s">
        <v>356</v>
      </c>
      <c r="H1647" s="67"/>
      <c r="I1647" s="67"/>
      <c r="J1647" s="67"/>
      <c r="K1647" s="67"/>
      <c r="L1647" s="67"/>
      <c r="M1647" s="67"/>
      <c r="N1647" s="67"/>
      <c r="O1647" s="67"/>
      <c r="P1647" s="67"/>
      <c r="Q1647" s="67"/>
      <c r="R1647" s="67"/>
      <c r="S1647" s="67"/>
      <c r="T1647" s="67"/>
      <c r="U1647" s="67"/>
      <c r="V1647" s="67"/>
      <c r="W1647" s="67"/>
      <c r="X1647" s="67"/>
    </row>
    <row r="1648" spans="2:24" hidden="1">
      <c r="B1648" s="67" t="s">
        <v>357</v>
      </c>
      <c r="C1648" s="67"/>
      <c r="D1648" s="67">
        <f>Poczatek</f>
        <v>0</v>
      </c>
      <c r="E1648" s="67" t="e">
        <f>MATCH($D1648,$A$921:$X$921,0)</f>
        <v>#N/A</v>
      </c>
      <c r="F1648" s="67">
        <f>ROW($K$1401)</f>
        <v>1401</v>
      </c>
      <c r="G1648" s="67" t="e">
        <f>ADDRESS(F1648,E1648)</f>
        <v>#N/A</v>
      </c>
      <c r="H1648" s="67"/>
      <c r="I1648" s="67"/>
      <c r="J1648" s="67"/>
      <c r="K1648" s="67"/>
      <c r="L1648" s="67"/>
      <c r="M1648" s="67"/>
      <c r="N1648" s="67"/>
      <c r="O1648" s="67"/>
      <c r="P1648" s="67"/>
      <c r="Q1648" s="67"/>
      <c r="R1648" s="67"/>
      <c r="S1648" s="67"/>
      <c r="T1648" s="67"/>
      <c r="U1648" s="67"/>
      <c r="V1648" s="67"/>
      <c r="W1648" s="67"/>
      <c r="X1648" s="67"/>
    </row>
    <row r="1649" spans="2:24" hidden="1">
      <c r="B1649" s="67" t="s">
        <v>358</v>
      </c>
      <c r="C1649" s="67"/>
      <c r="D1649" s="67">
        <f>Koniec_Projekt</f>
        <v>0</v>
      </c>
      <c r="E1649" s="67" t="e">
        <f>MATCH($D1649,$A$921:$X$921,0)</f>
        <v>#N/A</v>
      </c>
      <c r="F1649" s="67">
        <f>ROW($K$1401)</f>
        <v>1401</v>
      </c>
      <c r="G1649" s="67" t="e">
        <f>ADDRESS(F1649,E1649)</f>
        <v>#N/A</v>
      </c>
      <c r="H1649" s="67"/>
      <c r="I1649" s="67"/>
      <c r="J1649" s="67"/>
      <c r="K1649" s="67"/>
      <c r="L1649" s="67"/>
      <c r="M1649" s="67"/>
      <c r="N1649" s="67"/>
      <c r="O1649" s="67"/>
      <c r="P1649" s="67"/>
      <c r="Q1649" s="67"/>
      <c r="R1649" s="67"/>
      <c r="S1649" s="67"/>
      <c r="T1649" s="67"/>
      <c r="U1649" s="67"/>
      <c r="V1649" s="67"/>
      <c r="W1649" s="67"/>
      <c r="X1649" s="67"/>
    </row>
    <row r="1650" spans="2:24" hidden="1">
      <c r="B1650" s="67"/>
      <c r="C1650" s="67"/>
      <c r="D1650" s="67"/>
      <c r="E1650" s="67"/>
      <c r="F1650" s="67"/>
      <c r="G1650" s="67"/>
      <c r="H1650" s="67"/>
      <c r="I1650" s="67"/>
      <c r="J1650" s="67"/>
      <c r="K1650" s="67"/>
      <c r="L1650" s="67"/>
      <c r="M1650" s="67"/>
      <c r="N1650" s="67"/>
      <c r="O1650" s="67"/>
      <c r="P1650" s="67"/>
      <c r="Q1650" s="67"/>
      <c r="R1650" s="67"/>
      <c r="S1650" s="67"/>
      <c r="T1650" s="67"/>
      <c r="U1650" s="67"/>
      <c r="V1650" s="67"/>
      <c r="W1650" s="67"/>
      <c r="X1650" s="67"/>
    </row>
    <row r="1651" spans="2:24" hidden="1">
      <c r="B1651" s="68" t="s">
        <v>366</v>
      </c>
      <c r="C1651" s="68"/>
      <c r="D1651" s="68"/>
      <c r="E1651" s="68"/>
      <c r="F1651" s="68"/>
      <c r="G1651" s="68"/>
      <c r="H1651" s="68"/>
      <c r="I1651" s="68"/>
      <c r="J1651" s="68"/>
      <c r="K1651" s="66">
        <f t="shared" ref="K1651:X1651" si="1002">IF(LataProjekcji&lt;=Koniec_Projekt,K1641,0)</f>
        <v>0</v>
      </c>
      <c r="L1651" s="66">
        <f t="shared" si="1002"/>
        <v>0</v>
      </c>
      <c r="M1651" s="66">
        <f t="shared" si="1002"/>
        <v>0</v>
      </c>
      <c r="N1651" s="66">
        <f t="shared" si="1002"/>
        <v>0</v>
      </c>
      <c r="O1651" s="66">
        <f t="shared" si="1002"/>
        <v>0</v>
      </c>
      <c r="P1651" s="66">
        <f t="shared" si="1002"/>
        <v>0</v>
      </c>
      <c r="Q1651" s="66">
        <f t="shared" si="1002"/>
        <v>0</v>
      </c>
      <c r="R1651" s="66">
        <f t="shared" si="1002"/>
        <v>0</v>
      </c>
      <c r="S1651" s="66">
        <f t="shared" si="1002"/>
        <v>0</v>
      </c>
      <c r="T1651" s="66">
        <f t="shared" si="1002"/>
        <v>0</v>
      </c>
      <c r="U1651" s="66">
        <f t="shared" si="1002"/>
        <v>0</v>
      </c>
      <c r="V1651" s="66">
        <f t="shared" si="1002"/>
        <v>0</v>
      </c>
      <c r="W1651" s="66">
        <f t="shared" si="1002"/>
        <v>0</v>
      </c>
      <c r="X1651" s="66">
        <f t="shared" si="1002"/>
        <v>0</v>
      </c>
    </row>
    <row r="1661" spans="2:24" hidden="1">
      <c r="B1661" s="111" t="s">
        <v>678</v>
      </c>
      <c r="C1661" s="111"/>
      <c r="D1661" s="112"/>
      <c r="E1661" s="113"/>
      <c r="F1661" s="113"/>
      <c r="G1661" s="113"/>
      <c r="H1661" s="113"/>
      <c r="I1661" s="113"/>
      <c r="J1661" s="113"/>
      <c r="K1661" s="114" t="str">
        <f t="shared" ref="K1661:X1661" si="1003">LataProjekcji</f>
        <v>Uzupełnij dane</v>
      </c>
      <c r="L1661" s="114" t="str">
        <f t="shared" si="1003"/>
        <v/>
      </c>
      <c r="M1661" s="114" t="str">
        <f t="shared" si="1003"/>
        <v/>
      </c>
      <c r="N1661" s="114" t="str">
        <f t="shared" si="1003"/>
        <v/>
      </c>
      <c r="O1661" s="114" t="str">
        <f t="shared" si="1003"/>
        <v/>
      </c>
      <c r="P1661" s="114" t="str">
        <f t="shared" si="1003"/>
        <v/>
      </c>
      <c r="Q1661" s="114" t="str">
        <f t="shared" si="1003"/>
        <v/>
      </c>
      <c r="R1661" s="114" t="str">
        <f t="shared" si="1003"/>
        <v/>
      </c>
      <c r="S1661" s="114" t="str">
        <f t="shared" si="1003"/>
        <v/>
      </c>
      <c r="T1661" s="114" t="str">
        <f t="shared" si="1003"/>
        <v/>
      </c>
      <c r="U1661" s="114" t="str">
        <f t="shared" si="1003"/>
        <v/>
      </c>
      <c r="V1661" s="114" t="str">
        <f t="shared" si="1003"/>
        <v/>
      </c>
      <c r="W1661" s="114" t="str">
        <f t="shared" si="1003"/>
        <v/>
      </c>
      <c r="X1661" s="114" t="str">
        <f t="shared" si="1003"/>
        <v/>
      </c>
    </row>
    <row r="1662" spans="2:24" hidden="1">
      <c r="B1662" s="115"/>
      <c r="C1662" s="115"/>
      <c r="D1662" s="116"/>
      <c r="E1662" s="115"/>
      <c r="F1662" s="115"/>
      <c r="G1662" s="115"/>
      <c r="H1662" s="115"/>
      <c r="I1662" s="115"/>
      <c r="J1662" s="115"/>
      <c r="K1662" s="115"/>
      <c r="L1662" s="115"/>
      <c r="M1662" s="115"/>
      <c r="N1662" s="115"/>
      <c r="O1662" s="115"/>
      <c r="P1662" s="115"/>
      <c r="Q1662" s="115"/>
      <c r="R1662" s="115"/>
      <c r="S1662" s="115"/>
      <c r="T1662" s="115"/>
      <c r="U1662" s="115"/>
      <c r="V1662" s="115"/>
      <c r="W1662" s="115"/>
      <c r="X1662" s="115"/>
    </row>
    <row r="1663" spans="2:24" hidden="1">
      <c r="B1663" s="111" t="s">
        <v>338</v>
      </c>
      <c r="C1663" s="111"/>
      <c r="D1663" s="122" t="s">
        <v>336</v>
      </c>
      <c r="E1663" s="111" t="s">
        <v>337</v>
      </c>
      <c r="F1663" s="113"/>
      <c r="G1663" s="113"/>
      <c r="H1663" s="113"/>
      <c r="I1663" s="113"/>
      <c r="J1663" s="113"/>
      <c r="K1663" s="113"/>
      <c r="L1663" s="113"/>
      <c r="M1663" s="113"/>
      <c r="N1663" s="113"/>
      <c r="O1663" s="113"/>
      <c r="P1663" s="113"/>
      <c r="Q1663" s="113"/>
      <c r="R1663" s="113"/>
      <c r="S1663" s="113"/>
      <c r="T1663" s="113"/>
      <c r="U1663" s="113"/>
      <c r="V1663" s="113"/>
      <c r="W1663" s="113"/>
      <c r="X1663" s="113"/>
    </row>
    <row r="1664" spans="2:24" hidden="1">
      <c r="B1664" s="117" t="str">
        <f t="shared" ref="B1664:E1683" si="1004">IF(ISBLANK(B1424),"",B1424)</f>
        <v/>
      </c>
      <c r="C1664" s="117" t="str">
        <f t="shared" si="1004"/>
        <v/>
      </c>
      <c r="D1664" s="117" t="str">
        <f t="shared" si="1004"/>
        <v/>
      </c>
      <c r="E1664" s="117" t="str">
        <f t="shared" si="1004"/>
        <v/>
      </c>
      <c r="F1664" s="117"/>
      <c r="G1664" s="117"/>
      <c r="H1664" s="117"/>
      <c r="I1664" s="117"/>
      <c r="J1664" s="117"/>
      <c r="K1664" s="119">
        <f t="shared" ref="K1664:X1664" si="1005">IF(AND($D1664="tak",OR($E1664="nie dotyczy",$E1664="badania przemysłowe"),LataProjekcji&lt;=Koniec_Projekt),K117,0)</f>
        <v>0</v>
      </c>
      <c r="L1664" s="119">
        <f t="shared" si="1005"/>
        <v>0</v>
      </c>
      <c r="M1664" s="119">
        <f t="shared" si="1005"/>
        <v>0</v>
      </c>
      <c r="N1664" s="119">
        <f t="shared" si="1005"/>
        <v>0</v>
      </c>
      <c r="O1664" s="119">
        <f t="shared" si="1005"/>
        <v>0</v>
      </c>
      <c r="P1664" s="119">
        <f t="shared" si="1005"/>
        <v>0</v>
      </c>
      <c r="Q1664" s="119">
        <f t="shared" si="1005"/>
        <v>0</v>
      </c>
      <c r="R1664" s="119">
        <f t="shared" si="1005"/>
        <v>0</v>
      </c>
      <c r="S1664" s="119">
        <f t="shared" si="1005"/>
        <v>0</v>
      </c>
      <c r="T1664" s="119">
        <f t="shared" si="1005"/>
        <v>0</v>
      </c>
      <c r="U1664" s="119">
        <f t="shared" si="1005"/>
        <v>0</v>
      </c>
      <c r="V1664" s="119">
        <f t="shared" si="1005"/>
        <v>0</v>
      </c>
      <c r="W1664" s="119">
        <f t="shared" si="1005"/>
        <v>0</v>
      </c>
      <c r="X1664" s="119">
        <f t="shared" si="1005"/>
        <v>0</v>
      </c>
    </row>
    <row r="1665" spans="2:24" hidden="1">
      <c r="B1665" s="117" t="str">
        <f t="shared" si="1004"/>
        <v/>
      </c>
      <c r="C1665" s="117" t="str">
        <f t="shared" si="1004"/>
        <v/>
      </c>
      <c r="D1665" s="117" t="str">
        <f t="shared" si="1004"/>
        <v/>
      </c>
      <c r="E1665" s="117" t="str">
        <f t="shared" si="1004"/>
        <v/>
      </c>
      <c r="F1665" s="117"/>
      <c r="G1665" s="117"/>
      <c r="H1665" s="117"/>
      <c r="I1665" s="117"/>
      <c r="J1665" s="117"/>
      <c r="K1665" s="119">
        <f t="shared" ref="K1665:X1665" si="1006">IF(AND($D1665="tak",OR($E1665="nie dotyczy",$E1665="badania przemysłowe"),LataProjekcji&lt;=Koniec_Projekt),K118,0)</f>
        <v>0</v>
      </c>
      <c r="L1665" s="119">
        <f t="shared" si="1006"/>
        <v>0</v>
      </c>
      <c r="M1665" s="119">
        <f t="shared" si="1006"/>
        <v>0</v>
      </c>
      <c r="N1665" s="119">
        <f t="shared" si="1006"/>
        <v>0</v>
      </c>
      <c r="O1665" s="119">
        <f t="shared" si="1006"/>
        <v>0</v>
      </c>
      <c r="P1665" s="119">
        <f t="shared" si="1006"/>
        <v>0</v>
      </c>
      <c r="Q1665" s="119">
        <f t="shared" si="1006"/>
        <v>0</v>
      </c>
      <c r="R1665" s="119">
        <f t="shared" si="1006"/>
        <v>0</v>
      </c>
      <c r="S1665" s="119">
        <f t="shared" si="1006"/>
        <v>0</v>
      </c>
      <c r="T1665" s="119">
        <f t="shared" si="1006"/>
        <v>0</v>
      </c>
      <c r="U1665" s="119">
        <f t="shared" si="1006"/>
        <v>0</v>
      </c>
      <c r="V1665" s="119">
        <f t="shared" si="1006"/>
        <v>0</v>
      </c>
      <c r="W1665" s="119">
        <f t="shared" si="1006"/>
        <v>0</v>
      </c>
      <c r="X1665" s="119">
        <f t="shared" si="1006"/>
        <v>0</v>
      </c>
    </row>
    <row r="1666" spans="2:24" hidden="1">
      <c r="B1666" s="117" t="str">
        <f t="shared" si="1004"/>
        <v/>
      </c>
      <c r="C1666" s="117" t="str">
        <f t="shared" si="1004"/>
        <v/>
      </c>
      <c r="D1666" s="117" t="str">
        <f t="shared" si="1004"/>
        <v/>
      </c>
      <c r="E1666" s="117" t="str">
        <f t="shared" si="1004"/>
        <v/>
      </c>
      <c r="F1666" s="117"/>
      <c r="G1666" s="117"/>
      <c r="H1666" s="117"/>
      <c r="I1666" s="117"/>
      <c r="J1666" s="117"/>
      <c r="K1666" s="119">
        <f t="shared" ref="K1666:X1666" si="1007">IF(AND($D1666="tak",OR($E1666="nie dotyczy",$E1666="badania przemysłowe"),LataProjekcji&lt;=Koniec_Projekt),K119,0)</f>
        <v>0</v>
      </c>
      <c r="L1666" s="119">
        <f t="shared" si="1007"/>
        <v>0</v>
      </c>
      <c r="M1666" s="119">
        <f t="shared" si="1007"/>
        <v>0</v>
      </c>
      <c r="N1666" s="119">
        <f t="shared" si="1007"/>
        <v>0</v>
      </c>
      <c r="O1666" s="119">
        <f t="shared" si="1007"/>
        <v>0</v>
      </c>
      <c r="P1666" s="119">
        <f t="shared" si="1007"/>
        <v>0</v>
      </c>
      <c r="Q1666" s="119">
        <f t="shared" si="1007"/>
        <v>0</v>
      </c>
      <c r="R1666" s="119">
        <f t="shared" si="1007"/>
        <v>0</v>
      </c>
      <c r="S1666" s="119">
        <f t="shared" si="1007"/>
        <v>0</v>
      </c>
      <c r="T1666" s="119">
        <f t="shared" si="1007"/>
        <v>0</v>
      </c>
      <c r="U1666" s="119">
        <f t="shared" si="1007"/>
        <v>0</v>
      </c>
      <c r="V1666" s="119">
        <f t="shared" si="1007"/>
        <v>0</v>
      </c>
      <c r="W1666" s="119">
        <f t="shared" si="1007"/>
        <v>0</v>
      </c>
      <c r="X1666" s="119">
        <f t="shared" si="1007"/>
        <v>0</v>
      </c>
    </row>
    <row r="1667" spans="2:24" hidden="1">
      <c r="B1667" s="117" t="str">
        <f t="shared" si="1004"/>
        <v/>
      </c>
      <c r="C1667" s="117" t="str">
        <f t="shared" si="1004"/>
        <v/>
      </c>
      <c r="D1667" s="117" t="str">
        <f t="shared" si="1004"/>
        <v/>
      </c>
      <c r="E1667" s="117" t="str">
        <f t="shared" si="1004"/>
        <v/>
      </c>
      <c r="F1667" s="117"/>
      <c r="G1667" s="117"/>
      <c r="H1667" s="117"/>
      <c r="I1667" s="117"/>
      <c r="J1667" s="117"/>
      <c r="K1667" s="119">
        <f t="shared" ref="K1667:X1667" si="1008">IF(AND($D1667="tak",OR($E1667="nie dotyczy",$E1667="badania przemysłowe"),LataProjekcji&lt;=Koniec_Projekt),K120,0)</f>
        <v>0</v>
      </c>
      <c r="L1667" s="119">
        <f t="shared" si="1008"/>
        <v>0</v>
      </c>
      <c r="M1667" s="119">
        <f t="shared" si="1008"/>
        <v>0</v>
      </c>
      <c r="N1667" s="119">
        <f t="shared" si="1008"/>
        <v>0</v>
      </c>
      <c r="O1667" s="119">
        <f t="shared" si="1008"/>
        <v>0</v>
      </c>
      <c r="P1667" s="119">
        <f t="shared" si="1008"/>
        <v>0</v>
      </c>
      <c r="Q1667" s="119">
        <f t="shared" si="1008"/>
        <v>0</v>
      </c>
      <c r="R1667" s="119">
        <f t="shared" si="1008"/>
        <v>0</v>
      </c>
      <c r="S1667" s="119">
        <f t="shared" si="1008"/>
        <v>0</v>
      </c>
      <c r="T1667" s="119">
        <f t="shared" si="1008"/>
        <v>0</v>
      </c>
      <c r="U1667" s="119">
        <f t="shared" si="1008"/>
        <v>0</v>
      </c>
      <c r="V1667" s="119">
        <f t="shared" si="1008"/>
        <v>0</v>
      </c>
      <c r="W1667" s="119">
        <f t="shared" si="1008"/>
        <v>0</v>
      </c>
      <c r="X1667" s="119">
        <f t="shared" si="1008"/>
        <v>0</v>
      </c>
    </row>
    <row r="1668" spans="2:24" hidden="1">
      <c r="B1668" s="117" t="str">
        <f t="shared" si="1004"/>
        <v/>
      </c>
      <c r="C1668" s="117" t="str">
        <f t="shared" si="1004"/>
        <v/>
      </c>
      <c r="D1668" s="117" t="str">
        <f t="shared" si="1004"/>
        <v/>
      </c>
      <c r="E1668" s="117" t="str">
        <f t="shared" si="1004"/>
        <v/>
      </c>
      <c r="F1668" s="117"/>
      <c r="G1668" s="117"/>
      <c r="H1668" s="117"/>
      <c r="I1668" s="117"/>
      <c r="J1668" s="117"/>
      <c r="K1668" s="119">
        <f t="shared" ref="K1668:X1668" si="1009">IF(AND($D1668="tak",OR($E1668="nie dotyczy",$E1668="badania przemysłowe"),LataProjekcji&lt;=Koniec_Projekt),K121,0)</f>
        <v>0</v>
      </c>
      <c r="L1668" s="119">
        <f t="shared" si="1009"/>
        <v>0</v>
      </c>
      <c r="M1668" s="119">
        <f t="shared" si="1009"/>
        <v>0</v>
      </c>
      <c r="N1668" s="119">
        <f t="shared" si="1009"/>
        <v>0</v>
      </c>
      <c r="O1668" s="119">
        <f t="shared" si="1009"/>
        <v>0</v>
      </c>
      <c r="P1668" s="119">
        <f t="shared" si="1009"/>
        <v>0</v>
      </c>
      <c r="Q1668" s="119">
        <f t="shared" si="1009"/>
        <v>0</v>
      </c>
      <c r="R1668" s="119">
        <f t="shared" si="1009"/>
        <v>0</v>
      </c>
      <c r="S1668" s="119">
        <f t="shared" si="1009"/>
        <v>0</v>
      </c>
      <c r="T1668" s="119">
        <f t="shared" si="1009"/>
        <v>0</v>
      </c>
      <c r="U1668" s="119">
        <f t="shared" si="1009"/>
        <v>0</v>
      </c>
      <c r="V1668" s="119">
        <f t="shared" si="1009"/>
        <v>0</v>
      </c>
      <c r="W1668" s="119">
        <f t="shared" si="1009"/>
        <v>0</v>
      </c>
      <c r="X1668" s="119">
        <f t="shared" si="1009"/>
        <v>0</v>
      </c>
    </row>
    <row r="1669" spans="2:24" hidden="1">
      <c r="B1669" s="117" t="str">
        <f t="shared" si="1004"/>
        <v/>
      </c>
      <c r="C1669" s="117" t="str">
        <f t="shared" si="1004"/>
        <v/>
      </c>
      <c r="D1669" s="117" t="str">
        <f t="shared" si="1004"/>
        <v/>
      </c>
      <c r="E1669" s="117" t="str">
        <f t="shared" si="1004"/>
        <v/>
      </c>
      <c r="F1669" s="117"/>
      <c r="G1669" s="117"/>
      <c r="H1669" s="117"/>
      <c r="I1669" s="117"/>
      <c r="J1669" s="117"/>
      <c r="K1669" s="119">
        <f t="shared" ref="K1669:X1669" si="1010">IF(AND($D1669="tak",OR($E1669="nie dotyczy",$E1669="badania przemysłowe"),LataProjekcji&lt;=Koniec_Projekt),K122,0)</f>
        <v>0</v>
      </c>
      <c r="L1669" s="119">
        <f t="shared" si="1010"/>
        <v>0</v>
      </c>
      <c r="M1669" s="119">
        <f t="shared" si="1010"/>
        <v>0</v>
      </c>
      <c r="N1669" s="119">
        <f t="shared" si="1010"/>
        <v>0</v>
      </c>
      <c r="O1669" s="119">
        <f t="shared" si="1010"/>
        <v>0</v>
      </c>
      <c r="P1669" s="119">
        <f t="shared" si="1010"/>
        <v>0</v>
      </c>
      <c r="Q1669" s="119">
        <f t="shared" si="1010"/>
        <v>0</v>
      </c>
      <c r="R1669" s="119">
        <f t="shared" si="1010"/>
        <v>0</v>
      </c>
      <c r="S1669" s="119">
        <f t="shared" si="1010"/>
        <v>0</v>
      </c>
      <c r="T1669" s="119">
        <f t="shared" si="1010"/>
        <v>0</v>
      </c>
      <c r="U1669" s="119">
        <f t="shared" si="1010"/>
        <v>0</v>
      </c>
      <c r="V1669" s="119">
        <f t="shared" si="1010"/>
        <v>0</v>
      </c>
      <c r="W1669" s="119">
        <f t="shared" si="1010"/>
        <v>0</v>
      </c>
      <c r="X1669" s="119">
        <f t="shared" si="1010"/>
        <v>0</v>
      </c>
    </row>
    <row r="1670" spans="2:24" hidden="1">
      <c r="B1670" s="117" t="str">
        <f t="shared" si="1004"/>
        <v/>
      </c>
      <c r="C1670" s="117" t="str">
        <f t="shared" si="1004"/>
        <v/>
      </c>
      <c r="D1670" s="117" t="str">
        <f t="shared" si="1004"/>
        <v/>
      </c>
      <c r="E1670" s="117" t="str">
        <f t="shared" si="1004"/>
        <v/>
      </c>
      <c r="F1670" s="117"/>
      <c r="G1670" s="117"/>
      <c r="H1670" s="117"/>
      <c r="I1670" s="117"/>
      <c r="J1670" s="117"/>
      <c r="K1670" s="119">
        <f t="shared" ref="K1670:X1670" si="1011">IF(AND($D1670="tak",OR($E1670="nie dotyczy",$E1670="badania przemysłowe"),LataProjekcji&lt;=Koniec_Projekt),K123,0)</f>
        <v>0</v>
      </c>
      <c r="L1670" s="119">
        <f t="shared" si="1011"/>
        <v>0</v>
      </c>
      <c r="M1670" s="119">
        <f t="shared" si="1011"/>
        <v>0</v>
      </c>
      <c r="N1670" s="119">
        <f t="shared" si="1011"/>
        <v>0</v>
      </c>
      <c r="O1670" s="119">
        <f t="shared" si="1011"/>
        <v>0</v>
      </c>
      <c r="P1670" s="119">
        <f t="shared" si="1011"/>
        <v>0</v>
      </c>
      <c r="Q1670" s="119">
        <f t="shared" si="1011"/>
        <v>0</v>
      </c>
      <c r="R1670" s="119">
        <f t="shared" si="1011"/>
        <v>0</v>
      </c>
      <c r="S1670" s="119">
        <f t="shared" si="1011"/>
        <v>0</v>
      </c>
      <c r="T1670" s="119">
        <f t="shared" si="1011"/>
        <v>0</v>
      </c>
      <c r="U1670" s="119">
        <f t="shared" si="1011"/>
        <v>0</v>
      </c>
      <c r="V1670" s="119">
        <f t="shared" si="1011"/>
        <v>0</v>
      </c>
      <c r="W1670" s="119">
        <f t="shared" si="1011"/>
        <v>0</v>
      </c>
      <c r="X1670" s="119">
        <f t="shared" si="1011"/>
        <v>0</v>
      </c>
    </row>
    <row r="1671" spans="2:24" hidden="1">
      <c r="B1671" s="117" t="str">
        <f t="shared" si="1004"/>
        <v/>
      </c>
      <c r="C1671" s="117" t="str">
        <f t="shared" si="1004"/>
        <v/>
      </c>
      <c r="D1671" s="117" t="str">
        <f t="shared" si="1004"/>
        <v/>
      </c>
      <c r="E1671" s="117" t="str">
        <f t="shared" si="1004"/>
        <v/>
      </c>
      <c r="F1671" s="117"/>
      <c r="G1671" s="117"/>
      <c r="H1671" s="117"/>
      <c r="I1671" s="117"/>
      <c r="J1671" s="117"/>
      <c r="K1671" s="119">
        <f t="shared" ref="K1671:X1671" si="1012">IF(AND($D1671="tak",OR($E1671="nie dotyczy",$E1671="badania przemysłowe"),LataProjekcji&lt;=Koniec_Projekt),K124,0)</f>
        <v>0</v>
      </c>
      <c r="L1671" s="119">
        <f t="shared" si="1012"/>
        <v>0</v>
      </c>
      <c r="M1671" s="119">
        <f t="shared" si="1012"/>
        <v>0</v>
      </c>
      <c r="N1671" s="119">
        <f t="shared" si="1012"/>
        <v>0</v>
      </c>
      <c r="O1671" s="119">
        <f t="shared" si="1012"/>
        <v>0</v>
      </c>
      <c r="P1671" s="119">
        <f t="shared" si="1012"/>
        <v>0</v>
      </c>
      <c r="Q1671" s="119">
        <f t="shared" si="1012"/>
        <v>0</v>
      </c>
      <c r="R1671" s="119">
        <f t="shared" si="1012"/>
        <v>0</v>
      </c>
      <c r="S1671" s="119">
        <f t="shared" si="1012"/>
        <v>0</v>
      </c>
      <c r="T1671" s="119">
        <f t="shared" si="1012"/>
        <v>0</v>
      </c>
      <c r="U1671" s="119">
        <f t="shared" si="1012"/>
        <v>0</v>
      </c>
      <c r="V1671" s="119">
        <f t="shared" si="1012"/>
        <v>0</v>
      </c>
      <c r="W1671" s="119">
        <f t="shared" si="1012"/>
        <v>0</v>
      </c>
      <c r="X1671" s="119">
        <f t="shared" si="1012"/>
        <v>0</v>
      </c>
    </row>
    <row r="1672" spans="2:24" hidden="1">
      <c r="B1672" s="117" t="str">
        <f t="shared" si="1004"/>
        <v/>
      </c>
      <c r="C1672" s="117" t="str">
        <f t="shared" si="1004"/>
        <v/>
      </c>
      <c r="D1672" s="117" t="str">
        <f t="shared" si="1004"/>
        <v/>
      </c>
      <c r="E1672" s="117" t="str">
        <f t="shared" si="1004"/>
        <v/>
      </c>
      <c r="F1672" s="117"/>
      <c r="G1672" s="117"/>
      <c r="H1672" s="117"/>
      <c r="I1672" s="117"/>
      <c r="J1672" s="117"/>
      <c r="K1672" s="119">
        <f t="shared" ref="K1672:X1672" si="1013">IF(AND($D1672="tak",OR($E1672="nie dotyczy",$E1672="badania przemysłowe"),LataProjekcji&lt;=Koniec_Projekt),K125,0)</f>
        <v>0</v>
      </c>
      <c r="L1672" s="119">
        <f t="shared" si="1013"/>
        <v>0</v>
      </c>
      <c r="M1672" s="119">
        <f t="shared" si="1013"/>
        <v>0</v>
      </c>
      <c r="N1672" s="119">
        <f t="shared" si="1013"/>
        <v>0</v>
      </c>
      <c r="O1672" s="119">
        <f t="shared" si="1013"/>
        <v>0</v>
      </c>
      <c r="P1672" s="119">
        <f t="shared" si="1013"/>
        <v>0</v>
      </c>
      <c r="Q1672" s="119">
        <f t="shared" si="1013"/>
        <v>0</v>
      </c>
      <c r="R1672" s="119">
        <f t="shared" si="1013"/>
        <v>0</v>
      </c>
      <c r="S1672" s="119">
        <f t="shared" si="1013"/>
        <v>0</v>
      </c>
      <c r="T1672" s="119">
        <f t="shared" si="1013"/>
        <v>0</v>
      </c>
      <c r="U1672" s="119">
        <f t="shared" si="1013"/>
        <v>0</v>
      </c>
      <c r="V1672" s="119">
        <f t="shared" si="1013"/>
        <v>0</v>
      </c>
      <c r="W1672" s="119">
        <f t="shared" si="1013"/>
        <v>0</v>
      </c>
      <c r="X1672" s="119">
        <f t="shared" si="1013"/>
        <v>0</v>
      </c>
    </row>
    <row r="1673" spans="2:24" hidden="1">
      <c r="B1673" s="117" t="str">
        <f t="shared" si="1004"/>
        <v/>
      </c>
      <c r="C1673" s="117" t="str">
        <f t="shared" si="1004"/>
        <v/>
      </c>
      <c r="D1673" s="117" t="str">
        <f t="shared" si="1004"/>
        <v/>
      </c>
      <c r="E1673" s="117" t="str">
        <f t="shared" si="1004"/>
        <v/>
      </c>
      <c r="F1673" s="117"/>
      <c r="G1673" s="117"/>
      <c r="H1673" s="117"/>
      <c r="I1673" s="117"/>
      <c r="J1673" s="117"/>
      <c r="K1673" s="119">
        <f t="shared" ref="K1673:X1673" si="1014">IF(AND($D1673="tak",OR($E1673="nie dotyczy",$E1673="badania przemysłowe"),LataProjekcji&lt;=Koniec_Projekt),K126,0)</f>
        <v>0</v>
      </c>
      <c r="L1673" s="119">
        <f t="shared" si="1014"/>
        <v>0</v>
      </c>
      <c r="M1673" s="119">
        <f t="shared" si="1014"/>
        <v>0</v>
      </c>
      <c r="N1673" s="119">
        <f t="shared" si="1014"/>
        <v>0</v>
      </c>
      <c r="O1673" s="119">
        <f t="shared" si="1014"/>
        <v>0</v>
      </c>
      <c r="P1673" s="119">
        <f t="shared" si="1014"/>
        <v>0</v>
      </c>
      <c r="Q1673" s="119">
        <f t="shared" si="1014"/>
        <v>0</v>
      </c>
      <c r="R1673" s="119">
        <f t="shared" si="1014"/>
        <v>0</v>
      </c>
      <c r="S1673" s="119">
        <f t="shared" si="1014"/>
        <v>0</v>
      </c>
      <c r="T1673" s="119">
        <f t="shared" si="1014"/>
        <v>0</v>
      </c>
      <c r="U1673" s="119">
        <f t="shared" si="1014"/>
        <v>0</v>
      </c>
      <c r="V1673" s="119">
        <f t="shared" si="1014"/>
        <v>0</v>
      </c>
      <c r="W1673" s="119">
        <f t="shared" si="1014"/>
        <v>0</v>
      </c>
      <c r="X1673" s="119">
        <f t="shared" si="1014"/>
        <v>0</v>
      </c>
    </row>
    <row r="1674" spans="2:24" hidden="1">
      <c r="B1674" s="117" t="str">
        <f t="shared" si="1004"/>
        <v/>
      </c>
      <c r="C1674" s="117" t="str">
        <f t="shared" si="1004"/>
        <v/>
      </c>
      <c r="D1674" s="117" t="str">
        <f t="shared" si="1004"/>
        <v/>
      </c>
      <c r="E1674" s="117" t="str">
        <f t="shared" si="1004"/>
        <v/>
      </c>
      <c r="F1674" s="117"/>
      <c r="G1674" s="117"/>
      <c r="H1674" s="117"/>
      <c r="I1674" s="117"/>
      <c r="J1674" s="117"/>
      <c r="K1674" s="119">
        <f t="shared" ref="K1674:X1674" si="1015">IF(AND($D1674="tak",OR($E1674="nie dotyczy",$E1674="badania przemysłowe"),LataProjekcji&lt;=Koniec_Projekt),K127,0)</f>
        <v>0</v>
      </c>
      <c r="L1674" s="119">
        <f t="shared" si="1015"/>
        <v>0</v>
      </c>
      <c r="M1674" s="119">
        <f t="shared" si="1015"/>
        <v>0</v>
      </c>
      <c r="N1674" s="119">
        <f t="shared" si="1015"/>
        <v>0</v>
      </c>
      <c r="O1674" s="119">
        <f t="shared" si="1015"/>
        <v>0</v>
      </c>
      <c r="P1674" s="119">
        <f t="shared" si="1015"/>
        <v>0</v>
      </c>
      <c r="Q1674" s="119">
        <f t="shared" si="1015"/>
        <v>0</v>
      </c>
      <c r="R1674" s="119">
        <f t="shared" si="1015"/>
        <v>0</v>
      </c>
      <c r="S1674" s="119">
        <f t="shared" si="1015"/>
        <v>0</v>
      </c>
      <c r="T1674" s="119">
        <f t="shared" si="1015"/>
        <v>0</v>
      </c>
      <c r="U1674" s="119">
        <f t="shared" si="1015"/>
        <v>0</v>
      </c>
      <c r="V1674" s="119">
        <f t="shared" si="1015"/>
        <v>0</v>
      </c>
      <c r="W1674" s="119">
        <f t="shared" si="1015"/>
        <v>0</v>
      </c>
      <c r="X1674" s="119">
        <f t="shared" si="1015"/>
        <v>0</v>
      </c>
    </row>
    <row r="1675" spans="2:24" hidden="1">
      <c r="B1675" s="117" t="str">
        <f t="shared" si="1004"/>
        <v/>
      </c>
      <c r="C1675" s="117" t="str">
        <f t="shared" si="1004"/>
        <v/>
      </c>
      <c r="D1675" s="117" t="str">
        <f t="shared" si="1004"/>
        <v/>
      </c>
      <c r="E1675" s="117" t="str">
        <f t="shared" si="1004"/>
        <v/>
      </c>
      <c r="F1675" s="117"/>
      <c r="G1675" s="117"/>
      <c r="H1675" s="117"/>
      <c r="I1675" s="117"/>
      <c r="J1675" s="117"/>
      <c r="K1675" s="119">
        <f t="shared" ref="K1675:X1675" si="1016">IF(AND($D1675="tak",OR($E1675="nie dotyczy",$E1675="badania przemysłowe"),LataProjekcji&lt;=Koniec_Projekt),K128,0)</f>
        <v>0</v>
      </c>
      <c r="L1675" s="119">
        <f t="shared" si="1016"/>
        <v>0</v>
      </c>
      <c r="M1675" s="119">
        <f t="shared" si="1016"/>
        <v>0</v>
      </c>
      <c r="N1675" s="119">
        <f t="shared" si="1016"/>
        <v>0</v>
      </c>
      <c r="O1675" s="119">
        <f t="shared" si="1016"/>
        <v>0</v>
      </c>
      <c r="P1675" s="119">
        <f t="shared" si="1016"/>
        <v>0</v>
      </c>
      <c r="Q1675" s="119">
        <f t="shared" si="1016"/>
        <v>0</v>
      </c>
      <c r="R1675" s="119">
        <f t="shared" si="1016"/>
        <v>0</v>
      </c>
      <c r="S1675" s="119">
        <f t="shared" si="1016"/>
        <v>0</v>
      </c>
      <c r="T1675" s="119">
        <f t="shared" si="1016"/>
        <v>0</v>
      </c>
      <c r="U1675" s="119">
        <f t="shared" si="1016"/>
        <v>0</v>
      </c>
      <c r="V1675" s="119">
        <f t="shared" si="1016"/>
        <v>0</v>
      </c>
      <c r="W1675" s="119">
        <f t="shared" si="1016"/>
        <v>0</v>
      </c>
      <c r="X1675" s="119">
        <f t="shared" si="1016"/>
        <v>0</v>
      </c>
    </row>
    <row r="1676" spans="2:24" hidden="1">
      <c r="B1676" s="117" t="str">
        <f t="shared" si="1004"/>
        <v/>
      </c>
      <c r="C1676" s="117" t="str">
        <f t="shared" si="1004"/>
        <v/>
      </c>
      <c r="D1676" s="117" t="str">
        <f t="shared" si="1004"/>
        <v/>
      </c>
      <c r="E1676" s="117" t="str">
        <f t="shared" si="1004"/>
        <v/>
      </c>
      <c r="F1676" s="117"/>
      <c r="G1676" s="117"/>
      <c r="H1676" s="117"/>
      <c r="I1676" s="117"/>
      <c r="J1676" s="117"/>
      <c r="K1676" s="119">
        <f t="shared" ref="K1676:X1676" si="1017">IF(AND($D1676="tak",OR($E1676="nie dotyczy",$E1676="badania przemysłowe"),LataProjekcji&lt;=Koniec_Projekt),K129,0)</f>
        <v>0</v>
      </c>
      <c r="L1676" s="119">
        <f t="shared" si="1017"/>
        <v>0</v>
      </c>
      <c r="M1676" s="119">
        <f t="shared" si="1017"/>
        <v>0</v>
      </c>
      <c r="N1676" s="119">
        <f t="shared" si="1017"/>
        <v>0</v>
      </c>
      <c r="O1676" s="119">
        <f t="shared" si="1017"/>
        <v>0</v>
      </c>
      <c r="P1676" s="119">
        <f t="shared" si="1017"/>
        <v>0</v>
      </c>
      <c r="Q1676" s="119">
        <f t="shared" si="1017"/>
        <v>0</v>
      </c>
      <c r="R1676" s="119">
        <f t="shared" si="1017"/>
        <v>0</v>
      </c>
      <c r="S1676" s="119">
        <f t="shared" si="1017"/>
        <v>0</v>
      </c>
      <c r="T1676" s="119">
        <f t="shared" si="1017"/>
        <v>0</v>
      </c>
      <c r="U1676" s="119">
        <f t="shared" si="1017"/>
        <v>0</v>
      </c>
      <c r="V1676" s="119">
        <f t="shared" si="1017"/>
        <v>0</v>
      </c>
      <c r="W1676" s="119">
        <f t="shared" si="1017"/>
        <v>0</v>
      </c>
      <c r="X1676" s="119">
        <f t="shared" si="1017"/>
        <v>0</v>
      </c>
    </row>
    <row r="1677" spans="2:24" hidden="1">
      <c r="B1677" s="117" t="str">
        <f t="shared" si="1004"/>
        <v/>
      </c>
      <c r="C1677" s="117" t="str">
        <f t="shared" si="1004"/>
        <v/>
      </c>
      <c r="D1677" s="117" t="str">
        <f t="shared" si="1004"/>
        <v/>
      </c>
      <c r="E1677" s="117" t="str">
        <f t="shared" si="1004"/>
        <v/>
      </c>
      <c r="F1677" s="117"/>
      <c r="G1677" s="117"/>
      <c r="H1677" s="117"/>
      <c r="I1677" s="117"/>
      <c r="J1677" s="117"/>
      <c r="K1677" s="119">
        <f t="shared" ref="K1677:X1677" si="1018">IF(AND($D1677="tak",OR($E1677="nie dotyczy",$E1677="badania przemysłowe"),LataProjekcji&lt;=Koniec_Projekt),K130,0)</f>
        <v>0</v>
      </c>
      <c r="L1677" s="119">
        <f t="shared" si="1018"/>
        <v>0</v>
      </c>
      <c r="M1677" s="119">
        <f t="shared" si="1018"/>
        <v>0</v>
      </c>
      <c r="N1677" s="119">
        <f t="shared" si="1018"/>
        <v>0</v>
      </c>
      <c r="O1677" s="119">
        <f t="shared" si="1018"/>
        <v>0</v>
      </c>
      <c r="P1677" s="119">
        <f t="shared" si="1018"/>
        <v>0</v>
      </c>
      <c r="Q1677" s="119">
        <f t="shared" si="1018"/>
        <v>0</v>
      </c>
      <c r="R1677" s="119">
        <f t="shared" si="1018"/>
        <v>0</v>
      </c>
      <c r="S1677" s="119">
        <f t="shared" si="1018"/>
        <v>0</v>
      </c>
      <c r="T1677" s="119">
        <f t="shared" si="1018"/>
        <v>0</v>
      </c>
      <c r="U1677" s="119">
        <f t="shared" si="1018"/>
        <v>0</v>
      </c>
      <c r="V1677" s="119">
        <f t="shared" si="1018"/>
        <v>0</v>
      </c>
      <c r="W1677" s="119">
        <f t="shared" si="1018"/>
        <v>0</v>
      </c>
      <c r="X1677" s="119">
        <f t="shared" si="1018"/>
        <v>0</v>
      </c>
    </row>
    <row r="1678" spans="2:24" hidden="1">
      <c r="B1678" s="117" t="str">
        <f t="shared" si="1004"/>
        <v/>
      </c>
      <c r="C1678" s="117" t="str">
        <f t="shared" si="1004"/>
        <v/>
      </c>
      <c r="D1678" s="117" t="str">
        <f t="shared" si="1004"/>
        <v/>
      </c>
      <c r="E1678" s="117" t="str">
        <f t="shared" si="1004"/>
        <v/>
      </c>
      <c r="F1678" s="117"/>
      <c r="G1678" s="117"/>
      <c r="H1678" s="117"/>
      <c r="I1678" s="117"/>
      <c r="J1678" s="117"/>
      <c r="K1678" s="119">
        <f t="shared" ref="K1678:X1678" si="1019">IF(AND($D1678="tak",OR($E1678="nie dotyczy",$E1678="badania przemysłowe"),LataProjekcji&lt;=Koniec_Projekt),K131,0)</f>
        <v>0</v>
      </c>
      <c r="L1678" s="119">
        <f t="shared" si="1019"/>
        <v>0</v>
      </c>
      <c r="M1678" s="119">
        <f t="shared" si="1019"/>
        <v>0</v>
      </c>
      <c r="N1678" s="119">
        <f t="shared" si="1019"/>
        <v>0</v>
      </c>
      <c r="O1678" s="119">
        <f t="shared" si="1019"/>
        <v>0</v>
      </c>
      <c r="P1678" s="119">
        <f t="shared" si="1019"/>
        <v>0</v>
      </c>
      <c r="Q1678" s="119">
        <f t="shared" si="1019"/>
        <v>0</v>
      </c>
      <c r="R1678" s="119">
        <f t="shared" si="1019"/>
        <v>0</v>
      </c>
      <c r="S1678" s="119">
        <f t="shared" si="1019"/>
        <v>0</v>
      </c>
      <c r="T1678" s="119">
        <f t="shared" si="1019"/>
        <v>0</v>
      </c>
      <c r="U1678" s="119">
        <f t="shared" si="1019"/>
        <v>0</v>
      </c>
      <c r="V1678" s="119">
        <f t="shared" si="1019"/>
        <v>0</v>
      </c>
      <c r="W1678" s="119">
        <f t="shared" si="1019"/>
        <v>0</v>
      </c>
      <c r="X1678" s="119">
        <f t="shared" si="1019"/>
        <v>0</v>
      </c>
    </row>
    <row r="1679" spans="2:24" hidden="1">
      <c r="B1679" s="117" t="str">
        <f t="shared" si="1004"/>
        <v/>
      </c>
      <c r="C1679" s="117" t="str">
        <f t="shared" si="1004"/>
        <v/>
      </c>
      <c r="D1679" s="117" t="str">
        <f t="shared" si="1004"/>
        <v/>
      </c>
      <c r="E1679" s="117" t="str">
        <f t="shared" si="1004"/>
        <v/>
      </c>
      <c r="F1679" s="117"/>
      <c r="G1679" s="117"/>
      <c r="H1679" s="117"/>
      <c r="I1679" s="117"/>
      <c r="J1679" s="117"/>
      <c r="K1679" s="119">
        <f t="shared" ref="K1679:X1679" si="1020">IF(AND($D1679="tak",OR($E1679="nie dotyczy",$E1679="badania przemysłowe"),LataProjekcji&lt;=Koniec_Projekt),K132,0)</f>
        <v>0</v>
      </c>
      <c r="L1679" s="119">
        <f t="shared" si="1020"/>
        <v>0</v>
      </c>
      <c r="M1679" s="119">
        <f t="shared" si="1020"/>
        <v>0</v>
      </c>
      <c r="N1679" s="119">
        <f t="shared" si="1020"/>
        <v>0</v>
      </c>
      <c r="O1679" s="119">
        <f t="shared" si="1020"/>
        <v>0</v>
      </c>
      <c r="P1679" s="119">
        <f t="shared" si="1020"/>
        <v>0</v>
      </c>
      <c r="Q1679" s="119">
        <f t="shared" si="1020"/>
        <v>0</v>
      </c>
      <c r="R1679" s="119">
        <f t="shared" si="1020"/>
        <v>0</v>
      </c>
      <c r="S1679" s="119">
        <f t="shared" si="1020"/>
        <v>0</v>
      </c>
      <c r="T1679" s="119">
        <f t="shared" si="1020"/>
        <v>0</v>
      </c>
      <c r="U1679" s="119">
        <f t="shared" si="1020"/>
        <v>0</v>
      </c>
      <c r="V1679" s="119">
        <f t="shared" si="1020"/>
        <v>0</v>
      </c>
      <c r="W1679" s="119">
        <f t="shared" si="1020"/>
        <v>0</v>
      </c>
      <c r="X1679" s="119">
        <f t="shared" si="1020"/>
        <v>0</v>
      </c>
    </row>
    <row r="1680" spans="2:24" hidden="1">
      <c r="B1680" s="117" t="str">
        <f t="shared" si="1004"/>
        <v/>
      </c>
      <c r="C1680" s="117" t="str">
        <f t="shared" si="1004"/>
        <v/>
      </c>
      <c r="D1680" s="117" t="str">
        <f t="shared" si="1004"/>
        <v/>
      </c>
      <c r="E1680" s="117" t="str">
        <f t="shared" si="1004"/>
        <v/>
      </c>
      <c r="F1680" s="117"/>
      <c r="G1680" s="117"/>
      <c r="H1680" s="117"/>
      <c r="I1680" s="117"/>
      <c r="J1680" s="117"/>
      <c r="K1680" s="119">
        <f t="shared" ref="K1680:X1680" si="1021">IF(AND($D1680="tak",OR($E1680="nie dotyczy",$E1680="badania przemysłowe"),LataProjekcji&lt;=Koniec_Projekt),K133,0)</f>
        <v>0</v>
      </c>
      <c r="L1680" s="119">
        <f t="shared" si="1021"/>
        <v>0</v>
      </c>
      <c r="M1680" s="119">
        <f t="shared" si="1021"/>
        <v>0</v>
      </c>
      <c r="N1680" s="119">
        <f t="shared" si="1021"/>
        <v>0</v>
      </c>
      <c r="O1680" s="119">
        <f t="shared" si="1021"/>
        <v>0</v>
      </c>
      <c r="P1680" s="119">
        <f t="shared" si="1021"/>
        <v>0</v>
      </c>
      <c r="Q1680" s="119">
        <f t="shared" si="1021"/>
        <v>0</v>
      </c>
      <c r="R1680" s="119">
        <f t="shared" si="1021"/>
        <v>0</v>
      </c>
      <c r="S1680" s="119">
        <f t="shared" si="1021"/>
        <v>0</v>
      </c>
      <c r="T1680" s="119">
        <f t="shared" si="1021"/>
        <v>0</v>
      </c>
      <c r="U1680" s="119">
        <f t="shared" si="1021"/>
        <v>0</v>
      </c>
      <c r="V1680" s="119">
        <f t="shared" si="1021"/>
        <v>0</v>
      </c>
      <c r="W1680" s="119">
        <f t="shared" si="1021"/>
        <v>0</v>
      </c>
      <c r="X1680" s="119">
        <f t="shared" si="1021"/>
        <v>0</v>
      </c>
    </row>
    <row r="1681" spans="2:24" hidden="1">
      <c r="B1681" s="117" t="str">
        <f t="shared" si="1004"/>
        <v/>
      </c>
      <c r="C1681" s="117" t="str">
        <f t="shared" si="1004"/>
        <v/>
      </c>
      <c r="D1681" s="117" t="str">
        <f t="shared" si="1004"/>
        <v/>
      </c>
      <c r="E1681" s="117" t="str">
        <f t="shared" si="1004"/>
        <v/>
      </c>
      <c r="F1681" s="117"/>
      <c r="G1681" s="117"/>
      <c r="H1681" s="117"/>
      <c r="I1681" s="117"/>
      <c r="J1681" s="117"/>
      <c r="K1681" s="119">
        <f t="shared" ref="K1681:X1681" si="1022">IF(AND($D1681="tak",OR($E1681="nie dotyczy",$E1681="badania przemysłowe"),LataProjekcji&lt;=Koniec_Projekt),K134,0)</f>
        <v>0</v>
      </c>
      <c r="L1681" s="119">
        <f t="shared" si="1022"/>
        <v>0</v>
      </c>
      <c r="M1681" s="119">
        <f t="shared" si="1022"/>
        <v>0</v>
      </c>
      <c r="N1681" s="119">
        <f t="shared" si="1022"/>
        <v>0</v>
      </c>
      <c r="O1681" s="119">
        <f t="shared" si="1022"/>
        <v>0</v>
      </c>
      <c r="P1681" s="119">
        <f t="shared" si="1022"/>
        <v>0</v>
      </c>
      <c r="Q1681" s="119">
        <f t="shared" si="1022"/>
        <v>0</v>
      </c>
      <c r="R1681" s="119">
        <f t="shared" si="1022"/>
        <v>0</v>
      </c>
      <c r="S1681" s="119">
        <f t="shared" si="1022"/>
        <v>0</v>
      </c>
      <c r="T1681" s="119">
        <f t="shared" si="1022"/>
        <v>0</v>
      </c>
      <c r="U1681" s="119">
        <f t="shared" si="1022"/>
        <v>0</v>
      </c>
      <c r="V1681" s="119">
        <f t="shared" si="1022"/>
        <v>0</v>
      </c>
      <c r="W1681" s="119">
        <f t="shared" si="1022"/>
        <v>0</v>
      </c>
      <c r="X1681" s="119">
        <f t="shared" si="1022"/>
        <v>0</v>
      </c>
    </row>
    <row r="1682" spans="2:24" hidden="1">
      <c r="B1682" s="117" t="str">
        <f t="shared" si="1004"/>
        <v/>
      </c>
      <c r="C1682" s="117" t="str">
        <f t="shared" si="1004"/>
        <v/>
      </c>
      <c r="D1682" s="117" t="str">
        <f t="shared" si="1004"/>
        <v/>
      </c>
      <c r="E1682" s="117" t="str">
        <f t="shared" si="1004"/>
        <v/>
      </c>
      <c r="F1682" s="117"/>
      <c r="G1682" s="117"/>
      <c r="H1682" s="117"/>
      <c r="I1682" s="117"/>
      <c r="J1682" s="117"/>
      <c r="K1682" s="119">
        <f t="shared" ref="K1682:X1682" si="1023">IF(AND($D1682="tak",OR($E1682="nie dotyczy",$E1682="badania przemysłowe"),LataProjekcji&lt;=Koniec_Projekt),K135,0)</f>
        <v>0</v>
      </c>
      <c r="L1682" s="119">
        <f t="shared" si="1023"/>
        <v>0</v>
      </c>
      <c r="M1682" s="119">
        <f t="shared" si="1023"/>
        <v>0</v>
      </c>
      <c r="N1682" s="119">
        <f t="shared" si="1023"/>
        <v>0</v>
      </c>
      <c r="O1682" s="119">
        <f t="shared" si="1023"/>
        <v>0</v>
      </c>
      <c r="P1682" s="119">
        <f t="shared" si="1023"/>
        <v>0</v>
      </c>
      <c r="Q1682" s="119">
        <f t="shared" si="1023"/>
        <v>0</v>
      </c>
      <c r="R1682" s="119">
        <f t="shared" si="1023"/>
        <v>0</v>
      </c>
      <c r="S1682" s="119">
        <f t="shared" si="1023"/>
        <v>0</v>
      </c>
      <c r="T1682" s="119">
        <f t="shared" si="1023"/>
        <v>0</v>
      </c>
      <c r="U1682" s="119">
        <f t="shared" si="1023"/>
        <v>0</v>
      </c>
      <c r="V1682" s="119">
        <f t="shared" si="1023"/>
        <v>0</v>
      </c>
      <c r="W1682" s="119">
        <f t="shared" si="1023"/>
        <v>0</v>
      </c>
      <c r="X1682" s="119">
        <f t="shared" si="1023"/>
        <v>0</v>
      </c>
    </row>
    <row r="1683" spans="2:24" hidden="1">
      <c r="B1683" s="117" t="str">
        <f t="shared" si="1004"/>
        <v/>
      </c>
      <c r="C1683" s="117" t="str">
        <f t="shared" si="1004"/>
        <v/>
      </c>
      <c r="D1683" s="117" t="str">
        <f t="shared" si="1004"/>
        <v/>
      </c>
      <c r="E1683" s="117" t="str">
        <f t="shared" si="1004"/>
        <v/>
      </c>
      <c r="F1683" s="117"/>
      <c r="G1683" s="117"/>
      <c r="H1683" s="117"/>
      <c r="I1683" s="117"/>
      <c r="J1683" s="117"/>
      <c r="K1683" s="119">
        <f t="shared" ref="K1683:X1683" si="1024">IF(AND($D1683="tak",OR($E1683="nie dotyczy",$E1683="badania przemysłowe"),LataProjekcji&lt;=Koniec_Projekt),K136,0)</f>
        <v>0</v>
      </c>
      <c r="L1683" s="119">
        <f t="shared" si="1024"/>
        <v>0</v>
      </c>
      <c r="M1683" s="119">
        <f t="shared" si="1024"/>
        <v>0</v>
      </c>
      <c r="N1683" s="119">
        <f t="shared" si="1024"/>
        <v>0</v>
      </c>
      <c r="O1683" s="119">
        <f t="shared" si="1024"/>
        <v>0</v>
      </c>
      <c r="P1683" s="119">
        <f t="shared" si="1024"/>
        <v>0</v>
      </c>
      <c r="Q1683" s="119">
        <f t="shared" si="1024"/>
        <v>0</v>
      </c>
      <c r="R1683" s="119">
        <f t="shared" si="1024"/>
        <v>0</v>
      </c>
      <c r="S1683" s="119">
        <f t="shared" si="1024"/>
        <v>0</v>
      </c>
      <c r="T1683" s="119">
        <f t="shared" si="1024"/>
        <v>0</v>
      </c>
      <c r="U1683" s="119">
        <f t="shared" si="1024"/>
        <v>0</v>
      </c>
      <c r="V1683" s="119">
        <f t="shared" si="1024"/>
        <v>0</v>
      </c>
      <c r="W1683" s="119">
        <f t="shared" si="1024"/>
        <v>0</v>
      </c>
      <c r="X1683" s="119">
        <f t="shared" si="1024"/>
        <v>0</v>
      </c>
    </row>
    <row r="1684" spans="2:24" hidden="1">
      <c r="B1684" s="111" t="s">
        <v>339</v>
      </c>
      <c r="C1684" s="111"/>
      <c r="D1684" s="112"/>
      <c r="E1684" s="113"/>
      <c r="F1684" s="113"/>
      <c r="G1684" s="113"/>
      <c r="H1684" s="113"/>
      <c r="I1684" s="113"/>
      <c r="J1684" s="113"/>
      <c r="K1684" s="120">
        <f t="shared" ref="K1684:X1684" si="1025">ROUND(SUM(K1664:K1683),0)</f>
        <v>0</v>
      </c>
      <c r="L1684" s="120">
        <f t="shared" si="1025"/>
        <v>0</v>
      </c>
      <c r="M1684" s="120">
        <f t="shared" si="1025"/>
        <v>0</v>
      </c>
      <c r="N1684" s="120">
        <f t="shared" si="1025"/>
        <v>0</v>
      </c>
      <c r="O1684" s="120">
        <f t="shared" si="1025"/>
        <v>0</v>
      </c>
      <c r="P1684" s="120">
        <f t="shared" si="1025"/>
        <v>0</v>
      </c>
      <c r="Q1684" s="120">
        <f t="shared" si="1025"/>
        <v>0</v>
      </c>
      <c r="R1684" s="120">
        <f t="shared" si="1025"/>
        <v>0</v>
      </c>
      <c r="S1684" s="120">
        <f t="shared" si="1025"/>
        <v>0</v>
      </c>
      <c r="T1684" s="120">
        <f t="shared" si="1025"/>
        <v>0</v>
      </c>
      <c r="U1684" s="120">
        <f t="shared" si="1025"/>
        <v>0</v>
      </c>
      <c r="V1684" s="120">
        <f t="shared" si="1025"/>
        <v>0</v>
      </c>
      <c r="W1684" s="120">
        <f t="shared" si="1025"/>
        <v>0</v>
      </c>
      <c r="X1684" s="120">
        <f t="shared" si="1025"/>
        <v>0</v>
      </c>
    </row>
    <row r="1685" spans="2:24" hidden="1">
      <c r="B1685" s="113"/>
      <c r="C1685" s="113"/>
      <c r="D1685" s="112"/>
      <c r="E1685" s="113"/>
      <c r="F1685" s="113"/>
      <c r="G1685" s="113"/>
      <c r="H1685" s="113"/>
      <c r="I1685" s="113"/>
      <c r="J1685" s="113"/>
      <c r="K1685" s="121"/>
      <c r="L1685" s="121"/>
      <c r="M1685" s="121"/>
      <c r="N1685" s="121"/>
      <c r="O1685" s="121"/>
      <c r="P1685" s="121"/>
      <c r="Q1685" s="121"/>
      <c r="R1685" s="121"/>
      <c r="S1685" s="121"/>
      <c r="T1685" s="121"/>
      <c r="U1685" s="121"/>
      <c r="V1685" s="121"/>
      <c r="W1685" s="121"/>
      <c r="X1685" s="121"/>
    </row>
    <row r="1686" spans="2:24" hidden="1">
      <c r="B1686" s="113"/>
      <c r="C1686" s="113"/>
      <c r="D1686" s="112"/>
      <c r="E1686" s="113"/>
      <c r="F1686" s="113"/>
      <c r="G1686" s="113"/>
      <c r="H1686" s="113"/>
      <c r="I1686" s="113"/>
      <c r="J1686" s="113"/>
      <c r="K1686" s="121"/>
      <c r="L1686" s="121"/>
      <c r="M1686" s="121"/>
      <c r="N1686" s="121"/>
      <c r="O1686" s="121"/>
      <c r="P1686" s="121"/>
      <c r="Q1686" s="121"/>
      <c r="R1686" s="121"/>
      <c r="S1686" s="121"/>
      <c r="T1686" s="121"/>
      <c r="U1686" s="121"/>
      <c r="V1686" s="121"/>
      <c r="W1686" s="121"/>
      <c r="X1686" s="121"/>
    </row>
    <row r="1687" spans="2:24" hidden="1">
      <c r="B1687" s="111" t="s">
        <v>342</v>
      </c>
      <c r="C1687" s="111"/>
      <c r="D1687" s="122" t="s">
        <v>336</v>
      </c>
      <c r="E1687" s="111" t="s">
        <v>337</v>
      </c>
      <c r="F1687" s="113"/>
      <c r="G1687" s="113"/>
      <c r="H1687" s="113"/>
      <c r="I1687" s="113"/>
      <c r="J1687" s="113"/>
      <c r="K1687" s="121"/>
      <c r="L1687" s="121"/>
      <c r="M1687" s="121"/>
      <c r="N1687" s="121"/>
      <c r="O1687" s="121"/>
      <c r="P1687" s="121"/>
      <c r="Q1687" s="121"/>
      <c r="R1687" s="121"/>
      <c r="S1687" s="121"/>
      <c r="T1687" s="121"/>
      <c r="U1687" s="121"/>
      <c r="V1687" s="121"/>
      <c r="W1687" s="121"/>
      <c r="X1687" s="121"/>
    </row>
    <row r="1688" spans="2:24" hidden="1">
      <c r="B1688" s="117" t="str">
        <f t="shared" ref="B1688:E1707" si="1026">IF(ISBLANK(B1448),"",B1448)</f>
        <v/>
      </c>
      <c r="C1688" s="117" t="str">
        <f t="shared" si="1026"/>
        <v/>
      </c>
      <c r="D1688" s="117" t="str">
        <f t="shared" si="1026"/>
        <v/>
      </c>
      <c r="E1688" s="117" t="str">
        <f t="shared" si="1026"/>
        <v/>
      </c>
      <c r="F1688" s="117"/>
      <c r="G1688" s="117"/>
      <c r="H1688" s="117"/>
      <c r="I1688" s="117"/>
      <c r="J1688" s="117"/>
      <c r="K1688" s="119">
        <f t="shared" ref="K1688:X1688" si="1027">IF(AND($D1688="tak",OR($E1688="nie dotyczy",$E1688="badania przemysłowe"),LataProjekcji&lt;=Koniec_Projekt),K162,0)</f>
        <v>0</v>
      </c>
      <c r="L1688" s="119">
        <f t="shared" si="1027"/>
        <v>0</v>
      </c>
      <c r="M1688" s="119">
        <f t="shared" si="1027"/>
        <v>0</v>
      </c>
      <c r="N1688" s="119">
        <f t="shared" si="1027"/>
        <v>0</v>
      </c>
      <c r="O1688" s="119">
        <f t="shared" si="1027"/>
        <v>0</v>
      </c>
      <c r="P1688" s="119">
        <f t="shared" si="1027"/>
        <v>0</v>
      </c>
      <c r="Q1688" s="119">
        <f t="shared" si="1027"/>
        <v>0</v>
      </c>
      <c r="R1688" s="119">
        <f t="shared" si="1027"/>
        <v>0</v>
      </c>
      <c r="S1688" s="119">
        <f t="shared" si="1027"/>
        <v>0</v>
      </c>
      <c r="T1688" s="119">
        <f t="shared" si="1027"/>
        <v>0</v>
      </c>
      <c r="U1688" s="119">
        <f t="shared" si="1027"/>
        <v>0</v>
      </c>
      <c r="V1688" s="119">
        <f t="shared" si="1027"/>
        <v>0</v>
      </c>
      <c r="W1688" s="119">
        <f t="shared" si="1027"/>
        <v>0</v>
      </c>
      <c r="X1688" s="119">
        <f t="shared" si="1027"/>
        <v>0</v>
      </c>
    </row>
    <row r="1689" spans="2:24" hidden="1">
      <c r="B1689" s="117" t="str">
        <f t="shared" si="1026"/>
        <v/>
      </c>
      <c r="C1689" s="117" t="str">
        <f t="shared" si="1026"/>
        <v/>
      </c>
      <c r="D1689" s="117" t="str">
        <f t="shared" si="1026"/>
        <v/>
      </c>
      <c r="E1689" s="117" t="str">
        <f t="shared" si="1026"/>
        <v/>
      </c>
      <c r="F1689" s="117"/>
      <c r="G1689" s="117"/>
      <c r="H1689" s="117"/>
      <c r="I1689" s="117"/>
      <c r="J1689" s="117"/>
      <c r="K1689" s="119">
        <f t="shared" ref="K1689:X1689" si="1028">IF(AND($D1689="tak",OR($E1689="nie dotyczy",$E1689="badania przemysłowe"),LataProjekcji&lt;=Koniec_Projekt),K163,0)</f>
        <v>0</v>
      </c>
      <c r="L1689" s="119">
        <f t="shared" si="1028"/>
        <v>0</v>
      </c>
      <c r="M1689" s="119">
        <f t="shared" si="1028"/>
        <v>0</v>
      </c>
      <c r="N1689" s="119">
        <f t="shared" si="1028"/>
        <v>0</v>
      </c>
      <c r="O1689" s="119">
        <f t="shared" si="1028"/>
        <v>0</v>
      </c>
      <c r="P1689" s="119">
        <f t="shared" si="1028"/>
        <v>0</v>
      </c>
      <c r="Q1689" s="119">
        <f t="shared" si="1028"/>
        <v>0</v>
      </c>
      <c r="R1689" s="119">
        <f t="shared" si="1028"/>
        <v>0</v>
      </c>
      <c r="S1689" s="119">
        <f t="shared" si="1028"/>
        <v>0</v>
      </c>
      <c r="T1689" s="119">
        <f t="shared" si="1028"/>
        <v>0</v>
      </c>
      <c r="U1689" s="119">
        <f t="shared" si="1028"/>
        <v>0</v>
      </c>
      <c r="V1689" s="119">
        <f t="shared" si="1028"/>
        <v>0</v>
      </c>
      <c r="W1689" s="119">
        <f t="shared" si="1028"/>
        <v>0</v>
      </c>
      <c r="X1689" s="119">
        <f t="shared" si="1028"/>
        <v>0</v>
      </c>
    </row>
    <row r="1690" spans="2:24" hidden="1">
      <c r="B1690" s="117" t="str">
        <f t="shared" si="1026"/>
        <v/>
      </c>
      <c r="C1690" s="117" t="str">
        <f t="shared" si="1026"/>
        <v/>
      </c>
      <c r="D1690" s="117" t="str">
        <f t="shared" si="1026"/>
        <v/>
      </c>
      <c r="E1690" s="117" t="str">
        <f t="shared" si="1026"/>
        <v/>
      </c>
      <c r="F1690" s="117"/>
      <c r="G1690" s="117"/>
      <c r="H1690" s="117"/>
      <c r="I1690" s="117"/>
      <c r="J1690" s="117"/>
      <c r="K1690" s="119">
        <f t="shared" ref="K1690:X1690" si="1029">IF(AND($D1690="tak",OR($E1690="nie dotyczy",$E1690="badania przemysłowe"),LataProjekcji&lt;=Koniec_Projekt),K164,0)</f>
        <v>0</v>
      </c>
      <c r="L1690" s="119">
        <f t="shared" si="1029"/>
        <v>0</v>
      </c>
      <c r="M1690" s="119">
        <f t="shared" si="1029"/>
        <v>0</v>
      </c>
      <c r="N1690" s="119">
        <f t="shared" si="1029"/>
        <v>0</v>
      </c>
      <c r="O1690" s="119">
        <f t="shared" si="1029"/>
        <v>0</v>
      </c>
      <c r="P1690" s="119">
        <f t="shared" si="1029"/>
        <v>0</v>
      </c>
      <c r="Q1690" s="119">
        <f t="shared" si="1029"/>
        <v>0</v>
      </c>
      <c r="R1690" s="119">
        <f t="shared" si="1029"/>
        <v>0</v>
      </c>
      <c r="S1690" s="119">
        <f t="shared" si="1029"/>
        <v>0</v>
      </c>
      <c r="T1690" s="119">
        <f t="shared" si="1029"/>
        <v>0</v>
      </c>
      <c r="U1690" s="119">
        <f t="shared" si="1029"/>
        <v>0</v>
      </c>
      <c r="V1690" s="119">
        <f t="shared" si="1029"/>
        <v>0</v>
      </c>
      <c r="W1690" s="119">
        <f t="shared" si="1029"/>
        <v>0</v>
      </c>
      <c r="X1690" s="119">
        <f t="shared" si="1029"/>
        <v>0</v>
      </c>
    </row>
    <row r="1691" spans="2:24" hidden="1">
      <c r="B1691" s="117" t="str">
        <f t="shared" si="1026"/>
        <v/>
      </c>
      <c r="C1691" s="117" t="str">
        <f t="shared" si="1026"/>
        <v/>
      </c>
      <c r="D1691" s="117" t="str">
        <f t="shared" si="1026"/>
        <v/>
      </c>
      <c r="E1691" s="117" t="str">
        <f t="shared" si="1026"/>
        <v/>
      </c>
      <c r="F1691" s="117"/>
      <c r="G1691" s="117"/>
      <c r="H1691" s="117"/>
      <c r="I1691" s="117"/>
      <c r="J1691" s="117"/>
      <c r="K1691" s="119">
        <f t="shared" ref="K1691:X1691" si="1030">IF(AND($D1691="tak",OR($E1691="nie dotyczy",$E1691="badania przemysłowe"),LataProjekcji&lt;=Koniec_Projekt),K165,0)</f>
        <v>0</v>
      </c>
      <c r="L1691" s="119">
        <f t="shared" si="1030"/>
        <v>0</v>
      </c>
      <c r="M1691" s="119">
        <f t="shared" si="1030"/>
        <v>0</v>
      </c>
      <c r="N1691" s="119">
        <f t="shared" si="1030"/>
        <v>0</v>
      </c>
      <c r="O1691" s="119">
        <f t="shared" si="1030"/>
        <v>0</v>
      </c>
      <c r="P1691" s="119">
        <f t="shared" si="1030"/>
        <v>0</v>
      </c>
      <c r="Q1691" s="119">
        <f t="shared" si="1030"/>
        <v>0</v>
      </c>
      <c r="R1691" s="119">
        <f t="shared" si="1030"/>
        <v>0</v>
      </c>
      <c r="S1691" s="119">
        <f t="shared" si="1030"/>
        <v>0</v>
      </c>
      <c r="T1691" s="119">
        <f t="shared" si="1030"/>
        <v>0</v>
      </c>
      <c r="U1691" s="119">
        <f t="shared" si="1030"/>
        <v>0</v>
      </c>
      <c r="V1691" s="119">
        <f t="shared" si="1030"/>
        <v>0</v>
      </c>
      <c r="W1691" s="119">
        <f t="shared" si="1030"/>
        <v>0</v>
      </c>
      <c r="X1691" s="119">
        <f t="shared" si="1030"/>
        <v>0</v>
      </c>
    </row>
    <row r="1692" spans="2:24" hidden="1">
      <c r="B1692" s="117" t="str">
        <f t="shared" si="1026"/>
        <v/>
      </c>
      <c r="C1692" s="117" t="str">
        <f t="shared" si="1026"/>
        <v/>
      </c>
      <c r="D1692" s="117" t="str">
        <f t="shared" si="1026"/>
        <v/>
      </c>
      <c r="E1692" s="117" t="str">
        <f t="shared" si="1026"/>
        <v/>
      </c>
      <c r="F1692" s="117"/>
      <c r="G1692" s="117"/>
      <c r="H1692" s="117"/>
      <c r="I1692" s="117"/>
      <c r="J1692" s="117"/>
      <c r="K1692" s="119">
        <f t="shared" ref="K1692:X1692" si="1031">IF(AND($D1692="tak",OR($E1692="nie dotyczy",$E1692="badania przemysłowe"),LataProjekcji&lt;=Koniec_Projekt),K166,0)</f>
        <v>0</v>
      </c>
      <c r="L1692" s="119">
        <f t="shared" si="1031"/>
        <v>0</v>
      </c>
      <c r="M1692" s="119">
        <f t="shared" si="1031"/>
        <v>0</v>
      </c>
      <c r="N1692" s="119">
        <f t="shared" si="1031"/>
        <v>0</v>
      </c>
      <c r="O1692" s="119">
        <f t="shared" si="1031"/>
        <v>0</v>
      </c>
      <c r="P1692" s="119">
        <f t="shared" si="1031"/>
        <v>0</v>
      </c>
      <c r="Q1692" s="119">
        <f t="shared" si="1031"/>
        <v>0</v>
      </c>
      <c r="R1692" s="119">
        <f t="shared" si="1031"/>
        <v>0</v>
      </c>
      <c r="S1692" s="119">
        <f t="shared" si="1031"/>
        <v>0</v>
      </c>
      <c r="T1692" s="119">
        <f t="shared" si="1031"/>
        <v>0</v>
      </c>
      <c r="U1692" s="119">
        <f t="shared" si="1031"/>
        <v>0</v>
      </c>
      <c r="V1692" s="119">
        <f t="shared" si="1031"/>
        <v>0</v>
      </c>
      <c r="W1692" s="119">
        <f t="shared" si="1031"/>
        <v>0</v>
      </c>
      <c r="X1692" s="119">
        <f t="shared" si="1031"/>
        <v>0</v>
      </c>
    </row>
    <row r="1693" spans="2:24" hidden="1">
      <c r="B1693" s="117" t="str">
        <f t="shared" si="1026"/>
        <v/>
      </c>
      <c r="C1693" s="117" t="str">
        <f t="shared" si="1026"/>
        <v/>
      </c>
      <c r="D1693" s="117" t="str">
        <f t="shared" si="1026"/>
        <v/>
      </c>
      <c r="E1693" s="117" t="str">
        <f t="shared" si="1026"/>
        <v/>
      </c>
      <c r="F1693" s="117"/>
      <c r="G1693" s="117"/>
      <c r="H1693" s="117"/>
      <c r="I1693" s="117"/>
      <c r="J1693" s="117"/>
      <c r="K1693" s="119">
        <f t="shared" ref="K1693:X1693" si="1032">IF(AND($D1693="tak",OR($E1693="nie dotyczy",$E1693="badania przemysłowe"),LataProjekcji&lt;=Koniec_Projekt),K167,0)</f>
        <v>0</v>
      </c>
      <c r="L1693" s="119">
        <f t="shared" si="1032"/>
        <v>0</v>
      </c>
      <c r="M1693" s="119">
        <f t="shared" si="1032"/>
        <v>0</v>
      </c>
      <c r="N1693" s="119">
        <f t="shared" si="1032"/>
        <v>0</v>
      </c>
      <c r="O1693" s="119">
        <f t="shared" si="1032"/>
        <v>0</v>
      </c>
      <c r="P1693" s="119">
        <f t="shared" si="1032"/>
        <v>0</v>
      </c>
      <c r="Q1693" s="119">
        <f t="shared" si="1032"/>
        <v>0</v>
      </c>
      <c r="R1693" s="119">
        <f t="shared" si="1032"/>
        <v>0</v>
      </c>
      <c r="S1693" s="119">
        <f t="shared" si="1032"/>
        <v>0</v>
      </c>
      <c r="T1693" s="119">
        <f t="shared" si="1032"/>
        <v>0</v>
      </c>
      <c r="U1693" s="119">
        <f t="shared" si="1032"/>
        <v>0</v>
      </c>
      <c r="V1693" s="119">
        <f t="shared" si="1032"/>
        <v>0</v>
      </c>
      <c r="W1693" s="119">
        <f t="shared" si="1032"/>
        <v>0</v>
      </c>
      <c r="X1693" s="119">
        <f t="shared" si="1032"/>
        <v>0</v>
      </c>
    </row>
    <row r="1694" spans="2:24" hidden="1">
      <c r="B1694" s="117" t="str">
        <f t="shared" si="1026"/>
        <v/>
      </c>
      <c r="C1694" s="117" t="str">
        <f t="shared" si="1026"/>
        <v/>
      </c>
      <c r="D1694" s="117" t="str">
        <f t="shared" si="1026"/>
        <v/>
      </c>
      <c r="E1694" s="117" t="str">
        <f t="shared" si="1026"/>
        <v/>
      </c>
      <c r="F1694" s="117"/>
      <c r="G1694" s="117"/>
      <c r="H1694" s="117"/>
      <c r="I1694" s="117"/>
      <c r="J1694" s="117"/>
      <c r="K1694" s="119">
        <f t="shared" ref="K1694:X1694" si="1033">IF(AND($D1694="tak",OR($E1694="nie dotyczy",$E1694="badania przemysłowe"),LataProjekcji&lt;=Koniec_Projekt),K168,0)</f>
        <v>0</v>
      </c>
      <c r="L1694" s="119">
        <f t="shared" si="1033"/>
        <v>0</v>
      </c>
      <c r="M1694" s="119">
        <f t="shared" si="1033"/>
        <v>0</v>
      </c>
      <c r="N1694" s="119">
        <f t="shared" si="1033"/>
        <v>0</v>
      </c>
      <c r="O1694" s="119">
        <f t="shared" si="1033"/>
        <v>0</v>
      </c>
      <c r="P1694" s="119">
        <f t="shared" si="1033"/>
        <v>0</v>
      </c>
      <c r="Q1694" s="119">
        <f t="shared" si="1033"/>
        <v>0</v>
      </c>
      <c r="R1694" s="119">
        <f t="shared" si="1033"/>
        <v>0</v>
      </c>
      <c r="S1694" s="119">
        <f t="shared" si="1033"/>
        <v>0</v>
      </c>
      <c r="T1694" s="119">
        <f t="shared" si="1033"/>
        <v>0</v>
      </c>
      <c r="U1694" s="119">
        <f t="shared" si="1033"/>
        <v>0</v>
      </c>
      <c r="V1694" s="119">
        <f t="shared" si="1033"/>
        <v>0</v>
      </c>
      <c r="W1694" s="119">
        <f t="shared" si="1033"/>
        <v>0</v>
      </c>
      <c r="X1694" s="119">
        <f t="shared" si="1033"/>
        <v>0</v>
      </c>
    </row>
    <row r="1695" spans="2:24" hidden="1">
      <c r="B1695" s="117" t="str">
        <f t="shared" si="1026"/>
        <v/>
      </c>
      <c r="C1695" s="117" t="str">
        <f t="shared" si="1026"/>
        <v/>
      </c>
      <c r="D1695" s="117" t="str">
        <f t="shared" si="1026"/>
        <v/>
      </c>
      <c r="E1695" s="117" t="str">
        <f t="shared" si="1026"/>
        <v/>
      </c>
      <c r="F1695" s="117"/>
      <c r="G1695" s="117"/>
      <c r="H1695" s="117"/>
      <c r="I1695" s="117"/>
      <c r="J1695" s="117"/>
      <c r="K1695" s="119">
        <f t="shared" ref="K1695:X1695" si="1034">IF(AND($D1695="tak",OR($E1695="nie dotyczy",$E1695="badania przemysłowe"),LataProjekcji&lt;=Koniec_Projekt),K169,0)</f>
        <v>0</v>
      </c>
      <c r="L1695" s="119">
        <f t="shared" si="1034"/>
        <v>0</v>
      </c>
      <c r="M1695" s="119">
        <f t="shared" si="1034"/>
        <v>0</v>
      </c>
      <c r="N1695" s="119">
        <f t="shared" si="1034"/>
        <v>0</v>
      </c>
      <c r="O1695" s="119">
        <f t="shared" si="1034"/>
        <v>0</v>
      </c>
      <c r="P1695" s="119">
        <f t="shared" si="1034"/>
        <v>0</v>
      </c>
      <c r="Q1695" s="119">
        <f t="shared" si="1034"/>
        <v>0</v>
      </c>
      <c r="R1695" s="119">
        <f t="shared" si="1034"/>
        <v>0</v>
      </c>
      <c r="S1695" s="119">
        <f t="shared" si="1034"/>
        <v>0</v>
      </c>
      <c r="T1695" s="119">
        <f t="shared" si="1034"/>
        <v>0</v>
      </c>
      <c r="U1695" s="119">
        <f t="shared" si="1034"/>
        <v>0</v>
      </c>
      <c r="V1695" s="119">
        <f t="shared" si="1034"/>
        <v>0</v>
      </c>
      <c r="W1695" s="119">
        <f t="shared" si="1034"/>
        <v>0</v>
      </c>
      <c r="X1695" s="119">
        <f t="shared" si="1034"/>
        <v>0</v>
      </c>
    </row>
    <row r="1696" spans="2:24" hidden="1">
      <c r="B1696" s="117" t="str">
        <f t="shared" si="1026"/>
        <v/>
      </c>
      <c r="C1696" s="117" t="str">
        <f t="shared" si="1026"/>
        <v/>
      </c>
      <c r="D1696" s="117" t="str">
        <f t="shared" si="1026"/>
        <v/>
      </c>
      <c r="E1696" s="117" t="str">
        <f t="shared" si="1026"/>
        <v/>
      </c>
      <c r="F1696" s="117"/>
      <c r="G1696" s="117"/>
      <c r="H1696" s="117"/>
      <c r="I1696" s="117"/>
      <c r="J1696" s="117"/>
      <c r="K1696" s="119">
        <f t="shared" ref="K1696:X1696" si="1035">IF(AND($D1696="tak",OR($E1696="nie dotyczy",$E1696="badania przemysłowe"),LataProjekcji&lt;=Koniec_Projekt),K170,0)</f>
        <v>0</v>
      </c>
      <c r="L1696" s="119">
        <f t="shared" si="1035"/>
        <v>0</v>
      </c>
      <c r="M1696" s="119">
        <f t="shared" si="1035"/>
        <v>0</v>
      </c>
      <c r="N1696" s="119">
        <f t="shared" si="1035"/>
        <v>0</v>
      </c>
      <c r="O1696" s="119">
        <f t="shared" si="1035"/>
        <v>0</v>
      </c>
      <c r="P1696" s="119">
        <f t="shared" si="1035"/>
        <v>0</v>
      </c>
      <c r="Q1696" s="119">
        <f t="shared" si="1035"/>
        <v>0</v>
      </c>
      <c r="R1696" s="119">
        <f t="shared" si="1035"/>
        <v>0</v>
      </c>
      <c r="S1696" s="119">
        <f t="shared" si="1035"/>
        <v>0</v>
      </c>
      <c r="T1696" s="119">
        <f t="shared" si="1035"/>
        <v>0</v>
      </c>
      <c r="U1696" s="119">
        <f t="shared" si="1035"/>
        <v>0</v>
      </c>
      <c r="V1696" s="119">
        <f t="shared" si="1035"/>
        <v>0</v>
      </c>
      <c r="W1696" s="119">
        <f t="shared" si="1035"/>
        <v>0</v>
      </c>
      <c r="X1696" s="119">
        <f t="shared" si="1035"/>
        <v>0</v>
      </c>
    </row>
    <row r="1697" spans="2:24" hidden="1">
      <c r="B1697" s="117" t="str">
        <f t="shared" si="1026"/>
        <v/>
      </c>
      <c r="C1697" s="117" t="str">
        <f t="shared" si="1026"/>
        <v/>
      </c>
      <c r="D1697" s="117" t="str">
        <f t="shared" si="1026"/>
        <v/>
      </c>
      <c r="E1697" s="117" t="str">
        <f t="shared" si="1026"/>
        <v/>
      </c>
      <c r="F1697" s="117"/>
      <c r="G1697" s="117"/>
      <c r="H1697" s="117"/>
      <c r="I1697" s="117"/>
      <c r="J1697" s="117"/>
      <c r="K1697" s="119">
        <f t="shared" ref="K1697:X1697" si="1036">IF(AND($D1697="tak",OR($E1697="nie dotyczy",$E1697="badania przemysłowe"),LataProjekcji&lt;=Koniec_Projekt),K171,0)</f>
        <v>0</v>
      </c>
      <c r="L1697" s="119">
        <f t="shared" si="1036"/>
        <v>0</v>
      </c>
      <c r="M1697" s="119">
        <f t="shared" si="1036"/>
        <v>0</v>
      </c>
      <c r="N1697" s="119">
        <f t="shared" si="1036"/>
        <v>0</v>
      </c>
      <c r="O1697" s="119">
        <f t="shared" si="1036"/>
        <v>0</v>
      </c>
      <c r="P1697" s="119">
        <f t="shared" si="1036"/>
        <v>0</v>
      </c>
      <c r="Q1697" s="119">
        <f t="shared" si="1036"/>
        <v>0</v>
      </c>
      <c r="R1697" s="119">
        <f t="shared" si="1036"/>
        <v>0</v>
      </c>
      <c r="S1697" s="119">
        <f t="shared" si="1036"/>
        <v>0</v>
      </c>
      <c r="T1697" s="119">
        <f t="shared" si="1036"/>
        <v>0</v>
      </c>
      <c r="U1697" s="119">
        <f t="shared" si="1036"/>
        <v>0</v>
      </c>
      <c r="V1697" s="119">
        <f t="shared" si="1036"/>
        <v>0</v>
      </c>
      <c r="W1697" s="119">
        <f t="shared" si="1036"/>
        <v>0</v>
      </c>
      <c r="X1697" s="119">
        <f t="shared" si="1036"/>
        <v>0</v>
      </c>
    </row>
    <row r="1698" spans="2:24" hidden="1">
      <c r="B1698" s="117" t="str">
        <f t="shared" si="1026"/>
        <v/>
      </c>
      <c r="C1698" s="117" t="str">
        <f t="shared" si="1026"/>
        <v/>
      </c>
      <c r="D1698" s="117" t="str">
        <f t="shared" si="1026"/>
        <v/>
      </c>
      <c r="E1698" s="117" t="str">
        <f t="shared" si="1026"/>
        <v/>
      </c>
      <c r="F1698" s="117"/>
      <c r="G1698" s="117"/>
      <c r="H1698" s="117"/>
      <c r="I1698" s="117"/>
      <c r="J1698" s="117"/>
      <c r="K1698" s="119">
        <f t="shared" ref="K1698:X1698" si="1037">IF(AND($D1698="tak",OR($E1698="nie dotyczy",$E1698="badania przemysłowe"),LataProjekcji&lt;=Koniec_Projekt),K172,0)</f>
        <v>0</v>
      </c>
      <c r="L1698" s="119">
        <f t="shared" si="1037"/>
        <v>0</v>
      </c>
      <c r="M1698" s="119">
        <f t="shared" si="1037"/>
        <v>0</v>
      </c>
      <c r="N1698" s="119">
        <f t="shared" si="1037"/>
        <v>0</v>
      </c>
      <c r="O1698" s="119">
        <f t="shared" si="1037"/>
        <v>0</v>
      </c>
      <c r="P1698" s="119">
        <f t="shared" si="1037"/>
        <v>0</v>
      </c>
      <c r="Q1698" s="119">
        <f t="shared" si="1037"/>
        <v>0</v>
      </c>
      <c r="R1698" s="119">
        <f t="shared" si="1037"/>
        <v>0</v>
      </c>
      <c r="S1698" s="119">
        <f t="shared" si="1037"/>
        <v>0</v>
      </c>
      <c r="T1698" s="119">
        <f t="shared" si="1037"/>
        <v>0</v>
      </c>
      <c r="U1698" s="119">
        <f t="shared" si="1037"/>
        <v>0</v>
      </c>
      <c r="V1698" s="119">
        <f t="shared" si="1037"/>
        <v>0</v>
      </c>
      <c r="W1698" s="119">
        <f t="shared" si="1037"/>
        <v>0</v>
      </c>
      <c r="X1698" s="119">
        <f t="shared" si="1037"/>
        <v>0</v>
      </c>
    </row>
    <row r="1699" spans="2:24" hidden="1">
      <c r="B1699" s="117" t="str">
        <f t="shared" si="1026"/>
        <v/>
      </c>
      <c r="C1699" s="117" t="str">
        <f t="shared" si="1026"/>
        <v/>
      </c>
      <c r="D1699" s="117" t="str">
        <f t="shared" si="1026"/>
        <v/>
      </c>
      <c r="E1699" s="117" t="str">
        <f t="shared" si="1026"/>
        <v/>
      </c>
      <c r="F1699" s="117"/>
      <c r="G1699" s="117"/>
      <c r="H1699" s="117"/>
      <c r="I1699" s="117"/>
      <c r="J1699" s="117"/>
      <c r="K1699" s="119">
        <f t="shared" ref="K1699:X1699" si="1038">IF(AND($D1699="tak",OR($E1699="nie dotyczy",$E1699="badania przemysłowe"),LataProjekcji&lt;=Koniec_Projekt),K173,0)</f>
        <v>0</v>
      </c>
      <c r="L1699" s="119">
        <f t="shared" si="1038"/>
        <v>0</v>
      </c>
      <c r="M1699" s="119">
        <f t="shared" si="1038"/>
        <v>0</v>
      </c>
      <c r="N1699" s="119">
        <f t="shared" si="1038"/>
        <v>0</v>
      </c>
      <c r="O1699" s="119">
        <f t="shared" si="1038"/>
        <v>0</v>
      </c>
      <c r="P1699" s="119">
        <f t="shared" si="1038"/>
        <v>0</v>
      </c>
      <c r="Q1699" s="119">
        <f t="shared" si="1038"/>
        <v>0</v>
      </c>
      <c r="R1699" s="119">
        <f t="shared" si="1038"/>
        <v>0</v>
      </c>
      <c r="S1699" s="119">
        <f t="shared" si="1038"/>
        <v>0</v>
      </c>
      <c r="T1699" s="119">
        <f t="shared" si="1038"/>
        <v>0</v>
      </c>
      <c r="U1699" s="119">
        <f t="shared" si="1038"/>
        <v>0</v>
      </c>
      <c r="V1699" s="119">
        <f t="shared" si="1038"/>
        <v>0</v>
      </c>
      <c r="W1699" s="119">
        <f t="shared" si="1038"/>
        <v>0</v>
      </c>
      <c r="X1699" s="119">
        <f t="shared" si="1038"/>
        <v>0</v>
      </c>
    </row>
    <row r="1700" spans="2:24" hidden="1">
      <c r="B1700" s="117" t="str">
        <f t="shared" si="1026"/>
        <v/>
      </c>
      <c r="C1700" s="117" t="str">
        <f t="shared" si="1026"/>
        <v/>
      </c>
      <c r="D1700" s="117" t="str">
        <f t="shared" si="1026"/>
        <v/>
      </c>
      <c r="E1700" s="117" t="str">
        <f t="shared" si="1026"/>
        <v/>
      </c>
      <c r="F1700" s="117"/>
      <c r="G1700" s="117"/>
      <c r="H1700" s="117"/>
      <c r="I1700" s="117"/>
      <c r="J1700" s="117"/>
      <c r="K1700" s="119">
        <f t="shared" ref="K1700:X1700" si="1039">IF(AND($D1700="tak",OR($E1700="nie dotyczy",$E1700="badania przemysłowe"),LataProjekcji&lt;=Koniec_Projekt),K174,0)</f>
        <v>0</v>
      </c>
      <c r="L1700" s="119">
        <f t="shared" si="1039"/>
        <v>0</v>
      </c>
      <c r="M1700" s="119">
        <f t="shared" si="1039"/>
        <v>0</v>
      </c>
      <c r="N1700" s="119">
        <f t="shared" si="1039"/>
        <v>0</v>
      </c>
      <c r="O1700" s="119">
        <f t="shared" si="1039"/>
        <v>0</v>
      </c>
      <c r="P1700" s="119">
        <f t="shared" si="1039"/>
        <v>0</v>
      </c>
      <c r="Q1700" s="119">
        <f t="shared" si="1039"/>
        <v>0</v>
      </c>
      <c r="R1700" s="119">
        <f t="shared" si="1039"/>
        <v>0</v>
      </c>
      <c r="S1700" s="119">
        <f t="shared" si="1039"/>
        <v>0</v>
      </c>
      <c r="T1700" s="119">
        <f t="shared" si="1039"/>
        <v>0</v>
      </c>
      <c r="U1700" s="119">
        <f t="shared" si="1039"/>
        <v>0</v>
      </c>
      <c r="V1700" s="119">
        <f t="shared" si="1039"/>
        <v>0</v>
      </c>
      <c r="W1700" s="119">
        <f t="shared" si="1039"/>
        <v>0</v>
      </c>
      <c r="X1700" s="119">
        <f t="shared" si="1039"/>
        <v>0</v>
      </c>
    </row>
    <row r="1701" spans="2:24" hidden="1">
      <c r="B1701" s="117" t="str">
        <f t="shared" si="1026"/>
        <v/>
      </c>
      <c r="C1701" s="117" t="str">
        <f t="shared" si="1026"/>
        <v/>
      </c>
      <c r="D1701" s="117" t="str">
        <f t="shared" si="1026"/>
        <v/>
      </c>
      <c r="E1701" s="117" t="str">
        <f t="shared" si="1026"/>
        <v/>
      </c>
      <c r="F1701" s="117"/>
      <c r="G1701" s="117"/>
      <c r="H1701" s="117"/>
      <c r="I1701" s="117"/>
      <c r="J1701" s="117"/>
      <c r="K1701" s="119">
        <f t="shared" ref="K1701:X1701" si="1040">IF(AND($D1701="tak",OR($E1701="nie dotyczy",$E1701="badania przemysłowe"),LataProjekcji&lt;=Koniec_Projekt),K175,0)</f>
        <v>0</v>
      </c>
      <c r="L1701" s="119">
        <f t="shared" si="1040"/>
        <v>0</v>
      </c>
      <c r="M1701" s="119">
        <f t="shared" si="1040"/>
        <v>0</v>
      </c>
      <c r="N1701" s="119">
        <f t="shared" si="1040"/>
        <v>0</v>
      </c>
      <c r="O1701" s="119">
        <f t="shared" si="1040"/>
        <v>0</v>
      </c>
      <c r="P1701" s="119">
        <f t="shared" si="1040"/>
        <v>0</v>
      </c>
      <c r="Q1701" s="119">
        <f t="shared" si="1040"/>
        <v>0</v>
      </c>
      <c r="R1701" s="119">
        <f t="shared" si="1040"/>
        <v>0</v>
      </c>
      <c r="S1701" s="119">
        <f t="shared" si="1040"/>
        <v>0</v>
      </c>
      <c r="T1701" s="119">
        <f t="shared" si="1040"/>
        <v>0</v>
      </c>
      <c r="U1701" s="119">
        <f t="shared" si="1040"/>
        <v>0</v>
      </c>
      <c r="V1701" s="119">
        <f t="shared" si="1040"/>
        <v>0</v>
      </c>
      <c r="W1701" s="119">
        <f t="shared" si="1040"/>
        <v>0</v>
      </c>
      <c r="X1701" s="119">
        <f t="shared" si="1040"/>
        <v>0</v>
      </c>
    </row>
    <row r="1702" spans="2:24" hidden="1">
      <c r="B1702" s="117" t="str">
        <f t="shared" si="1026"/>
        <v/>
      </c>
      <c r="C1702" s="117" t="str">
        <f t="shared" si="1026"/>
        <v/>
      </c>
      <c r="D1702" s="117" t="str">
        <f t="shared" si="1026"/>
        <v/>
      </c>
      <c r="E1702" s="117" t="str">
        <f t="shared" si="1026"/>
        <v/>
      </c>
      <c r="F1702" s="117"/>
      <c r="G1702" s="117"/>
      <c r="H1702" s="117"/>
      <c r="I1702" s="117"/>
      <c r="J1702" s="117"/>
      <c r="K1702" s="119">
        <f t="shared" ref="K1702:X1702" si="1041">IF(AND($D1702="tak",OR($E1702="nie dotyczy",$E1702="badania przemysłowe"),LataProjekcji&lt;=Koniec_Projekt),K176,0)</f>
        <v>0</v>
      </c>
      <c r="L1702" s="119">
        <f t="shared" si="1041"/>
        <v>0</v>
      </c>
      <c r="M1702" s="119">
        <f t="shared" si="1041"/>
        <v>0</v>
      </c>
      <c r="N1702" s="119">
        <f t="shared" si="1041"/>
        <v>0</v>
      </c>
      <c r="O1702" s="119">
        <f t="shared" si="1041"/>
        <v>0</v>
      </c>
      <c r="P1702" s="119">
        <f t="shared" si="1041"/>
        <v>0</v>
      </c>
      <c r="Q1702" s="119">
        <f t="shared" si="1041"/>
        <v>0</v>
      </c>
      <c r="R1702" s="119">
        <f t="shared" si="1041"/>
        <v>0</v>
      </c>
      <c r="S1702" s="119">
        <f t="shared" si="1041"/>
        <v>0</v>
      </c>
      <c r="T1702" s="119">
        <f t="shared" si="1041"/>
        <v>0</v>
      </c>
      <c r="U1702" s="119">
        <f t="shared" si="1041"/>
        <v>0</v>
      </c>
      <c r="V1702" s="119">
        <f t="shared" si="1041"/>
        <v>0</v>
      </c>
      <c r="W1702" s="119">
        <f t="shared" si="1041"/>
        <v>0</v>
      </c>
      <c r="X1702" s="119">
        <f t="shared" si="1041"/>
        <v>0</v>
      </c>
    </row>
    <row r="1703" spans="2:24" hidden="1">
      <c r="B1703" s="117" t="str">
        <f t="shared" si="1026"/>
        <v/>
      </c>
      <c r="C1703" s="117" t="str">
        <f t="shared" si="1026"/>
        <v/>
      </c>
      <c r="D1703" s="117" t="str">
        <f t="shared" si="1026"/>
        <v/>
      </c>
      <c r="E1703" s="117" t="str">
        <f t="shared" si="1026"/>
        <v/>
      </c>
      <c r="F1703" s="117"/>
      <c r="G1703" s="117"/>
      <c r="H1703" s="117"/>
      <c r="I1703" s="117"/>
      <c r="J1703" s="117"/>
      <c r="K1703" s="119">
        <f t="shared" ref="K1703:X1703" si="1042">IF(AND($D1703="tak",OR($E1703="nie dotyczy",$E1703="badania przemysłowe"),LataProjekcji&lt;=Koniec_Projekt),K177,0)</f>
        <v>0</v>
      </c>
      <c r="L1703" s="119">
        <f t="shared" si="1042"/>
        <v>0</v>
      </c>
      <c r="M1703" s="119">
        <f t="shared" si="1042"/>
        <v>0</v>
      </c>
      <c r="N1703" s="119">
        <f t="shared" si="1042"/>
        <v>0</v>
      </c>
      <c r="O1703" s="119">
        <f t="shared" si="1042"/>
        <v>0</v>
      </c>
      <c r="P1703" s="119">
        <f t="shared" si="1042"/>
        <v>0</v>
      </c>
      <c r="Q1703" s="119">
        <f t="shared" si="1042"/>
        <v>0</v>
      </c>
      <c r="R1703" s="119">
        <f t="shared" si="1042"/>
        <v>0</v>
      </c>
      <c r="S1703" s="119">
        <f t="shared" si="1042"/>
        <v>0</v>
      </c>
      <c r="T1703" s="119">
        <f t="shared" si="1042"/>
        <v>0</v>
      </c>
      <c r="U1703" s="119">
        <f t="shared" si="1042"/>
        <v>0</v>
      </c>
      <c r="V1703" s="119">
        <f t="shared" si="1042"/>
        <v>0</v>
      </c>
      <c r="W1703" s="119">
        <f t="shared" si="1042"/>
        <v>0</v>
      </c>
      <c r="X1703" s="119">
        <f t="shared" si="1042"/>
        <v>0</v>
      </c>
    </row>
    <row r="1704" spans="2:24" hidden="1">
      <c r="B1704" s="117" t="str">
        <f t="shared" si="1026"/>
        <v/>
      </c>
      <c r="C1704" s="117" t="str">
        <f t="shared" si="1026"/>
        <v/>
      </c>
      <c r="D1704" s="117" t="str">
        <f t="shared" si="1026"/>
        <v/>
      </c>
      <c r="E1704" s="117" t="str">
        <f t="shared" si="1026"/>
        <v/>
      </c>
      <c r="F1704" s="117"/>
      <c r="G1704" s="117"/>
      <c r="H1704" s="117"/>
      <c r="I1704" s="117"/>
      <c r="J1704" s="117"/>
      <c r="K1704" s="119">
        <f t="shared" ref="K1704:X1704" si="1043">IF(AND($D1704="tak",OR($E1704="nie dotyczy",$E1704="badania przemysłowe"),LataProjekcji&lt;=Koniec_Projekt),K178,0)</f>
        <v>0</v>
      </c>
      <c r="L1704" s="119">
        <f t="shared" si="1043"/>
        <v>0</v>
      </c>
      <c r="M1704" s="119">
        <f t="shared" si="1043"/>
        <v>0</v>
      </c>
      <c r="N1704" s="119">
        <f t="shared" si="1043"/>
        <v>0</v>
      </c>
      <c r="O1704" s="119">
        <f t="shared" si="1043"/>
        <v>0</v>
      </c>
      <c r="P1704" s="119">
        <f t="shared" si="1043"/>
        <v>0</v>
      </c>
      <c r="Q1704" s="119">
        <f t="shared" si="1043"/>
        <v>0</v>
      </c>
      <c r="R1704" s="119">
        <f t="shared" si="1043"/>
        <v>0</v>
      </c>
      <c r="S1704" s="119">
        <f t="shared" si="1043"/>
        <v>0</v>
      </c>
      <c r="T1704" s="119">
        <f t="shared" si="1043"/>
        <v>0</v>
      </c>
      <c r="U1704" s="119">
        <f t="shared" si="1043"/>
        <v>0</v>
      </c>
      <c r="V1704" s="119">
        <f t="shared" si="1043"/>
        <v>0</v>
      </c>
      <c r="W1704" s="119">
        <f t="shared" si="1043"/>
        <v>0</v>
      </c>
      <c r="X1704" s="119">
        <f t="shared" si="1043"/>
        <v>0</v>
      </c>
    </row>
    <row r="1705" spans="2:24" hidden="1">
      <c r="B1705" s="117" t="str">
        <f t="shared" si="1026"/>
        <v/>
      </c>
      <c r="C1705" s="117" t="str">
        <f t="shared" si="1026"/>
        <v/>
      </c>
      <c r="D1705" s="117" t="str">
        <f t="shared" si="1026"/>
        <v/>
      </c>
      <c r="E1705" s="117" t="str">
        <f t="shared" si="1026"/>
        <v/>
      </c>
      <c r="F1705" s="117"/>
      <c r="G1705" s="117"/>
      <c r="H1705" s="117"/>
      <c r="I1705" s="117"/>
      <c r="J1705" s="117"/>
      <c r="K1705" s="119">
        <f t="shared" ref="K1705:X1705" si="1044">IF(AND($D1705="tak",OR($E1705="nie dotyczy",$E1705="badania przemysłowe"),LataProjekcji&lt;=Koniec_Projekt),K179,0)</f>
        <v>0</v>
      </c>
      <c r="L1705" s="119">
        <f t="shared" si="1044"/>
        <v>0</v>
      </c>
      <c r="M1705" s="119">
        <f t="shared" si="1044"/>
        <v>0</v>
      </c>
      <c r="N1705" s="119">
        <f t="shared" si="1044"/>
        <v>0</v>
      </c>
      <c r="O1705" s="119">
        <f t="shared" si="1044"/>
        <v>0</v>
      </c>
      <c r="P1705" s="119">
        <f t="shared" si="1044"/>
        <v>0</v>
      </c>
      <c r="Q1705" s="119">
        <f t="shared" si="1044"/>
        <v>0</v>
      </c>
      <c r="R1705" s="119">
        <f t="shared" si="1044"/>
        <v>0</v>
      </c>
      <c r="S1705" s="119">
        <f t="shared" si="1044"/>
        <v>0</v>
      </c>
      <c r="T1705" s="119">
        <f t="shared" si="1044"/>
        <v>0</v>
      </c>
      <c r="U1705" s="119">
        <f t="shared" si="1044"/>
        <v>0</v>
      </c>
      <c r="V1705" s="119">
        <f t="shared" si="1044"/>
        <v>0</v>
      </c>
      <c r="W1705" s="119">
        <f t="shared" si="1044"/>
        <v>0</v>
      </c>
      <c r="X1705" s="119">
        <f t="shared" si="1044"/>
        <v>0</v>
      </c>
    </row>
    <row r="1706" spans="2:24" hidden="1">
      <c r="B1706" s="117" t="str">
        <f t="shared" si="1026"/>
        <v/>
      </c>
      <c r="C1706" s="117" t="str">
        <f t="shared" si="1026"/>
        <v/>
      </c>
      <c r="D1706" s="117" t="str">
        <f t="shared" si="1026"/>
        <v/>
      </c>
      <c r="E1706" s="117" t="str">
        <f t="shared" si="1026"/>
        <v/>
      </c>
      <c r="F1706" s="117"/>
      <c r="G1706" s="117"/>
      <c r="H1706" s="117"/>
      <c r="I1706" s="117"/>
      <c r="J1706" s="117"/>
      <c r="K1706" s="119">
        <f t="shared" ref="K1706:X1706" si="1045">IF(AND($D1706="tak",OR($E1706="nie dotyczy",$E1706="badania przemysłowe"),LataProjekcji&lt;=Koniec_Projekt),K180,0)</f>
        <v>0</v>
      </c>
      <c r="L1706" s="119">
        <f t="shared" si="1045"/>
        <v>0</v>
      </c>
      <c r="M1706" s="119">
        <f t="shared" si="1045"/>
        <v>0</v>
      </c>
      <c r="N1706" s="119">
        <f t="shared" si="1045"/>
        <v>0</v>
      </c>
      <c r="O1706" s="119">
        <f t="shared" si="1045"/>
        <v>0</v>
      </c>
      <c r="P1706" s="119">
        <f t="shared" si="1045"/>
        <v>0</v>
      </c>
      <c r="Q1706" s="119">
        <f t="shared" si="1045"/>
        <v>0</v>
      </c>
      <c r="R1706" s="119">
        <f t="shared" si="1045"/>
        <v>0</v>
      </c>
      <c r="S1706" s="119">
        <f t="shared" si="1045"/>
        <v>0</v>
      </c>
      <c r="T1706" s="119">
        <f t="shared" si="1045"/>
        <v>0</v>
      </c>
      <c r="U1706" s="119">
        <f t="shared" si="1045"/>
        <v>0</v>
      </c>
      <c r="V1706" s="119">
        <f t="shared" si="1045"/>
        <v>0</v>
      </c>
      <c r="W1706" s="119">
        <f t="shared" si="1045"/>
        <v>0</v>
      </c>
      <c r="X1706" s="119">
        <f t="shared" si="1045"/>
        <v>0</v>
      </c>
    </row>
    <row r="1707" spans="2:24" hidden="1">
      <c r="B1707" s="117" t="str">
        <f t="shared" si="1026"/>
        <v/>
      </c>
      <c r="C1707" s="117" t="str">
        <f t="shared" si="1026"/>
        <v/>
      </c>
      <c r="D1707" s="117" t="str">
        <f t="shared" si="1026"/>
        <v/>
      </c>
      <c r="E1707" s="117" t="str">
        <f t="shared" si="1026"/>
        <v/>
      </c>
      <c r="F1707" s="117"/>
      <c r="G1707" s="117"/>
      <c r="H1707" s="117"/>
      <c r="I1707" s="117"/>
      <c r="J1707" s="117"/>
      <c r="K1707" s="119">
        <f t="shared" ref="K1707:X1707" si="1046">IF(AND($D1707="tak",OR($E1707="nie dotyczy",$E1707="badania przemysłowe"),LataProjekcji&lt;=Koniec_Projekt),K181,0)</f>
        <v>0</v>
      </c>
      <c r="L1707" s="119">
        <f t="shared" si="1046"/>
        <v>0</v>
      </c>
      <c r="M1707" s="119">
        <f t="shared" si="1046"/>
        <v>0</v>
      </c>
      <c r="N1707" s="119">
        <f t="shared" si="1046"/>
        <v>0</v>
      </c>
      <c r="O1707" s="119">
        <f t="shared" si="1046"/>
        <v>0</v>
      </c>
      <c r="P1707" s="119">
        <f t="shared" si="1046"/>
        <v>0</v>
      </c>
      <c r="Q1707" s="119">
        <f t="shared" si="1046"/>
        <v>0</v>
      </c>
      <c r="R1707" s="119">
        <f t="shared" si="1046"/>
        <v>0</v>
      </c>
      <c r="S1707" s="119">
        <f t="shared" si="1046"/>
        <v>0</v>
      </c>
      <c r="T1707" s="119">
        <f t="shared" si="1046"/>
        <v>0</v>
      </c>
      <c r="U1707" s="119">
        <f t="shared" si="1046"/>
        <v>0</v>
      </c>
      <c r="V1707" s="119">
        <f t="shared" si="1046"/>
        <v>0</v>
      </c>
      <c r="W1707" s="119">
        <f t="shared" si="1046"/>
        <v>0</v>
      </c>
      <c r="X1707" s="119">
        <f t="shared" si="1046"/>
        <v>0</v>
      </c>
    </row>
    <row r="1708" spans="2:24" hidden="1">
      <c r="B1708" s="111" t="s">
        <v>343</v>
      </c>
      <c r="C1708" s="111"/>
      <c r="D1708" s="112"/>
      <c r="E1708" s="113"/>
      <c r="F1708" s="113"/>
      <c r="G1708" s="113"/>
      <c r="H1708" s="113"/>
      <c r="I1708" s="113"/>
      <c r="J1708" s="113"/>
      <c r="K1708" s="120">
        <f t="shared" ref="K1708:X1708" si="1047">ROUND(SUM(K1688:K1707),0)</f>
        <v>0</v>
      </c>
      <c r="L1708" s="120">
        <f t="shared" si="1047"/>
        <v>0</v>
      </c>
      <c r="M1708" s="120">
        <f t="shared" si="1047"/>
        <v>0</v>
      </c>
      <c r="N1708" s="120">
        <f t="shared" si="1047"/>
        <v>0</v>
      </c>
      <c r="O1708" s="120">
        <f t="shared" si="1047"/>
        <v>0</v>
      </c>
      <c r="P1708" s="120">
        <f t="shared" si="1047"/>
        <v>0</v>
      </c>
      <c r="Q1708" s="120">
        <f t="shared" si="1047"/>
        <v>0</v>
      </c>
      <c r="R1708" s="120">
        <f t="shared" si="1047"/>
        <v>0</v>
      </c>
      <c r="S1708" s="120">
        <f t="shared" si="1047"/>
        <v>0</v>
      </c>
      <c r="T1708" s="120">
        <f t="shared" si="1047"/>
        <v>0</v>
      </c>
      <c r="U1708" s="120">
        <f t="shared" si="1047"/>
        <v>0</v>
      </c>
      <c r="V1708" s="120">
        <f t="shared" si="1047"/>
        <v>0</v>
      </c>
      <c r="W1708" s="120">
        <f t="shared" si="1047"/>
        <v>0</v>
      </c>
      <c r="X1708" s="120">
        <f t="shared" si="1047"/>
        <v>0</v>
      </c>
    </row>
    <row r="1709" spans="2:24" hidden="1">
      <c r="B1709" s="113"/>
      <c r="C1709" s="113"/>
      <c r="D1709" s="112"/>
      <c r="E1709" s="113"/>
      <c r="F1709" s="113"/>
      <c r="G1709" s="113"/>
      <c r="H1709" s="113"/>
      <c r="I1709" s="113"/>
      <c r="J1709" s="113"/>
      <c r="K1709" s="121"/>
      <c r="L1709" s="121"/>
      <c r="M1709" s="121"/>
      <c r="N1709" s="121"/>
      <c r="O1709" s="121"/>
      <c r="P1709" s="121"/>
      <c r="Q1709" s="121"/>
      <c r="R1709" s="121"/>
      <c r="S1709" s="121"/>
      <c r="T1709" s="121"/>
      <c r="U1709" s="121"/>
      <c r="V1709" s="121"/>
      <c r="W1709" s="121"/>
      <c r="X1709" s="121"/>
    </row>
    <row r="1710" spans="2:24" hidden="1">
      <c r="B1710" s="113"/>
      <c r="C1710" s="113"/>
      <c r="D1710" s="112"/>
      <c r="E1710" s="113"/>
      <c r="F1710" s="113"/>
      <c r="G1710" s="113"/>
      <c r="H1710" s="113"/>
      <c r="I1710" s="113"/>
      <c r="J1710" s="113"/>
      <c r="K1710" s="121"/>
      <c r="L1710" s="121"/>
      <c r="M1710" s="121"/>
      <c r="N1710" s="121"/>
      <c r="O1710" s="121"/>
      <c r="P1710" s="121"/>
      <c r="Q1710" s="121"/>
      <c r="R1710" s="121"/>
      <c r="S1710" s="121"/>
      <c r="T1710" s="121"/>
      <c r="U1710" s="121"/>
      <c r="V1710" s="121"/>
      <c r="W1710" s="121"/>
      <c r="X1710" s="121"/>
    </row>
    <row r="1711" spans="2:24" hidden="1">
      <c r="B1711" s="111" t="s">
        <v>344</v>
      </c>
      <c r="C1711" s="111"/>
      <c r="D1711" s="122" t="s">
        <v>336</v>
      </c>
      <c r="E1711" s="111" t="s">
        <v>337</v>
      </c>
      <c r="F1711" s="113"/>
      <c r="G1711" s="113"/>
      <c r="H1711" s="113"/>
      <c r="I1711" s="113"/>
      <c r="J1711" s="113"/>
      <c r="K1711" s="121"/>
      <c r="L1711" s="121"/>
      <c r="M1711" s="121"/>
      <c r="N1711" s="121"/>
      <c r="O1711" s="121"/>
      <c r="P1711" s="121"/>
      <c r="Q1711" s="121"/>
      <c r="R1711" s="121"/>
      <c r="S1711" s="121"/>
      <c r="T1711" s="121"/>
      <c r="U1711" s="121"/>
      <c r="V1711" s="121"/>
      <c r="W1711" s="121"/>
      <c r="X1711" s="121"/>
    </row>
    <row r="1712" spans="2:24" hidden="1">
      <c r="B1712" s="117" t="str">
        <f t="shared" ref="B1712:E1716" si="1048">IF(ISBLANK(B1472),"",B1472)</f>
        <v/>
      </c>
      <c r="C1712" s="117" t="str">
        <f t="shared" si="1048"/>
        <v/>
      </c>
      <c r="D1712" s="117" t="str">
        <f t="shared" si="1048"/>
        <v/>
      </c>
      <c r="E1712" s="117" t="str">
        <f t="shared" si="1048"/>
        <v/>
      </c>
      <c r="F1712" s="117"/>
      <c r="G1712" s="117"/>
      <c r="H1712" s="117"/>
      <c r="I1712" s="117"/>
      <c r="J1712" s="117"/>
      <c r="K1712" s="119">
        <f t="shared" ref="K1712:X1712" si="1049">IF(AND($D1712="tak",OR($E1712="nie dotyczy",$E1712="badania przemysłowe"),LataProjekcji&lt;=Koniec_Projekt),K207,0)</f>
        <v>0</v>
      </c>
      <c r="L1712" s="119">
        <f t="shared" si="1049"/>
        <v>0</v>
      </c>
      <c r="M1712" s="119">
        <f t="shared" si="1049"/>
        <v>0</v>
      </c>
      <c r="N1712" s="119">
        <f t="shared" si="1049"/>
        <v>0</v>
      </c>
      <c r="O1712" s="119">
        <f t="shared" si="1049"/>
        <v>0</v>
      </c>
      <c r="P1712" s="119">
        <f t="shared" si="1049"/>
        <v>0</v>
      </c>
      <c r="Q1712" s="119">
        <f t="shared" si="1049"/>
        <v>0</v>
      </c>
      <c r="R1712" s="119">
        <f t="shared" si="1049"/>
        <v>0</v>
      </c>
      <c r="S1712" s="119">
        <f t="shared" si="1049"/>
        <v>0</v>
      </c>
      <c r="T1712" s="119">
        <f t="shared" si="1049"/>
        <v>0</v>
      </c>
      <c r="U1712" s="119">
        <f t="shared" si="1049"/>
        <v>0</v>
      </c>
      <c r="V1712" s="119">
        <f t="shared" si="1049"/>
        <v>0</v>
      </c>
      <c r="W1712" s="119">
        <f t="shared" si="1049"/>
        <v>0</v>
      </c>
      <c r="X1712" s="119">
        <f t="shared" si="1049"/>
        <v>0</v>
      </c>
    </row>
    <row r="1713" spans="2:24" hidden="1">
      <c r="B1713" s="117" t="str">
        <f t="shared" si="1048"/>
        <v/>
      </c>
      <c r="C1713" s="117" t="str">
        <f t="shared" si="1048"/>
        <v/>
      </c>
      <c r="D1713" s="117" t="str">
        <f t="shared" si="1048"/>
        <v/>
      </c>
      <c r="E1713" s="117" t="str">
        <f t="shared" si="1048"/>
        <v/>
      </c>
      <c r="F1713" s="117"/>
      <c r="G1713" s="117"/>
      <c r="H1713" s="117"/>
      <c r="I1713" s="117"/>
      <c r="J1713" s="117"/>
      <c r="K1713" s="119">
        <f t="shared" ref="K1713:X1713" si="1050">IF(AND($D1713="tak",OR($E1713="nie dotyczy",$E1713="badania przemysłowe"),LataProjekcji&lt;=Koniec_Projekt),K208,0)</f>
        <v>0</v>
      </c>
      <c r="L1713" s="119">
        <f t="shared" si="1050"/>
        <v>0</v>
      </c>
      <c r="M1713" s="119">
        <f t="shared" si="1050"/>
        <v>0</v>
      </c>
      <c r="N1713" s="119">
        <f t="shared" si="1050"/>
        <v>0</v>
      </c>
      <c r="O1713" s="119">
        <f t="shared" si="1050"/>
        <v>0</v>
      </c>
      <c r="P1713" s="119">
        <f t="shared" si="1050"/>
        <v>0</v>
      </c>
      <c r="Q1713" s="119">
        <f t="shared" si="1050"/>
        <v>0</v>
      </c>
      <c r="R1713" s="119">
        <f t="shared" si="1050"/>
        <v>0</v>
      </c>
      <c r="S1713" s="119">
        <f t="shared" si="1050"/>
        <v>0</v>
      </c>
      <c r="T1713" s="119">
        <f t="shared" si="1050"/>
        <v>0</v>
      </c>
      <c r="U1713" s="119">
        <f t="shared" si="1050"/>
        <v>0</v>
      </c>
      <c r="V1713" s="119">
        <f t="shared" si="1050"/>
        <v>0</v>
      </c>
      <c r="W1713" s="119">
        <f t="shared" si="1050"/>
        <v>0</v>
      </c>
      <c r="X1713" s="119">
        <f t="shared" si="1050"/>
        <v>0</v>
      </c>
    </row>
    <row r="1714" spans="2:24" hidden="1">
      <c r="B1714" s="117" t="str">
        <f t="shared" si="1048"/>
        <v/>
      </c>
      <c r="C1714" s="117" t="str">
        <f t="shared" si="1048"/>
        <v/>
      </c>
      <c r="D1714" s="117" t="str">
        <f t="shared" si="1048"/>
        <v/>
      </c>
      <c r="E1714" s="117" t="str">
        <f t="shared" si="1048"/>
        <v/>
      </c>
      <c r="F1714" s="117"/>
      <c r="G1714" s="117"/>
      <c r="H1714" s="117"/>
      <c r="I1714" s="117"/>
      <c r="J1714" s="117"/>
      <c r="K1714" s="119">
        <f t="shared" ref="K1714:X1714" si="1051">IF(AND($D1714="tak",OR($E1714="nie dotyczy",$E1714="badania przemysłowe"),LataProjekcji&lt;=Koniec_Projekt),K209,0)</f>
        <v>0</v>
      </c>
      <c r="L1714" s="119">
        <f t="shared" si="1051"/>
        <v>0</v>
      </c>
      <c r="M1714" s="119">
        <f t="shared" si="1051"/>
        <v>0</v>
      </c>
      <c r="N1714" s="119">
        <f t="shared" si="1051"/>
        <v>0</v>
      </c>
      <c r="O1714" s="119">
        <f t="shared" si="1051"/>
        <v>0</v>
      </c>
      <c r="P1714" s="119">
        <f t="shared" si="1051"/>
        <v>0</v>
      </c>
      <c r="Q1714" s="119">
        <f t="shared" si="1051"/>
        <v>0</v>
      </c>
      <c r="R1714" s="119">
        <f t="shared" si="1051"/>
        <v>0</v>
      </c>
      <c r="S1714" s="119">
        <f t="shared" si="1051"/>
        <v>0</v>
      </c>
      <c r="T1714" s="119">
        <f t="shared" si="1051"/>
        <v>0</v>
      </c>
      <c r="U1714" s="119">
        <f t="shared" si="1051"/>
        <v>0</v>
      </c>
      <c r="V1714" s="119">
        <f t="shared" si="1051"/>
        <v>0</v>
      </c>
      <c r="W1714" s="119">
        <f t="shared" si="1051"/>
        <v>0</v>
      </c>
      <c r="X1714" s="119">
        <f t="shared" si="1051"/>
        <v>0</v>
      </c>
    </row>
    <row r="1715" spans="2:24" hidden="1">
      <c r="B1715" s="117" t="str">
        <f t="shared" si="1048"/>
        <v/>
      </c>
      <c r="C1715" s="117" t="str">
        <f t="shared" si="1048"/>
        <v/>
      </c>
      <c r="D1715" s="117" t="str">
        <f t="shared" si="1048"/>
        <v/>
      </c>
      <c r="E1715" s="117" t="str">
        <f t="shared" si="1048"/>
        <v/>
      </c>
      <c r="F1715" s="117"/>
      <c r="G1715" s="117"/>
      <c r="H1715" s="117"/>
      <c r="I1715" s="117"/>
      <c r="J1715" s="117"/>
      <c r="K1715" s="119">
        <f t="shared" ref="K1715:X1715" si="1052">IF(AND($D1715="tak",OR($E1715="nie dotyczy",$E1715="badania przemysłowe"),LataProjekcji&lt;=Koniec_Projekt),K210,0)</f>
        <v>0</v>
      </c>
      <c r="L1715" s="119">
        <f t="shared" si="1052"/>
        <v>0</v>
      </c>
      <c r="M1715" s="119">
        <f t="shared" si="1052"/>
        <v>0</v>
      </c>
      <c r="N1715" s="119">
        <f t="shared" si="1052"/>
        <v>0</v>
      </c>
      <c r="O1715" s="119">
        <f t="shared" si="1052"/>
        <v>0</v>
      </c>
      <c r="P1715" s="119">
        <f t="shared" si="1052"/>
        <v>0</v>
      </c>
      <c r="Q1715" s="119">
        <f t="shared" si="1052"/>
        <v>0</v>
      </c>
      <c r="R1715" s="119">
        <f t="shared" si="1052"/>
        <v>0</v>
      </c>
      <c r="S1715" s="119">
        <f t="shared" si="1052"/>
        <v>0</v>
      </c>
      <c r="T1715" s="119">
        <f t="shared" si="1052"/>
        <v>0</v>
      </c>
      <c r="U1715" s="119">
        <f t="shared" si="1052"/>
        <v>0</v>
      </c>
      <c r="V1715" s="119">
        <f t="shared" si="1052"/>
        <v>0</v>
      </c>
      <c r="W1715" s="119">
        <f t="shared" si="1052"/>
        <v>0</v>
      </c>
      <c r="X1715" s="119">
        <f t="shared" si="1052"/>
        <v>0</v>
      </c>
    </row>
    <row r="1716" spans="2:24" hidden="1">
      <c r="B1716" s="117" t="str">
        <f t="shared" si="1048"/>
        <v/>
      </c>
      <c r="C1716" s="117" t="str">
        <f t="shared" si="1048"/>
        <v/>
      </c>
      <c r="D1716" s="117" t="str">
        <f t="shared" si="1048"/>
        <v/>
      </c>
      <c r="E1716" s="117" t="str">
        <f t="shared" si="1048"/>
        <v/>
      </c>
      <c r="F1716" s="117"/>
      <c r="G1716" s="117"/>
      <c r="H1716" s="117"/>
      <c r="I1716" s="117"/>
      <c r="J1716" s="117"/>
      <c r="K1716" s="119">
        <f t="shared" ref="K1716:X1716" si="1053">IF(AND($D1716="tak",OR($E1716="nie dotyczy",$E1716="badania przemysłowe"),LataProjekcji&lt;=Koniec_Projekt),K211,0)</f>
        <v>0</v>
      </c>
      <c r="L1716" s="119">
        <f t="shared" si="1053"/>
        <v>0</v>
      </c>
      <c r="M1716" s="119">
        <f t="shared" si="1053"/>
        <v>0</v>
      </c>
      <c r="N1716" s="119">
        <f t="shared" si="1053"/>
        <v>0</v>
      </c>
      <c r="O1716" s="119">
        <f t="shared" si="1053"/>
        <v>0</v>
      </c>
      <c r="P1716" s="119">
        <f t="shared" si="1053"/>
        <v>0</v>
      </c>
      <c r="Q1716" s="119">
        <f t="shared" si="1053"/>
        <v>0</v>
      </c>
      <c r="R1716" s="119">
        <f t="shared" si="1053"/>
        <v>0</v>
      </c>
      <c r="S1716" s="119">
        <f t="shared" si="1053"/>
        <v>0</v>
      </c>
      <c r="T1716" s="119">
        <f t="shared" si="1053"/>
        <v>0</v>
      </c>
      <c r="U1716" s="119">
        <f t="shared" si="1053"/>
        <v>0</v>
      </c>
      <c r="V1716" s="119">
        <f t="shared" si="1053"/>
        <v>0</v>
      </c>
      <c r="W1716" s="119">
        <f t="shared" si="1053"/>
        <v>0</v>
      </c>
      <c r="X1716" s="119">
        <f t="shared" si="1053"/>
        <v>0</v>
      </c>
    </row>
    <row r="1717" spans="2:24" hidden="1">
      <c r="B1717" s="111" t="s">
        <v>345</v>
      </c>
      <c r="C1717" s="111"/>
      <c r="D1717" s="112"/>
      <c r="E1717" s="113"/>
      <c r="F1717" s="113"/>
      <c r="G1717" s="113"/>
      <c r="H1717" s="113"/>
      <c r="I1717" s="113"/>
      <c r="J1717" s="113"/>
      <c r="K1717" s="120">
        <f>ROUND(SUM(K1712:K1716),0)</f>
        <v>0</v>
      </c>
      <c r="L1717" s="120">
        <f t="shared" ref="L1717:X1717" si="1054">ROUND(SUM(L1712:L1716),0)</f>
        <v>0</v>
      </c>
      <c r="M1717" s="120">
        <f t="shared" si="1054"/>
        <v>0</v>
      </c>
      <c r="N1717" s="120">
        <f t="shared" si="1054"/>
        <v>0</v>
      </c>
      <c r="O1717" s="120">
        <f t="shared" si="1054"/>
        <v>0</v>
      </c>
      <c r="P1717" s="120">
        <f t="shared" si="1054"/>
        <v>0</v>
      </c>
      <c r="Q1717" s="120">
        <f t="shared" si="1054"/>
        <v>0</v>
      </c>
      <c r="R1717" s="120">
        <f t="shared" si="1054"/>
        <v>0</v>
      </c>
      <c r="S1717" s="120">
        <f t="shared" si="1054"/>
        <v>0</v>
      </c>
      <c r="T1717" s="120">
        <f t="shared" si="1054"/>
        <v>0</v>
      </c>
      <c r="U1717" s="120">
        <f t="shared" si="1054"/>
        <v>0</v>
      </c>
      <c r="V1717" s="120">
        <f t="shared" si="1054"/>
        <v>0</v>
      </c>
      <c r="W1717" s="120">
        <f t="shared" si="1054"/>
        <v>0</v>
      </c>
      <c r="X1717" s="120">
        <f t="shared" si="1054"/>
        <v>0</v>
      </c>
    </row>
    <row r="1718" spans="2:24" hidden="1">
      <c r="B1718" s="113"/>
      <c r="C1718" s="113"/>
      <c r="D1718" s="112"/>
      <c r="E1718" s="113"/>
      <c r="F1718" s="113"/>
      <c r="G1718" s="113"/>
      <c r="H1718" s="113"/>
      <c r="I1718" s="113"/>
      <c r="J1718" s="113"/>
      <c r="K1718" s="121"/>
      <c r="L1718" s="121"/>
      <c r="M1718" s="121"/>
      <c r="N1718" s="121"/>
      <c r="O1718" s="121"/>
      <c r="P1718" s="121"/>
      <c r="Q1718" s="121"/>
      <c r="R1718" s="121"/>
      <c r="S1718" s="121"/>
      <c r="T1718" s="121"/>
      <c r="U1718" s="121"/>
      <c r="V1718" s="121"/>
      <c r="W1718" s="121"/>
      <c r="X1718" s="121"/>
    </row>
    <row r="1719" spans="2:24" hidden="1">
      <c r="B1719" s="113"/>
      <c r="C1719" s="113"/>
      <c r="D1719" s="112"/>
      <c r="E1719" s="113"/>
      <c r="F1719" s="113"/>
      <c r="G1719" s="113"/>
      <c r="H1719" s="113"/>
      <c r="I1719" s="113"/>
      <c r="J1719" s="113"/>
      <c r="K1719" s="121"/>
      <c r="L1719" s="121"/>
      <c r="M1719" s="121"/>
      <c r="N1719" s="121"/>
      <c r="O1719" s="121"/>
      <c r="P1719" s="121"/>
      <c r="Q1719" s="121"/>
      <c r="R1719" s="121"/>
      <c r="S1719" s="121"/>
      <c r="T1719" s="121"/>
      <c r="U1719" s="121"/>
      <c r="V1719" s="121"/>
      <c r="W1719" s="121"/>
      <c r="X1719" s="121"/>
    </row>
    <row r="1720" spans="2:24" hidden="1">
      <c r="B1720" s="111" t="s">
        <v>346</v>
      </c>
      <c r="C1720" s="111"/>
      <c r="D1720" s="112"/>
      <c r="E1720" s="113"/>
      <c r="F1720" s="113"/>
      <c r="G1720" s="113"/>
      <c r="H1720" s="113"/>
      <c r="I1720" s="113"/>
      <c r="J1720" s="113"/>
      <c r="K1720" s="121"/>
      <c r="L1720" s="121"/>
      <c r="M1720" s="121"/>
      <c r="N1720" s="121"/>
      <c r="O1720" s="121"/>
      <c r="P1720" s="121"/>
      <c r="Q1720" s="121"/>
      <c r="R1720" s="121"/>
      <c r="S1720" s="121"/>
      <c r="T1720" s="121"/>
      <c r="U1720" s="121"/>
      <c r="V1720" s="121"/>
      <c r="W1720" s="121"/>
      <c r="X1720" s="121"/>
    </row>
    <row r="1721" spans="2:24" hidden="1">
      <c r="B1721" s="111" t="s">
        <v>321</v>
      </c>
      <c r="C1721" s="111"/>
      <c r="D1721" s="122" t="s">
        <v>336</v>
      </c>
      <c r="E1721" s="111" t="s">
        <v>337</v>
      </c>
      <c r="F1721" s="113"/>
      <c r="G1721" s="113"/>
      <c r="H1721" s="113"/>
      <c r="I1721" s="113"/>
      <c r="J1721" s="113"/>
      <c r="K1721" s="120" t="s">
        <v>318</v>
      </c>
      <c r="L1721" s="121"/>
      <c r="M1721" s="121"/>
      <c r="N1721" s="121"/>
      <c r="O1721" s="121"/>
      <c r="P1721" s="121"/>
      <c r="Q1721" s="121"/>
      <c r="R1721" s="121"/>
      <c r="S1721" s="121"/>
      <c r="T1721" s="121"/>
      <c r="U1721" s="121"/>
      <c r="V1721" s="121"/>
      <c r="W1721" s="121"/>
      <c r="X1721" s="121"/>
    </row>
    <row r="1722" spans="2:24" hidden="1">
      <c r="B1722" s="117" t="str">
        <f t="shared" ref="B1722:E1741" si="1055">IF(ISBLANK(B1482),"",B1482)</f>
        <v/>
      </c>
      <c r="C1722" s="117" t="str">
        <f t="shared" si="1055"/>
        <v/>
      </c>
      <c r="D1722" s="117" t="str">
        <f t="shared" si="1055"/>
        <v/>
      </c>
      <c r="E1722" s="117" t="str">
        <f t="shared" si="1055"/>
        <v/>
      </c>
      <c r="F1722" s="117"/>
      <c r="G1722" s="117"/>
      <c r="H1722" s="117"/>
      <c r="I1722" s="117"/>
      <c r="J1722" s="117"/>
      <c r="K1722" s="119">
        <f t="shared" ref="K1722:X1722" si="1056">IF(AND($D1722="tak",OR($E1722="nie dotyczy",$E1722="badania przemysłowe"),LataProjekcji&lt;=Koniec_Projekt),K391,0)</f>
        <v>0</v>
      </c>
      <c r="L1722" s="119">
        <f t="shared" si="1056"/>
        <v>0</v>
      </c>
      <c r="M1722" s="119">
        <f t="shared" si="1056"/>
        <v>0</v>
      </c>
      <c r="N1722" s="119">
        <f t="shared" si="1056"/>
        <v>0</v>
      </c>
      <c r="O1722" s="119">
        <f t="shared" si="1056"/>
        <v>0</v>
      </c>
      <c r="P1722" s="119">
        <f t="shared" si="1056"/>
        <v>0</v>
      </c>
      <c r="Q1722" s="119">
        <f t="shared" si="1056"/>
        <v>0</v>
      </c>
      <c r="R1722" s="119">
        <f t="shared" si="1056"/>
        <v>0</v>
      </c>
      <c r="S1722" s="119">
        <f t="shared" si="1056"/>
        <v>0</v>
      </c>
      <c r="T1722" s="119">
        <f t="shared" si="1056"/>
        <v>0</v>
      </c>
      <c r="U1722" s="119">
        <f t="shared" si="1056"/>
        <v>0</v>
      </c>
      <c r="V1722" s="119">
        <f t="shared" si="1056"/>
        <v>0</v>
      </c>
      <c r="W1722" s="119">
        <f t="shared" si="1056"/>
        <v>0</v>
      </c>
      <c r="X1722" s="119">
        <f t="shared" si="1056"/>
        <v>0</v>
      </c>
    </row>
    <row r="1723" spans="2:24" hidden="1">
      <c r="B1723" s="117" t="str">
        <f t="shared" si="1055"/>
        <v/>
      </c>
      <c r="C1723" s="117" t="str">
        <f t="shared" si="1055"/>
        <v/>
      </c>
      <c r="D1723" s="117" t="str">
        <f t="shared" si="1055"/>
        <v/>
      </c>
      <c r="E1723" s="117" t="str">
        <f t="shared" si="1055"/>
        <v/>
      </c>
      <c r="F1723" s="117"/>
      <c r="G1723" s="117"/>
      <c r="H1723" s="117"/>
      <c r="I1723" s="117"/>
      <c r="J1723" s="117"/>
      <c r="K1723" s="119">
        <f t="shared" ref="K1723:X1723" si="1057">IF(AND($D1723="tak",OR($E1723="nie dotyczy",$E1723="badania przemysłowe"),LataProjekcji&lt;=Koniec_Projekt),K392,0)</f>
        <v>0</v>
      </c>
      <c r="L1723" s="119">
        <f t="shared" si="1057"/>
        <v>0</v>
      </c>
      <c r="M1723" s="119">
        <f t="shared" si="1057"/>
        <v>0</v>
      </c>
      <c r="N1723" s="119">
        <f t="shared" si="1057"/>
        <v>0</v>
      </c>
      <c r="O1723" s="119">
        <f t="shared" si="1057"/>
        <v>0</v>
      </c>
      <c r="P1723" s="119">
        <f t="shared" si="1057"/>
        <v>0</v>
      </c>
      <c r="Q1723" s="119">
        <f t="shared" si="1057"/>
        <v>0</v>
      </c>
      <c r="R1723" s="119">
        <f t="shared" si="1057"/>
        <v>0</v>
      </c>
      <c r="S1723" s="119">
        <f t="shared" si="1057"/>
        <v>0</v>
      </c>
      <c r="T1723" s="119">
        <f t="shared" si="1057"/>
        <v>0</v>
      </c>
      <c r="U1723" s="119">
        <f t="shared" si="1057"/>
        <v>0</v>
      </c>
      <c r="V1723" s="119">
        <f t="shared" si="1057"/>
        <v>0</v>
      </c>
      <c r="W1723" s="119">
        <f t="shared" si="1057"/>
        <v>0</v>
      </c>
      <c r="X1723" s="119">
        <f t="shared" si="1057"/>
        <v>0</v>
      </c>
    </row>
    <row r="1724" spans="2:24" hidden="1">
      <c r="B1724" s="117" t="str">
        <f t="shared" si="1055"/>
        <v/>
      </c>
      <c r="C1724" s="117" t="str">
        <f t="shared" si="1055"/>
        <v/>
      </c>
      <c r="D1724" s="117" t="str">
        <f t="shared" si="1055"/>
        <v/>
      </c>
      <c r="E1724" s="117" t="str">
        <f t="shared" si="1055"/>
        <v/>
      </c>
      <c r="F1724" s="117"/>
      <c r="G1724" s="117"/>
      <c r="H1724" s="117"/>
      <c r="I1724" s="117"/>
      <c r="J1724" s="117"/>
      <c r="K1724" s="119">
        <f t="shared" ref="K1724:X1724" si="1058">IF(AND($D1724="tak",OR($E1724="nie dotyczy",$E1724="badania przemysłowe"),LataProjekcji&lt;=Koniec_Projekt),K393,0)</f>
        <v>0</v>
      </c>
      <c r="L1724" s="119">
        <f t="shared" si="1058"/>
        <v>0</v>
      </c>
      <c r="M1724" s="119">
        <f t="shared" si="1058"/>
        <v>0</v>
      </c>
      <c r="N1724" s="119">
        <f t="shared" si="1058"/>
        <v>0</v>
      </c>
      <c r="O1724" s="119">
        <f t="shared" si="1058"/>
        <v>0</v>
      </c>
      <c r="P1724" s="119">
        <f t="shared" si="1058"/>
        <v>0</v>
      </c>
      <c r="Q1724" s="119">
        <f t="shared" si="1058"/>
        <v>0</v>
      </c>
      <c r="R1724" s="119">
        <f t="shared" si="1058"/>
        <v>0</v>
      </c>
      <c r="S1724" s="119">
        <f t="shared" si="1058"/>
        <v>0</v>
      </c>
      <c r="T1724" s="119">
        <f t="shared" si="1058"/>
        <v>0</v>
      </c>
      <c r="U1724" s="119">
        <f t="shared" si="1058"/>
        <v>0</v>
      </c>
      <c r="V1724" s="119">
        <f t="shared" si="1058"/>
        <v>0</v>
      </c>
      <c r="W1724" s="119">
        <f t="shared" si="1058"/>
        <v>0</v>
      </c>
      <c r="X1724" s="119">
        <f t="shared" si="1058"/>
        <v>0</v>
      </c>
    </row>
    <row r="1725" spans="2:24" hidden="1">
      <c r="B1725" s="117" t="str">
        <f t="shared" si="1055"/>
        <v/>
      </c>
      <c r="C1725" s="117" t="str">
        <f t="shared" si="1055"/>
        <v/>
      </c>
      <c r="D1725" s="117" t="str">
        <f t="shared" si="1055"/>
        <v/>
      </c>
      <c r="E1725" s="117" t="str">
        <f t="shared" si="1055"/>
        <v/>
      </c>
      <c r="F1725" s="117"/>
      <c r="G1725" s="117"/>
      <c r="H1725" s="117"/>
      <c r="I1725" s="117"/>
      <c r="J1725" s="117"/>
      <c r="K1725" s="119">
        <f t="shared" ref="K1725:X1725" si="1059">IF(AND($D1725="tak",OR($E1725="nie dotyczy",$E1725="badania przemysłowe"),LataProjekcji&lt;=Koniec_Projekt),K394,0)</f>
        <v>0</v>
      </c>
      <c r="L1725" s="119">
        <f t="shared" si="1059"/>
        <v>0</v>
      </c>
      <c r="M1725" s="119">
        <f t="shared" si="1059"/>
        <v>0</v>
      </c>
      <c r="N1725" s="119">
        <f t="shared" si="1059"/>
        <v>0</v>
      </c>
      <c r="O1725" s="119">
        <f t="shared" si="1059"/>
        <v>0</v>
      </c>
      <c r="P1725" s="119">
        <f t="shared" si="1059"/>
        <v>0</v>
      </c>
      <c r="Q1725" s="119">
        <f t="shared" si="1059"/>
        <v>0</v>
      </c>
      <c r="R1725" s="119">
        <f t="shared" si="1059"/>
        <v>0</v>
      </c>
      <c r="S1725" s="119">
        <f t="shared" si="1059"/>
        <v>0</v>
      </c>
      <c r="T1725" s="119">
        <f t="shared" si="1059"/>
        <v>0</v>
      </c>
      <c r="U1725" s="119">
        <f t="shared" si="1059"/>
        <v>0</v>
      </c>
      <c r="V1725" s="119">
        <f t="shared" si="1059"/>
        <v>0</v>
      </c>
      <c r="W1725" s="119">
        <f t="shared" si="1059"/>
        <v>0</v>
      </c>
      <c r="X1725" s="119">
        <f t="shared" si="1059"/>
        <v>0</v>
      </c>
    </row>
    <row r="1726" spans="2:24" hidden="1">
      <c r="B1726" s="117" t="str">
        <f t="shared" si="1055"/>
        <v/>
      </c>
      <c r="C1726" s="117" t="str">
        <f t="shared" si="1055"/>
        <v/>
      </c>
      <c r="D1726" s="117" t="str">
        <f t="shared" si="1055"/>
        <v/>
      </c>
      <c r="E1726" s="117" t="str">
        <f t="shared" si="1055"/>
        <v/>
      </c>
      <c r="F1726" s="117"/>
      <c r="G1726" s="117"/>
      <c r="H1726" s="117"/>
      <c r="I1726" s="117"/>
      <c r="J1726" s="117"/>
      <c r="K1726" s="119">
        <f t="shared" ref="K1726:X1726" si="1060">IF(AND($D1726="tak",OR($E1726="nie dotyczy",$E1726="badania przemysłowe"),LataProjekcji&lt;=Koniec_Projekt),K395,0)</f>
        <v>0</v>
      </c>
      <c r="L1726" s="119">
        <f t="shared" si="1060"/>
        <v>0</v>
      </c>
      <c r="M1726" s="119">
        <f t="shared" si="1060"/>
        <v>0</v>
      </c>
      <c r="N1726" s="119">
        <f t="shared" si="1060"/>
        <v>0</v>
      </c>
      <c r="O1726" s="119">
        <f t="shared" si="1060"/>
        <v>0</v>
      </c>
      <c r="P1726" s="119">
        <f t="shared" si="1060"/>
        <v>0</v>
      </c>
      <c r="Q1726" s="119">
        <f t="shared" si="1060"/>
        <v>0</v>
      </c>
      <c r="R1726" s="119">
        <f t="shared" si="1060"/>
        <v>0</v>
      </c>
      <c r="S1726" s="119">
        <f t="shared" si="1060"/>
        <v>0</v>
      </c>
      <c r="T1726" s="119">
        <f t="shared" si="1060"/>
        <v>0</v>
      </c>
      <c r="U1726" s="119">
        <f t="shared" si="1060"/>
        <v>0</v>
      </c>
      <c r="V1726" s="119">
        <f t="shared" si="1060"/>
        <v>0</v>
      </c>
      <c r="W1726" s="119">
        <f t="shared" si="1060"/>
        <v>0</v>
      </c>
      <c r="X1726" s="119">
        <f t="shared" si="1060"/>
        <v>0</v>
      </c>
    </row>
    <row r="1727" spans="2:24" hidden="1">
      <c r="B1727" s="117" t="str">
        <f t="shared" si="1055"/>
        <v/>
      </c>
      <c r="C1727" s="117" t="str">
        <f t="shared" si="1055"/>
        <v/>
      </c>
      <c r="D1727" s="117" t="str">
        <f t="shared" si="1055"/>
        <v/>
      </c>
      <c r="E1727" s="117" t="str">
        <f t="shared" si="1055"/>
        <v/>
      </c>
      <c r="F1727" s="117"/>
      <c r="G1727" s="117"/>
      <c r="H1727" s="117"/>
      <c r="I1727" s="117"/>
      <c r="J1727" s="117"/>
      <c r="K1727" s="119">
        <f t="shared" ref="K1727:X1727" si="1061">IF(AND($D1727="tak",OR($E1727="nie dotyczy",$E1727="badania przemysłowe"),LataProjekcji&lt;=Koniec_Projekt),K396,0)</f>
        <v>0</v>
      </c>
      <c r="L1727" s="119">
        <f t="shared" si="1061"/>
        <v>0</v>
      </c>
      <c r="M1727" s="119">
        <f t="shared" si="1061"/>
        <v>0</v>
      </c>
      <c r="N1727" s="119">
        <f t="shared" si="1061"/>
        <v>0</v>
      </c>
      <c r="O1727" s="119">
        <f t="shared" si="1061"/>
        <v>0</v>
      </c>
      <c r="P1727" s="119">
        <f t="shared" si="1061"/>
        <v>0</v>
      </c>
      <c r="Q1727" s="119">
        <f t="shared" si="1061"/>
        <v>0</v>
      </c>
      <c r="R1727" s="119">
        <f t="shared" si="1061"/>
        <v>0</v>
      </c>
      <c r="S1727" s="119">
        <f t="shared" si="1061"/>
        <v>0</v>
      </c>
      <c r="T1727" s="119">
        <f t="shared" si="1061"/>
        <v>0</v>
      </c>
      <c r="U1727" s="119">
        <f t="shared" si="1061"/>
        <v>0</v>
      </c>
      <c r="V1727" s="119">
        <f t="shared" si="1061"/>
        <v>0</v>
      </c>
      <c r="W1727" s="119">
        <f t="shared" si="1061"/>
        <v>0</v>
      </c>
      <c r="X1727" s="119">
        <f t="shared" si="1061"/>
        <v>0</v>
      </c>
    </row>
    <row r="1728" spans="2:24" hidden="1">
      <c r="B1728" s="117" t="str">
        <f t="shared" si="1055"/>
        <v/>
      </c>
      <c r="C1728" s="117" t="str">
        <f t="shared" si="1055"/>
        <v/>
      </c>
      <c r="D1728" s="117" t="str">
        <f t="shared" si="1055"/>
        <v/>
      </c>
      <c r="E1728" s="117" t="str">
        <f t="shared" si="1055"/>
        <v/>
      </c>
      <c r="F1728" s="117"/>
      <c r="G1728" s="117"/>
      <c r="H1728" s="117"/>
      <c r="I1728" s="117"/>
      <c r="J1728" s="117"/>
      <c r="K1728" s="119">
        <f t="shared" ref="K1728:X1728" si="1062">IF(AND($D1728="tak",OR($E1728="nie dotyczy",$E1728="badania przemysłowe"),LataProjekcji&lt;=Koniec_Projekt),K397,0)</f>
        <v>0</v>
      </c>
      <c r="L1728" s="119">
        <f t="shared" si="1062"/>
        <v>0</v>
      </c>
      <c r="M1728" s="119">
        <f t="shared" si="1062"/>
        <v>0</v>
      </c>
      <c r="N1728" s="119">
        <f t="shared" si="1062"/>
        <v>0</v>
      </c>
      <c r="O1728" s="119">
        <f t="shared" si="1062"/>
        <v>0</v>
      </c>
      <c r="P1728" s="119">
        <f t="shared" si="1062"/>
        <v>0</v>
      </c>
      <c r="Q1728" s="119">
        <f t="shared" si="1062"/>
        <v>0</v>
      </c>
      <c r="R1728" s="119">
        <f t="shared" si="1062"/>
        <v>0</v>
      </c>
      <c r="S1728" s="119">
        <f t="shared" si="1062"/>
        <v>0</v>
      </c>
      <c r="T1728" s="119">
        <f t="shared" si="1062"/>
        <v>0</v>
      </c>
      <c r="U1728" s="119">
        <f t="shared" si="1062"/>
        <v>0</v>
      </c>
      <c r="V1728" s="119">
        <f t="shared" si="1062"/>
        <v>0</v>
      </c>
      <c r="W1728" s="119">
        <f t="shared" si="1062"/>
        <v>0</v>
      </c>
      <c r="X1728" s="119">
        <f t="shared" si="1062"/>
        <v>0</v>
      </c>
    </row>
    <row r="1729" spans="2:24" hidden="1">
      <c r="B1729" s="117" t="str">
        <f t="shared" si="1055"/>
        <v/>
      </c>
      <c r="C1729" s="117" t="str">
        <f t="shared" si="1055"/>
        <v/>
      </c>
      <c r="D1729" s="117" t="str">
        <f t="shared" si="1055"/>
        <v/>
      </c>
      <c r="E1729" s="117" t="str">
        <f t="shared" si="1055"/>
        <v/>
      </c>
      <c r="F1729" s="117"/>
      <c r="G1729" s="117"/>
      <c r="H1729" s="117"/>
      <c r="I1729" s="117"/>
      <c r="J1729" s="117"/>
      <c r="K1729" s="119">
        <f t="shared" ref="K1729:X1729" si="1063">IF(AND($D1729="tak",OR($E1729="nie dotyczy",$E1729="badania przemysłowe"),LataProjekcji&lt;=Koniec_Projekt),K398,0)</f>
        <v>0</v>
      </c>
      <c r="L1729" s="119">
        <f t="shared" si="1063"/>
        <v>0</v>
      </c>
      <c r="M1729" s="119">
        <f t="shared" si="1063"/>
        <v>0</v>
      </c>
      <c r="N1729" s="119">
        <f t="shared" si="1063"/>
        <v>0</v>
      </c>
      <c r="O1729" s="119">
        <f t="shared" si="1063"/>
        <v>0</v>
      </c>
      <c r="P1729" s="119">
        <f t="shared" si="1063"/>
        <v>0</v>
      </c>
      <c r="Q1729" s="119">
        <f t="shared" si="1063"/>
        <v>0</v>
      </c>
      <c r="R1729" s="119">
        <f t="shared" si="1063"/>
        <v>0</v>
      </c>
      <c r="S1729" s="119">
        <f t="shared" si="1063"/>
        <v>0</v>
      </c>
      <c r="T1729" s="119">
        <f t="shared" si="1063"/>
        <v>0</v>
      </c>
      <c r="U1729" s="119">
        <f t="shared" si="1063"/>
        <v>0</v>
      </c>
      <c r="V1729" s="119">
        <f t="shared" si="1063"/>
        <v>0</v>
      </c>
      <c r="W1729" s="119">
        <f t="shared" si="1063"/>
        <v>0</v>
      </c>
      <c r="X1729" s="119">
        <f t="shared" si="1063"/>
        <v>0</v>
      </c>
    </row>
    <row r="1730" spans="2:24" hidden="1">
      <c r="B1730" s="117" t="str">
        <f t="shared" si="1055"/>
        <v/>
      </c>
      <c r="C1730" s="117" t="str">
        <f t="shared" si="1055"/>
        <v/>
      </c>
      <c r="D1730" s="117" t="str">
        <f t="shared" si="1055"/>
        <v/>
      </c>
      <c r="E1730" s="117" t="str">
        <f t="shared" si="1055"/>
        <v/>
      </c>
      <c r="F1730" s="117"/>
      <c r="G1730" s="117"/>
      <c r="H1730" s="117"/>
      <c r="I1730" s="117"/>
      <c r="J1730" s="117"/>
      <c r="K1730" s="119">
        <f t="shared" ref="K1730:X1730" si="1064">IF(AND($D1730="tak",OR($E1730="nie dotyczy",$E1730="badania przemysłowe"),LataProjekcji&lt;=Koniec_Projekt),K399,0)</f>
        <v>0</v>
      </c>
      <c r="L1730" s="119">
        <f t="shared" si="1064"/>
        <v>0</v>
      </c>
      <c r="M1730" s="119">
        <f t="shared" si="1064"/>
        <v>0</v>
      </c>
      <c r="N1730" s="119">
        <f t="shared" si="1064"/>
        <v>0</v>
      </c>
      <c r="O1730" s="119">
        <f t="shared" si="1064"/>
        <v>0</v>
      </c>
      <c r="P1730" s="119">
        <f t="shared" si="1064"/>
        <v>0</v>
      </c>
      <c r="Q1730" s="119">
        <f t="shared" si="1064"/>
        <v>0</v>
      </c>
      <c r="R1730" s="119">
        <f t="shared" si="1064"/>
        <v>0</v>
      </c>
      <c r="S1730" s="119">
        <f t="shared" si="1064"/>
        <v>0</v>
      </c>
      <c r="T1730" s="119">
        <f t="shared" si="1064"/>
        <v>0</v>
      </c>
      <c r="U1730" s="119">
        <f t="shared" si="1064"/>
        <v>0</v>
      </c>
      <c r="V1730" s="119">
        <f t="shared" si="1064"/>
        <v>0</v>
      </c>
      <c r="W1730" s="119">
        <f t="shared" si="1064"/>
        <v>0</v>
      </c>
      <c r="X1730" s="119">
        <f t="shared" si="1064"/>
        <v>0</v>
      </c>
    </row>
    <row r="1731" spans="2:24" hidden="1">
      <c r="B1731" s="117" t="str">
        <f t="shared" si="1055"/>
        <v/>
      </c>
      <c r="C1731" s="117" t="str">
        <f t="shared" si="1055"/>
        <v/>
      </c>
      <c r="D1731" s="117" t="str">
        <f t="shared" si="1055"/>
        <v/>
      </c>
      <c r="E1731" s="117" t="str">
        <f t="shared" si="1055"/>
        <v/>
      </c>
      <c r="F1731" s="117"/>
      <c r="G1731" s="117"/>
      <c r="H1731" s="117"/>
      <c r="I1731" s="117"/>
      <c r="J1731" s="117"/>
      <c r="K1731" s="119">
        <f t="shared" ref="K1731:X1731" si="1065">IF(AND($D1731="tak",OR($E1731="nie dotyczy",$E1731="badania przemysłowe"),LataProjekcji&lt;=Koniec_Projekt),K400,0)</f>
        <v>0</v>
      </c>
      <c r="L1731" s="119">
        <f t="shared" si="1065"/>
        <v>0</v>
      </c>
      <c r="M1731" s="119">
        <f t="shared" si="1065"/>
        <v>0</v>
      </c>
      <c r="N1731" s="119">
        <f t="shared" si="1065"/>
        <v>0</v>
      </c>
      <c r="O1731" s="119">
        <f t="shared" si="1065"/>
        <v>0</v>
      </c>
      <c r="P1731" s="119">
        <f t="shared" si="1065"/>
        <v>0</v>
      </c>
      <c r="Q1731" s="119">
        <f t="shared" si="1065"/>
        <v>0</v>
      </c>
      <c r="R1731" s="119">
        <f t="shared" si="1065"/>
        <v>0</v>
      </c>
      <c r="S1731" s="119">
        <f t="shared" si="1065"/>
        <v>0</v>
      </c>
      <c r="T1731" s="119">
        <f t="shared" si="1065"/>
        <v>0</v>
      </c>
      <c r="U1731" s="119">
        <f t="shared" si="1065"/>
        <v>0</v>
      </c>
      <c r="V1731" s="119">
        <f t="shared" si="1065"/>
        <v>0</v>
      </c>
      <c r="W1731" s="119">
        <f t="shared" si="1065"/>
        <v>0</v>
      </c>
      <c r="X1731" s="119">
        <f t="shared" si="1065"/>
        <v>0</v>
      </c>
    </row>
    <row r="1732" spans="2:24" hidden="1">
      <c r="B1732" s="117" t="str">
        <f t="shared" si="1055"/>
        <v/>
      </c>
      <c r="C1732" s="117" t="str">
        <f t="shared" si="1055"/>
        <v/>
      </c>
      <c r="D1732" s="117" t="str">
        <f t="shared" si="1055"/>
        <v/>
      </c>
      <c r="E1732" s="117" t="str">
        <f t="shared" si="1055"/>
        <v/>
      </c>
      <c r="F1732" s="117"/>
      <c r="G1732" s="117"/>
      <c r="H1732" s="117"/>
      <c r="I1732" s="117"/>
      <c r="J1732" s="117"/>
      <c r="K1732" s="119">
        <f t="shared" ref="K1732:X1732" si="1066">IF(AND($D1732="tak",OR($E1732="nie dotyczy",$E1732="badania przemysłowe"),LataProjekcji&lt;=Koniec_Projekt),K401,0)</f>
        <v>0</v>
      </c>
      <c r="L1732" s="119">
        <f t="shared" si="1066"/>
        <v>0</v>
      </c>
      <c r="M1732" s="119">
        <f t="shared" si="1066"/>
        <v>0</v>
      </c>
      <c r="N1732" s="119">
        <f t="shared" si="1066"/>
        <v>0</v>
      </c>
      <c r="O1732" s="119">
        <f t="shared" si="1066"/>
        <v>0</v>
      </c>
      <c r="P1732" s="119">
        <f t="shared" si="1066"/>
        <v>0</v>
      </c>
      <c r="Q1732" s="119">
        <f t="shared" si="1066"/>
        <v>0</v>
      </c>
      <c r="R1732" s="119">
        <f t="shared" si="1066"/>
        <v>0</v>
      </c>
      <c r="S1732" s="119">
        <f t="shared" si="1066"/>
        <v>0</v>
      </c>
      <c r="T1732" s="119">
        <f t="shared" si="1066"/>
        <v>0</v>
      </c>
      <c r="U1732" s="119">
        <f t="shared" si="1066"/>
        <v>0</v>
      </c>
      <c r="V1732" s="119">
        <f t="shared" si="1066"/>
        <v>0</v>
      </c>
      <c r="W1732" s="119">
        <f t="shared" si="1066"/>
        <v>0</v>
      </c>
      <c r="X1732" s="119">
        <f t="shared" si="1066"/>
        <v>0</v>
      </c>
    </row>
    <row r="1733" spans="2:24" hidden="1">
      <c r="B1733" s="117" t="str">
        <f t="shared" si="1055"/>
        <v/>
      </c>
      <c r="C1733" s="117" t="str">
        <f t="shared" si="1055"/>
        <v/>
      </c>
      <c r="D1733" s="117" t="str">
        <f t="shared" si="1055"/>
        <v/>
      </c>
      <c r="E1733" s="117" t="str">
        <f t="shared" si="1055"/>
        <v/>
      </c>
      <c r="F1733" s="117"/>
      <c r="G1733" s="117"/>
      <c r="H1733" s="117"/>
      <c r="I1733" s="117"/>
      <c r="J1733" s="117"/>
      <c r="K1733" s="119">
        <f t="shared" ref="K1733:X1733" si="1067">IF(AND($D1733="tak",OR($E1733="nie dotyczy",$E1733="badania przemysłowe"),LataProjekcji&lt;=Koniec_Projekt),K402,0)</f>
        <v>0</v>
      </c>
      <c r="L1733" s="119">
        <f t="shared" si="1067"/>
        <v>0</v>
      </c>
      <c r="M1733" s="119">
        <f t="shared" si="1067"/>
        <v>0</v>
      </c>
      <c r="N1733" s="119">
        <f t="shared" si="1067"/>
        <v>0</v>
      </c>
      <c r="O1733" s="119">
        <f t="shared" si="1067"/>
        <v>0</v>
      </c>
      <c r="P1733" s="119">
        <f t="shared" si="1067"/>
        <v>0</v>
      </c>
      <c r="Q1733" s="119">
        <f t="shared" si="1067"/>
        <v>0</v>
      </c>
      <c r="R1733" s="119">
        <f t="shared" si="1067"/>
        <v>0</v>
      </c>
      <c r="S1733" s="119">
        <f t="shared" si="1067"/>
        <v>0</v>
      </c>
      <c r="T1733" s="119">
        <f t="shared" si="1067"/>
        <v>0</v>
      </c>
      <c r="U1733" s="119">
        <f t="shared" si="1067"/>
        <v>0</v>
      </c>
      <c r="V1733" s="119">
        <f t="shared" si="1067"/>
        <v>0</v>
      </c>
      <c r="W1733" s="119">
        <f t="shared" si="1067"/>
        <v>0</v>
      </c>
      <c r="X1733" s="119">
        <f t="shared" si="1067"/>
        <v>0</v>
      </c>
    </row>
    <row r="1734" spans="2:24" hidden="1">
      <c r="B1734" s="117" t="str">
        <f t="shared" si="1055"/>
        <v/>
      </c>
      <c r="C1734" s="117" t="str">
        <f t="shared" si="1055"/>
        <v/>
      </c>
      <c r="D1734" s="117" t="str">
        <f t="shared" si="1055"/>
        <v/>
      </c>
      <c r="E1734" s="117" t="str">
        <f t="shared" si="1055"/>
        <v/>
      </c>
      <c r="F1734" s="117"/>
      <c r="G1734" s="117"/>
      <c r="H1734" s="117"/>
      <c r="I1734" s="117"/>
      <c r="J1734" s="117"/>
      <c r="K1734" s="119">
        <f t="shared" ref="K1734:X1734" si="1068">IF(AND($D1734="tak",OR($E1734="nie dotyczy",$E1734="badania przemysłowe"),LataProjekcji&lt;=Koniec_Projekt),K403,0)</f>
        <v>0</v>
      </c>
      <c r="L1734" s="119">
        <f t="shared" si="1068"/>
        <v>0</v>
      </c>
      <c r="M1734" s="119">
        <f t="shared" si="1068"/>
        <v>0</v>
      </c>
      <c r="N1734" s="119">
        <f t="shared" si="1068"/>
        <v>0</v>
      </c>
      <c r="O1734" s="119">
        <f t="shared" si="1068"/>
        <v>0</v>
      </c>
      <c r="P1734" s="119">
        <f t="shared" si="1068"/>
        <v>0</v>
      </c>
      <c r="Q1734" s="119">
        <f t="shared" si="1068"/>
        <v>0</v>
      </c>
      <c r="R1734" s="119">
        <f t="shared" si="1068"/>
        <v>0</v>
      </c>
      <c r="S1734" s="119">
        <f t="shared" si="1068"/>
        <v>0</v>
      </c>
      <c r="T1734" s="119">
        <f t="shared" si="1068"/>
        <v>0</v>
      </c>
      <c r="U1734" s="119">
        <f t="shared" si="1068"/>
        <v>0</v>
      </c>
      <c r="V1734" s="119">
        <f t="shared" si="1068"/>
        <v>0</v>
      </c>
      <c r="W1734" s="119">
        <f t="shared" si="1068"/>
        <v>0</v>
      </c>
      <c r="X1734" s="119">
        <f t="shared" si="1068"/>
        <v>0</v>
      </c>
    </row>
    <row r="1735" spans="2:24" hidden="1">
      <c r="B1735" s="117" t="str">
        <f t="shared" si="1055"/>
        <v/>
      </c>
      <c r="C1735" s="117" t="str">
        <f t="shared" si="1055"/>
        <v/>
      </c>
      <c r="D1735" s="117" t="str">
        <f t="shared" si="1055"/>
        <v/>
      </c>
      <c r="E1735" s="117" t="str">
        <f t="shared" si="1055"/>
        <v/>
      </c>
      <c r="F1735" s="117"/>
      <c r="G1735" s="117"/>
      <c r="H1735" s="117"/>
      <c r="I1735" s="117"/>
      <c r="J1735" s="117"/>
      <c r="K1735" s="119">
        <f t="shared" ref="K1735:X1735" si="1069">IF(AND($D1735="tak",OR($E1735="nie dotyczy",$E1735="badania przemysłowe"),LataProjekcji&lt;=Koniec_Projekt),K404,0)</f>
        <v>0</v>
      </c>
      <c r="L1735" s="119">
        <f t="shared" si="1069"/>
        <v>0</v>
      </c>
      <c r="M1735" s="119">
        <f t="shared" si="1069"/>
        <v>0</v>
      </c>
      <c r="N1735" s="119">
        <f t="shared" si="1069"/>
        <v>0</v>
      </c>
      <c r="O1735" s="119">
        <f t="shared" si="1069"/>
        <v>0</v>
      </c>
      <c r="P1735" s="119">
        <f t="shared" si="1069"/>
        <v>0</v>
      </c>
      <c r="Q1735" s="119">
        <f t="shared" si="1069"/>
        <v>0</v>
      </c>
      <c r="R1735" s="119">
        <f t="shared" si="1069"/>
        <v>0</v>
      </c>
      <c r="S1735" s="119">
        <f t="shared" si="1069"/>
        <v>0</v>
      </c>
      <c r="T1735" s="119">
        <f t="shared" si="1069"/>
        <v>0</v>
      </c>
      <c r="U1735" s="119">
        <f t="shared" si="1069"/>
        <v>0</v>
      </c>
      <c r="V1735" s="119">
        <f t="shared" si="1069"/>
        <v>0</v>
      </c>
      <c r="W1735" s="119">
        <f t="shared" si="1069"/>
        <v>0</v>
      </c>
      <c r="X1735" s="119">
        <f t="shared" si="1069"/>
        <v>0</v>
      </c>
    </row>
    <row r="1736" spans="2:24" hidden="1">
      <c r="B1736" s="117" t="str">
        <f t="shared" si="1055"/>
        <v/>
      </c>
      <c r="C1736" s="117" t="str">
        <f t="shared" si="1055"/>
        <v/>
      </c>
      <c r="D1736" s="117" t="str">
        <f t="shared" si="1055"/>
        <v/>
      </c>
      <c r="E1736" s="117" t="str">
        <f t="shared" si="1055"/>
        <v/>
      </c>
      <c r="F1736" s="117"/>
      <c r="G1736" s="117"/>
      <c r="H1736" s="117"/>
      <c r="I1736" s="117"/>
      <c r="J1736" s="117"/>
      <c r="K1736" s="119">
        <f t="shared" ref="K1736:X1736" si="1070">IF(AND($D1736="tak",OR($E1736="nie dotyczy",$E1736="badania przemysłowe"),LataProjekcji&lt;=Koniec_Projekt),K405,0)</f>
        <v>0</v>
      </c>
      <c r="L1736" s="119">
        <f t="shared" si="1070"/>
        <v>0</v>
      </c>
      <c r="M1736" s="119">
        <f t="shared" si="1070"/>
        <v>0</v>
      </c>
      <c r="N1736" s="119">
        <f t="shared" si="1070"/>
        <v>0</v>
      </c>
      <c r="O1736" s="119">
        <f t="shared" si="1070"/>
        <v>0</v>
      </c>
      <c r="P1736" s="119">
        <f t="shared" si="1070"/>
        <v>0</v>
      </c>
      <c r="Q1736" s="119">
        <f t="shared" si="1070"/>
        <v>0</v>
      </c>
      <c r="R1736" s="119">
        <f t="shared" si="1070"/>
        <v>0</v>
      </c>
      <c r="S1736" s="119">
        <f t="shared" si="1070"/>
        <v>0</v>
      </c>
      <c r="T1736" s="119">
        <f t="shared" si="1070"/>
        <v>0</v>
      </c>
      <c r="U1736" s="119">
        <f t="shared" si="1070"/>
        <v>0</v>
      </c>
      <c r="V1736" s="119">
        <f t="shared" si="1070"/>
        <v>0</v>
      </c>
      <c r="W1736" s="119">
        <f t="shared" si="1070"/>
        <v>0</v>
      </c>
      <c r="X1736" s="119">
        <f t="shared" si="1070"/>
        <v>0</v>
      </c>
    </row>
    <row r="1737" spans="2:24" hidden="1">
      <c r="B1737" s="117" t="str">
        <f t="shared" si="1055"/>
        <v/>
      </c>
      <c r="C1737" s="117" t="str">
        <f t="shared" si="1055"/>
        <v/>
      </c>
      <c r="D1737" s="117" t="str">
        <f t="shared" si="1055"/>
        <v/>
      </c>
      <c r="E1737" s="117" t="str">
        <f t="shared" si="1055"/>
        <v/>
      </c>
      <c r="F1737" s="117"/>
      <c r="G1737" s="117"/>
      <c r="H1737" s="117"/>
      <c r="I1737" s="117"/>
      <c r="J1737" s="117"/>
      <c r="K1737" s="119">
        <f t="shared" ref="K1737:X1737" si="1071">IF(AND($D1737="tak",OR($E1737="nie dotyczy",$E1737="badania przemysłowe"),LataProjekcji&lt;=Koniec_Projekt),K406,0)</f>
        <v>0</v>
      </c>
      <c r="L1737" s="119">
        <f t="shared" si="1071"/>
        <v>0</v>
      </c>
      <c r="M1737" s="119">
        <f t="shared" si="1071"/>
        <v>0</v>
      </c>
      <c r="N1737" s="119">
        <f t="shared" si="1071"/>
        <v>0</v>
      </c>
      <c r="O1737" s="119">
        <f t="shared" si="1071"/>
        <v>0</v>
      </c>
      <c r="P1737" s="119">
        <f t="shared" si="1071"/>
        <v>0</v>
      </c>
      <c r="Q1737" s="119">
        <f t="shared" si="1071"/>
        <v>0</v>
      </c>
      <c r="R1737" s="119">
        <f t="shared" si="1071"/>
        <v>0</v>
      </c>
      <c r="S1737" s="119">
        <f t="shared" si="1071"/>
        <v>0</v>
      </c>
      <c r="T1737" s="119">
        <f t="shared" si="1071"/>
        <v>0</v>
      </c>
      <c r="U1737" s="119">
        <f t="shared" si="1071"/>
        <v>0</v>
      </c>
      <c r="V1737" s="119">
        <f t="shared" si="1071"/>
        <v>0</v>
      </c>
      <c r="W1737" s="119">
        <f t="shared" si="1071"/>
        <v>0</v>
      </c>
      <c r="X1737" s="119">
        <f t="shared" si="1071"/>
        <v>0</v>
      </c>
    </row>
    <row r="1738" spans="2:24" hidden="1">
      <c r="B1738" s="117" t="str">
        <f t="shared" si="1055"/>
        <v/>
      </c>
      <c r="C1738" s="117" t="str">
        <f t="shared" si="1055"/>
        <v/>
      </c>
      <c r="D1738" s="117" t="str">
        <f t="shared" si="1055"/>
        <v/>
      </c>
      <c r="E1738" s="117" t="str">
        <f t="shared" si="1055"/>
        <v/>
      </c>
      <c r="F1738" s="117"/>
      <c r="G1738" s="117"/>
      <c r="H1738" s="117"/>
      <c r="I1738" s="117"/>
      <c r="J1738" s="117"/>
      <c r="K1738" s="119">
        <f t="shared" ref="K1738:X1738" si="1072">IF(AND($D1738="tak",OR($E1738="nie dotyczy",$E1738="badania przemysłowe"),LataProjekcji&lt;=Koniec_Projekt),K407,0)</f>
        <v>0</v>
      </c>
      <c r="L1738" s="119">
        <f t="shared" si="1072"/>
        <v>0</v>
      </c>
      <c r="M1738" s="119">
        <f t="shared" si="1072"/>
        <v>0</v>
      </c>
      <c r="N1738" s="119">
        <f t="shared" si="1072"/>
        <v>0</v>
      </c>
      <c r="O1738" s="119">
        <f t="shared" si="1072"/>
        <v>0</v>
      </c>
      <c r="P1738" s="119">
        <f t="shared" si="1072"/>
        <v>0</v>
      </c>
      <c r="Q1738" s="119">
        <f t="shared" si="1072"/>
        <v>0</v>
      </c>
      <c r="R1738" s="119">
        <f t="shared" si="1072"/>
        <v>0</v>
      </c>
      <c r="S1738" s="119">
        <f t="shared" si="1072"/>
        <v>0</v>
      </c>
      <c r="T1738" s="119">
        <f t="shared" si="1072"/>
        <v>0</v>
      </c>
      <c r="U1738" s="119">
        <f t="shared" si="1072"/>
        <v>0</v>
      </c>
      <c r="V1738" s="119">
        <f t="shared" si="1072"/>
        <v>0</v>
      </c>
      <c r="W1738" s="119">
        <f t="shared" si="1072"/>
        <v>0</v>
      </c>
      <c r="X1738" s="119">
        <f t="shared" si="1072"/>
        <v>0</v>
      </c>
    </row>
    <row r="1739" spans="2:24" hidden="1">
      <c r="B1739" s="117" t="str">
        <f t="shared" si="1055"/>
        <v/>
      </c>
      <c r="C1739" s="117" t="str">
        <f t="shared" si="1055"/>
        <v/>
      </c>
      <c r="D1739" s="117" t="str">
        <f t="shared" si="1055"/>
        <v/>
      </c>
      <c r="E1739" s="117" t="str">
        <f t="shared" si="1055"/>
        <v/>
      </c>
      <c r="F1739" s="117"/>
      <c r="G1739" s="117"/>
      <c r="H1739" s="117"/>
      <c r="I1739" s="117"/>
      <c r="J1739" s="117"/>
      <c r="K1739" s="119">
        <f t="shared" ref="K1739:X1739" si="1073">IF(AND($D1739="tak",OR($E1739="nie dotyczy",$E1739="badania przemysłowe"),LataProjekcji&lt;=Koniec_Projekt),K408,0)</f>
        <v>0</v>
      </c>
      <c r="L1739" s="119">
        <f t="shared" si="1073"/>
        <v>0</v>
      </c>
      <c r="M1739" s="119">
        <f t="shared" si="1073"/>
        <v>0</v>
      </c>
      <c r="N1739" s="119">
        <f t="shared" si="1073"/>
        <v>0</v>
      </c>
      <c r="O1739" s="119">
        <f t="shared" si="1073"/>
        <v>0</v>
      </c>
      <c r="P1739" s="119">
        <f t="shared" si="1073"/>
        <v>0</v>
      </c>
      <c r="Q1739" s="119">
        <f t="shared" si="1073"/>
        <v>0</v>
      </c>
      <c r="R1739" s="119">
        <f t="shared" si="1073"/>
        <v>0</v>
      </c>
      <c r="S1739" s="119">
        <f t="shared" si="1073"/>
        <v>0</v>
      </c>
      <c r="T1739" s="119">
        <f t="shared" si="1073"/>
        <v>0</v>
      </c>
      <c r="U1739" s="119">
        <f t="shared" si="1073"/>
        <v>0</v>
      </c>
      <c r="V1739" s="119">
        <f t="shared" si="1073"/>
        <v>0</v>
      </c>
      <c r="W1739" s="119">
        <f t="shared" si="1073"/>
        <v>0</v>
      </c>
      <c r="X1739" s="119">
        <f t="shared" si="1073"/>
        <v>0</v>
      </c>
    </row>
    <row r="1740" spans="2:24" hidden="1">
      <c r="B1740" s="117" t="str">
        <f t="shared" si="1055"/>
        <v/>
      </c>
      <c r="C1740" s="117" t="str">
        <f t="shared" si="1055"/>
        <v/>
      </c>
      <c r="D1740" s="117" t="str">
        <f t="shared" si="1055"/>
        <v/>
      </c>
      <c r="E1740" s="117" t="str">
        <f t="shared" si="1055"/>
        <v/>
      </c>
      <c r="F1740" s="117"/>
      <c r="G1740" s="117"/>
      <c r="H1740" s="117"/>
      <c r="I1740" s="117"/>
      <c r="J1740" s="117"/>
      <c r="K1740" s="119">
        <f t="shared" ref="K1740:X1740" si="1074">IF(AND($D1740="tak",OR($E1740="nie dotyczy",$E1740="badania przemysłowe"),LataProjekcji&lt;=Koniec_Projekt),K409,0)</f>
        <v>0</v>
      </c>
      <c r="L1740" s="119">
        <f t="shared" si="1074"/>
        <v>0</v>
      </c>
      <c r="M1740" s="119">
        <f t="shared" si="1074"/>
        <v>0</v>
      </c>
      <c r="N1740" s="119">
        <f t="shared" si="1074"/>
        <v>0</v>
      </c>
      <c r="O1740" s="119">
        <f t="shared" si="1074"/>
        <v>0</v>
      </c>
      <c r="P1740" s="119">
        <f t="shared" si="1074"/>
        <v>0</v>
      </c>
      <c r="Q1740" s="119">
        <f t="shared" si="1074"/>
        <v>0</v>
      </c>
      <c r="R1740" s="119">
        <f t="shared" si="1074"/>
        <v>0</v>
      </c>
      <c r="S1740" s="119">
        <f t="shared" si="1074"/>
        <v>0</v>
      </c>
      <c r="T1740" s="119">
        <f t="shared" si="1074"/>
        <v>0</v>
      </c>
      <c r="U1740" s="119">
        <f t="shared" si="1074"/>
        <v>0</v>
      </c>
      <c r="V1740" s="119">
        <f t="shared" si="1074"/>
        <v>0</v>
      </c>
      <c r="W1740" s="119">
        <f t="shared" si="1074"/>
        <v>0</v>
      </c>
      <c r="X1740" s="119">
        <f t="shared" si="1074"/>
        <v>0</v>
      </c>
    </row>
    <row r="1741" spans="2:24" hidden="1">
      <c r="B1741" s="117" t="str">
        <f t="shared" si="1055"/>
        <v/>
      </c>
      <c r="C1741" s="117" t="str">
        <f t="shared" si="1055"/>
        <v/>
      </c>
      <c r="D1741" s="117" t="str">
        <f t="shared" si="1055"/>
        <v/>
      </c>
      <c r="E1741" s="117" t="str">
        <f t="shared" si="1055"/>
        <v/>
      </c>
      <c r="F1741" s="117"/>
      <c r="G1741" s="117"/>
      <c r="H1741" s="117"/>
      <c r="I1741" s="117"/>
      <c r="J1741" s="117"/>
      <c r="K1741" s="119">
        <f t="shared" ref="K1741:X1741" si="1075">IF(AND($D1741="tak",OR($E1741="nie dotyczy",$E1741="badania przemysłowe"),LataProjekcji&lt;=Koniec_Projekt),K410,0)</f>
        <v>0</v>
      </c>
      <c r="L1741" s="119">
        <f t="shared" si="1075"/>
        <v>0</v>
      </c>
      <c r="M1741" s="119">
        <f t="shared" si="1075"/>
        <v>0</v>
      </c>
      <c r="N1741" s="119">
        <f t="shared" si="1075"/>
        <v>0</v>
      </c>
      <c r="O1741" s="119">
        <f t="shared" si="1075"/>
        <v>0</v>
      </c>
      <c r="P1741" s="119">
        <f t="shared" si="1075"/>
        <v>0</v>
      </c>
      <c r="Q1741" s="119">
        <f t="shared" si="1075"/>
        <v>0</v>
      </c>
      <c r="R1741" s="119">
        <f t="shared" si="1075"/>
        <v>0</v>
      </c>
      <c r="S1741" s="119">
        <f t="shared" si="1075"/>
        <v>0</v>
      </c>
      <c r="T1741" s="119">
        <f t="shared" si="1075"/>
        <v>0</v>
      </c>
      <c r="U1741" s="119">
        <f t="shared" si="1075"/>
        <v>0</v>
      </c>
      <c r="V1741" s="119">
        <f t="shared" si="1075"/>
        <v>0</v>
      </c>
      <c r="W1741" s="119">
        <f t="shared" si="1075"/>
        <v>0</v>
      </c>
      <c r="X1741" s="119">
        <f t="shared" si="1075"/>
        <v>0</v>
      </c>
    </row>
    <row r="1742" spans="2:24" hidden="1">
      <c r="B1742" s="117" t="str">
        <f t="shared" ref="B1742:E1761" si="1076">IF(ISBLANK(B1502),"",B1502)</f>
        <v/>
      </c>
      <c r="C1742" s="117" t="str">
        <f t="shared" si="1076"/>
        <v/>
      </c>
      <c r="D1742" s="117" t="str">
        <f t="shared" si="1076"/>
        <v/>
      </c>
      <c r="E1742" s="117" t="str">
        <f t="shared" si="1076"/>
        <v/>
      </c>
      <c r="F1742" s="117"/>
      <c r="G1742" s="117"/>
      <c r="H1742" s="117"/>
      <c r="I1742" s="117"/>
      <c r="J1742" s="117"/>
      <c r="K1742" s="119">
        <f t="shared" ref="K1742:X1742" si="1077">IF(AND($D1742="tak",OR($E1742="nie dotyczy",$E1742="badania przemysłowe"),LataProjekcji&lt;=Koniec_Projekt),K411,0)</f>
        <v>0</v>
      </c>
      <c r="L1742" s="119">
        <f t="shared" si="1077"/>
        <v>0</v>
      </c>
      <c r="M1742" s="119">
        <f t="shared" si="1077"/>
        <v>0</v>
      </c>
      <c r="N1742" s="119">
        <f t="shared" si="1077"/>
        <v>0</v>
      </c>
      <c r="O1742" s="119">
        <f t="shared" si="1077"/>
        <v>0</v>
      </c>
      <c r="P1742" s="119">
        <f t="shared" si="1077"/>
        <v>0</v>
      </c>
      <c r="Q1742" s="119">
        <f t="shared" si="1077"/>
        <v>0</v>
      </c>
      <c r="R1742" s="119">
        <f t="shared" si="1077"/>
        <v>0</v>
      </c>
      <c r="S1742" s="119">
        <f t="shared" si="1077"/>
        <v>0</v>
      </c>
      <c r="T1742" s="119">
        <f t="shared" si="1077"/>
        <v>0</v>
      </c>
      <c r="U1742" s="119">
        <f t="shared" si="1077"/>
        <v>0</v>
      </c>
      <c r="V1742" s="119">
        <f t="shared" si="1077"/>
        <v>0</v>
      </c>
      <c r="W1742" s="119">
        <f t="shared" si="1077"/>
        <v>0</v>
      </c>
      <c r="X1742" s="119">
        <f t="shared" si="1077"/>
        <v>0</v>
      </c>
    </row>
    <row r="1743" spans="2:24" hidden="1">
      <c r="B1743" s="117" t="str">
        <f t="shared" si="1076"/>
        <v/>
      </c>
      <c r="C1743" s="117" t="str">
        <f t="shared" si="1076"/>
        <v/>
      </c>
      <c r="D1743" s="117" t="str">
        <f t="shared" si="1076"/>
        <v/>
      </c>
      <c r="E1743" s="117" t="str">
        <f t="shared" si="1076"/>
        <v/>
      </c>
      <c r="F1743" s="117"/>
      <c r="G1743" s="117"/>
      <c r="H1743" s="117"/>
      <c r="I1743" s="117"/>
      <c r="J1743" s="117"/>
      <c r="K1743" s="119">
        <f t="shared" ref="K1743:X1743" si="1078">IF(AND($D1743="tak",OR($E1743="nie dotyczy",$E1743="badania przemysłowe"),LataProjekcji&lt;=Koniec_Projekt),K412,0)</f>
        <v>0</v>
      </c>
      <c r="L1743" s="119">
        <f t="shared" si="1078"/>
        <v>0</v>
      </c>
      <c r="M1743" s="119">
        <f t="shared" si="1078"/>
        <v>0</v>
      </c>
      <c r="N1743" s="119">
        <f t="shared" si="1078"/>
        <v>0</v>
      </c>
      <c r="O1743" s="119">
        <f t="shared" si="1078"/>
        <v>0</v>
      </c>
      <c r="P1743" s="119">
        <f t="shared" si="1078"/>
        <v>0</v>
      </c>
      <c r="Q1743" s="119">
        <f t="shared" si="1078"/>
        <v>0</v>
      </c>
      <c r="R1743" s="119">
        <f t="shared" si="1078"/>
        <v>0</v>
      </c>
      <c r="S1743" s="119">
        <f t="shared" si="1078"/>
        <v>0</v>
      </c>
      <c r="T1743" s="119">
        <f t="shared" si="1078"/>
        <v>0</v>
      </c>
      <c r="U1743" s="119">
        <f t="shared" si="1078"/>
        <v>0</v>
      </c>
      <c r="V1743" s="119">
        <f t="shared" si="1078"/>
        <v>0</v>
      </c>
      <c r="W1743" s="119">
        <f t="shared" si="1078"/>
        <v>0</v>
      </c>
      <c r="X1743" s="119">
        <f t="shared" si="1078"/>
        <v>0</v>
      </c>
    </row>
    <row r="1744" spans="2:24" hidden="1">
      <c r="B1744" s="117" t="str">
        <f t="shared" si="1076"/>
        <v/>
      </c>
      <c r="C1744" s="117" t="str">
        <f t="shared" si="1076"/>
        <v/>
      </c>
      <c r="D1744" s="117" t="str">
        <f t="shared" si="1076"/>
        <v/>
      </c>
      <c r="E1744" s="117" t="str">
        <f t="shared" si="1076"/>
        <v/>
      </c>
      <c r="F1744" s="117"/>
      <c r="G1744" s="117"/>
      <c r="H1744" s="117"/>
      <c r="I1744" s="117"/>
      <c r="J1744" s="117"/>
      <c r="K1744" s="119">
        <f t="shared" ref="K1744:X1744" si="1079">IF(AND($D1744="tak",OR($E1744="nie dotyczy",$E1744="badania przemysłowe"),LataProjekcji&lt;=Koniec_Projekt),K413,0)</f>
        <v>0</v>
      </c>
      <c r="L1744" s="119">
        <f t="shared" si="1079"/>
        <v>0</v>
      </c>
      <c r="M1744" s="119">
        <f t="shared" si="1079"/>
        <v>0</v>
      </c>
      <c r="N1744" s="119">
        <f t="shared" si="1079"/>
        <v>0</v>
      </c>
      <c r="O1744" s="119">
        <f t="shared" si="1079"/>
        <v>0</v>
      </c>
      <c r="P1744" s="119">
        <f t="shared" si="1079"/>
        <v>0</v>
      </c>
      <c r="Q1744" s="119">
        <f t="shared" si="1079"/>
        <v>0</v>
      </c>
      <c r="R1744" s="119">
        <f t="shared" si="1079"/>
        <v>0</v>
      </c>
      <c r="S1744" s="119">
        <f t="shared" si="1079"/>
        <v>0</v>
      </c>
      <c r="T1744" s="119">
        <f t="shared" si="1079"/>
        <v>0</v>
      </c>
      <c r="U1744" s="119">
        <f t="shared" si="1079"/>
        <v>0</v>
      </c>
      <c r="V1744" s="119">
        <f t="shared" si="1079"/>
        <v>0</v>
      </c>
      <c r="W1744" s="119">
        <f t="shared" si="1079"/>
        <v>0</v>
      </c>
      <c r="X1744" s="119">
        <f t="shared" si="1079"/>
        <v>0</v>
      </c>
    </row>
    <row r="1745" spans="2:24" hidden="1">
      <c r="B1745" s="117" t="str">
        <f t="shared" si="1076"/>
        <v/>
      </c>
      <c r="C1745" s="117" t="str">
        <f t="shared" si="1076"/>
        <v/>
      </c>
      <c r="D1745" s="117" t="str">
        <f t="shared" si="1076"/>
        <v/>
      </c>
      <c r="E1745" s="117" t="str">
        <f t="shared" si="1076"/>
        <v/>
      </c>
      <c r="F1745" s="117"/>
      <c r="G1745" s="117"/>
      <c r="H1745" s="117"/>
      <c r="I1745" s="117"/>
      <c r="J1745" s="117"/>
      <c r="K1745" s="119">
        <f t="shared" ref="K1745:X1745" si="1080">IF(AND($D1745="tak",OR($E1745="nie dotyczy",$E1745="badania przemysłowe"),LataProjekcji&lt;=Koniec_Projekt),K414,0)</f>
        <v>0</v>
      </c>
      <c r="L1745" s="119">
        <f t="shared" si="1080"/>
        <v>0</v>
      </c>
      <c r="M1745" s="119">
        <f t="shared" si="1080"/>
        <v>0</v>
      </c>
      <c r="N1745" s="119">
        <f t="shared" si="1080"/>
        <v>0</v>
      </c>
      <c r="O1745" s="119">
        <f t="shared" si="1080"/>
        <v>0</v>
      </c>
      <c r="P1745" s="119">
        <f t="shared" si="1080"/>
        <v>0</v>
      </c>
      <c r="Q1745" s="119">
        <f t="shared" si="1080"/>
        <v>0</v>
      </c>
      <c r="R1745" s="119">
        <f t="shared" si="1080"/>
        <v>0</v>
      </c>
      <c r="S1745" s="119">
        <f t="shared" si="1080"/>
        <v>0</v>
      </c>
      <c r="T1745" s="119">
        <f t="shared" si="1080"/>
        <v>0</v>
      </c>
      <c r="U1745" s="119">
        <f t="shared" si="1080"/>
        <v>0</v>
      </c>
      <c r="V1745" s="119">
        <f t="shared" si="1080"/>
        <v>0</v>
      </c>
      <c r="W1745" s="119">
        <f t="shared" si="1080"/>
        <v>0</v>
      </c>
      <c r="X1745" s="119">
        <f t="shared" si="1080"/>
        <v>0</v>
      </c>
    </row>
    <row r="1746" spans="2:24" hidden="1">
      <c r="B1746" s="117" t="str">
        <f t="shared" si="1076"/>
        <v/>
      </c>
      <c r="C1746" s="117" t="str">
        <f t="shared" si="1076"/>
        <v/>
      </c>
      <c r="D1746" s="117" t="str">
        <f t="shared" si="1076"/>
        <v/>
      </c>
      <c r="E1746" s="117" t="str">
        <f t="shared" si="1076"/>
        <v/>
      </c>
      <c r="F1746" s="117"/>
      <c r="G1746" s="117"/>
      <c r="H1746" s="117"/>
      <c r="I1746" s="117"/>
      <c r="J1746" s="117"/>
      <c r="K1746" s="119">
        <f t="shared" ref="K1746:X1746" si="1081">IF(AND($D1746="tak",OR($E1746="nie dotyczy",$E1746="badania przemysłowe"),LataProjekcji&lt;=Koniec_Projekt),K415,0)</f>
        <v>0</v>
      </c>
      <c r="L1746" s="119">
        <f t="shared" si="1081"/>
        <v>0</v>
      </c>
      <c r="M1746" s="119">
        <f t="shared" si="1081"/>
        <v>0</v>
      </c>
      <c r="N1746" s="119">
        <f t="shared" si="1081"/>
        <v>0</v>
      </c>
      <c r="O1746" s="119">
        <f t="shared" si="1081"/>
        <v>0</v>
      </c>
      <c r="P1746" s="119">
        <f t="shared" si="1081"/>
        <v>0</v>
      </c>
      <c r="Q1746" s="119">
        <f t="shared" si="1081"/>
        <v>0</v>
      </c>
      <c r="R1746" s="119">
        <f t="shared" si="1081"/>
        <v>0</v>
      </c>
      <c r="S1746" s="119">
        <f t="shared" si="1081"/>
        <v>0</v>
      </c>
      <c r="T1746" s="119">
        <f t="shared" si="1081"/>
        <v>0</v>
      </c>
      <c r="U1746" s="119">
        <f t="shared" si="1081"/>
        <v>0</v>
      </c>
      <c r="V1746" s="119">
        <f t="shared" si="1081"/>
        <v>0</v>
      </c>
      <c r="W1746" s="119">
        <f t="shared" si="1081"/>
        <v>0</v>
      </c>
      <c r="X1746" s="119">
        <f t="shared" si="1081"/>
        <v>0</v>
      </c>
    </row>
    <row r="1747" spans="2:24" hidden="1">
      <c r="B1747" s="117" t="str">
        <f t="shared" si="1076"/>
        <v/>
      </c>
      <c r="C1747" s="117" t="str">
        <f t="shared" si="1076"/>
        <v/>
      </c>
      <c r="D1747" s="117" t="str">
        <f t="shared" si="1076"/>
        <v/>
      </c>
      <c r="E1747" s="117" t="str">
        <f t="shared" si="1076"/>
        <v/>
      </c>
      <c r="F1747" s="117"/>
      <c r="G1747" s="117"/>
      <c r="H1747" s="117"/>
      <c r="I1747" s="117"/>
      <c r="J1747" s="117"/>
      <c r="K1747" s="119">
        <f t="shared" ref="K1747:X1747" si="1082">IF(AND($D1747="tak",OR($E1747="nie dotyczy",$E1747="badania przemysłowe"),LataProjekcji&lt;=Koniec_Projekt),K416,0)</f>
        <v>0</v>
      </c>
      <c r="L1747" s="119">
        <f t="shared" si="1082"/>
        <v>0</v>
      </c>
      <c r="M1747" s="119">
        <f t="shared" si="1082"/>
        <v>0</v>
      </c>
      <c r="N1747" s="119">
        <f t="shared" si="1082"/>
        <v>0</v>
      </c>
      <c r="O1747" s="119">
        <f t="shared" si="1082"/>
        <v>0</v>
      </c>
      <c r="P1747" s="119">
        <f t="shared" si="1082"/>
        <v>0</v>
      </c>
      <c r="Q1747" s="119">
        <f t="shared" si="1082"/>
        <v>0</v>
      </c>
      <c r="R1747" s="119">
        <f t="shared" si="1082"/>
        <v>0</v>
      </c>
      <c r="S1747" s="119">
        <f t="shared" si="1082"/>
        <v>0</v>
      </c>
      <c r="T1747" s="119">
        <f t="shared" si="1082"/>
        <v>0</v>
      </c>
      <c r="U1747" s="119">
        <f t="shared" si="1082"/>
        <v>0</v>
      </c>
      <c r="V1747" s="119">
        <f t="shared" si="1082"/>
        <v>0</v>
      </c>
      <c r="W1747" s="119">
        <f t="shared" si="1082"/>
        <v>0</v>
      </c>
      <c r="X1747" s="119">
        <f t="shared" si="1082"/>
        <v>0</v>
      </c>
    </row>
    <row r="1748" spans="2:24" hidden="1">
      <c r="B1748" s="117" t="str">
        <f t="shared" si="1076"/>
        <v/>
      </c>
      <c r="C1748" s="117" t="str">
        <f t="shared" si="1076"/>
        <v/>
      </c>
      <c r="D1748" s="117" t="str">
        <f t="shared" si="1076"/>
        <v/>
      </c>
      <c r="E1748" s="117" t="str">
        <f t="shared" si="1076"/>
        <v/>
      </c>
      <c r="F1748" s="117"/>
      <c r="G1748" s="117"/>
      <c r="H1748" s="117"/>
      <c r="I1748" s="117"/>
      <c r="J1748" s="117"/>
      <c r="K1748" s="119">
        <f t="shared" ref="K1748:X1748" si="1083">IF(AND($D1748="tak",OR($E1748="nie dotyczy",$E1748="badania przemysłowe"),LataProjekcji&lt;=Koniec_Projekt),K417,0)</f>
        <v>0</v>
      </c>
      <c r="L1748" s="119">
        <f t="shared" si="1083"/>
        <v>0</v>
      </c>
      <c r="M1748" s="119">
        <f t="shared" si="1083"/>
        <v>0</v>
      </c>
      <c r="N1748" s="119">
        <f t="shared" si="1083"/>
        <v>0</v>
      </c>
      <c r="O1748" s="119">
        <f t="shared" si="1083"/>
        <v>0</v>
      </c>
      <c r="P1748" s="119">
        <f t="shared" si="1083"/>
        <v>0</v>
      </c>
      <c r="Q1748" s="119">
        <f t="shared" si="1083"/>
        <v>0</v>
      </c>
      <c r="R1748" s="119">
        <f t="shared" si="1083"/>
        <v>0</v>
      </c>
      <c r="S1748" s="119">
        <f t="shared" si="1083"/>
        <v>0</v>
      </c>
      <c r="T1748" s="119">
        <f t="shared" si="1083"/>
        <v>0</v>
      </c>
      <c r="U1748" s="119">
        <f t="shared" si="1083"/>
        <v>0</v>
      </c>
      <c r="V1748" s="119">
        <f t="shared" si="1083"/>
        <v>0</v>
      </c>
      <c r="W1748" s="119">
        <f t="shared" si="1083"/>
        <v>0</v>
      </c>
      <c r="X1748" s="119">
        <f t="shared" si="1083"/>
        <v>0</v>
      </c>
    </row>
    <row r="1749" spans="2:24" hidden="1">
      <c r="B1749" s="117" t="str">
        <f t="shared" si="1076"/>
        <v/>
      </c>
      <c r="C1749" s="117" t="str">
        <f t="shared" si="1076"/>
        <v/>
      </c>
      <c r="D1749" s="117" t="str">
        <f t="shared" si="1076"/>
        <v/>
      </c>
      <c r="E1749" s="117" t="str">
        <f t="shared" si="1076"/>
        <v/>
      </c>
      <c r="F1749" s="117"/>
      <c r="G1749" s="117"/>
      <c r="H1749" s="117"/>
      <c r="I1749" s="117"/>
      <c r="J1749" s="117"/>
      <c r="K1749" s="119">
        <f t="shared" ref="K1749:X1749" si="1084">IF(AND($D1749="tak",OR($E1749="nie dotyczy",$E1749="badania przemysłowe"),LataProjekcji&lt;=Koniec_Projekt),K418,0)</f>
        <v>0</v>
      </c>
      <c r="L1749" s="119">
        <f t="shared" si="1084"/>
        <v>0</v>
      </c>
      <c r="M1749" s="119">
        <f t="shared" si="1084"/>
        <v>0</v>
      </c>
      <c r="N1749" s="119">
        <f t="shared" si="1084"/>
        <v>0</v>
      </c>
      <c r="O1749" s="119">
        <f t="shared" si="1084"/>
        <v>0</v>
      </c>
      <c r="P1749" s="119">
        <f t="shared" si="1084"/>
        <v>0</v>
      </c>
      <c r="Q1749" s="119">
        <f t="shared" si="1084"/>
        <v>0</v>
      </c>
      <c r="R1749" s="119">
        <f t="shared" si="1084"/>
        <v>0</v>
      </c>
      <c r="S1749" s="119">
        <f t="shared" si="1084"/>
        <v>0</v>
      </c>
      <c r="T1749" s="119">
        <f t="shared" si="1084"/>
        <v>0</v>
      </c>
      <c r="U1749" s="119">
        <f t="shared" si="1084"/>
        <v>0</v>
      </c>
      <c r="V1749" s="119">
        <f t="shared" si="1084"/>
        <v>0</v>
      </c>
      <c r="W1749" s="119">
        <f t="shared" si="1084"/>
        <v>0</v>
      </c>
      <c r="X1749" s="119">
        <f t="shared" si="1084"/>
        <v>0</v>
      </c>
    </row>
    <row r="1750" spans="2:24" hidden="1">
      <c r="B1750" s="117" t="str">
        <f t="shared" si="1076"/>
        <v/>
      </c>
      <c r="C1750" s="117" t="str">
        <f t="shared" si="1076"/>
        <v/>
      </c>
      <c r="D1750" s="117" t="str">
        <f t="shared" si="1076"/>
        <v/>
      </c>
      <c r="E1750" s="117" t="str">
        <f t="shared" si="1076"/>
        <v/>
      </c>
      <c r="F1750" s="117"/>
      <c r="G1750" s="117"/>
      <c r="H1750" s="117"/>
      <c r="I1750" s="117"/>
      <c r="J1750" s="117"/>
      <c r="K1750" s="119">
        <f t="shared" ref="K1750:X1750" si="1085">IF(AND($D1750="tak",OR($E1750="nie dotyczy",$E1750="badania przemysłowe"),LataProjekcji&lt;=Koniec_Projekt),K419,0)</f>
        <v>0</v>
      </c>
      <c r="L1750" s="119">
        <f t="shared" si="1085"/>
        <v>0</v>
      </c>
      <c r="M1750" s="119">
        <f t="shared" si="1085"/>
        <v>0</v>
      </c>
      <c r="N1750" s="119">
        <f t="shared" si="1085"/>
        <v>0</v>
      </c>
      <c r="O1750" s="119">
        <f t="shared" si="1085"/>
        <v>0</v>
      </c>
      <c r="P1750" s="119">
        <f t="shared" si="1085"/>
        <v>0</v>
      </c>
      <c r="Q1750" s="119">
        <f t="shared" si="1085"/>
        <v>0</v>
      </c>
      <c r="R1750" s="119">
        <f t="shared" si="1085"/>
        <v>0</v>
      </c>
      <c r="S1750" s="119">
        <f t="shared" si="1085"/>
        <v>0</v>
      </c>
      <c r="T1750" s="119">
        <f t="shared" si="1085"/>
        <v>0</v>
      </c>
      <c r="U1750" s="119">
        <f t="shared" si="1085"/>
        <v>0</v>
      </c>
      <c r="V1750" s="119">
        <f t="shared" si="1085"/>
        <v>0</v>
      </c>
      <c r="W1750" s="119">
        <f t="shared" si="1085"/>
        <v>0</v>
      </c>
      <c r="X1750" s="119">
        <f t="shared" si="1085"/>
        <v>0</v>
      </c>
    </row>
    <row r="1751" spans="2:24" hidden="1">
      <c r="B1751" s="117" t="str">
        <f t="shared" si="1076"/>
        <v/>
      </c>
      <c r="C1751" s="117" t="str">
        <f t="shared" si="1076"/>
        <v/>
      </c>
      <c r="D1751" s="117" t="str">
        <f t="shared" si="1076"/>
        <v/>
      </c>
      <c r="E1751" s="117" t="str">
        <f t="shared" si="1076"/>
        <v/>
      </c>
      <c r="F1751" s="117"/>
      <c r="G1751" s="117"/>
      <c r="H1751" s="117"/>
      <c r="I1751" s="117"/>
      <c r="J1751" s="117"/>
      <c r="K1751" s="119">
        <f t="shared" ref="K1751:X1751" si="1086">IF(AND($D1751="tak",OR($E1751="nie dotyczy",$E1751="badania przemysłowe"),LataProjekcji&lt;=Koniec_Projekt),K420,0)</f>
        <v>0</v>
      </c>
      <c r="L1751" s="119">
        <f t="shared" si="1086"/>
        <v>0</v>
      </c>
      <c r="M1751" s="119">
        <f t="shared" si="1086"/>
        <v>0</v>
      </c>
      <c r="N1751" s="119">
        <f t="shared" si="1086"/>
        <v>0</v>
      </c>
      <c r="O1751" s="119">
        <f t="shared" si="1086"/>
        <v>0</v>
      </c>
      <c r="P1751" s="119">
        <f t="shared" si="1086"/>
        <v>0</v>
      </c>
      <c r="Q1751" s="119">
        <f t="shared" si="1086"/>
        <v>0</v>
      </c>
      <c r="R1751" s="119">
        <f t="shared" si="1086"/>
        <v>0</v>
      </c>
      <c r="S1751" s="119">
        <f t="shared" si="1086"/>
        <v>0</v>
      </c>
      <c r="T1751" s="119">
        <f t="shared" si="1086"/>
        <v>0</v>
      </c>
      <c r="U1751" s="119">
        <f t="shared" si="1086"/>
        <v>0</v>
      </c>
      <c r="V1751" s="119">
        <f t="shared" si="1086"/>
        <v>0</v>
      </c>
      <c r="W1751" s="119">
        <f t="shared" si="1086"/>
        <v>0</v>
      </c>
      <c r="X1751" s="119">
        <f t="shared" si="1086"/>
        <v>0</v>
      </c>
    </row>
    <row r="1752" spans="2:24" hidden="1">
      <c r="B1752" s="117" t="str">
        <f t="shared" si="1076"/>
        <v/>
      </c>
      <c r="C1752" s="117" t="str">
        <f t="shared" si="1076"/>
        <v/>
      </c>
      <c r="D1752" s="117" t="str">
        <f t="shared" si="1076"/>
        <v/>
      </c>
      <c r="E1752" s="117" t="str">
        <f t="shared" si="1076"/>
        <v/>
      </c>
      <c r="F1752" s="117"/>
      <c r="G1752" s="117"/>
      <c r="H1752" s="117"/>
      <c r="I1752" s="117"/>
      <c r="J1752" s="117"/>
      <c r="K1752" s="119">
        <f t="shared" ref="K1752:X1752" si="1087">IF(AND($D1752="tak",OR($E1752="nie dotyczy",$E1752="badania przemysłowe"),LataProjekcji&lt;=Koniec_Projekt),K421,0)</f>
        <v>0</v>
      </c>
      <c r="L1752" s="119">
        <f t="shared" si="1087"/>
        <v>0</v>
      </c>
      <c r="M1752" s="119">
        <f t="shared" si="1087"/>
        <v>0</v>
      </c>
      <c r="N1752" s="119">
        <f t="shared" si="1087"/>
        <v>0</v>
      </c>
      <c r="O1752" s="119">
        <f t="shared" si="1087"/>
        <v>0</v>
      </c>
      <c r="P1752" s="119">
        <f t="shared" si="1087"/>
        <v>0</v>
      </c>
      <c r="Q1752" s="119">
        <f t="shared" si="1087"/>
        <v>0</v>
      </c>
      <c r="R1752" s="119">
        <f t="shared" si="1087"/>
        <v>0</v>
      </c>
      <c r="S1752" s="119">
        <f t="shared" si="1087"/>
        <v>0</v>
      </c>
      <c r="T1752" s="119">
        <f t="shared" si="1087"/>
        <v>0</v>
      </c>
      <c r="U1752" s="119">
        <f t="shared" si="1087"/>
        <v>0</v>
      </c>
      <c r="V1752" s="119">
        <f t="shared" si="1087"/>
        <v>0</v>
      </c>
      <c r="W1752" s="119">
        <f t="shared" si="1087"/>
        <v>0</v>
      </c>
      <c r="X1752" s="119">
        <f t="shared" si="1087"/>
        <v>0</v>
      </c>
    </row>
    <row r="1753" spans="2:24" hidden="1">
      <c r="B1753" s="117" t="str">
        <f t="shared" si="1076"/>
        <v/>
      </c>
      <c r="C1753" s="117" t="str">
        <f t="shared" si="1076"/>
        <v/>
      </c>
      <c r="D1753" s="117" t="str">
        <f t="shared" si="1076"/>
        <v/>
      </c>
      <c r="E1753" s="117" t="str">
        <f t="shared" si="1076"/>
        <v/>
      </c>
      <c r="F1753" s="117"/>
      <c r="G1753" s="117"/>
      <c r="H1753" s="117"/>
      <c r="I1753" s="117"/>
      <c r="J1753" s="117"/>
      <c r="K1753" s="119">
        <f t="shared" ref="K1753:X1753" si="1088">IF(AND($D1753="tak",OR($E1753="nie dotyczy",$E1753="badania przemysłowe"),LataProjekcji&lt;=Koniec_Projekt),K422,0)</f>
        <v>0</v>
      </c>
      <c r="L1753" s="119">
        <f t="shared" si="1088"/>
        <v>0</v>
      </c>
      <c r="M1753" s="119">
        <f t="shared" si="1088"/>
        <v>0</v>
      </c>
      <c r="N1753" s="119">
        <f t="shared" si="1088"/>
        <v>0</v>
      </c>
      <c r="O1753" s="119">
        <f t="shared" si="1088"/>
        <v>0</v>
      </c>
      <c r="P1753" s="119">
        <f t="shared" si="1088"/>
        <v>0</v>
      </c>
      <c r="Q1753" s="119">
        <f t="shared" si="1088"/>
        <v>0</v>
      </c>
      <c r="R1753" s="119">
        <f t="shared" si="1088"/>
        <v>0</v>
      </c>
      <c r="S1753" s="119">
        <f t="shared" si="1088"/>
        <v>0</v>
      </c>
      <c r="T1753" s="119">
        <f t="shared" si="1088"/>
        <v>0</v>
      </c>
      <c r="U1753" s="119">
        <f t="shared" si="1088"/>
        <v>0</v>
      </c>
      <c r="V1753" s="119">
        <f t="shared" si="1088"/>
        <v>0</v>
      </c>
      <c r="W1753" s="119">
        <f t="shared" si="1088"/>
        <v>0</v>
      </c>
      <c r="X1753" s="119">
        <f t="shared" si="1088"/>
        <v>0</v>
      </c>
    </row>
    <row r="1754" spans="2:24" hidden="1">
      <c r="B1754" s="117" t="str">
        <f t="shared" si="1076"/>
        <v/>
      </c>
      <c r="C1754" s="117" t="str">
        <f t="shared" si="1076"/>
        <v/>
      </c>
      <c r="D1754" s="117" t="str">
        <f t="shared" si="1076"/>
        <v/>
      </c>
      <c r="E1754" s="117" t="str">
        <f t="shared" si="1076"/>
        <v/>
      </c>
      <c r="F1754" s="117"/>
      <c r="G1754" s="117"/>
      <c r="H1754" s="117"/>
      <c r="I1754" s="117"/>
      <c r="J1754" s="117"/>
      <c r="K1754" s="119">
        <f t="shared" ref="K1754:X1754" si="1089">IF(AND($D1754="tak",OR($E1754="nie dotyczy",$E1754="badania przemysłowe"),LataProjekcji&lt;=Koniec_Projekt),K423,0)</f>
        <v>0</v>
      </c>
      <c r="L1754" s="119">
        <f t="shared" si="1089"/>
        <v>0</v>
      </c>
      <c r="M1754" s="119">
        <f t="shared" si="1089"/>
        <v>0</v>
      </c>
      <c r="N1754" s="119">
        <f t="shared" si="1089"/>
        <v>0</v>
      </c>
      <c r="O1754" s="119">
        <f t="shared" si="1089"/>
        <v>0</v>
      </c>
      <c r="P1754" s="119">
        <f t="shared" si="1089"/>
        <v>0</v>
      </c>
      <c r="Q1754" s="119">
        <f t="shared" si="1089"/>
        <v>0</v>
      </c>
      <c r="R1754" s="119">
        <f t="shared" si="1089"/>
        <v>0</v>
      </c>
      <c r="S1754" s="119">
        <f t="shared" si="1089"/>
        <v>0</v>
      </c>
      <c r="T1754" s="119">
        <f t="shared" si="1089"/>
        <v>0</v>
      </c>
      <c r="U1754" s="119">
        <f t="shared" si="1089"/>
        <v>0</v>
      </c>
      <c r="V1754" s="119">
        <f t="shared" si="1089"/>
        <v>0</v>
      </c>
      <c r="W1754" s="119">
        <f t="shared" si="1089"/>
        <v>0</v>
      </c>
      <c r="X1754" s="119">
        <f t="shared" si="1089"/>
        <v>0</v>
      </c>
    </row>
    <row r="1755" spans="2:24" hidden="1">
      <c r="B1755" s="117" t="str">
        <f t="shared" si="1076"/>
        <v/>
      </c>
      <c r="C1755" s="117" t="str">
        <f t="shared" si="1076"/>
        <v/>
      </c>
      <c r="D1755" s="117" t="str">
        <f t="shared" si="1076"/>
        <v/>
      </c>
      <c r="E1755" s="117" t="str">
        <f t="shared" si="1076"/>
        <v/>
      </c>
      <c r="F1755" s="117"/>
      <c r="G1755" s="117"/>
      <c r="H1755" s="117"/>
      <c r="I1755" s="117"/>
      <c r="J1755" s="117"/>
      <c r="K1755" s="119">
        <f t="shared" ref="K1755:X1755" si="1090">IF(AND($D1755="tak",OR($E1755="nie dotyczy",$E1755="badania przemysłowe"),LataProjekcji&lt;=Koniec_Projekt),K424,0)</f>
        <v>0</v>
      </c>
      <c r="L1755" s="119">
        <f t="shared" si="1090"/>
        <v>0</v>
      </c>
      <c r="M1755" s="119">
        <f t="shared" si="1090"/>
        <v>0</v>
      </c>
      <c r="N1755" s="119">
        <f t="shared" si="1090"/>
        <v>0</v>
      </c>
      <c r="O1755" s="119">
        <f t="shared" si="1090"/>
        <v>0</v>
      </c>
      <c r="P1755" s="119">
        <f t="shared" si="1090"/>
        <v>0</v>
      </c>
      <c r="Q1755" s="119">
        <f t="shared" si="1090"/>
        <v>0</v>
      </c>
      <c r="R1755" s="119">
        <f t="shared" si="1090"/>
        <v>0</v>
      </c>
      <c r="S1755" s="119">
        <f t="shared" si="1090"/>
        <v>0</v>
      </c>
      <c r="T1755" s="119">
        <f t="shared" si="1090"/>
        <v>0</v>
      </c>
      <c r="U1755" s="119">
        <f t="shared" si="1090"/>
        <v>0</v>
      </c>
      <c r="V1755" s="119">
        <f t="shared" si="1090"/>
        <v>0</v>
      </c>
      <c r="W1755" s="119">
        <f t="shared" si="1090"/>
        <v>0</v>
      </c>
      <c r="X1755" s="119">
        <f t="shared" si="1090"/>
        <v>0</v>
      </c>
    </row>
    <row r="1756" spans="2:24" hidden="1">
      <c r="B1756" s="117" t="str">
        <f t="shared" si="1076"/>
        <v/>
      </c>
      <c r="C1756" s="117" t="str">
        <f t="shared" si="1076"/>
        <v/>
      </c>
      <c r="D1756" s="117" t="str">
        <f t="shared" si="1076"/>
        <v/>
      </c>
      <c r="E1756" s="117" t="str">
        <f t="shared" si="1076"/>
        <v/>
      </c>
      <c r="F1756" s="117"/>
      <c r="G1756" s="117"/>
      <c r="H1756" s="117"/>
      <c r="I1756" s="117"/>
      <c r="J1756" s="117"/>
      <c r="K1756" s="119">
        <f t="shared" ref="K1756:X1756" si="1091">IF(AND($D1756="tak",OR($E1756="nie dotyczy",$E1756="badania przemysłowe"),LataProjekcji&lt;=Koniec_Projekt),K425,0)</f>
        <v>0</v>
      </c>
      <c r="L1756" s="119">
        <f t="shared" si="1091"/>
        <v>0</v>
      </c>
      <c r="M1756" s="119">
        <f t="shared" si="1091"/>
        <v>0</v>
      </c>
      <c r="N1756" s="119">
        <f t="shared" si="1091"/>
        <v>0</v>
      </c>
      <c r="O1756" s="119">
        <f t="shared" si="1091"/>
        <v>0</v>
      </c>
      <c r="P1756" s="119">
        <f t="shared" si="1091"/>
        <v>0</v>
      </c>
      <c r="Q1756" s="119">
        <f t="shared" si="1091"/>
        <v>0</v>
      </c>
      <c r="R1756" s="119">
        <f t="shared" si="1091"/>
        <v>0</v>
      </c>
      <c r="S1756" s="119">
        <f t="shared" si="1091"/>
        <v>0</v>
      </c>
      <c r="T1756" s="119">
        <f t="shared" si="1091"/>
        <v>0</v>
      </c>
      <c r="U1756" s="119">
        <f t="shared" si="1091"/>
        <v>0</v>
      </c>
      <c r="V1756" s="119">
        <f t="shared" si="1091"/>
        <v>0</v>
      </c>
      <c r="W1756" s="119">
        <f t="shared" si="1091"/>
        <v>0</v>
      </c>
      <c r="X1756" s="119">
        <f t="shared" si="1091"/>
        <v>0</v>
      </c>
    </row>
    <row r="1757" spans="2:24" hidden="1">
      <c r="B1757" s="117" t="str">
        <f t="shared" si="1076"/>
        <v/>
      </c>
      <c r="C1757" s="117" t="str">
        <f t="shared" si="1076"/>
        <v/>
      </c>
      <c r="D1757" s="117" t="str">
        <f t="shared" si="1076"/>
        <v/>
      </c>
      <c r="E1757" s="117" t="str">
        <f t="shared" si="1076"/>
        <v/>
      </c>
      <c r="F1757" s="117"/>
      <c r="G1757" s="117"/>
      <c r="H1757" s="117"/>
      <c r="I1757" s="117"/>
      <c r="J1757" s="117"/>
      <c r="K1757" s="119">
        <f t="shared" ref="K1757:X1757" si="1092">IF(AND($D1757="tak",OR($E1757="nie dotyczy",$E1757="badania przemysłowe"),LataProjekcji&lt;=Koniec_Projekt),K426,0)</f>
        <v>0</v>
      </c>
      <c r="L1757" s="119">
        <f t="shared" si="1092"/>
        <v>0</v>
      </c>
      <c r="M1757" s="119">
        <f t="shared" si="1092"/>
        <v>0</v>
      </c>
      <c r="N1757" s="119">
        <f t="shared" si="1092"/>
        <v>0</v>
      </c>
      <c r="O1757" s="119">
        <f t="shared" si="1092"/>
        <v>0</v>
      </c>
      <c r="P1757" s="119">
        <f t="shared" si="1092"/>
        <v>0</v>
      </c>
      <c r="Q1757" s="119">
        <f t="shared" si="1092"/>
        <v>0</v>
      </c>
      <c r="R1757" s="119">
        <f t="shared" si="1092"/>
        <v>0</v>
      </c>
      <c r="S1757" s="119">
        <f t="shared" si="1092"/>
        <v>0</v>
      </c>
      <c r="T1757" s="119">
        <f t="shared" si="1092"/>
        <v>0</v>
      </c>
      <c r="U1757" s="119">
        <f t="shared" si="1092"/>
        <v>0</v>
      </c>
      <c r="V1757" s="119">
        <f t="shared" si="1092"/>
        <v>0</v>
      </c>
      <c r="W1757" s="119">
        <f t="shared" si="1092"/>
        <v>0</v>
      </c>
      <c r="X1757" s="119">
        <f t="shared" si="1092"/>
        <v>0</v>
      </c>
    </row>
    <row r="1758" spans="2:24" hidden="1">
      <c r="B1758" s="117" t="str">
        <f t="shared" si="1076"/>
        <v/>
      </c>
      <c r="C1758" s="117" t="str">
        <f t="shared" si="1076"/>
        <v/>
      </c>
      <c r="D1758" s="117" t="str">
        <f t="shared" si="1076"/>
        <v/>
      </c>
      <c r="E1758" s="117" t="str">
        <f t="shared" si="1076"/>
        <v/>
      </c>
      <c r="F1758" s="117"/>
      <c r="G1758" s="117"/>
      <c r="H1758" s="117"/>
      <c r="I1758" s="117"/>
      <c r="J1758" s="117"/>
      <c r="K1758" s="119">
        <f t="shared" ref="K1758:X1758" si="1093">IF(AND($D1758="tak",OR($E1758="nie dotyczy",$E1758="badania przemysłowe"),LataProjekcji&lt;=Koniec_Projekt),K427,0)</f>
        <v>0</v>
      </c>
      <c r="L1758" s="119">
        <f t="shared" si="1093"/>
        <v>0</v>
      </c>
      <c r="M1758" s="119">
        <f t="shared" si="1093"/>
        <v>0</v>
      </c>
      <c r="N1758" s="119">
        <f t="shared" si="1093"/>
        <v>0</v>
      </c>
      <c r="O1758" s="119">
        <f t="shared" si="1093"/>
        <v>0</v>
      </c>
      <c r="P1758" s="119">
        <f t="shared" si="1093"/>
        <v>0</v>
      </c>
      <c r="Q1758" s="119">
        <f t="shared" si="1093"/>
        <v>0</v>
      </c>
      <c r="R1758" s="119">
        <f t="shared" si="1093"/>
        <v>0</v>
      </c>
      <c r="S1758" s="119">
        <f t="shared" si="1093"/>
        <v>0</v>
      </c>
      <c r="T1758" s="119">
        <f t="shared" si="1093"/>
        <v>0</v>
      </c>
      <c r="U1758" s="119">
        <f t="shared" si="1093"/>
        <v>0</v>
      </c>
      <c r="V1758" s="119">
        <f t="shared" si="1093"/>
        <v>0</v>
      </c>
      <c r="W1758" s="119">
        <f t="shared" si="1093"/>
        <v>0</v>
      </c>
      <c r="X1758" s="119">
        <f t="shared" si="1093"/>
        <v>0</v>
      </c>
    </row>
    <row r="1759" spans="2:24" hidden="1">
      <c r="B1759" s="117" t="str">
        <f t="shared" si="1076"/>
        <v/>
      </c>
      <c r="C1759" s="117" t="str">
        <f t="shared" si="1076"/>
        <v/>
      </c>
      <c r="D1759" s="117" t="str">
        <f t="shared" si="1076"/>
        <v/>
      </c>
      <c r="E1759" s="117" t="str">
        <f t="shared" si="1076"/>
        <v/>
      </c>
      <c r="F1759" s="117"/>
      <c r="G1759" s="117"/>
      <c r="H1759" s="117"/>
      <c r="I1759" s="117"/>
      <c r="J1759" s="117"/>
      <c r="K1759" s="119">
        <f t="shared" ref="K1759:X1759" si="1094">IF(AND($D1759="tak",OR($E1759="nie dotyczy",$E1759="badania przemysłowe"),LataProjekcji&lt;=Koniec_Projekt),K428,0)</f>
        <v>0</v>
      </c>
      <c r="L1759" s="119">
        <f t="shared" si="1094"/>
        <v>0</v>
      </c>
      <c r="M1759" s="119">
        <f t="shared" si="1094"/>
        <v>0</v>
      </c>
      <c r="N1759" s="119">
        <f t="shared" si="1094"/>
        <v>0</v>
      </c>
      <c r="O1759" s="119">
        <f t="shared" si="1094"/>
        <v>0</v>
      </c>
      <c r="P1759" s="119">
        <f t="shared" si="1094"/>
        <v>0</v>
      </c>
      <c r="Q1759" s="119">
        <f t="shared" si="1094"/>
        <v>0</v>
      </c>
      <c r="R1759" s="119">
        <f t="shared" si="1094"/>
        <v>0</v>
      </c>
      <c r="S1759" s="119">
        <f t="shared" si="1094"/>
        <v>0</v>
      </c>
      <c r="T1759" s="119">
        <f t="shared" si="1094"/>
        <v>0</v>
      </c>
      <c r="U1759" s="119">
        <f t="shared" si="1094"/>
        <v>0</v>
      </c>
      <c r="V1759" s="119">
        <f t="shared" si="1094"/>
        <v>0</v>
      </c>
      <c r="W1759" s="119">
        <f t="shared" si="1094"/>
        <v>0</v>
      </c>
      <c r="X1759" s="119">
        <f t="shared" si="1094"/>
        <v>0</v>
      </c>
    </row>
    <row r="1760" spans="2:24" hidden="1">
      <c r="B1760" s="117" t="str">
        <f t="shared" si="1076"/>
        <v/>
      </c>
      <c r="C1760" s="117" t="str">
        <f t="shared" si="1076"/>
        <v/>
      </c>
      <c r="D1760" s="117" t="str">
        <f t="shared" si="1076"/>
        <v/>
      </c>
      <c r="E1760" s="117" t="str">
        <f t="shared" si="1076"/>
        <v/>
      </c>
      <c r="F1760" s="117"/>
      <c r="G1760" s="117"/>
      <c r="H1760" s="117"/>
      <c r="I1760" s="117"/>
      <c r="J1760" s="117"/>
      <c r="K1760" s="119">
        <f t="shared" ref="K1760:X1760" si="1095">IF(AND($D1760="tak",OR($E1760="nie dotyczy",$E1760="badania przemysłowe"),LataProjekcji&lt;=Koniec_Projekt),K429,0)</f>
        <v>0</v>
      </c>
      <c r="L1760" s="119">
        <f t="shared" si="1095"/>
        <v>0</v>
      </c>
      <c r="M1760" s="119">
        <f t="shared" si="1095"/>
        <v>0</v>
      </c>
      <c r="N1760" s="119">
        <f t="shared" si="1095"/>
        <v>0</v>
      </c>
      <c r="O1760" s="119">
        <f t="shared" si="1095"/>
        <v>0</v>
      </c>
      <c r="P1760" s="119">
        <f t="shared" si="1095"/>
        <v>0</v>
      </c>
      <c r="Q1760" s="119">
        <f t="shared" si="1095"/>
        <v>0</v>
      </c>
      <c r="R1760" s="119">
        <f t="shared" si="1095"/>
        <v>0</v>
      </c>
      <c r="S1760" s="119">
        <f t="shared" si="1095"/>
        <v>0</v>
      </c>
      <c r="T1760" s="119">
        <f t="shared" si="1095"/>
        <v>0</v>
      </c>
      <c r="U1760" s="119">
        <f t="shared" si="1095"/>
        <v>0</v>
      </c>
      <c r="V1760" s="119">
        <f t="shared" si="1095"/>
        <v>0</v>
      </c>
      <c r="W1760" s="119">
        <f t="shared" si="1095"/>
        <v>0</v>
      </c>
      <c r="X1760" s="119">
        <f t="shared" si="1095"/>
        <v>0</v>
      </c>
    </row>
    <row r="1761" spans="2:24" hidden="1">
      <c r="B1761" s="117" t="str">
        <f t="shared" si="1076"/>
        <v/>
      </c>
      <c r="C1761" s="117" t="str">
        <f t="shared" si="1076"/>
        <v/>
      </c>
      <c r="D1761" s="117" t="str">
        <f t="shared" si="1076"/>
        <v/>
      </c>
      <c r="E1761" s="117" t="str">
        <f t="shared" si="1076"/>
        <v/>
      </c>
      <c r="F1761" s="117"/>
      <c r="G1761" s="117"/>
      <c r="H1761" s="117"/>
      <c r="I1761" s="117"/>
      <c r="J1761" s="117"/>
      <c r="K1761" s="119">
        <f t="shared" ref="K1761:X1761" si="1096">IF(AND($D1761="tak",OR($E1761="nie dotyczy",$E1761="badania przemysłowe"),LataProjekcji&lt;=Koniec_Projekt),K430,0)</f>
        <v>0</v>
      </c>
      <c r="L1761" s="119">
        <f t="shared" si="1096"/>
        <v>0</v>
      </c>
      <c r="M1761" s="119">
        <f t="shared" si="1096"/>
        <v>0</v>
      </c>
      <c r="N1761" s="119">
        <f t="shared" si="1096"/>
        <v>0</v>
      </c>
      <c r="O1761" s="119">
        <f t="shared" si="1096"/>
        <v>0</v>
      </c>
      <c r="P1761" s="119">
        <f t="shared" si="1096"/>
        <v>0</v>
      </c>
      <c r="Q1761" s="119">
        <f t="shared" si="1096"/>
        <v>0</v>
      </c>
      <c r="R1761" s="119">
        <f t="shared" si="1096"/>
        <v>0</v>
      </c>
      <c r="S1761" s="119">
        <f t="shared" si="1096"/>
        <v>0</v>
      </c>
      <c r="T1761" s="119">
        <f t="shared" si="1096"/>
        <v>0</v>
      </c>
      <c r="U1761" s="119">
        <f t="shared" si="1096"/>
        <v>0</v>
      </c>
      <c r="V1761" s="119">
        <f t="shared" si="1096"/>
        <v>0</v>
      </c>
      <c r="W1761" s="119">
        <f t="shared" si="1096"/>
        <v>0</v>
      </c>
      <c r="X1761" s="119">
        <f t="shared" si="1096"/>
        <v>0</v>
      </c>
    </row>
    <row r="1762" spans="2:24" hidden="1">
      <c r="B1762" s="111" t="s">
        <v>319</v>
      </c>
      <c r="C1762" s="111"/>
      <c r="D1762" s="112"/>
      <c r="E1762" s="113"/>
      <c r="F1762" s="113"/>
      <c r="G1762" s="113"/>
      <c r="H1762" s="113"/>
      <c r="I1762" s="113"/>
      <c r="J1762" s="113"/>
      <c r="K1762" s="120">
        <f t="shared" ref="K1762:X1762" si="1097">ROUND(SUM(K1722:K1761),0)</f>
        <v>0</v>
      </c>
      <c r="L1762" s="120">
        <f t="shared" si="1097"/>
        <v>0</v>
      </c>
      <c r="M1762" s="120">
        <f t="shared" si="1097"/>
        <v>0</v>
      </c>
      <c r="N1762" s="120">
        <f t="shared" si="1097"/>
        <v>0</v>
      </c>
      <c r="O1762" s="120">
        <f t="shared" si="1097"/>
        <v>0</v>
      </c>
      <c r="P1762" s="120">
        <f t="shared" si="1097"/>
        <v>0</v>
      </c>
      <c r="Q1762" s="120">
        <f t="shared" si="1097"/>
        <v>0</v>
      </c>
      <c r="R1762" s="120">
        <f t="shared" si="1097"/>
        <v>0</v>
      </c>
      <c r="S1762" s="120">
        <f t="shared" si="1097"/>
        <v>0</v>
      </c>
      <c r="T1762" s="120">
        <f t="shared" si="1097"/>
        <v>0</v>
      </c>
      <c r="U1762" s="120">
        <f t="shared" si="1097"/>
        <v>0</v>
      </c>
      <c r="V1762" s="120">
        <f t="shared" si="1097"/>
        <v>0</v>
      </c>
      <c r="W1762" s="120">
        <f t="shared" si="1097"/>
        <v>0</v>
      </c>
      <c r="X1762" s="120">
        <f t="shared" si="1097"/>
        <v>0</v>
      </c>
    </row>
    <row r="1763" spans="2:24" hidden="1">
      <c r="B1763" s="113"/>
      <c r="C1763" s="113"/>
      <c r="D1763" s="112"/>
      <c r="E1763" s="113"/>
      <c r="F1763" s="113"/>
      <c r="G1763" s="113"/>
      <c r="H1763" s="113"/>
      <c r="I1763" s="113"/>
      <c r="J1763" s="113"/>
      <c r="K1763" s="121"/>
      <c r="L1763" s="121"/>
      <c r="M1763" s="121"/>
      <c r="N1763" s="121"/>
      <c r="O1763" s="121"/>
      <c r="P1763" s="121"/>
      <c r="Q1763" s="121"/>
      <c r="R1763" s="121"/>
      <c r="S1763" s="121"/>
      <c r="T1763" s="121"/>
      <c r="U1763" s="121"/>
      <c r="V1763" s="121"/>
      <c r="W1763" s="121"/>
      <c r="X1763" s="121"/>
    </row>
    <row r="1764" spans="2:24" hidden="1">
      <c r="B1764" s="113"/>
      <c r="C1764" s="113"/>
      <c r="D1764" s="112"/>
      <c r="E1764" s="113"/>
      <c r="F1764" s="113"/>
      <c r="G1764" s="113"/>
      <c r="H1764" s="113"/>
      <c r="I1764" s="113"/>
      <c r="J1764" s="113"/>
      <c r="K1764" s="121"/>
      <c r="L1764" s="121"/>
      <c r="M1764" s="121"/>
      <c r="N1764" s="121"/>
      <c r="O1764" s="121"/>
      <c r="P1764" s="121"/>
      <c r="Q1764" s="121"/>
      <c r="R1764" s="121"/>
      <c r="S1764" s="121"/>
      <c r="T1764" s="121"/>
      <c r="U1764" s="121"/>
      <c r="V1764" s="121"/>
      <c r="W1764" s="121"/>
      <c r="X1764" s="121"/>
    </row>
    <row r="1765" spans="2:24" hidden="1">
      <c r="B1765" s="111" t="s">
        <v>320</v>
      </c>
      <c r="C1765" s="111"/>
      <c r="D1765" s="112"/>
      <c r="E1765" s="113"/>
      <c r="F1765" s="113"/>
      <c r="G1765" s="113"/>
      <c r="H1765" s="113"/>
      <c r="I1765" s="113"/>
      <c r="J1765" s="113"/>
      <c r="K1765" s="121"/>
      <c r="L1765" s="121"/>
      <c r="M1765" s="121"/>
      <c r="N1765" s="121"/>
      <c r="O1765" s="121"/>
      <c r="P1765" s="121"/>
      <c r="Q1765" s="121"/>
      <c r="R1765" s="121"/>
      <c r="S1765" s="121"/>
      <c r="T1765" s="121"/>
      <c r="U1765" s="121"/>
      <c r="V1765" s="121"/>
      <c r="W1765" s="121"/>
      <c r="X1765" s="121"/>
    </row>
    <row r="1766" spans="2:24" hidden="1">
      <c r="B1766" s="111" t="s">
        <v>321</v>
      </c>
      <c r="C1766" s="111"/>
      <c r="D1766" s="122" t="s">
        <v>336</v>
      </c>
      <c r="E1766" s="111" t="s">
        <v>337</v>
      </c>
      <c r="F1766" s="113"/>
      <c r="G1766" s="113"/>
      <c r="H1766" s="113"/>
      <c r="I1766" s="113"/>
      <c r="J1766" s="113"/>
      <c r="K1766" s="121"/>
      <c r="L1766" s="121"/>
      <c r="M1766" s="121"/>
      <c r="N1766" s="121"/>
      <c r="O1766" s="121"/>
      <c r="P1766" s="121"/>
      <c r="Q1766" s="121"/>
      <c r="R1766" s="121"/>
      <c r="S1766" s="121"/>
      <c r="T1766" s="121"/>
      <c r="U1766" s="121"/>
      <c r="V1766" s="121"/>
      <c r="W1766" s="121"/>
      <c r="X1766" s="121"/>
    </row>
    <row r="1767" spans="2:24" hidden="1">
      <c r="B1767" s="117" t="str">
        <f t="shared" ref="B1767:E1786" si="1098">IF(ISBLANK(B1527),"",B1527)</f>
        <v/>
      </c>
      <c r="C1767" s="117" t="str">
        <f t="shared" si="1098"/>
        <v/>
      </c>
      <c r="D1767" s="117" t="str">
        <f t="shared" si="1098"/>
        <v/>
      </c>
      <c r="E1767" s="117" t="str">
        <f t="shared" si="1098"/>
        <v/>
      </c>
      <c r="F1767" s="117"/>
      <c r="G1767" s="117"/>
      <c r="H1767" s="117"/>
      <c r="I1767" s="117"/>
      <c r="J1767" s="117"/>
      <c r="K1767" s="119">
        <f t="shared" ref="K1767:X1767" si="1099">IF(AND($D1767="tak",OR($E1767="nie dotyczy",$E1767="badania przemysłowe"),LataProjekcji&lt;=Koniec_Projekt),K436,0)</f>
        <v>0</v>
      </c>
      <c r="L1767" s="119">
        <f t="shared" si="1099"/>
        <v>0</v>
      </c>
      <c r="M1767" s="119">
        <f t="shared" si="1099"/>
        <v>0</v>
      </c>
      <c r="N1767" s="119">
        <f t="shared" si="1099"/>
        <v>0</v>
      </c>
      <c r="O1767" s="119">
        <f t="shared" si="1099"/>
        <v>0</v>
      </c>
      <c r="P1767" s="119">
        <f t="shared" si="1099"/>
        <v>0</v>
      </c>
      <c r="Q1767" s="119">
        <f t="shared" si="1099"/>
        <v>0</v>
      </c>
      <c r="R1767" s="119">
        <f t="shared" si="1099"/>
        <v>0</v>
      </c>
      <c r="S1767" s="119">
        <f t="shared" si="1099"/>
        <v>0</v>
      </c>
      <c r="T1767" s="119">
        <f t="shared" si="1099"/>
        <v>0</v>
      </c>
      <c r="U1767" s="119">
        <f t="shared" si="1099"/>
        <v>0</v>
      </c>
      <c r="V1767" s="119">
        <f t="shared" si="1099"/>
        <v>0</v>
      </c>
      <c r="W1767" s="119">
        <f t="shared" si="1099"/>
        <v>0</v>
      </c>
      <c r="X1767" s="119">
        <f t="shared" si="1099"/>
        <v>0</v>
      </c>
    </row>
    <row r="1768" spans="2:24" hidden="1">
      <c r="B1768" s="117" t="str">
        <f t="shared" si="1098"/>
        <v/>
      </c>
      <c r="C1768" s="117" t="str">
        <f t="shared" si="1098"/>
        <v/>
      </c>
      <c r="D1768" s="117" t="str">
        <f t="shared" si="1098"/>
        <v/>
      </c>
      <c r="E1768" s="117" t="str">
        <f t="shared" si="1098"/>
        <v/>
      </c>
      <c r="F1768" s="117"/>
      <c r="G1768" s="117"/>
      <c r="H1768" s="117"/>
      <c r="I1768" s="117"/>
      <c r="J1768" s="117"/>
      <c r="K1768" s="119">
        <f t="shared" ref="K1768:X1768" si="1100">IF(AND($D1768="tak",OR($E1768="nie dotyczy",$E1768="badania przemysłowe"),LataProjekcji&lt;=Koniec_Projekt),K437,0)</f>
        <v>0</v>
      </c>
      <c r="L1768" s="119">
        <f t="shared" si="1100"/>
        <v>0</v>
      </c>
      <c r="M1768" s="119">
        <f t="shared" si="1100"/>
        <v>0</v>
      </c>
      <c r="N1768" s="119">
        <f t="shared" si="1100"/>
        <v>0</v>
      </c>
      <c r="O1768" s="119">
        <f t="shared" si="1100"/>
        <v>0</v>
      </c>
      <c r="P1768" s="119">
        <f t="shared" si="1100"/>
        <v>0</v>
      </c>
      <c r="Q1768" s="119">
        <f t="shared" si="1100"/>
        <v>0</v>
      </c>
      <c r="R1768" s="119">
        <f t="shared" si="1100"/>
        <v>0</v>
      </c>
      <c r="S1768" s="119">
        <f t="shared" si="1100"/>
        <v>0</v>
      </c>
      <c r="T1768" s="119">
        <f t="shared" si="1100"/>
        <v>0</v>
      </c>
      <c r="U1768" s="119">
        <f t="shared" si="1100"/>
        <v>0</v>
      </c>
      <c r="V1768" s="119">
        <f t="shared" si="1100"/>
        <v>0</v>
      </c>
      <c r="W1768" s="119">
        <f t="shared" si="1100"/>
        <v>0</v>
      </c>
      <c r="X1768" s="119">
        <f t="shared" si="1100"/>
        <v>0</v>
      </c>
    </row>
    <row r="1769" spans="2:24" hidden="1">
      <c r="B1769" s="117" t="str">
        <f t="shared" si="1098"/>
        <v/>
      </c>
      <c r="C1769" s="117" t="str">
        <f t="shared" si="1098"/>
        <v/>
      </c>
      <c r="D1769" s="117" t="str">
        <f t="shared" si="1098"/>
        <v/>
      </c>
      <c r="E1769" s="117" t="str">
        <f t="shared" si="1098"/>
        <v/>
      </c>
      <c r="F1769" s="117"/>
      <c r="G1769" s="117"/>
      <c r="H1769" s="117"/>
      <c r="I1769" s="117"/>
      <c r="J1769" s="117"/>
      <c r="K1769" s="119">
        <f t="shared" ref="K1769:X1769" si="1101">IF(AND($D1769="tak",OR($E1769="nie dotyczy",$E1769="badania przemysłowe"),LataProjekcji&lt;=Koniec_Projekt),K438,0)</f>
        <v>0</v>
      </c>
      <c r="L1769" s="119">
        <f t="shared" si="1101"/>
        <v>0</v>
      </c>
      <c r="M1769" s="119">
        <f t="shared" si="1101"/>
        <v>0</v>
      </c>
      <c r="N1769" s="119">
        <f t="shared" si="1101"/>
        <v>0</v>
      </c>
      <c r="O1769" s="119">
        <f t="shared" si="1101"/>
        <v>0</v>
      </c>
      <c r="P1769" s="119">
        <f t="shared" si="1101"/>
        <v>0</v>
      </c>
      <c r="Q1769" s="119">
        <f t="shared" si="1101"/>
        <v>0</v>
      </c>
      <c r="R1769" s="119">
        <f t="shared" si="1101"/>
        <v>0</v>
      </c>
      <c r="S1769" s="119">
        <f t="shared" si="1101"/>
        <v>0</v>
      </c>
      <c r="T1769" s="119">
        <f t="shared" si="1101"/>
        <v>0</v>
      </c>
      <c r="U1769" s="119">
        <f t="shared" si="1101"/>
        <v>0</v>
      </c>
      <c r="V1769" s="119">
        <f t="shared" si="1101"/>
        <v>0</v>
      </c>
      <c r="W1769" s="119">
        <f t="shared" si="1101"/>
        <v>0</v>
      </c>
      <c r="X1769" s="119">
        <f t="shared" si="1101"/>
        <v>0</v>
      </c>
    </row>
    <row r="1770" spans="2:24" hidden="1">
      <c r="B1770" s="117" t="str">
        <f t="shared" si="1098"/>
        <v/>
      </c>
      <c r="C1770" s="117" t="str">
        <f t="shared" si="1098"/>
        <v/>
      </c>
      <c r="D1770" s="117" t="str">
        <f t="shared" si="1098"/>
        <v/>
      </c>
      <c r="E1770" s="117" t="str">
        <f t="shared" si="1098"/>
        <v/>
      </c>
      <c r="F1770" s="117"/>
      <c r="G1770" s="117"/>
      <c r="H1770" s="117"/>
      <c r="I1770" s="117"/>
      <c r="J1770" s="117"/>
      <c r="K1770" s="119">
        <f t="shared" ref="K1770:X1770" si="1102">IF(AND($D1770="tak",OR($E1770="nie dotyczy",$E1770="badania przemysłowe"),LataProjekcji&lt;=Koniec_Projekt),K439,0)</f>
        <v>0</v>
      </c>
      <c r="L1770" s="119">
        <f t="shared" si="1102"/>
        <v>0</v>
      </c>
      <c r="M1770" s="119">
        <f t="shared" si="1102"/>
        <v>0</v>
      </c>
      <c r="N1770" s="119">
        <f t="shared" si="1102"/>
        <v>0</v>
      </c>
      <c r="O1770" s="119">
        <f t="shared" si="1102"/>
        <v>0</v>
      </c>
      <c r="P1770" s="119">
        <f t="shared" si="1102"/>
        <v>0</v>
      </c>
      <c r="Q1770" s="119">
        <f t="shared" si="1102"/>
        <v>0</v>
      </c>
      <c r="R1770" s="119">
        <f t="shared" si="1102"/>
        <v>0</v>
      </c>
      <c r="S1770" s="119">
        <f t="shared" si="1102"/>
        <v>0</v>
      </c>
      <c r="T1770" s="119">
        <f t="shared" si="1102"/>
        <v>0</v>
      </c>
      <c r="U1770" s="119">
        <f t="shared" si="1102"/>
        <v>0</v>
      </c>
      <c r="V1770" s="119">
        <f t="shared" si="1102"/>
        <v>0</v>
      </c>
      <c r="W1770" s="119">
        <f t="shared" si="1102"/>
        <v>0</v>
      </c>
      <c r="X1770" s="119">
        <f t="shared" si="1102"/>
        <v>0</v>
      </c>
    </row>
    <row r="1771" spans="2:24" hidden="1">
      <c r="B1771" s="117" t="str">
        <f t="shared" si="1098"/>
        <v/>
      </c>
      <c r="C1771" s="117" t="str">
        <f t="shared" si="1098"/>
        <v/>
      </c>
      <c r="D1771" s="117" t="str">
        <f t="shared" si="1098"/>
        <v/>
      </c>
      <c r="E1771" s="117" t="str">
        <f t="shared" si="1098"/>
        <v/>
      </c>
      <c r="F1771" s="117"/>
      <c r="G1771" s="117"/>
      <c r="H1771" s="117"/>
      <c r="I1771" s="117"/>
      <c r="J1771" s="117"/>
      <c r="K1771" s="119">
        <f t="shared" ref="K1771:X1771" si="1103">IF(AND($D1771="tak",OR($E1771="nie dotyczy",$E1771="badania przemysłowe"),LataProjekcji&lt;=Koniec_Projekt),K440,0)</f>
        <v>0</v>
      </c>
      <c r="L1771" s="119">
        <f t="shared" si="1103"/>
        <v>0</v>
      </c>
      <c r="M1771" s="119">
        <f t="shared" si="1103"/>
        <v>0</v>
      </c>
      <c r="N1771" s="119">
        <f t="shared" si="1103"/>
        <v>0</v>
      </c>
      <c r="O1771" s="119">
        <f t="shared" si="1103"/>
        <v>0</v>
      </c>
      <c r="P1771" s="119">
        <f t="shared" si="1103"/>
        <v>0</v>
      </c>
      <c r="Q1771" s="119">
        <f t="shared" si="1103"/>
        <v>0</v>
      </c>
      <c r="R1771" s="119">
        <f t="shared" si="1103"/>
        <v>0</v>
      </c>
      <c r="S1771" s="119">
        <f t="shared" si="1103"/>
        <v>0</v>
      </c>
      <c r="T1771" s="119">
        <f t="shared" si="1103"/>
        <v>0</v>
      </c>
      <c r="U1771" s="119">
        <f t="shared" si="1103"/>
        <v>0</v>
      </c>
      <c r="V1771" s="119">
        <f t="shared" si="1103"/>
        <v>0</v>
      </c>
      <c r="W1771" s="119">
        <f t="shared" si="1103"/>
        <v>0</v>
      </c>
      <c r="X1771" s="119">
        <f t="shared" si="1103"/>
        <v>0</v>
      </c>
    </row>
    <row r="1772" spans="2:24" hidden="1">
      <c r="B1772" s="117" t="str">
        <f t="shared" si="1098"/>
        <v/>
      </c>
      <c r="C1772" s="117" t="str">
        <f t="shared" si="1098"/>
        <v/>
      </c>
      <c r="D1772" s="117" t="str">
        <f t="shared" si="1098"/>
        <v/>
      </c>
      <c r="E1772" s="117" t="str">
        <f t="shared" si="1098"/>
        <v/>
      </c>
      <c r="F1772" s="117"/>
      <c r="G1772" s="117"/>
      <c r="H1772" s="117"/>
      <c r="I1772" s="117"/>
      <c r="J1772" s="117"/>
      <c r="K1772" s="119">
        <f t="shared" ref="K1772:X1772" si="1104">IF(AND($D1772="tak",OR($E1772="nie dotyczy",$E1772="badania przemysłowe"),LataProjekcji&lt;=Koniec_Projekt),K441,0)</f>
        <v>0</v>
      </c>
      <c r="L1772" s="119">
        <f t="shared" si="1104"/>
        <v>0</v>
      </c>
      <c r="M1772" s="119">
        <f t="shared" si="1104"/>
        <v>0</v>
      </c>
      <c r="N1772" s="119">
        <f t="shared" si="1104"/>
        <v>0</v>
      </c>
      <c r="O1772" s="119">
        <f t="shared" si="1104"/>
        <v>0</v>
      </c>
      <c r="P1772" s="119">
        <f t="shared" si="1104"/>
        <v>0</v>
      </c>
      <c r="Q1772" s="119">
        <f t="shared" si="1104"/>
        <v>0</v>
      </c>
      <c r="R1772" s="119">
        <f t="shared" si="1104"/>
        <v>0</v>
      </c>
      <c r="S1772" s="119">
        <f t="shared" si="1104"/>
        <v>0</v>
      </c>
      <c r="T1772" s="119">
        <f t="shared" si="1104"/>
        <v>0</v>
      </c>
      <c r="U1772" s="119">
        <f t="shared" si="1104"/>
        <v>0</v>
      </c>
      <c r="V1772" s="119">
        <f t="shared" si="1104"/>
        <v>0</v>
      </c>
      <c r="W1772" s="119">
        <f t="shared" si="1104"/>
        <v>0</v>
      </c>
      <c r="X1772" s="119">
        <f t="shared" si="1104"/>
        <v>0</v>
      </c>
    </row>
    <row r="1773" spans="2:24" hidden="1">
      <c r="B1773" s="117" t="str">
        <f t="shared" si="1098"/>
        <v/>
      </c>
      <c r="C1773" s="117" t="str">
        <f t="shared" si="1098"/>
        <v/>
      </c>
      <c r="D1773" s="117" t="str">
        <f t="shared" si="1098"/>
        <v/>
      </c>
      <c r="E1773" s="117" t="str">
        <f t="shared" si="1098"/>
        <v/>
      </c>
      <c r="F1773" s="117"/>
      <c r="G1773" s="117"/>
      <c r="H1773" s="117"/>
      <c r="I1773" s="117"/>
      <c r="J1773" s="117"/>
      <c r="K1773" s="119">
        <f t="shared" ref="K1773:X1773" si="1105">IF(AND($D1773="tak",OR($E1773="nie dotyczy",$E1773="badania przemysłowe"),LataProjekcji&lt;=Koniec_Projekt),K442,0)</f>
        <v>0</v>
      </c>
      <c r="L1773" s="119">
        <f t="shared" si="1105"/>
        <v>0</v>
      </c>
      <c r="M1773" s="119">
        <f t="shared" si="1105"/>
        <v>0</v>
      </c>
      <c r="N1773" s="119">
        <f t="shared" si="1105"/>
        <v>0</v>
      </c>
      <c r="O1773" s="119">
        <f t="shared" si="1105"/>
        <v>0</v>
      </c>
      <c r="P1773" s="119">
        <f t="shared" si="1105"/>
        <v>0</v>
      </c>
      <c r="Q1773" s="119">
        <f t="shared" si="1105"/>
        <v>0</v>
      </c>
      <c r="R1773" s="119">
        <f t="shared" si="1105"/>
        <v>0</v>
      </c>
      <c r="S1773" s="119">
        <f t="shared" si="1105"/>
        <v>0</v>
      </c>
      <c r="T1773" s="119">
        <f t="shared" si="1105"/>
        <v>0</v>
      </c>
      <c r="U1773" s="119">
        <f t="shared" si="1105"/>
        <v>0</v>
      </c>
      <c r="V1773" s="119">
        <f t="shared" si="1105"/>
        <v>0</v>
      </c>
      <c r="W1773" s="119">
        <f t="shared" si="1105"/>
        <v>0</v>
      </c>
      <c r="X1773" s="119">
        <f t="shared" si="1105"/>
        <v>0</v>
      </c>
    </row>
    <row r="1774" spans="2:24" hidden="1">
      <c r="B1774" s="117" t="str">
        <f t="shared" si="1098"/>
        <v/>
      </c>
      <c r="C1774" s="117" t="str">
        <f t="shared" si="1098"/>
        <v/>
      </c>
      <c r="D1774" s="117" t="str">
        <f t="shared" si="1098"/>
        <v/>
      </c>
      <c r="E1774" s="117" t="str">
        <f t="shared" si="1098"/>
        <v/>
      </c>
      <c r="F1774" s="117"/>
      <c r="G1774" s="117"/>
      <c r="H1774" s="117"/>
      <c r="I1774" s="117"/>
      <c r="J1774" s="117"/>
      <c r="K1774" s="119">
        <f t="shared" ref="K1774:X1774" si="1106">IF(AND($D1774="tak",OR($E1774="nie dotyczy",$E1774="badania przemysłowe"),LataProjekcji&lt;=Koniec_Projekt),K443,0)</f>
        <v>0</v>
      </c>
      <c r="L1774" s="119">
        <f t="shared" si="1106"/>
        <v>0</v>
      </c>
      <c r="M1774" s="119">
        <f t="shared" si="1106"/>
        <v>0</v>
      </c>
      <c r="N1774" s="119">
        <f t="shared" si="1106"/>
        <v>0</v>
      </c>
      <c r="O1774" s="119">
        <f t="shared" si="1106"/>
        <v>0</v>
      </c>
      <c r="P1774" s="119">
        <f t="shared" si="1106"/>
        <v>0</v>
      </c>
      <c r="Q1774" s="119">
        <f t="shared" si="1106"/>
        <v>0</v>
      </c>
      <c r="R1774" s="119">
        <f t="shared" si="1106"/>
        <v>0</v>
      </c>
      <c r="S1774" s="119">
        <f t="shared" si="1106"/>
        <v>0</v>
      </c>
      <c r="T1774" s="119">
        <f t="shared" si="1106"/>
        <v>0</v>
      </c>
      <c r="U1774" s="119">
        <f t="shared" si="1106"/>
        <v>0</v>
      </c>
      <c r="V1774" s="119">
        <f t="shared" si="1106"/>
        <v>0</v>
      </c>
      <c r="W1774" s="119">
        <f t="shared" si="1106"/>
        <v>0</v>
      </c>
      <c r="X1774" s="119">
        <f t="shared" si="1106"/>
        <v>0</v>
      </c>
    </row>
    <row r="1775" spans="2:24" hidden="1">
      <c r="B1775" s="117" t="str">
        <f t="shared" si="1098"/>
        <v/>
      </c>
      <c r="C1775" s="117" t="str">
        <f t="shared" si="1098"/>
        <v/>
      </c>
      <c r="D1775" s="117" t="str">
        <f t="shared" si="1098"/>
        <v/>
      </c>
      <c r="E1775" s="117" t="str">
        <f t="shared" si="1098"/>
        <v/>
      </c>
      <c r="F1775" s="117"/>
      <c r="G1775" s="117"/>
      <c r="H1775" s="117"/>
      <c r="I1775" s="117"/>
      <c r="J1775" s="117"/>
      <c r="K1775" s="119">
        <f t="shared" ref="K1775:X1775" si="1107">IF(AND($D1775="tak",OR($E1775="nie dotyczy",$E1775="badania przemysłowe"),LataProjekcji&lt;=Koniec_Projekt),K444,0)</f>
        <v>0</v>
      </c>
      <c r="L1775" s="119">
        <f t="shared" si="1107"/>
        <v>0</v>
      </c>
      <c r="M1775" s="119">
        <f t="shared" si="1107"/>
        <v>0</v>
      </c>
      <c r="N1775" s="119">
        <f t="shared" si="1107"/>
        <v>0</v>
      </c>
      <c r="O1775" s="119">
        <f t="shared" si="1107"/>
        <v>0</v>
      </c>
      <c r="P1775" s="119">
        <f t="shared" si="1107"/>
        <v>0</v>
      </c>
      <c r="Q1775" s="119">
        <f t="shared" si="1107"/>
        <v>0</v>
      </c>
      <c r="R1775" s="119">
        <f t="shared" si="1107"/>
        <v>0</v>
      </c>
      <c r="S1775" s="119">
        <f t="shared" si="1107"/>
        <v>0</v>
      </c>
      <c r="T1775" s="119">
        <f t="shared" si="1107"/>
        <v>0</v>
      </c>
      <c r="U1775" s="119">
        <f t="shared" si="1107"/>
        <v>0</v>
      </c>
      <c r="V1775" s="119">
        <f t="shared" si="1107"/>
        <v>0</v>
      </c>
      <c r="W1775" s="119">
        <f t="shared" si="1107"/>
        <v>0</v>
      </c>
      <c r="X1775" s="119">
        <f t="shared" si="1107"/>
        <v>0</v>
      </c>
    </row>
    <row r="1776" spans="2:24" hidden="1">
      <c r="B1776" s="117" t="str">
        <f t="shared" si="1098"/>
        <v/>
      </c>
      <c r="C1776" s="117" t="str">
        <f t="shared" si="1098"/>
        <v/>
      </c>
      <c r="D1776" s="117" t="str">
        <f t="shared" si="1098"/>
        <v/>
      </c>
      <c r="E1776" s="117" t="str">
        <f t="shared" si="1098"/>
        <v/>
      </c>
      <c r="F1776" s="117"/>
      <c r="G1776" s="117"/>
      <c r="H1776" s="117"/>
      <c r="I1776" s="117"/>
      <c r="J1776" s="117"/>
      <c r="K1776" s="119">
        <f t="shared" ref="K1776:X1776" si="1108">IF(AND($D1776="tak",OR($E1776="nie dotyczy",$E1776="badania przemysłowe"),LataProjekcji&lt;=Koniec_Projekt),K445,0)</f>
        <v>0</v>
      </c>
      <c r="L1776" s="119">
        <f t="shared" si="1108"/>
        <v>0</v>
      </c>
      <c r="M1776" s="119">
        <f t="shared" si="1108"/>
        <v>0</v>
      </c>
      <c r="N1776" s="119">
        <f t="shared" si="1108"/>
        <v>0</v>
      </c>
      <c r="O1776" s="119">
        <f t="shared" si="1108"/>
        <v>0</v>
      </c>
      <c r="P1776" s="119">
        <f t="shared" si="1108"/>
        <v>0</v>
      </c>
      <c r="Q1776" s="119">
        <f t="shared" si="1108"/>
        <v>0</v>
      </c>
      <c r="R1776" s="119">
        <f t="shared" si="1108"/>
        <v>0</v>
      </c>
      <c r="S1776" s="119">
        <f t="shared" si="1108"/>
        <v>0</v>
      </c>
      <c r="T1776" s="119">
        <f t="shared" si="1108"/>
        <v>0</v>
      </c>
      <c r="U1776" s="119">
        <f t="shared" si="1108"/>
        <v>0</v>
      </c>
      <c r="V1776" s="119">
        <f t="shared" si="1108"/>
        <v>0</v>
      </c>
      <c r="W1776" s="119">
        <f t="shared" si="1108"/>
        <v>0</v>
      </c>
      <c r="X1776" s="119">
        <f t="shared" si="1108"/>
        <v>0</v>
      </c>
    </row>
    <row r="1777" spans="2:24" hidden="1">
      <c r="B1777" s="117" t="str">
        <f t="shared" si="1098"/>
        <v/>
      </c>
      <c r="C1777" s="117" t="str">
        <f t="shared" si="1098"/>
        <v/>
      </c>
      <c r="D1777" s="117" t="str">
        <f t="shared" si="1098"/>
        <v/>
      </c>
      <c r="E1777" s="117" t="str">
        <f t="shared" si="1098"/>
        <v/>
      </c>
      <c r="F1777" s="117"/>
      <c r="G1777" s="117"/>
      <c r="H1777" s="117"/>
      <c r="I1777" s="117"/>
      <c r="J1777" s="117"/>
      <c r="K1777" s="119">
        <f t="shared" ref="K1777:X1777" si="1109">IF(AND($D1777="tak",OR($E1777="nie dotyczy",$E1777="badania przemysłowe"),LataProjekcji&lt;=Koniec_Projekt),K446,0)</f>
        <v>0</v>
      </c>
      <c r="L1777" s="119">
        <f t="shared" si="1109"/>
        <v>0</v>
      </c>
      <c r="M1777" s="119">
        <f t="shared" si="1109"/>
        <v>0</v>
      </c>
      <c r="N1777" s="119">
        <f t="shared" si="1109"/>
        <v>0</v>
      </c>
      <c r="O1777" s="119">
        <f t="shared" si="1109"/>
        <v>0</v>
      </c>
      <c r="P1777" s="119">
        <f t="shared" si="1109"/>
        <v>0</v>
      </c>
      <c r="Q1777" s="119">
        <f t="shared" si="1109"/>
        <v>0</v>
      </c>
      <c r="R1777" s="119">
        <f t="shared" si="1109"/>
        <v>0</v>
      </c>
      <c r="S1777" s="119">
        <f t="shared" si="1109"/>
        <v>0</v>
      </c>
      <c r="T1777" s="119">
        <f t="shared" si="1109"/>
        <v>0</v>
      </c>
      <c r="U1777" s="119">
        <f t="shared" si="1109"/>
        <v>0</v>
      </c>
      <c r="V1777" s="119">
        <f t="shared" si="1109"/>
        <v>0</v>
      </c>
      <c r="W1777" s="119">
        <f t="shared" si="1109"/>
        <v>0</v>
      </c>
      <c r="X1777" s="119">
        <f t="shared" si="1109"/>
        <v>0</v>
      </c>
    </row>
    <row r="1778" spans="2:24" hidden="1">
      <c r="B1778" s="117" t="str">
        <f t="shared" si="1098"/>
        <v/>
      </c>
      <c r="C1778" s="117" t="str">
        <f t="shared" si="1098"/>
        <v/>
      </c>
      <c r="D1778" s="117" t="str">
        <f t="shared" si="1098"/>
        <v/>
      </c>
      <c r="E1778" s="117" t="str">
        <f t="shared" si="1098"/>
        <v/>
      </c>
      <c r="F1778" s="117"/>
      <c r="G1778" s="117"/>
      <c r="H1778" s="117"/>
      <c r="I1778" s="117"/>
      <c r="J1778" s="117"/>
      <c r="K1778" s="119">
        <f t="shared" ref="K1778:X1778" si="1110">IF(AND($D1778="tak",OR($E1778="nie dotyczy",$E1778="badania przemysłowe"),LataProjekcji&lt;=Koniec_Projekt),K447,0)</f>
        <v>0</v>
      </c>
      <c r="L1778" s="119">
        <f t="shared" si="1110"/>
        <v>0</v>
      </c>
      <c r="M1778" s="119">
        <f t="shared" si="1110"/>
        <v>0</v>
      </c>
      <c r="N1778" s="119">
        <f t="shared" si="1110"/>
        <v>0</v>
      </c>
      <c r="O1778" s="119">
        <f t="shared" si="1110"/>
        <v>0</v>
      </c>
      <c r="P1778" s="119">
        <f t="shared" si="1110"/>
        <v>0</v>
      </c>
      <c r="Q1778" s="119">
        <f t="shared" si="1110"/>
        <v>0</v>
      </c>
      <c r="R1778" s="119">
        <f t="shared" si="1110"/>
        <v>0</v>
      </c>
      <c r="S1778" s="119">
        <f t="shared" si="1110"/>
        <v>0</v>
      </c>
      <c r="T1778" s="119">
        <f t="shared" si="1110"/>
        <v>0</v>
      </c>
      <c r="U1778" s="119">
        <f t="shared" si="1110"/>
        <v>0</v>
      </c>
      <c r="V1778" s="119">
        <f t="shared" si="1110"/>
        <v>0</v>
      </c>
      <c r="W1778" s="119">
        <f t="shared" si="1110"/>
        <v>0</v>
      </c>
      <c r="X1778" s="119">
        <f t="shared" si="1110"/>
        <v>0</v>
      </c>
    </row>
    <row r="1779" spans="2:24" hidden="1">
      <c r="B1779" s="117" t="str">
        <f t="shared" si="1098"/>
        <v/>
      </c>
      <c r="C1779" s="117" t="str">
        <f t="shared" si="1098"/>
        <v/>
      </c>
      <c r="D1779" s="117" t="str">
        <f t="shared" si="1098"/>
        <v/>
      </c>
      <c r="E1779" s="117" t="str">
        <f t="shared" si="1098"/>
        <v/>
      </c>
      <c r="F1779" s="117"/>
      <c r="G1779" s="117"/>
      <c r="H1779" s="117"/>
      <c r="I1779" s="117"/>
      <c r="J1779" s="117"/>
      <c r="K1779" s="119">
        <f t="shared" ref="K1779:X1779" si="1111">IF(AND($D1779="tak",OR($E1779="nie dotyczy",$E1779="badania przemysłowe"),LataProjekcji&lt;=Koniec_Projekt),K448,0)</f>
        <v>0</v>
      </c>
      <c r="L1779" s="119">
        <f t="shared" si="1111"/>
        <v>0</v>
      </c>
      <c r="M1779" s="119">
        <f t="shared" si="1111"/>
        <v>0</v>
      </c>
      <c r="N1779" s="119">
        <f t="shared" si="1111"/>
        <v>0</v>
      </c>
      <c r="O1779" s="119">
        <f t="shared" si="1111"/>
        <v>0</v>
      </c>
      <c r="P1779" s="119">
        <f t="shared" si="1111"/>
        <v>0</v>
      </c>
      <c r="Q1779" s="119">
        <f t="shared" si="1111"/>
        <v>0</v>
      </c>
      <c r="R1779" s="119">
        <f t="shared" si="1111"/>
        <v>0</v>
      </c>
      <c r="S1779" s="119">
        <f t="shared" si="1111"/>
        <v>0</v>
      </c>
      <c r="T1779" s="119">
        <f t="shared" si="1111"/>
        <v>0</v>
      </c>
      <c r="U1779" s="119">
        <f t="shared" si="1111"/>
        <v>0</v>
      </c>
      <c r="V1779" s="119">
        <f t="shared" si="1111"/>
        <v>0</v>
      </c>
      <c r="W1779" s="119">
        <f t="shared" si="1111"/>
        <v>0</v>
      </c>
      <c r="X1779" s="119">
        <f t="shared" si="1111"/>
        <v>0</v>
      </c>
    </row>
    <row r="1780" spans="2:24" hidden="1">
      <c r="B1780" s="117" t="str">
        <f t="shared" si="1098"/>
        <v/>
      </c>
      <c r="C1780" s="117" t="str">
        <f t="shared" si="1098"/>
        <v/>
      </c>
      <c r="D1780" s="117" t="str">
        <f t="shared" si="1098"/>
        <v/>
      </c>
      <c r="E1780" s="117" t="str">
        <f t="shared" si="1098"/>
        <v/>
      </c>
      <c r="F1780" s="117"/>
      <c r="G1780" s="117"/>
      <c r="H1780" s="117"/>
      <c r="I1780" s="117"/>
      <c r="J1780" s="117"/>
      <c r="K1780" s="119">
        <f t="shared" ref="K1780:X1780" si="1112">IF(AND($D1780="tak",OR($E1780="nie dotyczy",$E1780="badania przemysłowe"),LataProjekcji&lt;=Koniec_Projekt),K449,0)</f>
        <v>0</v>
      </c>
      <c r="L1780" s="119">
        <f t="shared" si="1112"/>
        <v>0</v>
      </c>
      <c r="M1780" s="119">
        <f t="shared" si="1112"/>
        <v>0</v>
      </c>
      <c r="N1780" s="119">
        <f t="shared" si="1112"/>
        <v>0</v>
      </c>
      <c r="O1780" s="119">
        <f t="shared" si="1112"/>
        <v>0</v>
      </c>
      <c r="P1780" s="119">
        <f t="shared" si="1112"/>
        <v>0</v>
      </c>
      <c r="Q1780" s="119">
        <f t="shared" si="1112"/>
        <v>0</v>
      </c>
      <c r="R1780" s="119">
        <f t="shared" si="1112"/>
        <v>0</v>
      </c>
      <c r="S1780" s="119">
        <f t="shared" si="1112"/>
        <v>0</v>
      </c>
      <c r="T1780" s="119">
        <f t="shared" si="1112"/>
        <v>0</v>
      </c>
      <c r="U1780" s="119">
        <f t="shared" si="1112"/>
        <v>0</v>
      </c>
      <c r="V1780" s="119">
        <f t="shared" si="1112"/>
        <v>0</v>
      </c>
      <c r="W1780" s="119">
        <f t="shared" si="1112"/>
        <v>0</v>
      </c>
      <c r="X1780" s="119">
        <f t="shared" si="1112"/>
        <v>0</v>
      </c>
    </row>
    <row r="1781" spans="2:24" hidden="1">
      <c r="B1781" s="117" t="str">
        <f t="shared" si="1098"/>
        <v/>
      </c>
      <c r="C1781" s="117" t="str">
        <f t="shared" si="1098"/>
        <v/>
      </c>
      <c r="D1781" s="117" t="str">
        <f t="shared" si="1098"/>
        <v/>
      </c>
      <c r="E1781" s="117" t="str">
        <f t="shared" si="1098"/>
        <v/>
      </c>
      <c r="F1781" s="117"/>
      <c r="G1781" s="117"/>
      <c r="H1781" s="117"/>
      <c r="I1781" s="117"/>
      <c r="J1781" s="117"/>
      <c r="K1781" s="119">
        <f t="shared" ref="K1781:X1781" si="1113">IF(AND($D1781="tak",OR($E1781="nie dotyczy",$E1781="badania przemysłowe"),LataProjekcji&lt;=Koniec_Projekt),K450,0)</f>
        <v>0</v>
      </c>
      <c r="L1781" s="119">
        <f t="shared" si="1113"/>
        <v>0</v>
      </c>
      <c r="M1781" s="119">
        <f t="shared" si="1113"/>
        <v>0</v>
      </c>
      <c r="N1781" s="119">
        <f t="shared" si="1113"/>
        <v>0</v>
      </c>
      <c r="O1781" s="119">
        <f t="shared" si="1113"/>
        <v>0</v>
      </c>
      <c r="P1781" s="119">
        <f t="shared" si="1113"/>
        <v>0</v>
      </c>
      <c r="Q1781" s="119">
        <f t="shared" si="1113"/>
        <v>0</v>
      </c>
      <c r="R1781" s="119">
        <f t="shared" si="1113"/>
        <v>0</v>
      </c>
      <c r="S1781" s="119">
        <f t="shared" si="1113"/>
        <v>0</v>
      </c>
      <c r="T1781" s="119">
        <f t="shared" si="1113"/>
        <v>0</v>
      </c>
      <c r="U1781" s="119">
        <f t="shared" si="1113"/>
        <v>0</v>
      </c>
      <c r="V1781" s="119">
        <f t="shared" si="1113"/>
        <v>0</v>
      </c>
      <c r="W1781" s="119">
        <f t="shared" si="1113"/>
        <v>0</v>
      </c>
      <c r="X1781" s="119">
        <f t="shared" si="1113"/>
        <v>0</v>
      </c>
    </row>
    <row r="1782" spans="2:24" hidden="1">
      <c r="B1782" s="117" t="str">
        <f t="shared" si="1098"/>
        <v/>
      </c>
      <c r="C1782" s="117" t="str">
        <f t="shared" si="1098"/>
        <v/>
      </c>
      <c r="D1782" s="117" t="str">
        <f t="shared" si="1098"/>
        <v/>
      </c>
      <c r="E1782" s="117" t="str">
        <f t="shared" si="1098"/>
        <v/>
      </c>
      <c r="F1782" s="117"/>
      <c r="G1782" s="117"/>
      <c r="H1782" s="117"/>
      <c r="I1782" s="117"/>
      <c r="J1782" s="117"/>
      <c r="K1782" s="119">
        <f t="shared" ref="K1782:X1782" si="1114">IF(AND($D1782="tak",OR($E1782="nie dotyczy",$E1782="badania przemysłowe"),LataProjekcji&lt;=Koniec_Projekt),K451,0)</f>
        <v>0</v>
      </c>
      <c r="L1782" s="119">
        <f t="shared" si="1114"/>
        <v>0</v>
      </c>
      <c r="M1782" s="119">
        <f t="shared" si="1114"/>
        <v>0</v>
      </c>
      <c r="N1782" s="119">
        <f t="shared" si="1114"/>
        <v>0</v>
      </c>
      <c r="O1782" s="119">
        <f t="shared" si="1114"/>
        <v>0</v>
      </c>
      <c r="P1782" s="119">
        <f t="shared" si="1114"/>
        <v>0</v>
      </c>
      <c r="Q1782" s="119">
        <f t="shared" si="1114"/>
        <v>0</v>
      </c>
      <c r="R1782" s="119">
        <f t="shared" si="1114"/>
        <v>0</v>
      </c>
      <c r="S1782" s="119">
        <f t="shared" si="1114"/>
        <v>0</v>
      </c>
      <c r="T1782" s="119">
        <f t="shared" si="1114"/>
        <v>0</v>
      </c>
      <c r="U1782" s="119">
        <f t="shared" si="1114"/>
        <v>0</v>
      </c>
      <c r="V1782" s="119">
        <f t="shared" si="1114"/>
        <v>0</v>
      </c>
      <c r="W1782" s="119">
        <f t="shared" si="1114"/>
        <v>0</v>
      </c>
      <c r="X1782" s="119">
        <f t="shared" si="1114"/>
        <v>0</v>
      </c>
    </row>
    <row r="1783" spans="2:24" hidden="1">
      <c r="B1783" s="117" t="str">
        <f t="shared" si="1098"/>
        <v/>
      </c>
      <c r="C1783" s="117" t="str">
        <f t="shared" si="1098"/>
        <v/>
      </c>
      <c r="D1783" s="117" t="str">
        <f t="shared" si="1098"/>
        <v/>
      </c>
      <c r="E1783" s="117" t="str">
        <f t="shared" si="1098"/>
        <v/>
      </c>
      <c r="F1783" s="117"/>
      <c r="G1783" s="117"/>
      <c r="H1783" s="117"/>
      <c r="I1783" s="117"/>
      <c r="J1783" s="117"/>
      <c r="K1783" s="119">
        <f t="shared" ref="K1783:X1783" si="1115">IF(AND($D1783="tak",OR($E1783="nie dotyczy",$E1783="badania przemysłowe"),LataProjekcji&lt;=Koniec_Projekt),K452,0)</f>
        <v>0</v>
      </c>
      <c r="L1783" s="119">
        <f t="shared" si="1115"/>
        <v>0</v>
      </c>
      <c r="M1783" s="119">
        <f t="shared" si="1115"/>
        <v>0</v>
      </c>
      <c r="N1783" s="119">
        <f t="shared" si="1115"/>
        <v>0</v>
      </c>
      <c r="O1783" s="119">
        <f t="shared" si="1115"/>
        <v>0</v>
      </c>
      <c r="P1783" s="119">
        <f t="shared" si="1115"/>
        <v>0</v>
      </c>
      <c r="Q1783" s="119">
        <f t="shared" si="1115"/>
        <v>0</v>
      </c>
      <c r="R1783" s="119">
        <f t="shared" si="1115"/>
        <v>0</v>
      </c>
      <c r="S1783" s="119">
        <f t="shared" si="1115"/>
        <v>0</v>
      </c>
      <c r="T1783" s="119">
        <f t="shared" si="1115"/>
        <v>0</v>
      </c>
      <c r="U1783" s="119">
        <f t="shared" si="1115"/>
        <v>0</v>
      </c>
      <c r="V1783" s="119">
        <f t="shared" si="1115"/>
        <v>0</v>
      </c>
      <c r="W1783" s="119">
        <f t="shared" si="1115"/>
        <v>0</v>
      </c>
      <c r="X1783" s="119">
        <f t="shared" si="1115"/>
        <v>0</v>
      </c>
    </row>
    <row r="1784" spans="2:24" hidden="1">
      <c r="B1784" s="117" t="str">
        <f t="shared" si="1098"/>
        <v/>
      </c>
      <c r="C1784" s="117" t="str">
        <f t="shared" si="1098"/>
        <v/>
      </c>
      <c r="D1784" s="117" t="str">
        <f t="shared" si="1098"/>
        <v/>
      </c>
      <c r="E1784" s="117" t="str">
        <f t="shared" si="1098"/>
        <v/>
      </c>
      <c r="F1784" s="117"/>
      <c r="G1784" s="117"/>
      <c r="H1784" s="117"/>
      <c r="I1784" s="117"/>
      <c r="J1784" s="117"/>
      <c r="K1784" s="119">
        <f t="shared" ref="K1784:X1784" si="1116">IF(AND($D1784="tak",OR($E1784="nie dotyczy",$E1784="badania przemysłowe"),LataProjekcji&lt;=Koniec_Projekt),K453,0)</f>
        <v>0</v>
      </c>
      <c r="L1784" s="119">
        <f t="shared" si="1116"/>
        <v>0</v>
      </c>
      <c r="M1784" s="119">
        <f t="shared" si="1116"/>
        <v>0</v>
      </c>
      <c r="N1784" s="119">
        <f t="shared" si="1116"/>
        <v>0</v>
      </c>
      <c r="O1784" s="119">
        <f t="shared" si="1116"/>
        <v>0</v>
      </c>
      <c r="P1784" s="119">
        <f t="shared" si="1116"/>
        <v>0</v>
      </c>
      <c r="Q1784" s="119">
        <f t="shared" si="1116"/>
        <v>0</v>
      </c>
      <c r="R1784" s="119">
        <f t="shared" si="1116"/>
        <v>0</v>
      </c>
      <c r="S1784" s="119">
        <f t="shared" si="1116"/>
        <v>0</v>
      </c>
      <c r="T1784" s="119">
        <f t="shared" si="1116"/>
        <v>0</v>
      </c>
      <c r="U1784" s="119">
        <f t="shared" si="1116"/>
        <v>0</v>
      </c>
      <c r="V1784" s="119">
        <f t="shared" si="1116"/>
        <v>0</v>
      </c>
      <c r="W1784" s="119">
        <f t="shared" si="1116"/>
        <v>0</v>
      </c>
      <c r="X1784" s="119">
        <f t="shared" si="1116"/>
        <v>0</v>
      </c>
    </row>
    <row r="1785" spans="2:24" hidden="1">
      <c r="B1785" s="117" t="str">
        <f t="shared" si="1098"/>
        <v/>
      </c>
      <c r="C1785" s="117" t="str">
        <f t="shared" si="1098"/>
        <v/>
      </c>
      <c r="D1785" s="117" t="str">
        <f t="shared" si="1098"/>
        <v/>
      </c>
      <c r="E1785" s="117" t="str">
        <f t="shared" si="1098"/>
        <v/>
      </c>
      <c r="F1785" s="117"/>
      <c r="G1785" s="117"/>
      <c r="H1785" s="117"/>
      <c r="I1785" s="117"/>
      <c r="J1785" s="117"/>
      <c r="K1785" s="119">
        <f t="shared" ref="K1785:X1785" si="1117">IF(AND($D1785="tak",OR($E1785="nie dotyczy",$E1785="badania przemysłowe"),LataProjekcji&lt;=Koniec_Projekt),K454,0)</f>
        <v>0</v>
      </c>
      <c r="L1785" s="119">
        <f t="shared" si="1117"/>
        <v>0</v>
      </c>
      <c r="M1785" s="119">
        <f t="shared" si="1117"/>
        <v>0</v>
      </c>
      <c r="N1785" s="119">
        <f t="shared" si="1117"/>
        <v>0</v>
      </c>
      <c r="O1785" s="119">
        <f t="shared" si="1117"/>
        <v>0</v>
      </c>
      <c r="P1785" s="119">
        <f t="shared" si="1117"/>
        <v>0</v>
      </c>
      <c r="Q1785" s="119">
        <f t="shared" si="1117"/>
        <v>0</v>
      </c>
      <c r="R1785" s="119">
        <f t="shared" si="1117"/>
        <v>0</v>
      </c>
      <c r="S1785" s="119">
        <f t="shared" si="1117"/>
        <v>0</v>
      </c>
      <c r="T1785" s="119">
        <f t="shared" si="1117"/>
        <v>0</v>
      </c>
      <c r="U1785" s="119">
        <f t="shared" si="1117"/>
        <v>0</v>
      </c>
      <c r="V1785" s="119">
        <f t="shared" si="1117"/>
        <v>0</v>
      </c>
      <c r="W1785" s="119">
        <f t="shared" si="1117"/>
        <v>0</v>
      </c>
      <c r="X1785" s="119">
        <f t="shared" si="1117"/>
        <v>0</v>
      </c>
    </row>
    <row r="1786" spans="2:24" hidden="1">
      <c r="B1786" s="117" t="str">
        <f t="shared" si="1098"/>
        <v/>
      </c>
      <c r="C1786" s="117" t="str">
        <f t="shared" si="1098"/>
        <v/>
      </c>
      <c r="D1786" s="117" t="str">
        <f t="shared" si="1098"/>
        <v/>
      </c>
      <c r="E1786" s="117" t="str">
        <f t="shared" si="1098"/>
        <v/>
      </c>
      <c r="F1786" s="117"/>
      <c r="G1786" s="117"/>
      <c r="H1786" s="117"/>
      <c r="I1786" s="117"/>
      <c r="J1786" s="117"/>
      <c r="K1786" s="119">
        <f t="shared" ref="K1786:X1786" si="1118">IF(AND($D1786="tak",OR($E1786="nie dotyczy",$E1786="badania przemysłowe"),LataProjekcji&lt;=Koniec_Projekt),K455,0)</f>
        <v>0</v>
      </c>
      <c r="L1786" s="119">
        <f t="shared" si="1118"/>
        <v>0</v>
      </c>
      <c r="M1786" s="119">
        <f t="shared" si="1118"/>
        <v>0</v>
      </c>
      <c r="N1786" s="119">
        <f t="shared" si="1118"/>
        <v>0</v>
      </c>
      <c r="O1786" s="119">
        <f t="shared" si="1118"/>
        <v>0</v>
      </c>
      <c r="P1786" s="119">
        <f t="shared" si="1118"/>
        <v>0</v>
      </c>
      <c r="Q1786" s="119">
        <f t="shared" si="1118"/>
        <v>0</v>
      </c>
      <c r="R1786" s="119">
        <f t="shared" si="1118"/>
        <v>0</v>
      </c>
      <c r="S1786" s="119">
        <f t="shared" si="1118"/>
        <v>0</v>
      </c>
      <c r="T1786" s="119">
        <f t="shared" si="1118"/>
        <v>0</v>
      </c>
      <c r="U1786" s="119">
        <f t="shared" si="1118"/>
        <v>0</v>
      </c>
      <c r="V1786" s="119">
        <f t="shared" si="1118"/>
        <v>0</v>
      </c>
      <c r="W1786" s="119">
        <f t="shared" si="1118"/>
        <v>0</v>
      </c>
      <c r="X1786" s="119">
        <f t="shared" si="1118"/>
        <v>0</v>
      </c>
    </row>
    <row r="1787" spans="2:24" hidden="1">
      <c r="B1787" s="117" t="str">
        <f t="shared" ref="B1787:E1806" si="1119">IF(ISBLANK(B1547),"",B1547)</f>
        <v/>
      </c>
      <c r="C1787" s="117" t="str">
        <f t="shared" si="1119"/>
        <v/>
      </c>
      <c r="D1787" s="117" t="str">
        <f t="shared" si="1119"/>
        <v/>
      </c>
      <c r="E1787" s="117" t="str">
        <f t="shared" si="1119"/>
        <v/>
      </c>
      <c r="F1787" s="117"/>
      <c r="G1787" s="117"/>
      <c r="H1787" s="117"/>
      <c r="I1787" s="117"/>
      <c r="J1787" s="117"/>
      <c r="K1787" s="119">
        <f t="shared" ref="K1787:X1787" si="1120">IF(AND($D1787="tak",OR($E1787="nie dotyczy",$E1787="badania przemysłowe"),LataProjekcji&lt;=Koniec_Projekt),K456,0)</f>
        <v>0</v>
      </c>
      <c r="L1787" s="119">
        <f t="shared" si="1120"/>
        <v>0</v>
      </c>
      <c r="M1787" s="119">
        <f t="shared" si="1120"/>
        <v>0</v>
      </c>
      <c r="N1787" s="119">
        <f t="shared" si="1120"/>
        <v>0</v>
      </c>
      <c r="O1787" s="119">
        <f t="shared" si="1120"/>
        <v>0</v>
      </c>
      <c r="P1787" s="119">
        <f t="shared" si="1120"/>
        <v>0</v>
      </c>
      <c r="Q1787" s="119">
        <f t="shared" si="1120"/>
        <v>0</v>
      </c>
      <c r="R1787" s="119">
        <f t="shared" si="1120"/>
        <v>0</v>
      </c>
      <c r="S1787" s="119">
        <f t="shared" si="1120"/>
        <v>0</v>
      </c>
      <c r="T1787" s="119">
        <f t="shared" si="1120"/>
        <v>0</v>
      </c>
      <c r="U1787" s="119">
        <f t="shared" si="1120"/>
        <v>0</v>
      </c>
      <c r="V1787" s="119">
        <f t="shared" si="1120"/>
        <v>0</v>
      </c>
      <c r="W1787" s="119">
        <f t="shared" si="1120"/>
        <v>0</v>
      </c>
      <c r="X1787" s="119">
        <f t="shared" si="1120"/>
        <v>0</v>
      </c>
    </row>
    <row r="1788" spans="2:24" hidden="1">
      <c r="B1788" s="117" t="str">
        <f t="shared" si="1119"/>
        <v/>
      </c>
      <c r="C1788" s="117" t="str">
        <f t="shared" si="1119"/>
        <v/>
      </c>
      <c r="D1788" s="117" t="str">
        <f t="shared" si="1119"/>
        <v/>
      </c>
      <c r="E1788" s="117" t="str">
        <f t="shared" si="1119"/>
        <v/>
      </c>
      <c r="F1788" s="117"/>
      <c r="G1788" s="117"/>
      <c r="H1788" s="117"/>
      <c r="I1788" s="117"/>
      <c r="J1788" s="117"/>
      <c r="K1788" s="119">
        <f t="shared" ref="K1788:X1788" si="1121">IF(AND($D1788="tak",OR($E1788="nie dotyczy",$E1788="badania przemysłowe"),LataProjekcji&lt;=Koniec_Projekt),K457,0)</f>
        <v>0</v>
      </c>
      <c r="L1788" s="119">
        <f t="shared" si="1121"/>
        <v>0</v>
      </c>
      <c r="M1788" s="119">
        <f t="shared" si="1121"/>
        <v>0</v>
      </c>
      <c r="N1788" s="119">
        <f t="shared" si="1121"/>
        <v>0</v>
      </c>
      <c r="O1788" s="119">
        <f t="shared" si="1121"/>
        <v>0</v>
      </c>
      <c r="P1788" s="119">
        <f t="shared" si="1121"/>
        <v>0</v>
      </c>
      <c r="Q1788" s="119">
        <f t="shared" si="1121"/>
        <v>0</v>
      </c>
      <c r="R1788" s="119">
        <f t="shared" si="1121"/>
        <v>0</v>
      </c>
      <c r="S1788" s="119">
        <f t="shared" si="1121"/>
        <v>0</v>
      </c>
      <c r="T1788" s="119">
        <f t="shared" si="1121"/>
        <v>0</v>
      </c>
      <c r="U1788" s="119">
        <f t="shared" si="1121"/>
        <v>0</v>
      </c>
      <c r="V1788" s="119">
        <f t="shared" si="1121"/>
        <v>0</v>
      </c>
      <c r="W1788" s="119">
        <f t="shared" si="1121"/>
        <v>0</v>
      </c>
      <c r="X1788" s="119">
        <f t="shared" si="1121"/>
        <v>0</v>
      </c>
    </row>
    <row r="1789" spans="2:24" hidden="1">
      <c r="B1789" s="117" t="str">
        <f t="shared" si="1119"/>
        <v/>
      </c>
      <c r="C1789" s="117" t="str">
        <f t="shared" si="1119"/>
        <v/>
      </c>
      <c r="D1789" s="117" t="str">
        <f t="shared" si="1119"/>
        <v/>
      </c>
      <c r="E1789" s="117" t="str">
        <f t="shared" si="1119"/>
        <v/>
      </c>
      <c r="F1789" s="117"/>
      <c r="G1789" s="117"/>
      <c r="H1789" s="117"/>
      <c r="I1789" s="117"/>
      <c r="J1789" s="117"/>
      <c r="K1789" s="119">
        <f t="shared" ref="K1789:X1789" si="1122">IF(AND($D1789="tak",OR($E1789="nie dotyczy",$E1789="badania przemysłowe"),LataProjekcji&lt;=Koniec_Projekt),K458,0)</f>
        <v>0</v>
      </c>
      <c r="L1789" s="119">
        <f t="shared" si="1122"/>
        <v>0</v>
      </c>
      <c r="M1789" s="119">
        <f t="shared" si="1122"/>
        <v>0</v>
      </c>
      <c r="N1789" s="119">
        <f t="shared" si="1122"/>
        <v>0</v>
      </c>
      <c r="O1789" s="119">
        <f t="shared" si="1122"/>
        <v>0</v>
      </c>
      <c r="P1789" s="119">
        <f t="shared" si="1122"/>
        <v>0</v>
      </c>
      <c r="Q1789" s="119">
        <f t="shared" si="1122"/>
        <v>0</v>
      </c>
      <c r="R1789" s="119">
        <f t="shared" si="1122"/>
        <v>0</v>
      </c>
      <c r="S1789" s="119">
        <f t="shared" si="1122"/>
        <v>0</v>
      </c>
      <c r="T1789" s="119">
        <f t="shared" si="1122"/>
        <v>0</v>
      </c>
      <c r="U1789" s="119">
        <f t="shared" si="1122"/>
        <v>0</v>
      </c>
      <c r="V1789" s="119">
        <f t="shared" si="1122"/>
        <v>0</v>
      </c>
      <c r="W1789" s="119">
        <f t="shared" si="1122"/>
        <v>0</v>
      </c>
      <c r="X1789" s="119">
        <f t="shared" si="1122"/>
        <v>0</v>
      </c>
    </row>
    <row r="1790" spans="2:24" hidden="1">
      <c r="B1790" s="117" t="str">
        <f t="shared" si="1119"/>
        <v/>
      </c>
      <c r="C1790" s="117" t="str">
        <f t="shared" si="1119"/>
        <v/>
      </c>
      <c r="D1790" s="117" t="str">
        <f t="shared" si="1119"/>
        <v/>
      </c>
      <c r="E1790" s="117" t="str">
        <f t="shared" si="1119"/>
        <v/>
      </c>
      <c r="F1790" s="117"/>
      <c r="G1790" s="117"/>
      <c r="H1790" s="117"/>
      <c r="I1790" s="117"/>
      <c r="J1790" s="117"/>
      <c r="K1790" s="119">
        <f t="shared" ref="K1790:X1790" si="1123">IF(AND($D1790="tak",OR($E1790="nie dotyczy",$E1790="badania przemysłowe"),LataProjekcji&lt;=Koniec_Projekt),K459,0)</f>
        <v>0</v>
      </c>
      <c r="L1790" s="119">
        <f t="shared" si="1123"/>
        <v>0</v>
      </c>
      <c r="M1790" s="119">
        <f t="shared" si="1123"/>
        <v>0</v>
      </c>
      <c r="N1790" s="119">
        <f t="shared" si="1123"/>
        <v>0</v>
      </c>
      <c r="O1790" s="119">
        <f t="shared" si="1123"/>
        <v>0</v>
      </c>
      <c r="P1790" s="119">
        <f t="shared" si="1123"/>
        <v>0</v>
      </c>
      <c r="Q1790" s="119">
        <f t="shared" si="1123"/>
        <v>0</v>
      </c>
      <c r="R1790" s="119">
        <f t="shared" si="1123"/>
        <v>0</v>
      </c>
      <c r="S1790" s="119">
        <f t="shared" si="1123"/>
        <v>0</v>
      </c>
      <c r="T1790" s="119">
        <f t="shared" si="1123"/>
        <v>0</v>
      </c>
      <c r="U1790" s="119">
        <f t="shared" si="1123"/>
        <v>0</v>
      </c>
      <c r="V1790" s="119">
        <f t="shared" si="1123"/>
        <v>0</v>
      </c>
      <c r="W1790" s="119">
        <f t="shared" si="1123"/>
        <v>0</v>
      </c>
      <c r="X1790" s="119">
        <f t="shared" si="1123"/>
        <v>0</v>
      </c>
    </row>
    <row r="1791" spans="2:24" hidden="1">
      <c r="B1791" s="117" t="str">
        <f t="shared" si="1119"/>
        <v/>
      </c>
      <c r="C1791" s="117" t="str">
        <f t="shared" si="1119"/>
        <v/>
      </c>
      <c r="D1791" s="117" t="str">
        <f t="shared" si="1119"/>
        <v/>
      </c>
      <c r="E1791" s="117" t="str">
        <f t="shared" si="1119"/>
        <v/>
      </c>
      <c r="F1791" s="117"/>
      <c r="G1791" s="117"/>
      <c r="H1791" s="117"/>
      <c r="I1791" s="117"/>
      <c r="J1791" s="117"/>
      <c r="K1791" s="119">
        <f t="shared" ref="K1791:X1791" si="1124">IF(AND($D1791="tak",OR($E1791="nie dotyczy",$E1791="badania przemysłowe"),LataProjekcji&lt;=Koniec_Projekt),K460,0)</f>
        <v>0</v>
      </c>
      <c r="L1791" s="119">
        <f t="shared" si="1124"/>
        <v>0</v>
      </c>
      <c r="M1791" s="119">
        <f t="shared" si="1124"/>
        <v>0</v>
      </c>
      <c r="N1791" s="119">
        <f t="shared" si="1124"/>
        <v>0</v>
      </c>
      <c r="O1791" s="119">
        <f t="shared" si="1124"/>
        <v>0</v>
      </c>
      <c r="P1791" s="119">
        <f t="shared" si="1124"/>
        <v>0</v>
      </c>
      <c r="Q1791" s="119">
        <f t="shared" si="1124"/>
        <v>0</v>
      </c>
      <c r="R1791" s="119">
        <f t="shared" si="1124"/>
        <v>0</v>
      </c>
      <c r="S1791" s="119">
        <f t="shared" si="1124"/>
        <v>0</v>
      </c>
      <c r="T1791" s="119">
        <f t="shared" si="1124"/>
        <v>0</v>
      </c>
      <c r="U1791" s="119">
        <f t="shared" si="1124"/>
        <v>0</v>
      </c>
      <c r="V1791" s="119">
        <f t="shared" si="1124"/>
        <v>0</v>
      </c>
      <c r="W1791" s="119">
        <f t="shared" si="1124"/>
        <v>0</v>
      </c>
      <c r="X1791" s="119">
        <f t="shared" si="1124"/>
        <v>0</v>
      </c>
    </row>
    <row r="1792" spans="2:24" hidden="1">
      <c r="B1792" s="117" t="str">
        <f t="shared" si="1119"/>
        <v/>
      </c>
      <c r="C1792" s="117" t="str">
        <f t="shared" si="1119"/>
        <v/>
      </c>
      <c r="D1792" s="117" t="str">
        <f t="shared" si="1119"/>
        <v/>
      </c>
      <c r="E1792" s="117" t="str">
        <f t="shared" si="1119"/>
        <v/>
      </c>
      <c r="F1792" s="117"/>
      <c r="G1792" s="117"/>
      <c r="H1792" s="117"/>
      <c r="I1792" s="117"/>
      <c r="J1792" s="117"/>
      <c r="K1792" s="119">
        <f t="shared" ref="K1792:X1792" si="1125">IF(AND($D1792="tak",OR($E1792="nie dotyczy",$E1792="badania przemysłowe"),LataProjekcji&lt;=Koniec_Projekt),K461,0)</f>
        <v>0</v>
      </c>
      <c r="L1792" s="119">
        <f t="shared" si="1125"/>
        <v>0</v>
      </c>
      <c r="M1792" s="119">
        <f t="shared" si="1125"/>
        <v>0</v>
      </c>
      <c r="N1792" s="119">
        <f t="shared" si="1125"/>
        <v>0</v>
      </c>
      <c r="O1792" s="119">
        <f t="shared" si="1125"/>
        <v>0</v>
      </c>
      <c r="P1792" s="119">
        <f t="shared" si="1125"/>
        <v>0</v>
      </c>
      <c r="Q1792" s="119">
        <f t="shared" si="1125"/>
        <v>0</v>
      </c>
      <c r="R1792" s="119">
        <f t="shared" si="1125"/>
        <v>0</v>
      </c>
      <c r="S1792" s="119">
        <f t="shared" si="1125"/>
        <v>0</v>
      </c>
      <c r="T1792" s="119">
        <f t="shared" si="1125"/>
        <v>0</v>
      </c>
      <c r="U1792" s="119">
        <f t="shared" si="1125"/>
        <v>0</v>
      </c>
      <c r="V1792" s="119">
        <f t="shared" si="1125"/>
        <v>0</v>
      </c>
      <c r="W1792" s="119">
        <f t="shared" si="1125"/>
        <v>0</v>
      </c>
      <c r="X1792" s="119">
        <f t="shared" si="1125"/>
        <v>0</v>
      </c>
    </row>
    <row r="1793" spans="2:24" hidden="1">
      <c r="B1793" s="117" t="str">
        <f t="shared" si="1119"/>
        <v/>
      </c>
      <c r="C1793" s="117" t="str">
        <f t="shared" si="1119"/>
        <v/>
      </c>
      <c r="D1793" s="117" t="str">
        <f t="shared" si="1119"/>
        <v/>
      </c>
      <c r="E1793" s="117" t="str">
        <f t="shared" si="1119"/>
        <v/>
      </c>
      <c r="F1793" s="117"/>
      <c r="G1793" s="117"/>
      <c r="H1793" s="117"/>
      <c r="I1793" s="117"/>
      <c r="J1793" s="117"/>
      <c r="K1793" s="119">
        <f t="shared" ref="K1793:X1793" si="1126">IF(AND($D1793="tak",OR($E1793="nie dotyczy",$E1793="badania przemysłowe"),LataProjekcji&lt;=Koniec_Projekt),K462,0)</f>
        <v>0</v>
      </c>
      <c r="L1793" s="119">
        <f t="shared" si="1126"/>
        <v>0</v>
      </c>
      <c r="M1793" s="119">
        <f t="shared" si="1126"/>
        <v>0</v>
      </c>
      <c r="N1793" s="119">
        <f t="shared" si="1126"/>
        <v>0</v>
      </c>
      <c r="O1793" s="119">
        <f t="shared" si="1126"/>
        <v>0</v>
      </c>
      <c r="P1793" s="119">
        <f t="shared" si="1126"/>
        <v>0</v>
      </c>
      <c r="Q1793" s="119">
        <f t="shared" si="1126"/>
        <v>0</v>
      </c>
      <c r="R1793" s="119">
        <f t="shared" si="1126"/>
        <v>0</v>
      </c>
      <c r="S1793" s="119">
        <f t="shared" si="1126"/>
        <v>0</v>
      </c>
      <c r="T1793" s="119">
        <f t="shared" si="1126"/>
        <v>0</v>
      </c>
      <c r="U1793" s="119">
        <f t="shared" si="1126"/>
        <v>0</v>
      </c>
      <c r="V1793" s="119">
        <f t="shared" si="1126"/>
        <v>0</v>
      </c>
      <c r="W1793" s="119">
        <f t="shared" si="1126"/>
        <v>0</v>
      </c>
      <c r="X1793" s="119">
        <f t="shared" si="1126"/>
        <v>0</v>
      </c>
    </row>
    <row r="1794" spans="2:24" hidden="1">
      <c r="B1794" s="117" t="str">
        <f t="shared" si="1119"/>
        <v/>
      </c>
      <c r="C1794" s="117" t="str">
        <f t="shared" si="1119"/>
        <v/>
      </c>
      <c r="D1794" s="117" t="str">
        <f t="shared" si="1119"/>
        <v/>
      </c>
      <c r="E1794" s="117" t="str">
        <f t="shared" si="1119"/>
        <v/>
      </c>
      <c r="F1794" s="117"/>
      <c r="G1794" s="117"/>
      <c r="H1794" s="117"/>
      <c r="I1794" s="117"/>
      <c r="J1794" s="117"/>
      <c r="K1794" s="119">
        <f t="shared" ref="K1794:X1794" si="1127">IF(AND($D1794="tak",OR($E1794="nie dotyczy",$E1794="badania przemysłowe"),LataProjekcji&lt;=Koniec_Projekt),K463,0)</f>
        <v>0</v>
      </c>
      <c r="L1794" s="119">
        <f t="shared" si="1127"/>
        <v>0</v>
      </c>
      <c r="M1794" s="119">
        <f t="shared" si="1127"/>
        <v>0</v>
      </c>
      <c r="N1794" s="119">
        <f t="shared" si="1127"/>
        <v>0</v>
      </c>
      <c r="O1794" s="119">
        <f t="shared" si="1127"/>
        <v>0</v>
      </c>
      <c r="P1794" s="119">
        <f t="shared" si="1127"/>
        <v>0</v>
      </c>
      <c r="Q1794" s="119">
        <f t="shared" si="1127"/>
        <v>0</v>
      </c>
      <c r="R1794" s="119">
        <f t="shared" si="1127"/>
        <v>0</v>
      </c>
      <c r="S1794" s="119">
        <f t="shared" si="1127"/>
        <v>0</v>
      </c>
      <c r="T1794" s="119">
        <f t="shared" si="1127"/>
        <v>0</v>
      </c>
      <c r="U1794" s="119">
        <f t="shared" si="1127"/>
        <v>0</v>
      </c>
      <c r="V1794" s="119">
        <f t="shared" si="1127"/>
        <v>0</v>
      </c>
      <c r="W1794" s="119">
        <f t="shared" si="1127"/>
        <v>0</v>
      </c>
      <c r="X1794" s="119">
        <f t="shared" si="1127"/>
        <v>0</v>
      </c>
    </row>
    <row r="1795" spans="2:24" hidden="1">
      <c r="B1795" s="117" t="str">
        <f t="shared" si="1119"/>
        <v/>
      </c>
      <c r="C1795" s="117" t="str">
        <f t="shared" si="1119"/>
        <v/>
      </c>
      <c r="D1795" s="117" t="str">
        <f t="shared" si="1119"/>
        <v/>
      </c>
      <c r="E1795" s="117" t="str">
        <f t="shared" si="1119"/>
        <v/>
      </c>
      <c r="F1795" s="117"/>
      <c r="G1795" s="117"/>
      <c r="H1795" s="117"/>
      <c r="I1795" s="117"/>
      <c r="J1795" s="117"/>
      <c r="K1795" s="119">
        <f t="shared" ref="K1795:X1795" si="1128">IF(AND($D1795="tak",OR($E1795="nie dotyczy",$E1795="badania przemysłowe"),LataProjekcji&lt;=Koniec_Projekt),K464,0)</f>
        <v>0</v>
      </c>
      <c r="L1795" s="119">
        <f t="shared" si="1128"/>
        <v>0</v>
      </c>
      <c r="M1795" s="119">
        <f t="shared" si="1128"/>
        <v>0</v>
      </c>
      <c r="N1795" s="119">
        <f t="shared" si="1128"/>
        <v>0</v>
      </c>
      <c r="O1795" s="119">
        <f t="shared" si="1128"/>
        <v>0</v>
      </c>
      <c r="P1795" s="119">
        <f t="shared" si="1128"/>
        <v>0</v>
      </c>
      <c r="Q1795" s="119">
        <f t="shared" si="1128"/>
        <v>0</v>
      </c>
      <c r="R1795" s="119">
        <f t="shared" si="1128"/>
        <v>0</v>
      </c>
      <c r="S1795" s="119">
        <f t="shared" si="1128"/>
        <v>0</v>
      </c>
      <c r="T1795" s="119">
        <f t="shared" si="1128"/>
        <v>0</v>
      </c>
      <c r="U1795" s="119">
        <f t="shared" si="1128"/>
        <v>0</v>
      </c>
      <c r="V1795" s="119">
        <f t="shared" si="1128"/>
        <v>0</v>
      </c>
      <c r="W1795" s="119">
        <f t="shared" si="1128"/>
        <v>0</v>
      </c>
      <c r="X1795" s="119">
        <f t="shared" si="1128"/>
        <v>0</v>
      </c>
    </row>
    <row r="1796" spans="2:24" hidden="1">
      <c r="B1796" s="117" t="str">
        <f t="shared" si="1119"/>
        <v/>
      </c>
      <c r="C1796" s="117" t="str">
        <f t="shared" si="1119"/>
        <v/>
      </c>
      <c r="D1796" s="117" t="str">
        <f t="shared" si="1119"/>
        <v/>
      </c>
      <c r="E1796" s="117" t="str">
        <f t="shared" si="1119"/>
        <v/>
      </c>
      <c r="F1796" s="117"/>
      <c r="G1796" s="117"/>
      <c r="H1796" s="117"/>
      <c r="I1796" s="117"/>
      <c r="J1796" s="117"/>
      <c r="K1796" s="119">
        <f t="shared" ref="K1796:X1796" si="1129">IF(AND($D1796="tak",OR($E1796="nie dotyczy",$E1796="badania przemysłowe"),LataProjekcji&lt;=Koniec_Projekt),K465,0)</f>
        <v>0</v>
      </c>
      <c r="L1796" s="119">
        <f t="shared" si="1129"/>
        <v>0</v>
      </c>
      <c r="M1796" s="119">
        <f t="shared" si="1129"/>
        <v>0</v>
      </c>
      <c r="N1796" s="119">
        <f t="shared" si="1129"/>
        <v>0</v>
      </c>
      <c r="O1796" s="119">
        <f t="shared" si="1129"/>
        <v>0</v>
      </c>
      <c r="P1796" s="119">
        <f t="shared" si="1129"/>
        <v>0</v>
      </c>
      <c r="Q1796" s="119">
        <f t="shared" si="1129"/>
        <v>0</v>
      </c>
      <c r="R1796" s="119">
        <f t="shared" si="1129"/>
        <v>0</v>
      </c>
      <c r="S1796" s="119">
        <f t="shared" si="1129"/>
        <v>0</v>
      </c>
      <c r="T1796" s="119">
        <f t="shared" si="1129"/>
        <v>0</v>
      </c>
      <c r="U1796" s="119">
        <f t="shared" si="1129"/>
        <v>0</v>
      </c>
      <c r="V1796" s="119">
        <f t="shared" si="1129"/>
        <v>0</v>
      </c>
      <c r="W1796" s="119">
        <f t="shared" si="1129"/>
        <v>0</v>
      </c>
      <c r="X1796" s="119">
        <f t="shared" si="1129"/>
        <v>0</v>
      </c>
    </row>
    <row r="1797" spans="2:24" hidden="1">
      <c r="B1797" s="117" t="str">
        <f t="shared" si="1119"/>
        <v/>
      </c>
      <c r="C1797" s="117" t="str">
        <f t="shared" si="1119"/>
        <v/>
      </c>
      <c r="D1797" s="117" t="str">
        <f t="shared" si="1119"/>
        <v/>
      </c>
      <c r="E1797" s="117" t="str">
        <f t="shared" si="1119"/>
        <v/>
      </c>
      <c r="F1797" s="117"/>
      <c r="G1797" s="117"/>
      <c r="H1797" s="117"/>
      <c r="I1797" s="117"/>
      <c r="J1797" s="117"/>
      <c r="K1797" s="119">
        <f t="shared" ref="K1797:X1797" si="1130">IF(AND($D1797="tak",OR($E1797="nie dotyczy",$E1797="badania przemysłowe"),LataProjekcji&lt;=Koniec_Projekt),K466,0)</f>
        <v>0</v>
      </c>
      <c r="L1797" s="119">
        <f t="shared" si="1130"/>
        <v>0</v>
      </c>
      <c r="M1797" s="119">
        <f t="shared" si="1130"/>
        <v>0</v>
      </c>
      <c r="N1797" s="119">
        <f t="shared" si="1130"/>
        <v>0</v>
      </c>
      <c r="O1797" s="119">
        <f t="shared" si="1130"/>
        <v>0</v>
      </c>
      <c r="P1797" s="119">
        <f t="shared" si="1130"/>
        <v>0</v>
      </c>
      <c r="Q1797" s="119">
        <f t="shared" si="1130"/>
        <v>0</v>
      </c>
      <c r="R1797" s="119">
        <f t="shared" si="1130"/>
        <v>0</v>
      </c>
      <c r="S1797" s="119">
        <f t="shared" si="1130"/>
        <v>0</v>
      </c>
      <c r="T1797" s="119">
        <f t="shared" si="1130"/>
        <v>0</v>
      </c>
      <c r="U1797" s="119">
        <f t="shared" si="1130"/>
        <v>0</v>
      </c>
      <c r="V1797" s="119">
        <f t="shared" si="1130"/>
        <v>0</v>
      </c>
      <c r="W1797" s="119">
        <f t="shared" si="1130"/>
        <v>0</v>
      </c>
      <c r="X1797" s="119">
        <f t="shared" si="1130"/>
        <v>0</v>
      </c>
    </row>
    <row r="1798" spans="2:24" hidden="1">
      <c r="B1798" s="117" t="str">
        <f t="shared" si="1119"/>
        <v/>
      </c>
      <c r="C1798" s="117" t="str">
        <f t="shared" si="1119"/>
        <v/>
      </c>
      <c r="D1798" s="117" t="str">
        <f t="shared" si="1119"/>
        <v/>
      </c>
      <c r="E1798" s="117" t="str">
        <f t="shared" si="1119"/>
        <v/>
      </c>
      <c r="F1798" s="117"/>
      <c r="G1798" s="117"/>
      <c r="H1798" s="117"/>
      <c r="I1798" s="117"/>
      <c r="J1798" s="117"/>
      <c r="K1798" s="119">
        <f t="shared" ref="K1798:X1798" si="1131">IF(AND($D1798="tak",OR($E1798="nie dotyczy",$E1798="badania przemysłowe"),LataProjekcji&lt;=Koniec_Projekt),K467,0)</f>
        <v>0</v>
      </c>
      <c r="L1798" s="119">
        <f t="shared" si="1131"/>
        <v>0</v>
      </c>
      <c r="M1798" s="119">
        <f t="shared" si="1131"/>
        <v>0</v>
      </c>
      <c r="N1798" s="119">
        <f t="shared" si="1131"/>
        <v>0</v>
      </c>
      <c r="O1798" s="119">
        <f t="shared" si="1131"/>
        <v>0</v>
      </c>
      <c r="P1798" s="119">
        <f t="shared" si="1131"/>
        <v>0</v>
      </c>
      <c r="Q1798" s="119">
        <f t="shared" si="1131"/>
        <v>0</v>
      </c>
      <c r="R1798" s="119">
        <f t="shared" si="1131"/>
        <v>0</v>
      </c>
      <c r="S1798" s="119">
        <f t="shared" si="1131"/>
        <v>0</v>
      </c>
      <c r="T1798" s="119">
        <f t="shared" si="1131"/>
        <v>0</v>
      </c>
      <c r="U1798" s="119">
        <f t="shared" si="1131"/>
        <v>0</v>
      </c>
      <c r="V1798" s="119">
        <f t="shared" si="1131"/>
        <v>0</v>
      </c>
      <c r="W1798" s="119">
        <f t="shared" si="1131"/>
        <v>0</v>
      </c>
      <c r="X1798" s="119">
        <f t="shared" si="1131"/>
        <v>0</v>
      </c>
    </row>
    <row r="1799" spans="2:24" hidden="1">
      <c r="B1799" s="117" t="str">
        <f t="shared" si="1119"/>
        <v/>
      </c>
      <c r="C1799" s="117" t="str">
        <f t="shared" si="1119"/>
        <v/>
      </c>
      <c r="D1799" s="117" t="str">
        <f t="shared" si="1119"/>
        <v/>
      </c>
      <c r="E1799" s="117" t="str">
        <f t="shared" si="1119"/>
        <v/>
      </c>
      <c r="F1799" s="117"/>
      <c r="G1799" s="117"/>
      <c r="H1799" s="117"/>
      <c r="I1799" s="117"/>
      <c r="J1799" s="117"/>
      <c r="K1799" s="119">
        <f t="shared" ref="K1799:X1799" si="1132">IF(AND($D1799="tak",OR($E1799="nie dotyczy",$E1799="badania przemysłowe"),LataProjekcji&lt;=Koniec_Projekt),K468,0)</f>
        <v>0</v>
      </c>
      <c r="L1799" s="119">
        <f t="shared" si="1132"/>
        <v>0</v>
      </c>
      <c r="M1799" s="119">
        <f t="shared" si="1132"/>
        <v>0</v>
      </c>
      <c r="N1799" s="119">
        <f t="shared" si="1132"/>
        <v>0</v>
      </c>
      <c r="O1799" s="119">
        <f t="shared" si="1132"/>
        <v>0</v>
      </c>
      <c r="P1799" s="119">
        <f t="shared" si="1132"/>
        <v>0</v>
      </c>
      <c r="Q1799" s="119">
        <f t="shared" si="1132"/>
        <v>0</v>
      </c>
      <c r="R1799" s="119">
        <f t="shared" si="1132"/>
        <v>0</v>
      </c>
      <c r="S1799" s="119">
        <f t="shared" si="1132"/>
        <v>0</v>
      </c>
      <c r="T1799" s="119">
        <f t="shared" si="1132"/>
        <v>0</v>
      </c>
      <c r="U1799" s="119">
        <f t="shared" si="1132"/>
        <v>0</v>
      </c>
      <c r="V1799" s="119">
        <f t="shared" si="1132"/>
        <v>0</v>
      </c>
      <c r="W1799" s="119">
        <f t="shared" si="1132"/>
        <v>0</v>
      </c>
      <c r="X1799" s="119">
        <f t="shared" si="1132"/>
        <v>0</v>
      </c>
    </row>
    <row r="1800" spans="2:24" hidden="1">
      <c r="B1800" s="117" t="str">
        <f t="shared" si="1119"/>
        <v/>
      </c>
      <c r="C1800" s="117" t="str">
        <f t="shared" si="1119"/>
        <v/>
      </c>
      <c r="D1800" s="117" t="str">
        <f t="shared" si="1119"/>
        <v/>
      </c>
      <c r="E1800" s="117" t="str">
        <f t="shared" si="1119"/>
        <v/>
      </c>
      <c r="F1800" s="117"/>
      <c r="G1800" s="117"/>
      <c r="H1800" s="117"/>
      <c r="I1800" s="117"/>
      <c r="J1800" s="117"/>
      <c r="K1800" s="119">
        <f t="shared" ref="K1800:X1800" si="1133">IF(AND($D1800="tak",OR($E1800="nie dotyczy",$E1800="badania przemysłowe"),LataProjekcji&lt;=Koniec_Projekt),K469,0)</f>
        <v>0</v>
      </c>
      <c r="L1800" s="119">
        <f t="shared" si="1133"/>
        <v>0</v>
      </c>
      <c r="M1800" s="119">
        <f t="shared" si="1133"/>
        <v>0</v>
      </c>
      <c r="N1800" s="119">
        <f t="shared" si="1133"/>
        <v>0</v>
      </c>
      <c r="O1800" s="119">
        <f t="shared" si="1133"/>
        <v>0</v>
      </c>
      <c r="P1800" s="119">
        <f t="shared" si="1133"/>
        <v>0</v>
      </c>
      <c r="Q1800" s="119">
        <f t="shared" si="1133"/>
        <v>0</v>
      </c>
      <c r="R1800" s="119">
        <f t="shared" si="1133"/>
        <v>0</v>
      </c>
      <c r="S1800" s="119">
        <f t="shared" si="1133"/>
        <v>0</v>
      </c>
      <c r="T1800" s="119">
        <f t="shared" si="1133"/>
        <v>0</v>
      </c>
      <c r="U1800" s="119">
        <f t="shared" si="1133"/>
        <v>0</v>
      </c>
      <c r="V1800" s="119">
        <f t="shared" si="1133"/>
        <v>0</v>
      </c>
      <c r="W1800" s="119">
        <f t="shared" si="1133"/>
        <v>0</v>
      </c>
      <c r="X1800" s="119">
        <f t="shared" si="1133"/>
        <v>0</v>
      </c>
    </row>
    <row r="1801" spans="2:24" hidden="1">
      <c r="B1801" s="117" t="str">
        <f t="shared" si="1119"/>
        <v/>
      </c>
      <c r="C1801" s="117" t="str">
        <f t="shared" si="1119"/>
        <v/>
      </c>
      <c r="D1801" s="117" t="str">
        <f t="shared" si="1119"/>
        <v/>
      </c>
      <c r="E1801" s="117" t="str">
        <f t="shared" si="1119"/>
        <v/>
      </c>
      <c r="F1801" s="117"/>
      <c r="G1801" s="117"/>
      <c r="H1801" s="117"/>
      <c r="I1801" s="117"/>
      <c r="J1801" s="117"/>
      <c r="K1801" s="119">
        <f t="shared" ref="K1801:X1801" si="1134">IF(AND($D1801="tak",OR($E1801="nie dotyczy",$E1801="badania przemysłowe"),LataProjekcji&lt;=Koniec_Projekt),K470,0)</f>
        <v>0</v>
      </c>
      <c r="L1801" s="119">
        <f t="shared" si="1134"/>
        <v>0</v>
      </c>
      <c r="M1801" s="119">
        <f t="shared" si="1134"/>
        <v>0</v>
      </c>
      <c r="N1801" s="119">
        <f t="shared" si="1134"/>
        <v>0</v>
      </c>
      <c r="O1801" s="119">
        <f t="shared" si="1134"/>
        <v>0</v>
      </c>
      <c r="P1801" s="119">
        <f t="shared" si="1134"/>
        <v>0</v>
      </c>
      <c r="Q1801" s="119">
        <f t="shared" si="1134"/>
        <v>0</v>
      </c>
      <c r="R1801" s="119">
        <f t="shared" si="1134"/>
        <v>0</v>
      </c>
      <c r="S1801" s="119">
        <f t="shared" si="1134"/>
        <v>0</v>
      </c>
      <c r="T1801" s="119">
        <f t="shared" si="1134"/>
        <v>0</v>
      </c>
      <c r="U1801" s="119">
        <f t="shared" si="1134"/>
        <v>0</v>
      </c>
      <c r="V1801" s="119">
        <f t="shared" si="1134"/>
        <v>0</v>
      </c>
      <c r="W1801" s="119">
        <f t="shared" si="1134"/>
        <v>0</v>
      </c>
      <c r="X1801" s="119">
        <f t="shared" si="1134"/>
        <v>0</v>
      </c>
    </row>
    <row r="1802" spans="2:24" hidden="1">
      <c r="B1802" s="117" t="str">
        <f t="shared" si="1119"/>
        <v/>
      </c>
      <c r="C1802" s="117" t="str">
        <f t="shared" si="1119"/>
        <v/>
      </c>
      <c r="D1802" s="117" t="str">
        <f t="shared" si="1119"/>
        <v/>
      </c>
      <c r="E1802" s="117" t="str">
        <f t="shared" si="1119"/>
        <v/>
      </c>
      <c r="F1802" s="117"/>
      <c r="G1802" s="117"/>
      <c r="H1802" s="117"/>
      <c r="I1802" s="117"/>
      <c r="J1802" s="117"/>
      <c r="K1802" s="119">
        <f t="shared" ref="K1802:X1802" si="1135">IF(AND($D1802="tak",OR($E1802="nie dotyczy",$E1802="badania przemysłowe"),LataProjekcji&lt;=Koniec_Projekt),K471,0)</f>
        <v>0</v>
      </c>
      <c r="L1802" s="119">
        <f t="shared" si="1135"/>
        <v>0</v>
      </c>
      <c r="M1802" s="119">
        <f t="shared" si="1135"/>
        <v>0</v>
      </c>
      <c r="N1802" s="119">
        <f t="shared" si="1135"/>
        <v>0</v>
      </c>
      <c r="O1802" s="119">
        <f t="shared" si="1135"/>
        <v>0</v>
      </c>
      <c r="P1802" s="119">
        <f t="shared" si="1135"/>
        <v>0</v>
      </c>
      <c r="Q1802" s="119">
        <f t="shared" si="1135"/>
        <v>0</v>
      </c>
      <c r="R1802" s="119">
        <f t="shared" si="1135"/>
        <v>0</v>
      </c>
      <c r="S1802" s="119">
        <f t="shared" si="1135"/>
        <v>0</v>
      </c>
      <c r="T1802" s="119">
        <f t="shared" si="1135"/>
        <v>0</v>
      </c>
      <c r="U1802" s="119">
        <f t="shared" si="1135"/>
        <v>0</v>
      </c>
      <c r="V1802" s="119">
        <f t="shared" si="1135"/>
        <v>0</v>
      </c>
      <c r="W1802" s="119">
        <f t="shared" si="1135"/>
        <v>0</v>
      </c>
      <c r="X1802" s="119">
        <f t="shared" si="1135"/>
        <v>0</v>
      </c>
    </row>
    <row r="1803" spans="2:24" hidden="1">
      <c r="B1803" s="117" t="str">
        <f t="shared" si="1119"/>
        <v/>
      </c>
      <c r="C1803" s="117" t="str">
        <f t="shared" si="1119"/>
        <v/>
      </c>
      <c r="D1803" s="117" t="str">
        <f t="shared" si="1119"/>
        <v/>
      </c>
      <c r="E1803" s="117" t="str">
        <f t="shared" si="1119"/>
        <v/>
      </c>
      <c r="F1803" s="117"/>
      <c r="G1803" s="117"/>
      <c r="H1803" s="117"/>
      <c r="I1803" s="117"/>
      <c r="J1803" s="117"/>
      <c r="K1803" s="119">
        <f t="shared" ref="K1803:X1803" si="1136">IF(AND($D1803="tak",OR($E1803="nie dotyczy",$E1803="badania przemysłowe"),LataProjekcji&lt;=Koniec_Projekt),K472,0)</f>
        <v>0</v>
      </c>
      <c r="L1803" s="119">
        <f t="shared" si="1136"/>
        <v>0</v>
      </c>
      <c r="M1803" s="119">
        <f t="shared" si="1136"/>
        <v>0</v>
      </c>
      <c r="N1803" s="119">
        <f t="shared" si="1136"/>
        <v>0</v>
      </c>
      <c r="O1803" s="119">
        <f t="shared" si="1136"/>
        <v>0</v>
      </c>
      <c r="P1803" s="119">
        <f t="shared" si="1136"/>
        <v>0</v>
      </c>
      <c r="Q1803" s="119">
        <f t="shared" si="1136"/>
        <v>0</v>
      </c>
      <c r="R1803" s="119">
        <f t="shared" si="1136"/>
        <v>0</v>
      </c>
      <c r="S1803" s="119">
        <f t="shared" si="1136"/>
        <v>0</v>
      </c>
      <c r="T1803" s="119">
        <f t="shared" si="1136"/>
        <v>0</v>
      </c>
      <c r="U1803" s="119">
        <f t="shared" si="1136"/>
        <v>0</v>
      </c>
      <c r="V1803" s="119">
        <f t="shared" si="1136"/>
        <v>0</v>
      </c>
      <c r="W1803" s="119">
        <f t="shared" si="1136"/>
        <v>0</v>
      </c>
      <c r="X1803" s="119">
        <f t="shared" si="1136"/>
        <v>0</v>
      </c>
    </row>
    <row r="1804" spans="2:24" hidden="1">
      <c r="B1804" s="117" t="str">
        <f t="shared" si="1119"/>
        <v/>
      </c>
      <c r="C1804" s="117" t="str">
        <f t="shared" si="1119"/>
        <v/>
      </c>
      <c r="D1804" s="117" t="str">
        <f t="shared" si="1119"/>
        <v/>
      </c>
      <c r="E1804" s="117" t="str">
        <f t="shared" si="1119"/>
        <v/>
      </c>
      <c r="F1804" s="117"/>
      <c r="G1804" s="117"/>
      <c r="H1804" s="117"/>
      <c r="I1804" s="117"/>
      <c r="J1804" s="117"/>
      <c r="K1804" s="119">
        <f t="shared" ref="K1804:X1804" si="1137">IF(AND($D1804="tak",OR($E1804="nie dotyczy",$E1804="badania przemysłowe"),LataProjekcji&lt;=Koniec_Projekt),K473,0)</f>
        <v>0</v>
      </c>
      <c r="L1804" s="119">
        <f t="shared" si="1137"/>
        <v>0</v>
      </c>
      <c r="M1804" s="119">
        <f t="shared" si="1137"/>
        <v>0</v>
      </c>
      <c r="N1804" s="119">
        <f t="shared" si="1137"/>
        <v>0</v>
      </c>
      <c r="O1804" s="119">
        <f t="shared" si="1137"/>
        <v>0</v>
      </c>
      <c r="P1804" s="119">
        <f t="shared" si="1137"/>
        <v>0</v>
      </c>
      <c r="Q1804" s="119">
        <f t="shared" si="1137"/>
        <v>0</v>
      </c>
      <c r="R1804" s="119">
        <f t="shared" si="1137"/>
        <v>0</v>
      </c>
      <c r="S1804" s="119">
        <f t="shared" si="1137"/>
        <v>0</v>
      </c>
      <c r="T1804" s="119">
        <f t="shared" si="1137"/>
        <v>0</v>
      </c>
      <c r="U1804" s="119">
        <f t="shared" si="1137"/>
        <v>0</v>
      </c>
      <c r="V1804" s="119">
        <f t="shared" si="1137"/>
        <v>0</v>
      </c>
      <c r="W1804" s="119">
        <f t="shared" si="1137"/>
        <v>0</v>
      </c>
      <c r="X1804" s="119">
        <f t="shared" si="1137"/>
        <v>0</v>
      </c>
    </row>
    <row r="1805" spans="2:24" hidden="1">
      <c r="B1805" s="117" t="str">
        <f t="shared" si="1119"/>
        <v/>
      </c>
      <c r="C1805" s="117" t="str">
        <f t="shared" si="1119"/>
        <v/>
      </c>
      <c r="D1805" s="117" t="str">
        <f t="shared" si="1119"/>
        <v/>
      </c>
      <c r="E1805" s="117" t="str">
        <f t="shared" si="1119"/>
        <v/>
      </c>
      <c r="F1805" s="117"/>
      <c r="G1805" s="117"/>
      <c r="H1805" s="117"/>
      <c r="I1805" s="117"/>
      <c r="J1805" s="117"/>
      <c r="K1805" s="119">
        <f t="shared" ref="K1805:X1805" si="1138">IF(AND($D1805="tak",OR($E1805="nie dotyczy",$E1805="badania przemysłowe"),LataProjekcji&lt;=Koniec_Projekt),K474,0)</f>
        <v>0</v>
      </c>
      <c r="L1805" s="119">
        <f t="shared" si="1138"/>
        <v>0</v>
      </c>
      <c r="M1805" s="119">
        <f t="shared" si="1138"/>
        <v>0</v>
      </c>
      <c r="N1805" s="119">
        <f t="shared" si="1138"/>
        <v>0</v>
      </c>
      <c r="O1805" s="119">
        <f t="shared" si="1138"/>
        <v>0</v>
      </c>
      <c r="P1805" s="119">
        <f t="shared" si="1138"/>
        <v>0</v>
      </c>
      <c r="Q1805" s="119">
        <f t="shared" si="1138"/>
        <v>0</v>
      </c>
      <c r="R1805" s="119">
        <f t="shared" si="1138"/>
        <v>0</v>
      </c>
      <c r="S1805" s="119">
        <f t="shared" si="1138"/>
        <v>0</v>
      </c>
      <c r="T1805" s="119">
        <f t="shared" si="1138"/>
        <v>0</v>
      </c>
      <c r="U1805" s="119">
        <f t="shared" si="1138"/>
        <v>0</v>
      </c>
      <c r="V1805" s="119">
        <f t="shared" si="1138"/>
        <v>0</v>
      </c>
      <c r="W1805" s="119">
        <f t="shared" si="1138"/>
        <v>0</v>
      </c>
      <c r="X1805" s="119">
        <f t="shared" si="1138"/>
        <v>0</v>
      </c>
    </row>
    <row r="1806" spans="2:24" hidden="1">
      <c r="B1806" s="117" t="str">
        <f t="shared" si="1119"/>
        <v/>
      </c>
      <c r="C1806" s="117" t="str">
        <f t="shared" si="1119"/>
        <v/>
      </c>
      <c r="D1806" s="117" t="str">
        <f t="shared" si="1119"/>
        <v/>
      </c>
      <c r="E1806" s="117" t="str">
        <f t="shared" si="1119"/>
        <v/>
      </c>
      <c r="F1806" s="117"/>
      <c r="G1806" s="117"/>
      <c r="H1806" s="117"/>
      <c r="I1806" s="117"/>
      <c r="J1806" s="117"/>
      <c r="K1806" s="119">
        <f t="shared" ref="K1806:X1806" si="1139">IF(AND($D1806="tak",OR($E1806="nie dotyczy",$E1806="badania przemysłowe"),LataProjekcji&lt;=Koniec_Projekt),K475,0)</f>
        <v>0</v>
      </c>
      <c r="L1806" s="119">
        <f t="shared" si="1139"/>
        <v>0</v>
      </c>
      <c r="M1806" s="119">
        <f t="shared" si="1139"/>
        <v>0</v>
      </c>
      <c r="N1806" s="119">
        <f t="shared" si="1139"/>
        <v>0</v>
      </c>
      <c r="O1806" s="119">
        <f t="shared" si="1139"/>
        <v>0</v>
      </c>
      <c r="P1806" s="119">
        <f t="shared" si="1139"/>
        <v>0</v>
      </c>
      <c r="Q1806" s="119">
        <f t="shared" si="1139"/>
        <v>0</v>
      </c>
      <c r="R1806" s="119">
        <f t="shared" si="1139"/>
        <v>0</v>
      </c>
      <c r="S1806" s="119">
        <f t="shared" si="1139"/>
        <v>0</v>
      </c>
      <c r="T1806" s="119">
        <f t="shared" si="1139"/>
        <v>0</v>
      </c>
      <c r="U1806" s="119">
        <f t="shared" si="1139"/>
        <v>0</v>
      </c>
      <c r="V1806" s="119">
        <f t="shared" si="1139"/>
        <v>0</v>
      </c>
      <c r="W1806" s="119">
        <f t="shared" si="1139"/>
        <v>0</v>
      </c>
      <c r="X1806" s="119">
        <f t="shared" si="1139"/>
        <v>0</v>
      </c>
    </row>
    <row r="1807" spans="2:24" hidden="1">
      <c r="B1807" s="111" t="s">
        <v>322</v>
      </c>
      <c r="C1807" s="111"/>
      <c r="D1807" s="112"/>
      <c r="E1807" s="113"/>
      <c r="F1807" s="113"/>
      <c r="G1807" s="113"/>
      <c r="H1807" s="113"/>
      <c r="I1807" s="113"/>
      <c r="J1807" s="113"/>
      <c r="K1807" s="120">
        <f t="shared" ref="K1807:X1807" si="1140">ROUND(SUM(K1767:K1806),0)</f>
        <v>0</v>
      </c>
      <c r="L1807" s="120">
        <f t="shared" si="1140"/>
        <v>0</v>
      </c>
      <c r="M1807" s="120">
        <f t="shared" si="1140"/>
        <v>0</v>
      </c>
      <c r="N1807" s="120">
        <f t="shared" si="1140"/>
        <v>0</v>
      </c>
      <c r="O1807" s="120">
        <f t="shared" si="1140"/>
        <v>0</v>
      </c>
      <c r="P1807" s="120">
        <f t="shared" si="1140"/>
        <v>0</v>
      </c>
      <c r="Q1807" s="120">
        <f t="shared" si="1140"/>
        <v>0</v>
      </c>
      <c r="R1807" s="120">
        <f t="shared" si="1140"/>
        <v>0</v>
      </c>
      <c r="S1807" s="120">
        <f t="shared" si="1140"/>
        <v>0</v>
      </c>
      <c r="T1807" s="120">
        <f t="shared" si="1140"/>
        <v>0</v>
      </c>
      <c r="U1807" s="120">
        <f t="shared" si="1140"/>
        <v>0</v>
      </c>
      <c r="V1807" s="120">
        <f t="shared" si="1140"/>
        <v>0</v>
      </c>
      <c r="W1807" s="120">
        <f t="shared" si="1140"/>
        <v>0</v>
      </c>
      <c r="X1807" s="120">
        <f t="shared" si="1140"/>
        <v>0</v>
      </c>
    </row>
    <row r="1808" spans="2:24" hidden="1">
      <c r="B1808" s="113"/>
      <c r="C1808" s="113"/>
      <c r="D1808" s="112"/>
      <c r="E1808" s="113"/>
      <c r="F1808" s="113"/>
      <c r="G1808" s="113"/>
      <c r="H1808" s="113"/>
      <c r="I1808" s="113"/>
      <c r="J1808" s="113"/>
      <c r="K1808" s="121"/>
      <c r="L1808" s="121"/>
      <c r="M1808" s="121"/>
      <c r="N1808" s="121"/>
      <c r="O1808" s="121"/>
      <c r="P1808" s="121"/>
      <c r="Q1808" s="121"/>
      <c r="R1808" s="121"/>
      <c r="S1808" s="121"/>
      <c r="T1808" s="121"/>
      <c r="U1808" s="121"/>
      <c r="V1808" s="121"/>
      <c r="W1808" s="121"/>
      <c r="X1808" s="121"/>
    </row>
    <row r="1809" spans="2:24" hidden="1">
      <c r="B1809" s="113"/>
      <c r="C1809" s="113"/>
      <c r="D1809" s="112"/>
      <c r="E1809" s="113"/>
      <c r="F1809" s="113"/>
      <c r="G1809" s="113"/>
      <c r="H1809" s="113"/>
      <c r="I1809" s="113"/>
      <c r="J1809" s="113"/>
      <c r="K1809" s="121"/>
      <c r="L1809" s="121"/>
      <c r="M1809" s="121"/>
      <c r="N1809" s="121"/>
      <c r="O1809" s="121"/>
      <c r="P1809" s="121"/>
      <c r="Q1809" s="121"/>
      <c r="R1809" s="121"/>
      <c r="S1809" s="121"/>
      <c r="T1809" s="121"/>
      <c r="U1809" s="121"/>
      <c r="V1809" s="121"/>
      <c r="W1809" s="121"/>
      <c r="X1809" s="121"/>
    </row>
    <row r="1810" spans="2:24" hidden="1">
      <c r="B1810" s="111" t="s">
        <v>323</v>
      </c>
      <c r="C1810" s="111"/>
      <c r="D1810" s="122" t="s">
        <v>336</v>
      </c>
      <c r="E1810" s="111" t="s">
        <v>337</v>
      </c>
      <c r="F1810" s="113"/>
      <c r="G1810" s="113"/>
      <c r="H1810" s="113"/>
      <c r="I1810" s="113"/>
      <c r="J1810" s="113"/>
      <c r="K1810" s="121"/>
      <c r="L1810" s="121"/>
      <c r="M1810" s="121"/>
      <c r="N1810" s="121"/>
      <c r="O1810" s="121"/>
      <c r="P1810" s="121"/>
      <c r="Q1810" s="121"/>
      <c r="R1810" s="121"/>
      <c r="S1810" s="121"/>
      <c r="T1810" s="121"/>
      <c r="U1810" s="121"/>
      <c r="V1810" s="121"/>
      <c r="W1810" s="121"/>
      <c r="X1810" s="121"/>
    </row>
    <row r="1811" spans="2:24" hidden="1">
      <c r="B1811" s="117" t="str">
        <f t="shared" ref="B1811:E1840" si="1141">IF(ISBLANK(B1571),"",B1571)</f>
        <v/>
      </c>
      <c r="C1811" s="117" t="str">
        <f t="shared" si="1141"/>
        <v/>
      </c>
      <c r="D1811" s="117" t="str">
        <f t="shared" si="1141"/>
        <v/>
      </c>
      <c r="E1811" s="117" t="str">
        <f t="shared" si="1141"/>
        <v/>
      </c>
      <c r="F1811" s="117"/>
      <c r="G1811" s="117"/>
      <c r="H1811" s="117"/>
      <c r="I1811" s="117"/>
      <c r="J1811" s="117"/>
      <c r="K1811" s="119">
        <f t="shared" ref="K1811:X1811" si="1142">IF(AND($D1811="tak",OR($E1811="nie dotyczy",$E1811="badania przemysłowe"),LataProjekcji&lt;=Koniec_Projekt),K521,0)</f>
        <v>0</v>
      </c>
      <c r="L1811" s="119">
        <f t="shared" si="1142"/>
        <v>0</v>
      </c>
      <c r="M1811" s="119">
        <f t="shared" si="1142"/>
        <v>0</v>
      </c>
      <c r="N1811" s="119">
        <f t="shared" si="1142"/>
        <v>0</v>
      </c>
      <c r="O1811" s="119">
        <f t="shared" si="1142"/>
        <v>0</v>
      </c>
      <c r="P1811" s="119">
        <f t="shared" si="1142"/>
        <v>0</v>
      </c>
      <c r="Q1811" s="119">
        <f t="shared" si="1142"/>
        <v>0</v>
      </c>
      <c r="R1811" s="119">
        <f t="shared" si="1142"/>
        <v>0</v>
      </c>
      <c r="S1811" s="119">
        <f t="shared" si="1142"/>
        <v>0</v>
      </c>
      <c r="T1811" s="119">
        <f t="shared" si="1142"/>
        <v>0</v>
      </c>
      <c r="U1811" s="119">
        <f t="shared" si="1142"/>
        <v>0</v>
      </c>
      <c r="V1811" s="119">
        <f t="shared" si="1142"/>
        <v>0</v>
      </c>
      <c r="W1811" s="119">
        <f t="shared" si="1142"/>
        <v>0</v>
      </c>
      <c r="X1811" s="119">
        <f t="shared" si="1142"/>
        <v>0</v>
      </c>
    </row>
    <row r="1812" spans="2:24" hidden="1">
      <c r="B1812" s="117" t="str">
        <f t="shared" si="1141"/>
        <v/>
      </c>
      <c r="C1812" s="117" t="str">
        <f t="shared" si="1141"/>
        <v/>
      </c>
      <c r="D1812" s="117" t="str">
        <f t="shared" si="1141"/>
        <v/>
      </c>
      <c r="E1812" s="117" t="str">
        <f t="shared" si="1141"/>
        <v/>
      </c>
      <c r="F1812" s="117"/>
      <c r="G1812" s="117"/>
      <c r="H1812" s="117"/>
      <c r="I1812" s="117"/>
      <c r="J1812" s="117"/>
      <c r="K1812" s="119">
        <f t="shared" ref="K1812:X1812" si="1143">IF(AND($D1812="tak",OR($E1812="nie dotyczy",$E1812="badania przemysłowe"),LataProjekcji&lt;=Koniec_Projekt),K522,0)</f>
        <v>0</v>
      </c>
      <c r="L1812" s="119">
        <f t="shared" si="1143"/>
        <v>0</v>
      </c>
      <c r="M1812" s="119">
        <f t="shared" si="1143"/>
        <v>0</v>
      </c>
      <c r="N1812" s="119">
        <f t="shared" si="1143"/>
        <v>0</v>
      </c>
      <c r="O1812" s="119">
        <f t="shared" si="1143"/>
        <v>0</v>
      </c>
      <c r="P1812" s="119">
        <f t="shared" si="1143"/>
        <v>0</v>
      </c>
      <c r="Q1812" s="119">
        <f t="shared" si="1143"/>
        <v>0</v>
      </c>
      <c r="R1812" s="119">
        <f t="shared" si="1143"/>
        <v>0</v>
      </c>
      <c r="S1812" s="119">
        <f t="shared" si="1143"/>
        <v>0</v>
      </c>
      <c r="T1812" s="119">
        <f t="shared" si="1143"/>
        <v>0</v>
      </c>
      <c r="U1812" s="119">
        <f t="shared" si="1143"/>
        <v>0</v>
      </c>
      <c r="V1812" s="119">
        <f t="shared" si="1143"/>
        <v>0</v>
      </c>
      <c r="W1812" s="119">
        <f t="shared" si="1143"/>
        <v>0</v>
      </c>
      <c r="X1812" s="119">
        <f t="shared" si="1143"/>
        <v>0</v>
      </c>
    </row>
    <row r="1813" spans="2:24" hidden="1">
      <c r="B1813" s="117" t="str">
        <f t="shared" si="1141"/>
        <v/>
      </c>
      <c r="C1813" s="117" t="str">
        <f t="shared" si="1141"/>
        <v/>
      </c>
      <c r="D1813" s="117" t="str">
        <f t="shared" si="1141"/>
        <v/>
      </c>
      <c r="E1813" s="117" t="str">
        <f t="shared" si="1141"/>
        <v/>
      </c>
      <c r="F1813" s="117"/>
      <c r="G1813" s="117"/>
      <c r="H1813" s="117"/>
      <c r="I1813" s="117"/>
      <c r="J1813" s="117"/>
      <c r="K1813" s="119">
        <f t="shared" ref="K1813:X1813" si="1144">IF(AND($D1813="tak",OR($E1813="nie dotyczy",$E1813="badania przemysłowe"),LataProjekcji&lt;=Koniec_Projekt),K523,0)</f>
        <v>0</v>
      </c>
      <c r="L1813" s="119">
        <f t="shared" si="1144"/>
        <v>0</v>
      </c>
      <c r="M1813" s="119">
        <f t="shared" si="1144"/>
        <v>0</v>
      </c>
      <c r="N1813" s="119">
        <f t="shared" si="1144"/>
        <v>0</v>
      </c>
      <c r="O1813" s="119">
        <f t="shared" si="1144"/>
        <v>0</v>
      </c>
      <c r="P1813" s="119">
        <f t="shared" si="1144"/>
        <v>0</v>
      </c>
      <c r="Q1813" s="119">
        <f t="shared" si="1144"/>
        <v>0</v>
      </c>
      <c r="R1813" s="119">
        <f t="shared" si="1144"/>
        <v>0</v>
      </c>
      <c r="S1813" s="119">
        <f t="shared" si="1144"/>
        <v>0</v>
      </c>
      <c r="T1813" s="119">
        <f t="shared" si="1144"/>
        <v>0</v>
      </c>
      <c r="U1813" s="119">
        <f t="shared" si="1144"/>
        <v>0</v>
      </c>
      <c r="V1813" s="119">
        <f t="shared" si="1144"/>
        <v>0</v>
      </c>
      <c r="W1813" s="119">
        <f t="shared" si="1144"/>
        <v>0</v>
      </c>
      <c r="X1813" s="119">
        <f t="shared" si="1144"/>
        <v>0</v>
      </c>
    </row>
    <row r="1814" spans="2:24" hidden="1">
      <c r="B1814" s="117" t="str">
        <f t="shared" si="1141"/>
        <v/>
      </c>
      <c r="C1814" s="117" t="str">
        <f t="shared" si="1141"/>
        <v/>
      </c>
      <c r="D1814" s="117" t="str">
        <f t="shared" si="1141"/>
        <v/>
      </c>
      <c r="E1814" s="117" t="str">
        <f t="shared" si="1141"/>
        <v/>
      </c>
      <c r="F1814" s="117"/>
      <c r="G1814" s="117"/>
      <c r="H1814" s="117"/>
      <c r="I1814" s="117"/>
      <c r="J1814" s="117"/>
      <c r="K1814" s="119">
        <f t="shared" ref="K1814:X1814" si="1145">IF(AND($D1814="tak",OR($E1814="nie dotyczy",$E1814="badania przemysłowe"),LataProjekcji&lt;=Koniec_Projekt),K524,0)</f>
        <v>0</v>
      </c>
      <c r="L1814" s="119">
        <f t="shared" si="1145"/>
        <v>0</v>
      </c>
      <c r="M1814" s="119">
        <f t="shared" si="1145"/>
        <v>0</v>
      </c>
      <c r="N1814" s="119">
        <f t="shared" si="1145"/>
        <v>0</v>
      </c>
      <c r="O1814" s="119">
        <f t="shared" si="1145"/>
        <v>0</v>
      </c>
      <c r="P1814" s="119">
        <f t="shared" si="1145"/>
        <v>0</v>
      </c>
      <c r="Q1814" s="119">
        <f t="shared" si="1145"/>
        <v>0</v>
      </c>
      <c r="R1814" s="119">
        <f t="shared" si="1145"/>
        <v>0</v>
      </c>
      <c r="S1814" s="119">
        <f t="shared" si="1145"/>
        <v>0</v>
      </c>
      <c r="T1814" s="119">
        <f t="shared" si="1145"/>
        <v>0</v>
      </c>
      <c r="U1814" s="119">
        <f t="shared" si="1145"/>
        <v>0</v>
      </c>
      <c r="V1814" s="119">
        <f t="shared" si="1145"/>
        <v>0</v>
      </c>
      <c r="W1814" s="119">
        <f t="shared" si="1145"/>
        <v>0</v>
      </c>
      <c r="X1814" s="119">
        <f t="shared" si="1145"/>
        <v>0</v>
      </c>
    </row>
    <row r="1815" spans="2:24" hidden="1">
      <c r="B1815" s="117" t="str">
        <f t="shared" si="1141"/>
        <v/>
      </c>
      <c r="C1815" s="117" t="str">
        <f t="shared" si="1141"/>
        <v/>
      </c>
      <c r="D1815" s="117" t="str">
        <f t="shared" si="1141"/>
        <v/>
      </c>
      <c r="E1815" s="117" t="str">
        <f t="shared" si="1141"/>
        <v/>
      </c>
      <c r="F1815" s="117"/>
      <c r="G1815" s="117"/>
      <c r="H1815" s="117"/>
      <c r="I1815" s="117"/>
      <c r="J1815" s="117"/>
      <c r="K1815" s="119">
        <f t="shared" ref="K1815:X1815" si="1146">IF(AND($D1815="tak",OR($E1815="nie dotyczy",$E1815="badania przemysłowe"),LataProjekcji&lt;=Koniec_Projekt),K525,0)</f>
        <v>0</v>
      </c>
      <c r="L1815" s="119">
        <f t="shared" si="1146"/>
        <v>0</v>
      </c>
      <c r="M1815" s="119">
        <f t="shared" si="1146"/>
        <v>0</v>
      </c>
      <c r="N1815" s="119">
        <f t="shared" si="1146"/>
        <v>0</v>
      </c>
      <c r="O1815" s="119">
        <f t="shared" si="1146"/>
        <v>0</v>
      </c>
      <c r="P1815" s="119">
        <f t="shared" si="1146"/>
        <v>0</v>
      </c>
      <c r="Q1815" s="119">
        <f t="shared" si="1146"/>
        <v>0</v>
      </c>
      <c r="R1815" s="119">
        <f t="shared" si="1146"/>
        <v>0</v>
      </c>
      <c r="S1815" s="119">
        <f t="shared" si="1146"/>
        <v>0</v>
      </c>
      <c r="T1815" s="119">
        <f t="shared" si="1146"/>
        <v>0</v>
      </c>
      <c r="U1815" s="119">
        <f t="shared" si="1146"/>
        <v>0</v>
      </c>
      <c r="V1815" s="119">
        <f t="shared" si="1146"/>
        <v>0</v>
      </c>
      <c r="W1815" s="119">
        <f t="shared" si="1146"/>
        <v>0</v>
      </c>
      <c r="X1815" s="119">
        <f t="shared" si="1146"/>
        <v>0</v>
      </c>
    </row>
    <row r="1816" spans="2:24" hidden="1">
      <c r="B1816" s="117" t="str">
        <f t="shared" si="1141"/>
        <v/>
      </c>
      <c r="C1816" s="117" t="str">
        <f t="shared" si="1141"/>
        <v/>
      </c>
      <c r="D1816" s="117" t="str">
        <f t="shared" si="1141"/>
        <v/>
      </c>
      <c r="E1816" s="117" t="str">
        <f t="shared" si="1141"/>
        <v/>
      </c>
      <c r="F1816" s="117"/>
      <c r="G1816" s="117"/>
      <c r="H1816" s="117"/>
      <c r="I1816" s="117"/>
      <c r="J1816" s="117"/>
      <c r="K1816" s="119">
        <f t="shared" ref="K1816:X1816" si="1147">IF(AND($D1816="tak",OR($E1816="nie dotyczy",$E1816="badania przemysłowe"),LataProjekcji&lt;=Koniec_Projekt),K526,0)</f>
        <v>0</v>
      </c>
      <c r="L1816" s="119">
        <f t="shared" si="1147"/>
        <v>0</v>
      </c>
      <c r="M1816" s="119">
        <f t="shared" si="1147"/>
        <v>0</v>
      </c>
      <c r="N1816" s="119">
        <f t="shared" si="1147"/>
        <v>0</v>
      </c>
      <c r="O1816" s="119">
        <f t="shared" si="1147"/>
        <v>0</v>
      </c>
      <c r="P1816" s="119">
        <f t="shared" si="1147"/>
        <v>0</v>
      </c>
      <c r="Q1816" s="119">
        <f t="shared" si="1147"/>
        <v>0</v>
      </c>
      <c r="R1816" s="119">
        <f t="shared" si="1147"/>
        <v>0</v>
      </c>
      <c r="S1816" s="119">
        <f t="shared" si="1147"/>
        <v>0</v>
      </c>
      <c r="T1816" s="119">
        <f t="shared" si="1147"/>
        <v>0</v>
      </c>
      <c r="U1816" s="119">
        <f t="shared" si="1147"/>
        <v>0</v>
      </c>
      <c r="V1816" s="119">
        <f t="shared" si="1147"/>
        <v>0</v>
      </c>
      <c r="W1816" s="119">
        <f t="shared" si="1147"/>
        <v>0</v>
      </c>
      <c r="X1816" s="119">
        <f t="shared" si="1147"/>
        <v>0</v>
      </c>
    </row>
    <row r="1817" spans="2:24" hidden="1">
      <c r="B1817" s="117" t="str">
        <f t="shared" si="1141"/>
        <v/>
      </c>
      <c r="C1817" s="117" t="str">
        <f t="shared" si="1141"/>
        <v/>
      </c>
      <c r="D1817" s="117" t="str">
        <f t="shared" si="1141"/>
        <v/>
      </c>
      <c r="E1817" s="117" t="str">
        <f t="shared" si="1141"/>
        <v/>
      </c>
      <c r="F1817" s="117"/>
      <c r="G1817" s="117"/>
      <c r="H1817" s="117"/>
      <c r="I1817" s="117"/>
      <c r="J1817" s="117"/>
      <c r="K1817" s="119">
        <f t="shared" ref="K1817:X1817" si="1148">IF(AND($D1817="tak",OR($E1817="nie dotyczy",$E1817="badania przemysłowe"),LataProjekcji&lt;=Koniec_Projekt),K527,0)</f>
        <v>0</v>
      </c>
      <c r="L1817" s="119">
        <f t="shared" si="1148"/>
        <v>0</v>
      </c>
      <c r="M1817" s="119">
        <f t="shared" si="1148"/>
        <v>0</v>
      </c>
      <c r="N1817" s="119">
        <f t="shared" si="1148"/>
        <v>0</v>
      </c>
      <c r="O1817" s="119">
        <f t="shared" si="1148"/>
        <v>0</v>
      </c>
      <c r="P1817" s="119">
        <f t="shared" si="1148"/>
        <v>0</v>
      </c>
      <c r="Q1817" s="119">
        <f t="shared" si="1148"/>
        <v>0</v>
      </c>
      <c r="R1817" s="119">
        <f t="shared" si="1148"/>
        <v>0</v>
      </c>
      <c r="S1817" s="119">
        <f t="shared" si="1148"/>
        <v>0</v>
      </c>
      <c r="T1817" s="119">
        <f t="shared" si="1148"/>
        <v>0</v>
      </c>
      <c r="U1817" s="119">
        <f t="shared" si="1148"/>
        <v>0</v>
      </c>
      <c r="V1817" s="119">
        <f t="shared" si="1148"/>
        <v>0</v>
      </c>
      <c r="W1817" s="119">
        <f t="shared" si="1148"/>
        <v>0</v>
      </c>
      <c r="X1817" s="119">
        <f t="shared" si="1148"/>
        <v>0</v>
      </c>
    </row>
    <row r="1818" spans="2:24" hidden="1">
      <c r="B1818" s="117" t="str">
        <f t="shared" si="1141"/>
        <v/>
      </c>
      <c r="C1818" s="117" t="str">
        <f t="shared" si="1141"/>
        <v/>
      </c>
      <c r="D1818" s="117" t="str">
        <f t="shared" si="1141"/>
        <v/>
      </c>
      <c r="E1818" s="117" t="str">
        <f t="shared" si="1141"/>
        <v/>
      </c>
      <c r="F1818" s="117"/>
      <c r="G1818" s="117"/>
      <c r="H1818" s="117"/>
      <c r="I1818" s="117"/>
      <c r="J1818" s="117"/>
      <c r="K1818" s="119">
        <f t="shared" ref="K1818:X1818" si="1149">IF(AND($D1818="tak",OR($E1818="nie dotyczy",$E1818="badania przemysłowe"),LataProjekcji&lt;=Koniec_Projekt),K528,0)</f>
        <v>0</v>
      </c>
      <c r="L1818" s="119">
        <f t="shared" si="1149"/>
        <v>0</v>
      </c>
      <c r="M1818" s="119">
        <f t="shared" si="1149"/>
        <v>0</v>
      </c>
      <c r="N1818" s="119">
        <f t="shared" si="1149"/>
        <v>0</v>
      </c>
      <c r="O1818" s="119">
        <f t="shared" si="1149"/>
        <v>0</v>
      </c>
      <c r="P1818" s="119">
        <f t="shared" si="1149"/>
        <v>0</v>
      </c>
      <c r="Q1818" s="119">
        <f t="shared" si="1149"/>
        <v>0</v>
      </c>
      <c r="R1818" s="119">
        <f t="shared" si="1149"/>
        <v>0</v>
      </c>
      <c r="S1818" s="119">
        <f t="shared" si="1149"/>
        <v>0</v>
      </c>
      <c r="T1818" s="119">
        <f t="shared" si="1149"/>
        <v>0</v>
      </c>
      <c r="U1818" s="119">
        <f t="shared" si="1149"/>
        <v>0</v>
      </c>
      <c r="V1818" s="119">
        <f t="shared" si="1149"/>
        <v>0</v>
      </c>
      <c r="W1818" s="119">
        <f t="shared" si="1149"/>
        <v>0</v>
      </c>
      <c r="X1818" s="119">
        <f t="shared" si="1149"/>
        <v>0</v>
      </c>
    </row>
    <row r="1819" spans="2:24" hidden="1">
      <c r="B1819" s="117" t="str">
        <f t="shared" si="1141"/>
        <v/>
      </c>
      <c r="C1819" s="117" t="str">
        <f t="shared" si="1141"/>
        <v/>
      </c>
      <c r="D1819" s="117" t="str">
        <f t="shared" si="1141"/>
        <v/>
      </c>
      <c r="E1819" s="117" t="str">
        <f t="shared" si="1141"/>
        <v/>
      </c>
      <c r="F1819" s="117"/>
      <c r="G1819" s="117"/>
      <c r="H1819" s="117"/>
      <c r="I1819" s="117"/>
      <c r="J1819" s="117"/>
      <c r="K1819" s="119">
        <f t="shared" ref="K1819:X1819" si="1150">IF(AND($D1819="tak",OR($E1819="nie dotyczy",$E1819="badania przemysłowe"),LataProjekcji&lt;=Koniec_Projekt),K529,0)</f>
        <v>0</v>
      </c>
      <c r="L1819" s="119">
        <f t="shared" si="1150"/>
        <v>0</v>
      </c>
      <c r="M1819" s="119">
        <f t="shared" si="1150"/>
        <v>0</v>
      </c>
      <c r="N1819" s="119">
        <f t="shared" si="1150"/>
        <v>0</v>
      </c>
      <c r="O1819" s="119">
        <f t="shared" si="1150"/>
        <v>0</v>
      </c>
      <c r="P1819" s="119">
        <f t="shared" si="1150"/>
        <v>0</v>
      </c>
      <c r="Q1819" s="119">
        <f t="shared" si="1150"/>
        <v>0</v>
      </c>
      <c r="R1819" s="119">
        <f t="shared" si="1150"/>
        <v>0</v>
      </c>
      <c r="S1819" s="119">
        <f t="shared" si="1150"/>
        <v>0</v>
      </c>
      <c r="T1819" s="119">
        <f t="shared" si="1150"/>
        <v>0</v>
      </c>
      <c r="U1819" s="119">
        <f t="shared" si="1150"/>
        <v>0</v>
      </c>
      <c r="V1819" s="119">
        <f t="shared" si="1150"/>
        <v>0</v>
      </c>
      <c r="W1819" s="119">
        <f t="shared" si="1150"/>
        <v>0</v>
      </c>
      <c r="X1819" s="119">
        <f t="shared" si="1150"/>
        <v>0</v>
      </c>
    </row>
    <row r="1820" spans="2:24" hidden="1">
      <c r="B1820" s="117" t="str">
        <f t="shared" si="1141"/>
        <v/>
      </c>
      <c r="C1820" s="117" t="str">
        <f t="shared" si="1141"/>
        <v/>
      </c>
      <c r="D1820" s="117" t="str">
        <f t="shared" si="1141"/>
        <v/>
      </c>
      <c r="E1820" s="117" t="str">
        <f t="shared" si="1141"/>
        <v/>
      </c>
      <c r="F1820" s="117"/>
      <c r="G1820" s="117"/>
      <c r="H1820" s="117"/>
      <c r="I1820" s="117"/>
      <c r="J1820" s="117"/>
      <c r="K1820" s="119">
        <f t="shared" ref="K1820:X1820" si="1151">IF(AND($D1820="tak",OR($E1820="nie dotyczy",$E1820="badania przemysłowe"),LataProjekcji&lt;=Koniec_Projekt),K530,0)</f>
        <v>0</v>
      </c>
      <c r="L1820" s="119">
        <f t="shared" si="1151"/>
        <v>0</v>
      </c>
      <c r="M1820" s="119">
        <f t="shared" si="1151"/>
        <v>0</v>
      </c>
      <c r="N1820" s="119">
        <f t="shared" si="1151"/>
        <v>0</v>
      </c>
      <c r="O1820" s="119">
        <f t="shared" si="1151"/>
        <v>0</v>
      </c>
      <c r="P1820" s="119">
        <f t="shared" si="1151"/>
        <v>0</v>
      </c>
      <c r="Q1820" s="119">
        <f t="shared" si="1151"/>
        <v>0</v>
      </c>
      <c r="R1820" s="119">
        <f t="shared" si="1151"/>
        <v>0</v>
      </c>
      <c r="S1820" s="119">
        <f t="shared" si="1151"/>
        <v>0</v>
      </c>
      <c r="T1820" s="119">
        <f t="shared" si="1151"/>
        <v>0</v>
      </c>
      <c r="U1820" s="119">
        <f t="shared" si="1151"/>
        <v>0</v>
      </c>
      <c r="V1820" s="119">
        <f t="shared" si="1151"/>
        <v>0</v>
      </c>
      <c r="W1820" s="119">
        <f t="shared" si="1151"/>
        <v>0</v>
      </c>
      <c r="X1820" s="119">
        <f t="shared" si="1151"/>
        <v>0</v>
      </c>
    </row>
    <row r="1821" spans="2:24" hidden="1">
      <c r="B1821" s="117" t="str">
        <f t="shared" si="1141"/>
        <v/>
      </c>
      <c r="C1821" s="117" t="str">
        <f t="shared" si="1141"/>
        <v/>
      </c>
      <c r="D1821" s="117" t="str">
        <f t="shared" si="1141"/>
        <v/>
      </c>
      <c r="E1821" s="117" t="str">
        <f t="shared" si="1141"/>
        <v/>
      </c>
      <c r="F1821" s="117"/>
      <c r="G1821" s="117"/>
      <c r="H1821" s="117"/>
      <c r="I1821" s="117"/>
      <c r="J1821" s="117"/>
      <c r="K1821" s="119">
        <f t="shared" ref="K1821:X1821" si="1152">IF(AND($D1821="tak",OR($E1821="nie dotyczy",$E1821="badania przemysłowe"),LataProjekcji&lt;=Koniec_Projekt),K531,0)</f>
        <v>0</v>
      </c>
      <c r="L1821" s="119">
        <f t="shared" si="1152"/>
        <v>0</v>
      </c>
      <c r="M1821" s="119">
        <f t="shared" si="1152"/>
        <v>0</v>
      </c>
      <c r="N1821" s="119">
        <f t="shared" si="1152"/>
        <v>0</v>
      </c>
      <c r="O1821" s="119">
        <f t="shared" si="1152"/>
        <v>0</v>
      </c>
      <c r="P1821" s="119">
        <f t="shared" si="1152"/>
        <v>0</v>
      </c>
      <c r="Q1821" s="119">
        <f t="shared" si="1152"/>
        <v>0</v>
      </c>
      <c r="R1821" s="119">
        <f t="shared" si="1152"/>
        <v>0</v>
      </c>
      <c r="S1821" s="119">
        <f t="shared" si="1152"/>
        <v>0</v>
      </c>
      <c r="T1821" s="119">
        <f t="shared" si="1152"/>
        <v>0</v>
      </c>
      <c r="U1821" s="119">
        <f t="shared" si="1152"/>
        <v>0</v>
      </c>
      <c r="V1821" s="119">
        <f t="shared" si="1152"/>
        <v>0</v>
      </c>
      <c r="W1821" s="119">
        <f t="shared" si="1152"/>
        <v>0</v>
      </c>
      <c r="X1821" s="119">
        <f t="shared" si="1152"/>
        <v>0</v>
      </c>
    </row>
    <row r="1822" spans="2:24" hidden="1">
      <c r="B1822" s="117" t="str">
        <f t="shared" si="1141"/>
        <v/>
      </c>
      <c r="C1822" s="117" t="str">
        <f t="shared" si="1141"/>
        <v/>
      </c>
      <c r="D1822" s="117" t="str">
        <f t="shared" si="1141"/>
        <v/>
      </c>
      <c r="E1822" s="117" t="str">
        <f t="shared" si="1141"/>
        <v/>
      </c>
      <c r="F1822" s="117"/>
      <c r="G1822" s="117"/>
      <c r="H1822" s="117"/>
      <c r="I1822" s="117"/>
      <c r="J1822" s="117"/>
      <c r="K1822" s="119">
        <f t="shared" ref="K1822:X1822" si="1153">IF(AND($D1822="tak",OR($E1822="nie dotyczy",$E1822="badania przemysłowe"),LataProjekcji&lt;=Koniec_Projekt),K532,0)</f>
        <v>0</v>
      </c>
      <c r="L1822" s="119">
        <f t="shared" si="1153"/>
        <v>0</v>
      </c>
      <c r="M1822" s="119">
        <f t="shared" si="1153"/>
        <v>0</v>
      </c>
      <c r="N1822" s="119">
        <f t="shared" si="1153"/>
        <v>0</v>
      </c>
      <c r="O1822" s="119">
        <f t="shared" si="1153"/>
        <v>0</v>
      </c>
      <c r="P1822" s="119">
        <f t="shared" si="1153"/>
        <v>0</v>
      </c>
      <c r="Q1822" s="119">
        <f t="shared" si="1153"/>
        <v>0</v>
      </c>
      <c r="R1822" s="119">
        <f t="shared" si="1153"/>
        <v>0</v>
      </c>
      <c r="S1822" s="119">
        <f t="shared" si="1153"/>
        <v>0</v>
      </c>
      <c r="T1822" s="119">
        <f t="shared" si="1153"/>
        <v>0</v>
      </c>
      <c r="U1822" s="119">
        <f t="shared" si="1153"/>
        <v>0</v>
      </c>
      <c r="V1822" s="119">
        <f t="shared" si="1153"/>
        <v>0</v>
      </c>
      <c r="W1822" s="119">
        <f t="shared" si="1153"/>
        <v>0</v>
      </c>
      <c r="X1822" s="119">
        <f t="shared" si="1153"/>
        <v>0</v>
      </c>
    </row>
    <row r="1823" spans="2:24" hidden="1">
      <c r="B1823" s="117" t="str">
        <f t="shared" si="1141"/>
        <v/>
      </c>
      <c r="C1823" s="117" t="str">
        <f t="shared" si="1141"/>
        <v/>
      </c>
      <c r="D1823" s="117" t="str">
        <f t="shared" si="1141"/>
        <v/>
      </c>
      <c r="E1823" s="117" t="str">
        <f t="shared" si="1141"/>
        <v/>
      </c>
      <c r="F1823" s="117"/>
      <c r="G1823" s="117"/>
      <c r="H1823" s="117"/>
      <c r="I1823" s="117"/>
      <c r="J1823" s="117"/>
      <c r="K1823" s="119">
        <f t="shared" ref="K1823:X1823" si="1154">IF(AND($D1823="tak",OR($E1823="nie dotyczy",$E1823="badania przemysłowe"),LataProjekcji&lt;=Koniec_Projekt),K533,0)</f>
        <v>0</v>
      </c>
      <c r="L1823" s="119">
        <f t="shared" si="1154"/>
        <v>0</v>
      </c>
      <c r="M1823" s="119">
        <f t="shared" si="1154"/>
        <v>0</v>
      </c>
      <c r="N1823" s="119">
        <f t="shared" si="1154"/>
        <v>0</v>
      </c>
      <c r="O1823" s="119">
        <f t="shared" si="1154"/>
        <v>0</v>
      </c>
      <c r="P1823" s="119">
        <f t="shared" si="1154"/>
        <v>0</v>
      </c>
      <c r="Q1823" s="119">
        <f t="shared" si="1154"/>
        <v>0</v>
      </c>
      <c r="R1823" s="119">
        <f t="shared" si="1154"/>
        <v>0</v>
      </c>
      <c r="S1823" s="119">
        <f t="shared" si="1154"/>
        <v>0</v>
      </c>
      <c r="T1823" s="119">
        <f t="shared" si="1154"/>
        <v>0</v>
      </c>
      <c r="U1823" s="119">
        <f t="shared" si="1154"/>
        <v>0</v>
      </c>
      <c r="V1823" s="119">
        <f t="shared" si="1154"/>
        <v>0</v>
      </c>
      <c r="W1823" s="119">
        <f t="shared" si="1154"/>
        <v>0</v>
      </c>
      <c r="X1823" s="119">
        <f t="shared" si="1154"/>
        <v>0</v>
      </c>
    </row>
    <row r="1824" spans="2:24" hidden="1">
      <c r="B1824" s="117" t="str">
        <f t="shared" si="1141"/>
        <v/>
      </c>
      <c r="C1824" s="117" t="str">
        <f t="shared" si="1141"/>
        <v/>
      </c>
      <c r="D1824" s="117" t="str">
        <f t="shared" si="1141"/>
        <v/>
      </c>
      <c r="E1824" s="117" t="str">
        <f t="shared" si="1141"/>
        <v/>
      </c>
      <c r="F1824" s="117"/>
      <c r="G1824" s="117"/>
      <c r="H1824" s="117"/>
      <c r="I1824" s="117"/>
      <c r="J1824" s="117"/>
      <c r="K1824" s="119">
        <f t="shared" ref="K1824:X1824" si="1155">IF(AND($D1824="tak",OR($E1824="nie dotyczy",$E1824="badania przemysłowe"),LataProjekcji&lt;=Koniec_Projekt),K534,0)</f>
        <v>0</v>
      </c>
      <c r="L1824" s="119">
        <f t="shared" si="1155"/>
        <v>0</v>
      </c>
      <c r="M1824" s="119">
        <f t="shared" si="1155"/>
        <v>0</v>
      </c>
      <c r="N1824" s="119">
        <f t="shared" si="1155"/>
        <v>0</v>
      </c>
      <c r="O1824" s="119">
        <f t="shared" si="1155"/>
        <v>0</v>
      </c>
      <c r="P1824" s="119">
        <f t="shared" si="1155"/>
        <v>0</v>
      </c>
      <c r="Q1824" s="119">
        <f t="shared" si="1155"/>
        <v>0</v>
      </c>
      <c r="R1824" s="119">
        <f t="shared" si="1155"/>
        <v>0</v>
      </c>
      <c r="S1824" s="119">
        <f t="shared" si="1155"/>
        <v>0</v>
      </c>
      <c r="T1824" s="119">
        <f t="shared" si="1155"/>
        <v>0</v>
      </c>
      <c r="U1824" s="119">
        <f t="shared" si="1155"/>
        <v>0</v>
      </c>
      <c r="V1824" s="119">
        <f t="shared" si="1155"/>
        <v>0</v>
      </c>
      <c r="W1824" s="119">
        <f t="shared" si="1155"/>
        <v>0</v>
      </c>
      <c r="X1824" s="119">
        <f t="shared" si="1155"/>
        <v>0</v>
      </c>
    </row>
    <row r="1825" spans="2:24" hidden="1">
      <c r="B1825" s="117" t="str">
        <f t="shared" si="1141"/>
        <v/>
      </c>
      <c r="C1825" s="117" t="str">
        <f t="shared" si="1141"/>
        <v/>
      </c>
      <c r="D1825" s="117" t="str">
        <f t="shared" si="1141"/>
        <v/>
      </c>
      <c r="E1825" s="117" t="str">
        <f t="shared" si="1141"/>
        <v/>
      </c>
      <c r="F1825" s="117"/>
      <c r="G1825" s="117"/>
      <c r="H1825" s="117"/>
      <c r="I1825" s="117"/>
      <c r="J1825" s="117"/>
      <c r="K1825" s="119">
        <f t="shared" ref="K1825:X1825" si="1156">IF(AND($D1825="tak",OR($E1825="nie dotyczy",$E1825="badania przemysłowe"),LataProjekcji&lt;=Koniec_Projekt),K535,0)</f>
        <v>0</v>
      </c>
      <c r="L1825" s="119">
        <f t="shared" si="1156"/>
        <v>0</v>
      </c>
      <c r="M1825" s="119">
        <f t="shared" si="1156"/>
        <v>0</v>
      </c>
      <c r="N1825" s="119">
        <f t="shared" si="1156"/>
        <v>0</v>
      </c>
      <c r="O1825" s="119">
        <f t="shared" si="1156"/>
        <v>0</v>
      </c>
      <c r="P1825" s="119">
        <f t="shared" si="1156"/>
        <v>0</v>
      </c>
      <c r="Q1825" s="119">
        <f t="shared" si="1156"/>
        <v>0</v>
      </c>
      <c r="R1825" s="119">
        <f t="shared" si="1156"/>
        <v>0</v>
      </c>
      <c r="S1825" s="119">
        <f t="shared" si="1156"/>
        <v>0</v>
      </c>
      <c r="T1825" s="119">
        <f t="shared" si="1156"/>
        <v>0</v>
      </c>
      <c r="U1825" s="119">
        <f t="shared" si="1156"/>
        <v>0</v>
      </c>
      <c r="V1825" s="119">
        <f t="shared" si="1156"/>
        <v>0</v>
      </c>
      <c r="W1825" s="119">
        <f t="shared" si="1156"/>
        <v>0</v>
      </c>
      <c r="X1825" s="119">
        <f t="shared" si="1156"/>
        <v>0</v>
      </c>
    </row>
    <row r="1826" spans="2:24" hidden="1">
      <c r="B1826" s="117" t="str">
        <f t="shared" si="1141"/>
        <v/>
      </c>
      <c r="C1826" s="117" t="str">
        <f t="shared" si="1141"/>
        <v/>
      </c>
      <c r="D1826" s="117" t="str">
        <f t="shared" si="1141"/>
        <v/>
      </c>
      <c r="E1826" s="117" t="str">
        <f t="shared" si="1141"/>
        <v/>
      </c>
      <c r="F1826" s="117"/>
      <c r="G1826" s="117"/>
      <c r="H1826" s="117"/>
      <c r="I1826" s="117"/>
      <c r="J1826" s="117"/>
      <c r="K1826" s="119">
        <f t="shared" ref="K1826:X1826" si="1157">IF(AND($D1826="tak",OR($E1826="nie dotyczy",$E1826="badania przemysłowe"),LataProjekcji&lt;=Koniec_Projekt),K536,0)</f>
        <v>0</v>
      </c>
      <c r="L1826" s="119">
        <f t="shared" si="1157"/>
        <v>0</v>
      </c>
      <c r="M1826" s="119">
        <f t="shared" si="1157"/>
        <v>0</v>
      </c>
      <c r="N1826" s="119">
        <f t="shared" si="1157"/>
        <v>0</v>
      </c>
      <c r="O1826" s="119">
        <f t="shared" si="1157"/>
        <v>0</v>
      </c>
      <c r="P1826" s="119">
        <f t="shared" si="1157"/>
        <v>0</v>
      </c>
      <c r="Q1826" s="119">
        <f t="shared" si="1157"/>
        <v>0</v>
      </c>
      <c r="R1826" s="119">
        <f t="shared" si="1157"/>
        <v>0</v>
      </c>
      <c r="S1826" s="119">
        <f t="shared" si="1157"/>
        <v>0</v>
      </c>
      <c r="T1826" s="119">
        <f t="shared" si="1157"/>
        <v>0</v>
      </c>
      <c r="U1826" s="119">
        <f t="shared" si="1157"/>
        <v>0</v>
      </c>
      <c r="V1826" s="119">
        <f t="shared" si="1157"/>
        <v>0</v>
      </c>
      <c r="W1826" s="119">
        <f t="shared" si="1157"/>
        <v>0</v>
      </c>
      <c r="X1826" s="119">
        <f t="shared" si="1157"/>
        <v>0</v>
      </c>
    </row>
    <row r="1827" spans="2:24" hidden="1">
      <c r="B1827" s="117" t="str">
        <f t="shared" si="1141"/>
        <v/>
      </c>
      <c r="C1827" s="117" t="str">
        <f t="shared" si="1141"/>
        <v/>
      </c>
      <c r="D1827" s="117" t="str">
        <f t="shared" si="1141"/>
        <v/>
      </c>
      <c r="E1827" s="117" t="str">
        <f t="shared" si="1141"/>
        <v/>
      </c>
      <c r="F1827" s="117"/>
      <c r="G1827" s="117"/>
      <c r="H1827" s="117"/>
      <c r="I1827" s="117"/>
      <c r="J1827" s="117"/>
      <c r="K1827" s="119">
        <f t="shared" ref="K1827:X1827" si="1158">IF(AND($D1827="tak",OR($E1827="nie dotyczy",$E1827="badania przemysłowe"),LataProjekcji&lt;=Koniec_Projekt),K537,0)</f>
        <v>0</v>
      </c>
      <c r="L1827" s="119">
        <f t="shared" si="1158"/>
        <v>0</v>
      </c>
      <c r="M1827" s="119">
        <f t="shared" si="1158"/>
        <v>0</v>
      </c>
      <c r="N1827" s="119">
        <f t="shared" si="1158"/>
        <v>0</v>
      </c>
      <c r="O1827" s="119">
        <f t="shared" si="1158"/>
        <v>0</v>
      </c>
      <c r="P1827" s="119">
        <f t="shared" si="1158"/>
        <v>0</v>
      </c>
      <c r="Q1827" s="119">
        <f t="shared" si="1158"/>
        <v>0</v>
      </c>
      <c r="R1827" s="119">
        <f t="shared" si="1158"/>
        <v>0</v>
      </c>
      <c r="S1827" s="119">
        <f t="shared" si="1158"/>
        <v>0</v>
      </c>
      <c r="T1827" s="119">
        <f t="shared" si="1158"/>
        <v>0</v>
      </c>
      <c r="U1827" s="119">
        <f t="shared" si="1158"/>
        <v>0</v>
      </c>
      <c r="V1827" s="119">
        <f t="shared" si="1158"/>
        <v>0</v>
      </c>
      <c r="W1827" s="119">
        <f t="shared" si="1158"/>
        <v>0</v>
      </c>
      <c r="X1827" s="119">
        <f t="shared" si="1158"/>
        <v>0</v>
      </c>
    </row>
    <row r="1828" spans="2:24" hidden="1">
      <c r="B1828" s="117" t="str">
        <f t="shared" si="1141"/>
        <v/>
      </c>
      <c r="C1828" s="117" t="str">
        <f t="shared" si="1141"/>
        <v/>
      </c>
      <c r="D1828" s="117" t="str">
        <f t="shared" si="1141"/>
        <v/>
      </c>
      <c r="E1828" s="117" t="str">
        <f t="shared" si="1141"/>
        <v/>
      </c>
      <c r="F1828" s="117"/>
      <c r="G1828" s="117"/>
      <c r="H1828" s="117"/>
      <c r="I1828" s="117"/>
      <c r="J1828" s="117"/>
      <c r="K1828" s="119">
        <f t="shared" ref="K1828:X1828" si="1159">IF(AND($D1828="tak",OR($E1828="nie dotyczy",$E1828="badania przemysłowe"),LataProjekcji&lt;=Koniec_Projekt),K538,0)</f>
        <v>0</v>
      </c>
      <c r="L1828" s="119">
        <f t="shared" si="1159"/>
        <v>0</v>
      </c>
      <c r="M1828" s="119">
        <f t="shared" si="1159"/>
        <v>0</v>
      </c>
      <c r="N1828" s="119">
        <f t="shared" si="1159"/>
        <v>0</v>
      </c>
      <c r="O1828" s="119">
        <f t="shared" si="1159"/>
        <v>0</v>
      </c>
      <c r="P1828" s="119">
        <f t="shared" si="1159"/>
        <v>0</v>
      </c>
      <c r="Q1828" s="119">
        <f t="shared" si="1159"/>
        <v>0</v>
      </c>
      <c r="R1828" s="119">
        <f t="shared" si="1159"/>
        <v>0</v>
      </c>
      <c r="S1828" s="119">
        <f t="shared" si="1159"/>
        <v>0</v>
      </c>
      <c r="T1828" s="119">
        <f t="shared" si="1159"/>
        <v>0</v>
      </c>
      <c r="U1828" s="119">
        <f t="shared" si="1159"/>
        <v>0</v>
      </c>
      <c r="V1828" s="119">
        <f t="shared" si="1159"/>
        <v>0</v>
      </c>
      <c r="W1828" s="119">
        <f t="shared" si="1159"/>
        <v>0</v>
      </c>
      <c r="X1828" s="119">
        <f t="shared" si="1159"/>
        <v>0</v>
      </c>
    </row>
    <row r="1829" spans="2:24" hidden="1">
      <c r="B1829" s="117" t="str">
        <f t="shared" si="1141"/>
        <v/>
      </c>
      <c r="C1829" s="117" t="str">
        <f t="shared" si="1141"/>
        <v/>
      </c>
      <c r="D1829" s="117" t="str">
        <f t="shared" si="1141"/>
        <v/>
      </c>
      <c r="E1829" s="117" t="str">
        <f t="shared" si="1141"/>
        <v/>
      </c>
      <c r="F1829" s="117"/>
      <c r="G1829" s="117"/>
      <c r="H1829" s="117"/>
      <c r="I1829" s="117"/>
      <c r="J1829" s="117"/>
      <c r="K1829" s="119">
        <f t="shared" ref="K1829:X1829" si="1160">IF(AND($D1829="tak",OR($E1829="nie dotyczy",$E1829="badania przemysłowe"),LataProjekcji&lt;=Koniec_Projekt),K539,0)</f>
        <v>0</v>
      </c>
      <c r="L1829" s="119">
        <f t="shared" si="1160"/>
        <v>0</v>
      </c>
      <c r="M1829" s="119">
        <f t="shared" si="1160"/>
        <v>0</v>
      </c>
      <c r="N1829" s="119">
        <f t="shared" si="1160"/>
        <v>0</v>
      </c>
      <c r="O1829" s="119">
        <f t="shared" si="1160"/>
        <v>0</v>
      </c>
      <c r="P1829" s="119">
        <f t="shared" si="1160"/>
        <v>0</v>
      </c>
      <c r="Q1829" s="119">
        <f t="shared" si="1160"/>
        <v>0</v>
      </c>
      <c r="R1829" s="119">
        <f t="shared" si="1160"/>
        <v>0</v>
      </c>
      <c r="S1829" s="119">
        <f t="shared" si="1160"/>
        <v>0</v>
      </c>
      <c r="T1829" s="119">
        <f t="shared" si="1160"/>
        <v>0</v>
      </c>
      <c r="U1829" s="119">
        <f t="shared" si="1160"/>
        <v>0</v>
      </c>
      <c r="V1829" s="119">
        <f t="shared" si="1160"/>
        <v>0</v>
      </c>
      <c r="W1829" s="119">
        <f t="shared" si="1160"/>
        <v>0</v>
      </c>
      <c r="X1829" s="119">
        <f t="shared" si="1160"/>
        <v>0</v>
      </c>
    </row>
    <row r="1830" spans="2:24" hidden="1">
      <c r="B1830" s="117" t="str">
        <f t="shared" si="1141"/>
        <v/>
      </c>
      <c r="C1830" s="117" t="str">
        <f t="shared" si="1141"/>
        <v/>
      </c>
      <c r="D1830" s="117" t="str">
        <f t="shared" si="1141"/>
        <v/>
      </c>
      <c r="E1830" s="117" t="str">
        <f t="shared" si="1141"/>
        <v/>
      </c>
      <c r="F1830" s="117"/>
      <c r="G1830" s="117"/>
      <c r="H1830" s="117"/>
      <c r="I1830" s="117"/>
      <c r="J1830" s="117"/>
      <c r="K1830" s="119">
        <f t="shared" ref="K1830:X1830" si="1161">IF(AND($D1830="tak",OR($E1830="nie dotyczy",$E1830="badania przemysłowe"),LataProjekcji&lt;=Koniec_Projekt),K540,0)</f>
        <v>0</v>
      </c>
      <c r="L1830" s="119">
        <f t="shared" si="1161"/>
        <v>0</v>
      </c>
      <c r="M1830" s="119">
        <f t="shared" si="1161"/>
        <v>0</v>
      </c>
      <c r="N1830" s="119">
        <f t="shared" si="1161"/>
        <v>0</v>
      </c>
      <c r="O1830" s="119">
        <f t="shared" si="1161"/>
        <v>0</v>
      </c>
      <c r="P1830" s="119">
        <f t="shared" si="1161"/>
        <v>0</v>
      </c>
      <c r="Q1830" s="119">
        <f t="shared" si="1161"/>
        <v>0</v>
      </c>
      <c r="R1830" s="119">
        <f t="shared" si="1161"/>
        <v>0</v>
      </c>
      <c r="S1830" s="119">
        <f t="shared" si="1161"/>
        <v>0</v>
      </c>
      <c r="T1830" s="119">
        <f t="shared" si="1161"/>
        <v>0</v>
      </c>
      <c r="U1830" s="119">
        <f t="shared" si="1161"/>
        <v>0</v>
      </c>
      <c r="V1830" s="119">
        <f t="shared" si="1161"/>
        <v>0</v>
      </c>
      <c r="W1830" s="119">
        <f t="shared" si="1161"/>
        <v>0</v>
      </c>
      <c r="X1830" s="119">
        <f t="shared" si="1161"/>
        <v>0</v>
      </c>
    </row>
    <row r="1831" spans="2:24" hidden="1">
      <c r="B1831" s="117" t="str">
        <f t="shared" si="1141"/>
        <v/>
      </c>
      <c r="C1831" s="117" t="str">
        <f t="shared" si="1141"/>
        <v/>
      </c>
      <c r="D1831" s="117" t="str">
        <f t="shared" si="1141"/>
        <v/>
      </c>
      <c r="E1831" s="117" t="str">
        <f t="shared" si="1141"/>
        <v/>
      </c>
      <c r="F1831" s="117"/>
      <c r="G1831" s="117"/>
      <c r="H1831" s="117"/>
      <c r="I1831" s="117"/>
      <c r="J1831" s="117"/>
      <c r="K1831" s="119">
        <f t="shared" ref="K1831:X1831" si="1162">IF(AND($D1831="tak",OR($E1831="nie dotyczy",$E1831="badania przemysłowe"),LataProjekcji&lt;=Koniec_Projekt),K541,0)</f>
        <v>0</v>
      </c>
      <c r="L1831" s="119">
        <f t="shared" si="1162"/>
        <v>0</v>
      </c>
      <c r="M1831" s="119">
        <f t="shared" si="1162"/>
        <v>0</v>
      </c>
      <c r="N1831" s="119">
        <f t="shared" si="1162"/>
        <v>0</v>
      </c>
      <c r="O1831" s="119">
        <f t="shared" si="1162"/>
        <v>0</v>
      </c>
      <c r="P1831" s="119">
        <f t="shared" si="1162"/>
        <v>0</v>
      </c>
      <c r="Q1831" s="119">
        <f t="shared" si="1162"/>
        <v>0</v>
      </c>
      <c r="R1831" s="119">
        <f t="shared" si="1162"/>
        <v>0</v>
      </c>
      <c r="S1831" s="119">
        <f t="shared" si="1162"/>
        <v>0</v>
      </c>
      <c r="T1831" s="119">
        <f t="shared" si="1162"/>
        <v>0</v>
      </c>
      <c r="U1831" s="119">
        <f t="shared" si="1162"/>
        <v>0</v>
      </c>
      <c r="V1831" s="119">
        <f t="shared" si="1162"/>
        <v>0</v>
      </c>
      <c r="W1831" s="119">
        <f t="shared" si="1162"/>
        <v>0</v>
      </c>
      <c r="X1831" s="119">
        <f t="shared" si="1162"/>
        <v>0</v>
      </c>
    </row>
    <row r="1832" spans="2:24" hidden="1">
      <c r="B1832" s="117" t="str">
        <f t="shared" si="1141"/>
        <v/>
      </c>
      <c r="C1832" s="117" t="str">
        <f t="shared" si="1141"/>
        <v/>
      </c>
      <c r="D1832" s="117" t="str">
        <f t="shared" si="1141"/>
        <v/>
      </c>
      <c r="E1832" s="117" t="str">
        <f t="shared" si="1141"/>
        <v/>
      </c>
      <c r="F1832" s="117"/>
      <c r="G1832" s="117"/>
      <c r="H1832" s="117"/>
      <c r="I1832" s="117"/>
      <c r="J1832" s="117"/>
      <c r="K1832" s="119">
        <f t="shared" ref="K1832:X1832" si="1163">IF(AND($D1832="tak",OR($E1832="nie dotyczy",$E1832="badania przemysłowe"),LataProjekcji&lt;=Koniec_Projekt),K542,0)</f>
        <v>0</v>
      </c>
      <c r="L1832" s="119">
        <f t="shared" si="1163"/>
        <v>0</v>
      </c>
      <c r="M1832" s="119">
        <f t="shared" si="1163"/>
        <v>0</v>
      </c>
      <c r="N1832" s="119">
        <f t="shared" si="1163"/>
        <v>0</v>
      </c>
      <c r="O1832" s="119">
        <f t="shared" si="1163"/>
        <v>0</v>
      </c>
      <c r="P1832" s="119">
        <f t="shared" si="1163"/>
        <v>0</v>
      </c>
      <c r="Q1832" s="119">
        <f t="shared" si="1163"/>
        <v>0</v>
      </c>
      <c r="R1832" s="119">
        <f t="shared" si="1163"/>
        <v>0</v>
      </c>
      <c r="S1832" s="119">
        <f t="shared" si="1163"/>
        <v>0</v>
      </c>
      <c r="T1832" s="119">
        <f t="shared" si="1163"/>
        <v>0</v>
      </c>
      <c r="U1832" s="119">
        <f t="shared" si="1163"/>
        <v>0</v>
      </c>
      <c r="V1832" s="119">
        <f t="shared" si="1163"/>
        <v>0</v>
      </c>
      <c r="W1832" s="119">
        <f t="shared" si="1163"/>
        <v>0</v>
      </c>
      <c r="X1832" s="119">
        <f t="shared" si="1163"/>
        <v>0</v>
      </c>
    </row>
    <row r="1833" spans="2:24" hidden="1">
      <c r="B1833" s="117" t="str">
        <f t="shared" si="1141"/>
        <v/>
      </c>
      <c r="C1833" s="117" t="str">
        <f t="shared" si="1141"/>
        <v/>
      </c>
      <c r="D1833" s="117" t="str">
        <f t="shared" si="1141"/>
        <v/>
      </c>
      <c r="E1833" s="117" t="str">
        <f t="shared" si="1141"/>
        <v/>
      </c>
      <c r="F1833" s="117"/>
      <c r="G1833" s="117"/>
      <c r="H1833" s="117"/>
      <c r="I1833" s="117"/>
      <c r="J1833" s="117"/>
      <c r="K1833" s="119">
        <f t="shared" ref="K1833:X1833" si="1164">IF(AND($D1833="tak",OR($E1833="nie dotyczy",$E1833="badania przemysłowe"),LataProjekcji&lt;=Koniec_Projekt),K543,0)</f>
        <v>0</v>
      </c>
      <c r="L1833" s="119">
        <f t="shared" si="1164"/>
        <v>0</v>
      </c>
      <c r="M1833" s="119">
        <f t="shared" si="1164"/>
        <v>0</v>
      </c>
      <c r="N1833" s="119">
        <f t="shared" si="1164"/>
        <v>0</v>
      </c>
      <c r="O1833" s="119">
        <f t="shared" si="1164"/>
        <v>0</v>
      </c>
      <c r="P1833" s="119">
        <f t="shared" si="1164"/>
        <v>0</v>
      </c>
      <c r="Q1833" s="119">
        <f t="shared" si="1164"/>
        <v>0</v>
      </c>
      <c r="R1833" s="119">
        <f t="shared" si="1164"/>
        <v>0</v>
      </c>
      <c r="S1833" s="119">
        <f t="shared" si="1164"/>
        <v>0</v>
      </c>
      <c r="T1833" s="119">
        <f t="shared" si="1164"/>
        <v>0</v>
      </c>
      <c r="U1833" s="119">
        <f t="shared" si="1164"/>
        <v>0</v>
      </c>
      <c r="V1833" s="119">
        <f t="shared" si="1164"/>
        <v>0</v>
      </c>
      <c r="W1833" s="119">
        <f t="shared" si="1164"/>
        <v>0</v>
      </c>
      <c r="X1833" s="119">
        <f t="shared" si="1164"/>
        <v>0</v>
      </c>
    </row>
    <row r="1834" spans="2:24" hidden="1">
      <c r="B1834" s="117" t="str">
        <f t="shared" si="1141"/>
        <v/>
      </c>
      <c r="C1834" s="117" t="str">
        <f t="shared" si="1141"/>
        <v/>
      </c>
      <c r="D1834" s="117" t="str">
        <f t="shared" si="1141"/>
        <v/>
      </c>
      <c r="E1834" s="117" t="str">
        <f t="shared" si="1141"/>
        <v/>
      </c>
      <c r="F1834" s="117"/>
      <c r="G1834" s="117"/>
      <c r="H1834" s="117"/>
      <c r="I1834" s="117"/>
      <c r="J1834" s="117"/>
      <c r="K1834" s="119">
        <f t="shared" ref="K1834:X1834" si="1165">IF(AND($D1834="tak",OR($E1834="nie dotyczy",$E1834="badania przemysłowe"),LataProjekcji&lt;=Koniec_Projekt),K544,0)</f>
        <v>0</v>
      </c>
      <c r="L1834" s="119">
        <f t="shared" si="1165"/>
        <v>0</v>
      </c>
      <c r="M1834" s="119">
        <f t="shared" si="1165"/>
        <v>0</v>
      </c>
      <c r="N1834" s="119">
        <f t="shared" si="1165"/>
        <v>0</v>
      </c>
      <c r="O1834" s="119">
        <f t="shared" si="1165"/>
        <v>0</v>
      </c>
      <c r="P1834" s="119">
        <f t="shared" si="1165"/>
        <v>0</v>
      </c>
      <c r="Q1834" s="119">
        <f t="shared" si="1165"/>
        <v>0</v>
      </c>
      <c r="R1834" s="119">
        <f t="shared" si="1165"/>
        <v>0</v>
      </c>
      <c r="S1834" s="119">
        <f t="shared" si="1165"/>
        <v>0</v>
      </c>
      <c r="T1834" s="119">
        <f t="shared" si="1165"/>
        <v>0</v>
      </c>
      <c r="U1834" s="119">
        <f t="shared" si="1165"/>
        <v>0</v>
      </c>
      <c r="V1834" s="119">
        <f t="shared" si="1165"/>
        <v>0</v>
      </c>
      <c r="W1834" s="119">
        <f t="shared" si="1165"/>
        <v>0</v>
      </c>
      <c r="X1834" s="119">
        <f t="shared" si="1165"/>
        <v>0</v>
      </c>
    </row>
    <row r="1835" spans="2:24" hidden="1">
      <c r="B1835" s="117" t="str">
        <f t="shared" si="1141"/>
        <v/>
      </c>
      <c r="C1835" s="117" t="str">
        <f t="shared" si="1141"/>
        <v/>
      </c>
      <c r="D1835" s="117" t="str">
        <f t="shared" si="1141"/>
        <v/>
      </c>
      <c r="E1835" s="117" t="str">
        <f t="shared" si="1141"/>
        <v/>
      </c>
      <c r="F1835" s="117"/>
      <c r="G1835" s="117"/>
      <c r="H1835" s="117"/>
      <c r="I1835" s="117"/>
      <c r="J1835" s="117"/>
      <c r="K1835" s="119">
        <f t="shared" ref="K1835:X1835" si="1166">IF(AND($D1835="tak",OR($E1835="nie dotyczy",$E1835="badania przemysłowe"),LataProjekcji&lt;=Koniec_Projekt),K545,0)</f>
        <v>0</v>
      </c>
      <c r="L1835" s="119">
        <f t="shared" si="1166"/>
        <v>0</v>
      </c>
      <c r="M1835" s="119">
        <f t="shared" si="1166"/>
        <v>0</v>
      </c>
      <c r="N1835" s="119">
        <f t="shared" si="1166"/>
        <v>0</v>
      </c>
      <c r="O1835" s="119">
        <f t="shared" si="1166"/>
        <v>0</v>
      </c>
      <c r="P1835" s="119">
        <f t="shared" si="1166"/>
        <v>0</v>
      </c>
      <c r="Q1835" s="119">
        <f t="shared" si="1166"/>
        <v>0</v>
      </c>
      <c r="R1835" s="119">
        <f t="shared" si="1166"/>
        <v>0</v>
      </c>
      <c r="S1835" s="119">
        <f t="shared" si="1166"/>
        <v>0</v>
      </c>
      <c r="T1835" s="119">
        <f t="shared" si="1166"/>
        <v>0</v>
      </c>
      <c r="U1835" s="119">
        <f t="shared" si="1166"/>
        <v>0</v>
      </c>
      <c r="V1835" s="119">
        <f t="shared" si="1166"/>
        <v>0</v>
      </c>
      <c r="W1835" s="119">
        <f t="shared" si="1166"/>
        <v>0</v>
      </c>
      <c r="X1835" s="119">
        <f t="shared" si="1166"/>
        <v>0</v>
      </c>
    </row>
    <row r="1836" spans="2:24" hidden="1">
      <c r="B1836" s="117" t="str">
        <f t="shared" si="1141"/>
        <v/>
      </c>
      <c r="C1836" s="117" t="str">
        <f t="shared" si="1141"/>
        <v/>
      </c>
      <c r="D1836" s="117" t="str">
        <f t="shared" si="1141"/>
        <v/>
      </c>
      <c r="E1836" s="117" t="str">
        <f t="shared" si="1141"/>
        <v/>
      </c>
      <c r="F1836" s="117"/>
      <c r="G1836" s="117"/>
      <c r="H1836" s="117"/>
      <c r="I1836" s="117"/>
      <c r="J1836" s="117"/>
      <c r="K1836" s="119">
        <f t="shared" ref="K1836:X1836" si="1167">IF(AND($D1836="tak",OR($E1836="nie dotyczy",$E1836="badania przemysłowe"),LataProjekcji&lt;=Koniec_Projekt),K546,0)</f>
        <v>0</v>
      </c>
      <c r="L1836" s="119">
        <f t="shared" si="1167"/>
        <v>0</v>
      </c>
      <c r="M1836" s="119">
        <f t="shared" si="1167"/>
        <v>0</v>
      </c>
      <c r="N1836" s="119">
        <f t="shared" si="1167"/>
        <v>0</v>
      </c>
      <c r="O1836" s="119">
        <f t="shared" si="1167"/>
        <v>0</v>
      </c>
      <c r="P1836" s="119">
        <f t="shared" si="1167"/>
        <v>0</v>
      </c>
      <c r="Q1836" s="119">
        <f t="shared" si="1167"/>
        <v>0</v>
      </c>
      <c r="R1836" s="119">
        <f t="shared" si="1167"/>
        <v>0</v>
      </c>
      <c r="S1836" s="119">
        <f t="shared" si="1167"/>
        <v>0</v>
      </c>
      <c r="T1836" s="119">
        <f t="shared" si="1167"/>
        <v>0</v>
      </c>
      <c r="U1836" s="119">
        <f t="shared" si="1167"/>
        <v>0</v>
      </c>
      <c r="V1836" s="119">
        <f t="shared" si="1167"/>
        <v>0</v>
      </c>
      <c r="W1836" s="119">
        <f t="shared" si="1167"/>
        <v>0</v>
      </c>
      <c r="X1836" s="119">
        <f t="shared" si="1167"/>
        <v>0</v>
      </c>
    </row>
    <row r="1837" spans="2:24" hidden="1">
      <c r="B1837" s="117" t="str">
        <f t="shared" si="1141"/>
        <v/>
      </c>
      <c r="C1837" s="117" t="str">
        <f t="shared" si="1141"/>
        <v/>
      </c>
      <c r="D1837" s="117" t="str">
        <f t="shared" si="1141"/>
        <v/>
      </c>
      <c r="E1837" s="117" t="str">
        <f t="shared" si="1141"/>
        <v/>
      </c>
      <c r="F1837" s="117"/>
      <c r="G1837" s="117"/>
      <c r="H1837" s="117"/>
      <c r="I1837" s="117"/>
      <c r="J1837" s="117"/>
      <c r="K1837" s="119">
        <f t="shared" ref="K1837:X1837" si="1168">IF(AND($D1837="tak",OR($E1837="nie dotyczy",$E1837="badania przemysłowe"),LataProjekcji&lt;=Koniec_Projekt),K547,0)</f>
        <v>0</v>
      </c>
      <c r="L1837" s="119">
        <f t="shared" si="1168"/>
        <v>0</v>
      </c>
      <c r="M1837" s="119">
        <f t="shared" si="1168"/>
        <v>0</v>
      </c>
      <c r="N1837" s="119">
        <f t="shared" si="1168"/>
        <v>0</v>
      </c>
      <c r="O1837" s="119">
        <f t="shared" si="1168"/>
        <v>0</v>
      </c>
      <c r="P1837" s="119">
        <f t="shared" si="1168"/>
        <v>0</v>
      </c>
      <c r="Q1837" s="119">
        <f t="shared" si="1168"/>
        <v>0</v>
      </c>
      <c r="R1837" s="119">
        <f t="shared" si="1168"/>
        <v>0</v>
      </c>
      <c r="S1837" s="119">
        <f t="shared" si="1168"/>
        <v>0</v>
      </c>
      <c r="T1837" s="119">
        <f t="shared" si="1168"/>
        <v>0</v>
      </c>
      <c r="U1837" s="119">
        <f t="shared" si="1168"/>
        <v>0</v>
      </c>
      <c r="V1837" s="119">
        <f t="shared" si="1168"/>
        <v>0</v>
      </c>
      <c r="W1837" s="119">
        <f t="shared" si="1168"/>
        <v>0</v>
      </c>
      <c r="X1837" s="119">
        <f t="shared" si="1168"/>
        <v>0</v>
      </c>
    </row>
    <row r="1838" spans="2:24" hidden="1">
      <c r="B1838" s="117" t="str">
        <f t="shared" si="1141"/>
        <v/>
      </c>
      <c r="C1838" s="117" t="str">
        <f t="shared" si="1141"/>
        <v/>
      </c>
      <c r="D1838" s="117" t="str">
        <f t="shared" si="1141"/>
        <v/>
      </c>
      <c r="E1838" s="117" t="str">
        <f t="shared" si="1141"/>
        <v/>
      </c>
      <c r="F1838" s="117"/>
      <c r="G1838" s="117"/>
      <c r="H1838" s="117"/>
      <c r="I1838" s="117"/>
      <c r="J1838" s="117"/>
      <c r="K1838" s="119">
        <f t="shared" ref="K1838:X1838" si="1169">IF(AND($D1838="tak",OR($E1838="nie dotyczy",$E1838="badania przemysłowe"),LataProjekcji&lt;=Koniec_Projekt),K548,0)</f>
        <v>0</v>
      </c>
      <c r="L1838" s="119">
        <f t="shared" si="1169"/>
        <v>0</v>
      </c>
      <c r="M1838" s="119">
        <f t="shared" si="1169"/>
        <v>0</v>
      </c>
      <c r="N1838" s="119">
        <f t="shared" si="1169"/>
        <v>0</v>
      </c>
      <c r="O1838" s="119">
        <f t="shared" si="1169"/>
        <v>0</v>
      </c>
      <c r="P1838" s="119">
        <f t="shared" si="1169"/>
        <v>0</v>
      </c>
      <c r="Q1838" s="119">
        <f t="shared" si="1169"/>
        <v>0</v>
      </c>
      <c r="R1838" s="119">
        <f t="shared" si="1169"/>
        <v>0</v>
      </c>
      <c r="S1838" s="119">
        <f t="shared" si="1169"/>
        <v>0</v>
      </c>
      <c r="T1838" s="119">
        <f t="shared" si="1169"/>
        <v>0</v>
      </c>
      <c r="U1838" s="119">
        <f t="shared" si="1169"/>
        <v>0</v>
      </c>
      <c r="V1838" s="119">
        <f t="shared" si="1169"/>
        <v>0</v>
      </c>
      <c r="W1838" s="119">
        <f t="shared" si="1169"/>
        <v>0</v>
      </c>
      <c r="X1838" s="119">
        <f t="shared" si="1169"/>
        <v>0</v>
      </c>
    </row>
    <row r="1839" spans="2:24" hidden="1">
      <c r="B1839" s="117" t="str">
        <f t="shared" si="1141"/>
        <v/>
      </c>
      <c r="C1839" s="117" t="str">
        <f t="shared" si="1141"/>
        <v/>
      </c>
      <c r="D1839" s="117" t="str">
        <f t="shared" si="1141"/>
        <v/>
      </c>
      <c r="E1839" s="117" t="str">
        <f t="shared" si="1141"/>
        <v/>
      </c>
      <c r="F1839" s="117"/>
      <c r="G1839" s="117"/>
      <c r="H1839" s="117"/>
      <c r="I1839" s="117"/>
      <c r="J1839" s="117"/>
      <c r="K1839" s="119">
        <f t="shared" ref="K1839:X1839" si="1170">IF(AND($D1839="tak",OR($E1839="nie dotyczy",$E1839="badania przemysłowe"),LataProjekcji&lt;=Koniec_Projekt),K549,0)</f>
        <v>0</v>
      </c>
      <c r="L1839" s="119">
        <f t="shared" si="1170"/>
        <v>0</v>
      </c>
      <c r="M1839" s="119">
        <f t="shared" si="1170"/>
        <v>0</v>
      </c>
      <c r="N1839" s="119">
        <f t="shared" si="1170"/>
        <v>0</v>
      </c>
      <c r="O1839" s="119">
        <f t="shared" si="1170"/>
        <v>0</v>
      </c>
      <c r="P1839" s="119">
        <f t="shared" si="1170"/>
        <v>0</v>
      </c>
      <c r="Q1839" s="119">
        <f t="shared" si="1170"/>
        <v>0</v>
      </c>
      <c r="R1839" s="119">
        <f t="shared" si="1170"/>
        <v>0</v>
      </c>
      <c r="S1839" s="119">
        <f t="shared" si="1170"/>
        <v>0</v>
      </c>
      <c r="T1839" s="119">
        <f t="shared" si="1170"/>
        <v>0</v>
      </c>
      <c r="U1839" s="119">
        <f t="shared" si="1170"/>
        <v>0</v>
      </c>
      <c r="V1839" s="119">
        <f t="shared" si="1170"/>
        <v>0</v>
      </c>
      <c r="W1839" s="119">
        <f t="shared" si="1170"/>
        <v>0</v>
      </c>
      <c r="X1839" s="119">
        <f t="shared" si="1170"/>
        <v>0</v>
      </c>
    </row>
    <row r="1840" spans="2:24" hidden="1">
      <c r="B1840" s="117" t="str">
        <f t="shared" si="1141"/>
        <v/>
      </c>
      <c r="C1840" s="117" t="str">
        <f t="shared" si="1141"/>
        <v/>
      </c>
      <c r="D1840" s="117" t="str">
        <f t="shared" si="1141"/>
        <v/>
      </c>
      <c r="E1840" s="117" t="str">
        <f t="shared" si="1141"/>
        <v/>
      </c>
      <c r="F1840" s="117"/>
      <c r="G1840" s="117"/>
      <c r="H1840" s="117"/>
      <c r="I1840" s="117"/>
      <c r="J1840" s="117"/>
      <c r="K1840" s="119">
        <f t="shared" ref="K1840:X1840" si="1171">IF(AND($D1840="tak",OR($E1840="nie dotyczy",$E1840="badania przemysłowe"),LataProjekcji&lt;=Koniec_Projekt),K550,0)</f>
        <v>0</v>
      </c>
      <c r="L1840" s="119">
        <f t="shared" si="1171"/>
        <v>0</v>
      </c>
      <c r="M1840" s="119">
        <f t="shared" si="1171"/>
        <v>0</v>
      </c>
      <c r="N1840" s="119">
        <f t="shared" si="1171"/>
        <v>0</v>
      </c>
      <c r="O1840" s="119">
        <f t="shared" si="1171"/>
        <v>0</v>
      </c>
      <c r="P1840" s="119">
        <f t="shared" si="1171"/>
        <v>0</v>
      </c>
      <c r="Q1840" s="119">
        <f t="shared" si="1171"/>
        <v>0</v>
      </c>
      <c r="R1840" s="119">
        <f t="shared" si="1171"/>
        <v>0</v>
      </c>
      <c r="S1840" s="119">
        <f t="shared" si="1171"/>
        <v>0</v>
      </c>
      <c r="T1840" s="119">
        <f t="shared" si="1171"/>
        <v>0</v>
      </c>
      <c r="U1840" s="119">
        <f t="shared" si="1171"/>
        <v>0</v>
      </c>
      <c r="V1840" s="119">
        <f t="shared" si="1171"/>
        <v>0</v>
      </c>
      <c r="W1840" s="119">
        <f t="shared" si="1171"/>
        <v>0</v>
      </c>
      <c r="X1840" s="119">
        <f t="shared" si="1171"/>
        <v>0</v>
      </c>
    </row>
    <row r="1841" spans="2:24" hidden="1">
      <c r="B1841" s="111" t="s">
        <v>350</v>
      </c>
      <c r="C1841" s="111"/>
      <c r="D1841" s="112"/>
      <c r="E1841" s="113"/>
      <c r="F1841" s="113"/>
      <c r="G1841" s="113"/>
      <c r="H1841" s="113"/>
      <c r="I1841" s="113"/>
      <c r="J1841" s="113"/>
      <c r="K1841" s="120">
        <f t="shared" ref="K1841:X1841" si="1172">ROUND(SUM(K1811:K1840),0)</f>
        <v>0</v>
      </c>
      <c r="L1841" s="120">
        <f t="shared" si="1172"/>
        <v>0</v>
      </c>
      <c r="M1841" s="120">
        <f t="shared" si="1172"/>
        <v>0</v>
      </c>
      <c r="N1841" s="120">
        <f t="shared" si="1172"/>
        <v>0</v>
      </c>
      <c r="O1841" s="120">
        <f t="shared" si="1172"/>
        <v>0</v>
      </c>
      <c r="P1841" s="120">
        <f t="shared" si="1172"/>
        <v>0</v>
      </c>
      <c r="Q1841" s="120">
        <f t="shared" si="1172"/>
        <v>0</v>
      </c>
      <c r="R1841" s="120">
        <f t="shared" si="1172"/>
        <v>0</v>
      </c>
      <c r="S1841" s="120">
        <f t="shared" si="1172"/>
        <v>0</v>
      </c>
      <c r="T1841" s="120">
        <f t="shared" si="1172"/>
        <v>0</v>
      </c>
      <c r="U1841" s="120">
        <f t="shared" si="1172"/>
        <v>0</v>
      </c>
      <c r="V1841" s="120">
        <f t="shared" si="1172"/>
        <v>0</v>
      </c>
      <c r="W1841" s="120">
        <f t="shared" si="1172"/>
        <v>0</v>
      </c>
      <c r="X1841" s="120">
        <f t="shared" si="1172"/>
        <v>0</v>
      </c>
    </row>
    <row r="1842" spans="2:24" hidden="1">
      <c r="B1842" s="113"/>
      <c r="C1842" s="113"/>
      <c r="D1842" s="112"/>
      <c r="E1842" s="113"/>
      <c r="F1842" s="113"/>
      <c r="G1842" s="113"/>
      <c r="H1842" s="113"/>
      <c r="I1842" s="113"/>
      <c r="J1842" s="113"/>
      <c r="K1842" s="121"/>
      <c r="L1842" s="121"/>
      <c r="M1842" s="121"/>
      <c r="N1842" s="121"/>
      <c r="O1842" s="121"/>
      <c r="P1842" s="121"/>
      <c r="Q1842" s="121"/>
      <c r="R1842" s="121"/>
      <c r="S1842" s="121"/>
      <c r="T1842" s="121"/>
      <c r="U1842" s="121"/>
      <c r="V1842" s="121"/>
      <c r="W1842" s="121"/>
      <c r="X1842" s="121"/>
    </row>
    <row r="1843" spans="2:24" hidden="1">
      <c r="B1843" s="111"/>
      <c r="C1843" s="111"/>
      <c r="D1843" s="112"/>
      <c r="E1843" s="113"/>
      <c r="F1843" s="113"/>
      <c r="G1843" s="113"/>
      <c r="H1843" s="113"/>
      <c r="I1843" s="113"/>
      <c r="J1843" s="113"/>
      <c r="K1843" s="121"/>
      <c r="L1843" s="121"/>
      <c r="M1843" s="121"/>
      <c r="N1843" s="121"/>
      <c r="O1843" s="121"/>
      <c r="P1843" s="121"/>
      <c r="Q1843" s="121"/>
      <c r="R1843" s="121"/>
      <c r="S1843" s="121"/>
      <c r="T1843" s="121"/>
      <c r="U1843" s="121"/>
      <c r="V1843" s="121"/>
      <c r="W1843" s="121"/>
      <c r="X1843" s="121"/>
    </row>
    <row r="1844" spans="2:24" hidden="1">
      <c r="B1844" s="111" t="s">
        <v>334</v>
      </c>
      <c r="C1844" s="111"/>
      <c r="D1844" s="122" t="s">
        <v>336</v>
      </c>
      <c r="E1844" s="111" t="s">
        <v>337</v>
      </c>
      <c r="F1844" s="113"/>
      <c r="G1844" s="113"/>
      <c r="H1844" s="113"/>
      <c r="I1844" s="113"/>
      <c r="J1844" s="113"/>
      <c r="K1844" s="121"/>
      <c r="L1844" s="121"/>
      <c r="M1844" s="121"/>
      <c r="N1844" s="121"/>
      <c r="O1844" s="121"/>
      <c r="P1844" s="121"/>
      <c r="Q1844" s="121"/>
      <c r="R1844" s="121"/>
      <c r="S1844" s="121"/>
      <c r="T1844" s="121"/>
      <c r="U1844" s="121"/>
      <c r="V1844" s="121"/>
      <c r="W1844" s="121"/>
      <c r="X1844" s="121"/>
    </row>
    <row r="1845" spans="2:24" hidden="1">
      <c r="B1845" s="117" t="str">
        <f>IF(ISBLANK(B1605),"",B1605)</f>
        <v/>
      </c>
      <c r="C1845" s="117"/>
      <c r="D1845" s="118"/>
      <c r="E1845" s="117"/>
      <c r="F1845" s="117"/>
      <c r="G1845" s="117"/>
      <c r="H1845" s="117"/>
      <c r="I1845" s="117"/>
      <c r="J1845" s="117"/>
      <c r="K1845" s="119"/>
      <c r="L1845" s="119"/>
      <c r="M1845" s="119"/>
      <c r="N1845" s="119"/>
      <c r="O1845" s="119"/>
      <c r="P1845" s="119"/>
      <c r="Q1845" s="119"/>
      <c r="R1845" s="119"/>
      <c r="S1845" s="119"/>
      <c r="T1845" s="119"/>
      <c r="U1845" s="119"/>
      <c r="V1845" s="119"/>
      <c r="W1845" s="119"/>
      <c r="X1845" s="119"/>
    </row>
    <row r="1846" spans="2:24" hidden="1">
      <c r="B1846" s="117" t="str">
        <f>IF(ISBLANK(B1606),"",B1606)</f>
        <v/>
      </c>
      <c r="C1846" s="117"/>
      <c r="D1846" s="118"/>
      <c r="E1846" s="117"/>
      <c r="F1846" s="117"/>
      <c r="G1846" s="117"/>
      <c r="H1846" s="117"/>
      <c r="I1846" s="117"/>
      <c r="J1846" s="117"/>
      <c r="K1846" s="119"/>
      <c r="L1846" s="119"/>
      <c r="M1846" s="119"/>
      <c r="N1846" s="119"/>
      <c r="O1846" s="119"/>
      <c r="P1846" s="119"/>
      <c r="Q1846" s="119"/>
      <c r="R1846" s="119"/>
      <c r="S1846" s="119"/>
      <c r="T1846" s="119"/>
      <c r="U1846" s="119"/>
      <c r="V1846" s="119"/>
      <c r="W1846" s="119"/>
      <c r="X1846" s="119"/>
    </row>
    <row r="1847" spans="2:24" hidden="1">
      <c r="B1847" s="117" t="str">
        <f>IF(ISBLANK(B1607),"",B1607)</f>
        <v/>
      </c>
      <c r="C1847" s="117"/>
      <c r="D1847" s="118"/>
      <c r="E1847" s="117"/>
      <c r="F1847" s="117"/>
      <c r="G1847" s="117"/>
      <c r="H1847" s="117"/>
      <c r="I1847" s="117"/>
      <c r="J1847" s="117"/>
      <c r="K1847" s="119"/>
      <c r="L1847" s="119"/>
      <c r="M1847" s="119"/>
      <c r="N1847" s="119"/>
      <c r="O1847" s="119"/>
      <c r="P1847" s="119"/>
      <c r="Q1847" s="119"/>
      <c r="R1847" s="119"/>
      <c r="S1847" s="119"/>
      <c r="T1847" s="119"/>
      <c r="U1847" s="119"/>
      <c r="V1847" s="119"/>
      <c r="W1847" s="119"/>
      <c r="X1847" s="119"/>
    </row>
    <row r="1848" spans="2:24" hidden="1">
      <c r="B1848" s="117" t="str">
        <f>IF(ISBLANK(B1608),"",B1608)</f>
        <v/>
      </c>
      <c r="C1848" s="117"/>
      <c r="D1848" s="118"/>
      <c r="E1848" s="117"/>
      <c r="F1848" s="117"/>
      <c r="G1848" s="117"/>
      <c r="H1848" s="117"/>
      <c r="I1848" s="117"/>
      <c r="J1848" s="117"/>
      <c r="K1848" s="119"/>
      <c r="L1848" s="119"/>
      <c r="M1848" s="119"/>
      <c r="N1848" s="119"/>
      <c r="O1848" s="119"/>
      <c r="P1848" s="119"/>
      <c r="Q1848" s="119"/>
      <c r="R1848" s="119"/>
      <c r="S1848" s="119"/>
      <c r="T1848" s="119"/>
      <c r="U1848" s="119"/>
      <c r="V1848" s="119"/>
      <c r="W1848" s="119"/>
      <c r="X1848" s="119"/>
    </row>
    <row r="1849" spans="2:24" hidden="1">
      <c r="B1849" s="117" t="str">
        <f>IF(ISBLANK(B1609),"",B1609)</f>
        <v/>
      </c>
      <c r="C1849" s="117"/>
      <c r="D1849" s="118"/>
      <c r="E1849" s="117"/>
      <c r="F1849" s="117"/>
      <c r="G1849" s="117"/>
      <c r="H1849" s="117"/>
      <c r="I1849" s="117"/>
      <c r="J1849" s="117"/>
      <c r="K1849" s="119"/>
      <c r="L1849" s="119"/>
      <c r="M1849" s="119"/>
      <c r="N1849" s="119"/>
      <c r="O1849" s="119"/>
      <c r="P1849" s="119"/>
      <c r="Q1849" s="119"/>
      <c r="R1849" s="119"/>
      <c r="S1849" s="119"/>
      <c r="T1849" s="119"/>
      <c r="U1849" s="119"/>
      <c r="V1849" s="119"/>
      <c r="W1849" s="119"/>
      <c r="X1849" s="119"/>
    </row>
    <row r="1850" spans="2:24" hidden="1">
      <c r="B1850" s="111" t="s">
        <v>280</v>
      </c>
      <c r="C1850" s="111"/>
      <c r="D1850" s="112"/>
      <c r="E1850" s="113"/>
      <c r="F1850" s="113"/>
      <c r="G1850" s="113"/>
      <c r="H1850" s="113"/>
      <c r="I1850" s="113"/>
      <c r="J1850" s="113"/>
      <c r="K1850" s="120">
        <f>ROUND(SUM(K1845:K1849),0)</f>
        <v>0</v>
      </c>
      <c r="L1850" s="120">
        <f t="shared" ref="L1850:X1850" si="1173">ROUND(SUM(L1845:L1849),0)</f>
        <v>0</v>
      </c>
      <c r="M1850" s="120">
        <f t="shared" si="1173"/>
        <v>0</v>
      </c>
      <c r="N1850" s="120">
        <f t="shared" si="1173"/>
        <v>0</v>
      </c>
      <c r="O1850" s="120">
        <f t="shared" si="1173"/>
        <v>0</v>
      </c>
      <c r="P1850" s="120">
        <f t="shared" si="1173"/>
        <v>0</v>
      </c>
      <c r="Q1850" s="120">
        <f t="shared" si="1173"/>
        <v>0</v>
      </c>
      <c r="R1850" s="120">
        <f t="shared" si="1173"/>
        <v>0</v>
      </c>
      <c r="S1850" s="120">
        <f t="shared" si="1173"/>
        <v>0</v>
      </c>
      <c r="T1850" s="120">
        <f t="shared" si="1173"/>
        <v>0</v>
      </c>
      <c r="U1850" s="120">
        <f t="shared" si="1173"/>
        <v>0</v>
      </c>
      <c r="V1850" s="120">
        <f t="shared" si="1173"/>
        <v>0</v>
      </c>
      <c r="W1850" s="120">
        <f t="shared" si="1173"/>
        <v>0</v>
      </c>
      <c r="X1850" s="120">
        <f t="shared" si="1173"/>
        <v>0</v>
      </c>
    </row>
    <row r="1851" spans="2:24" hidden="1">
      <c r="B1851" s="113"/>
      <c r="C1851" s="113"/>
      <c r="D1851" s="112"/>
      <c r="E1851" s="113"/>
      <c r="F1851" s="113"/>
      <c r="G1851" s="113"/>
      <c r="H1851" s="113"/>
      <c r="I1851" s="113"/>
      <c r="J1851" s="113"/>
      <c r="K1851" s="121"/>
      <c r="L1851" s="121"/>
      <c r="M1851" s="121"/>
      <c r="N1851" s="121"/>
      <c r="O1851" s="121"/>
      <c r="P1851" s="121"/>
      <c r="Q1851" s="121"/>
      <c r="R1851" s="121"/>
      <c r="S1851" s="121"/>
      <c r="T1851" s="121"/>
      <c r="U1851" s="121"/>
      <c r="V1851" s="121"/>
      <c r="W1851" s="121"/>
      <c r="X1851" s="121"/>
    </row>
    <row r="1852" spans="2:24" hidden="1">
      <c r="B1852" s="113"/>
      <c r="C1852" s="113"/>
      <c r="D1852" s="112"/>
      <c r="E1852" s="113"/>
      <c r="F1852" s="113"/>
      <c r="G1852" s="113"/>
      <c r="H1852" s="113"/>
      <c r="I1852" s="113"/>
      <c r="J1852" s="113"/>
      <c r="K1852" s="121"/>
      <c r="L1852" s="121"/>
      <c r="M1852" s="121"/>
      <c r="N1852" s="121"/>
      <c r="O1852" s="121"/>
      <c r="P1852" s="121"/>
      <c r="Q1852" s="121"/>
      <c r="R1852" s="121"/>
      <c r="S1852" s="121"/>
      <c r="T1852" s="121"/>
      <c r="U1852" s="121"/>
      <c r="V1852" s="121"/>
      <c r="W1852" s="121"/>
      <c r="X1852" s="121"/>
    </row>
    <row r="1853" spans="2:24" hidden="1">
      <c r="B1853" s="111" t="s">
        <v>325</v>
      </c>
      <c r="C1853" s="111"/>
      <c r="D1853" s="122" t="s">
        <v>336</v>
      </c>
      <c r="E1853" s="111" t="s">
        <v>337</v>
      </c>
      <c r="F1853" s="113"/>
      <c r="G1853" s="113"/>
      <c r="H1853" s="113"/>
      <c r="I1853" s="113"/>
      <c r="J1853" s="113"/>
      <c r="K1853" s="121"/>
      <c r="L1853" s="121"/>
      <c r="M1853" s="121"/>
      <c r="N1853" s="121"/>
      <c r="O1853" s="121"/>
      <c r="P1853" s="121"/>
      <c r="Q1853" s="121"/>
      <c r="R1853" s="121"/>
      <c r="S1853" s="121"/>
      <c r="T1853" s="121"/>
      <c r="U1853" s="121"/>
      <c r="V1853" s="121"/>
      <c r="W1853" s="121"/>
      <c r="X1853" s="121"/>
    </row>
    <row r="1854" spans="2:24" hidden="1">
      <c r="B1854" s="117" t="str">
        <f t="shared" ref="B1854:E1858" si="1174">IF(ISBLANK(B1614),"",B1614)</f>
        <v/>
      </c>
      <c r="C1854" s="117" t="str">
        <f t="shared" si="1174"/>
        <v/>
      </c>
      <c r="D1854" s="117" t="str">
        <f t="shared" si="1174"/>
        <v/>
      </c>
      <c r="E1854" s="117" t="str">
        <f t="shared" si="1174"/>
        <v/>
      </c>
      <c r="F1854" s="117"/>
      <c r="G1854" s="117"/>
      <c r="H1854" s="117"/>
      <c r="I1854" s="117"/>
      <c r="J1854" s="117"/>
      <c r="K1854" s="119"/>
      <c r="L1854" s="119"/>
      <c r="M1854" s="119"/>
      <c r="N1854" s="119"/>
      <c r="O1854" s="119"/>
      <c r="P1854" s="119"/>
      <c r="Q1854" s="119"/>
      <c r="R1854" s="119"/>
      <c r="S1854" s="119"/>
      <c r="T1854" s="119"/>
      <c r="U1854" s="119"/>
      <c r="V1854" s="119"/>
      <c r="W1854" s="119"/>
      <c r="X1854" s="119"/>
    </row>
    <row r="1855" spans="2:24" hidden="1">
      <c r="B1855" s="117" t="str">
        <f t="shared" si="1174"/>
        <v/>
      </c>
      <c r="C1855" s="117" t="str">
        <f t="shared" si="1174"/>
        <v/>
      </c>
      <c r="D1855" s="117" t="str">
        <f t="shared" si="1174"/>
        <v/>
      </c>
      <c r="E1855" s="117" t="str">
        <f t="shared" si="1174"/>
        <v/>
      </c>
      <c r="F1855" s="117"/>
      <c r="G1855" s="117"/>
      <c r="H1855" s="117"/>
      <c r="I1855" s="117"/>
      <c r="J1855" s="117"/>
      <c r="K1855" s="119"/>
      <c r="L1855" s="119"/>
      <c r="M1855" s="119"/>
      <c r="N1855" s="119"/>
      <c r="O1855" s="119"/>
      <c r="P1855" s="119"/>
      <c r="Q1855" s="119"/>
      <c r="R1855" s="119"/>
      <c r="S1855" s="119"/>
      <c r="T1855" s="119"/>
      <c r="U1855" s="119"/>
      <c r="V1855" s="119"/>
      <c r="W1855" s="119"/>
      <c r="X1855" s="119"/>
    </row>
    <row r="1856" spans="2:24" hidden="1">
      <c r="B1856" s="117" t="str">
        <f t="shared" si="1174"/>
        <v/>
      </c>
      <c r="C1856" s="117" t="str">
        <f t="shared" si="1174"/>
        <v/>
      </c>
      <c r="D1856" s="117" t="str">
        <f t="shared" si="1174"/>
        <v/>
      </c>
      <c r="E1856" s="117" t="str">
        <f t="shared" si="1174"/>
        <v/>
      </c>
      <c r="F1856" s="117"/>
      <c r="G1856" s="117"/>
      <c r="H1856" s="117"/>
      <c r="I1856" s="117"/>
      <c r="J1856" s="117"/>
      <c r="K1856" s="119"/>
      <c r="L1856" s="119"/>
      <c r="M1856" s="119"/>
      <c r="N1856" s="119"/>
      <c r="O1856" s="119"/>
      <c r="P1856" s="119"/>
      <c r="Q1856" s="119"/>
      <c r="R1856" s="119"/>
      <c r="S1856" s="119"/>
      <c r="T1856" s="119"/>
      <c r="U1856" s="119"/>
      <c r="V1856" s="119"/>
      <c r="W1856" s="119"/>
      <c r="X1856" s="119"/>
    </row>
    <row r="1857" spans="2:24" hidden="1">
      <c r="B1857" s="117" t="str">
        <f t="shared" si="1174"/>
        <v/>
      </c>
      <c r="C1857" s="117" t="str">
        <f t="shared" si="1174"/>
        <v/>
      </c>
      <c r="D1857" s="117" t="str">
        <f t="shared" si="1174"/>
        <v/>
      </c>
      <c r="E1857" s="117" t="str">
        <f t="shared" si="1174"/>
        <v/>
      </c>
      <c r="F1857" s="117"/>
      <c r="G1857" s="117"/>
      <c r="H1857" s="117"/>
      <c r="I1857" s="117"/>
      <c r="J1857" s="117"/>
      <c r="K1857" s="119"/>
      <c r="L1857" s="119"/>
      <c r="M1857" s="119"/>
      <c r="N1857" s="119"/>
      <c r="O1857" s="119"/>
      <c r="P1857" s="119"/>
      <c r="Q1857" s="119"/>
      <c r="R1857" s="119"/>
      <c r="S1857" s="119"/>
      <c r="T1857" s="119"/>
      <c r="U1857" s="119"/>
      <c r="V1857" s="119"/>
      <c r="W1857" s="119"/>
      <c r="X1857" s="119"/>
    </row>
    <row r="1858" spans="2:24" hidden="1">
      <c r="B1858" s="117" t="str">
        <f t="shared" si="1174"/>
        <v/>
      </c>
      <c r="C1858" s="117" t="str">
        <f t="shared" si="1174"/>
        <v/>
      </c>
      <c r="D1858" s="117" t="str">
        <f t="shared" si="1174"/>
        <v/>
      </c>
      <c r="E1858" s="117" t="str">
        <f t="shared" si="1174"/>
        <v/>
      </c>
      <c r="F1858" s="117"/>
      <c r="G1858" s="117"/>
      <c r="H1858" s="117"/>
      <c r="I1858" s="117"/>
      <c r="J1858" s="117"/>
      <c r="K1858" s="119"/>
      <c r="L1858" s="119"/>
      <c r="M1858" s="119"/>
      <c r="N1858" s="119"/>
      <c r="O1858" s="119"/>
      <c r="P1858" s="119"/>
      <c r="Q1858" s="119"/>
      <c r="R1858" s="119"/>
      <c r="S1858" s="119"/>
      <c r="T1858" s="119"/>
      <c r="U1858" s="119"/>
      <c r="V1858" s="119"/>
      <c r="W1858" s="119"/>
      <c r="X1858" s="119"/>
    </row>
    <row r="1859" spans="2:24" hidden="1">
      <c r="B1859" s="111" t="s">
        <v>326</v>
      </c>
      <c r="C1859" s="111"/>
      <c r="D1859" s="112"/>
      <c r="E1859" s="113"/>
      <c r="F1859" s="113"/>
      <c r="G1859" s="113"/>
      <c r="H1859" s="113"/>
      <c r="I1859" s="113"/>
      <c r="J1859" s="113"/>
      <c r="K1859" s="120">
        <f>ROUND(SUM(K1854:K1858),0)</f>
        <v>0</v>
      </c>
      <c r="L1859" s="120">
        <f t="shared" ref="L1859:X1859" si="1175">ROUND(SUM(L1854:L1858),0)</f>
        <v>0</v>
      </c>
      <c r="M1859" s="120">
        <f t="shared" si="1175"/>
        <v>0</v>
      </c>
      <c r="N1859" s="120">
        <f t="shared" si="1175"/>
        <v>0</v>
      </c>
      <c r="O1859" s="120">
        <f t="shared" si="1175"/>
        <v>0</v>
      </c>
      <c r="P1859" s="120">
        <f t="shared" si="1175"/>
        <v>0</v>
      </c>
      <c r="Q1859" s="120">
        <f t="shared" si="1175"/>
        <v>0</v>
      </c>
      <c r="R1859" s="120">
        <f t="shared" si="1175"/>
        <v>0</v>
      </c>
      <c r="S1859" s="120">
        <f t="shared" si="1175"/>
        <v>0</v>
      </c>
      <c r="T1859" s="120">
        <f t="shared" si="1175"/>
        <v>0</v>
      </c>
      <c r="U1859" s="120">
        <f t="shared" si="1175"/>
        <v>0</v>
      </c>
      <c r="V1859" s="120">
        <f t="shared" si="1175"/>
        <v>0</v>
      </c>
      <c r="W1859" s="120">
        <f t="shared" si="1175"/>
        <v>0</v>
      </c>
      <c r="X1859" s="120">
        <f t="shared" si="1175"/>
        <v>0</v>
      </c>
    </row>
    <row r="1860" spans="2:24" hidden="1">
      <c r="B1860" s="113"/>
      <c r="C1860" s="113"/>
      <c r="D1860" s="112"/>
      <c r="E1860" s="113"/>
      <c r="F1860" s="113"/>
      <c r="G1860" s="113"/>
      <c r="H1860" s="113"/>
      <c r="I1860" s="113"/>
      <c r="J1860" s="113"/>
      <c r="K1860" s="121"/>
      <c r="L1860" s="121"/>
      <c r="M1860" s="121"/>
      <c r="N1860" s="121"/>
      <c r="O1860" s="121"/>
      <c r="P1860" s="121"/>
      <c r="Q1860" s="121"/>
      <c r="R1860" s="121"/>
      <c r="S1860" s="121"/>
      <c r="T1860" s="121"/>
      <c r="U1860" s="121"/>
      <c r="V1860" s="121"/>
      <c r="W1860" s="121"/>
      <c r="X1860" s="121"/>
    </row>
    <row r="1861" spans="2:24" hidden="1">
      <c r="B1861" s="113"/>
      <c r="C1861" s="113"/>
      <c r="D1861" s="112"/>
      <c r="E1861" s="113"/>
      <c r="F1861" s="113"/>
      <c r="G1861" s="113"/>
      <c r="H1861" s="113"/>
      <c r="I1861" s="113"/>
      <c r="J1861" s="113"/>
      <c r="K1861" s="121"/>
      <c r="L1861" s="121"/>
      <c r="M1861" s="121"/>
      <c r="N1861" s="121"/>
      <c r="O1861" s="121"/>
      <c r="P1861" s="121"/>
      <c r="Q1861" s="121"/>
      <c r="R1861" s="121"/>
      <c r="S1861" s="121"/>
      <c r="T1861" s="121"/>
      <c r="U1861" s="121"/>
      <c r="V1861" s="121"/>
      <c r="W1861" s="121"/>
      <c r="X1861" s="121"/>
    </row>
    <row r="1862" spans="2:24" hidden="1">
      <c r="B1862" s="111" t="s">
        <v>327</v>
      </c>
      <c r="C1862" s="111"/>
      <c r="D1862" s="122" t="s">
        <v>336</v>
      </c>
      <c r="E1862" s="111" t="s">
        <v>337</v>
      </c>
      <c r="F1862" s="113"/>
      <c r="G1862" s="113"/>
      <c r="H1862" s="113"/>
      <c r="I1862" s="113"/>
      <c r="J1862" s="113"/>
      <c r="K1862" s="121"/>
      <c r="L1862" s="121"/>
      <c r="M1862" s="121"/>
      <c r="N1862" s="121"/>
      <c r="O1862" s="121"/>
      <c r="P1862" s="121"/>
      <c r="Q1862" s="121"/>
      <c r="R1862" s="121"/>
      <c r="S1862" s="121"/>
      <c r="T1862" s="121"/>
      <c r="U1862" s="121"/>
      <c r="V1862" s="121"/>
      <c r="W1862" s="121"/>
      <c r="X1862" s="121"/>
    </row>
    <row r="1863" spans="2:24" hidden="1">
      <c r="B1863" s="117" t="str">
        <f t="shared" ref="B1863:E1867" si="1176">IF(ISBLANK(B1623),"",B1623)</f>
        <v>Koszty z tytułu oprocentowania kredytów i pożyczek</v>
      </c>
      <c r="C1863" s="117" t="str">
        <f t="shared" si="1176"/>
        <v/>
      </c>
      <c r="D1863" s="117" t="str">
        <f t="shared" si="1176"/>
        <v/>
      </c>
      <c r="E1863" s="117" t="str">
        <f t="shared" si="1176"/>
        <v/>
      </c>
      <c r="F1863" s="117"/>
      <c r="G1863" s="117"/>
      <c r="H1863" s="117"/>
      <c r="I1863" s="117"/>
      <c r="J1863" s="117"/>
      <c r="K1863" s="119"/>
      <c r="L1863" s="119"/>
      <c r="M1863" s="119"/>
      <c r="N1863" s="119"/>
      <c r="O1863" s="119"/>
      <c r="P1863" s="119"/>
      <c r="Q1863" s="119"/>
      <c r="R1863" s="119"/>
      <c r="S1863" s="119"/>
      <c r="T1863" s="119"/>
      <c r="U1863" s="119"/>
      <c r="V1863" s="119"/>
      <c r="W1863" s="119"/>
      <c r="X1863" s="119"/>
    </row>
    <row r="1864" spans="2:24" hidden="1">
      <c r="B1864" s="117" t="str">
        <f t="shared" si="1176"/>
        <v/>
      </c>
      <c r="C1864" s="117" t="str">
        <f t="shared" si="1176"/>
        <v/>
      </c>
      <c r="D1864" s="117" t="str">
        <f t="shared" si="1176"/>
        <v/>
      </c>
      <c r="E1864" s="117" t="str">
        <f t="shared" si="1176"/>
        <v/>
      </c>
      <c r="F1864" s="117"/>
      <c r="G1864" s="117"/>
      <c r="H1864" s="117"/>
      <c r="I1864" s="117"/>
      <c r="J1864" s="117"/>
      <c r="K1864" s="119"/>
      <c r="L1864" s="119"/>
      <c r="M1864" s="119"/>
      <c r="N1864" s="119"/>
      <c r="O1864" s="119"/>
      <c r="P1864" s="119"/>
      <c r="Q1864" s="119"/>
      <c r="R1864" s="119"/>
      <c r="S1864" s="119"/>
      <c r="T1864" s="119"/>
      <c r="U1864" s="119"/>
      <c r="V1864" s="119"/>
      <c r="W1864" s="119"/>
      <c r="X1864" s="119"/>
    </row>
    <row r="1865" spans="2:24" hidden="1">
      <c r="B1865" s="117" t="str">
        <f t="shared" si="1176"/>
        <v/>
      </c>
      <c r="C1865" s="117" t="str">
        <f t="shared" si="1176"/>
        <v/>
      </c>
      <c r="D1865" s="117" t="str">
        <f t="shared" si="1176"/>
        <v/>
      </c>
      <c r="E1865" s="117" t="str">
        <f t="shared" si="1176"/>
        <v/>
      </c>
      <c r="F1865" s="117"/>
      <c r="G1865" s="117"/>
      <c r="H1865" s="117"/>
      <c r="I1865" s="117"/>
      <c r="J1865" s="117"/>
      <c r="K1865" s="119"/>
      <c r="L1865" s="119"/>
      <c r="M1865" s="119"/>
      <c r="N1865" s="119"/>
      <c r="O1865" s="119"/>
      <c r="P1865" s="119"/>
      <c r="Q1865" s="119"/>
      <c r="R1865" s="119"/>
      <c r="S1865" s="119"/>
      <c r="T1865" s="119"/>
      <c r="U1865" s="119"/>
      <c r="V1865" s="119"/>
      <c r="W1865" s="119"/>
      <c r="X1865" s="119"/>
    </row>
    <row r="1866" spans="2:24" hidden="1">
      <c r="B1866" s="117" t="str">
        <f t="shared" si="1176"/>
        <v/>
      </c>
      <c r="C1866" s="117" t="str">
        <f t="shared" si="1176"/>
        <v/>
      </c>
      <c r="D1866" s="117" t="str">
        <f t="shared" si="1176"/>
        <v/>
      </c>
      <c r="E1866" s="117" t="str">
        <f t="shared" si="1176"/>
        <v/>
      </c>
      <c r="F1866" s="117"/>
      <c r="G1866" s="117"/>
      <c r="H1866" s="117"/>
      <c r="I1866" s="117"/>
      <c r="J1866" s="117"/>
      <c r="K1866" s="119"/>
      <c r="L1866" s="119"/>
      <c r="M1866" s="119"/>
      <c r="N1866" s="119"/>
      <c r="O1866" s="119"/>
      <c r="P1866" s="119"/>
      <c r="Q1866" s="119"/>
      <c r="R1866" s="119"/>
      <c r="S1866" s="119"/>
      <c r="T1866" s="119"/>
      <c r="U1866" s="119"/>
      <c r="V1866" s="119"/>
      <c r="W1866" s="119"/>
      <c r="X1866" s="119"/>
    </row>
    <row r="1867" spans="2:24" hidden="1">
      <c r="B1867" s="117" t="str">
        <f t="shared" si="1176"/>
        <v/>
      </c>
      <c r="C1867" s="117" t="str">
        <f t="shared" si="1176"/>
        <v/>
      </c>
      <c r="D1867" s="117" t="str">
        <f t="shared" si="1176"/>
        <v/>
      </c>
      <c r="E1867" s="117" t="str">
        <f t="shared" si="1176"/>
        <v/>
      </c>
      <c r="F1867" s="117"/>
      <c r="G1867" s="117"/>
      <c r="H1867" s="117"/>
      <c r="I1867" s="117"/>
      <c r="J1867" s="117"/>
      <c r="K1867" s="119"/>
      <c r="L1867" s="119"/>
      <c r="M1867" s="119"/>
      <c r="N1867" s="119"/>
      <c r="O1867" s="119"/>
      <c r="P1867" s="119"/>
      <c r="Q1867" s="119"/>
      <c r="R1867" s="119"/>
      <c r="S1867" s="119"/>
      <c r="T1867" s="119"/>
      <c r="U1867" s="119"/>
      <c r="V1867" s="119"/>
      <c r="W1867" s="119"/>
      <c r="X1867" s="119"/>
    </row>
    <row r="1868" spans="2:24" hidden="1">
      <c r="B1868" s="111" t="s">
        <v>329</v>
      </c>
      <c r="C1868" s="111"/>
      <c r="D1868" s="113"/>
      <c r="E1868" s="113"/>
      <c r="F1868" s="113"/>
      <c r="G1868" s="113"/>
      <c r="H1868" s="113"/>
      <c r="I1868" s="113"/>
      <c r="J1868" s="113"/>
      <c r="K1868" s="120">
        <f>ROUND(SUM(K1863:K1867),0)</f>
        <v>0</v>
      </c>
      <c r="L1868" s="120">
        <f t="shared" ref="L1868:X1868" si="1177">ROUND(SUM(L1863:L1867),0)</f>
        <v>0</v>
      </c>
      <c r="M1868" s="120">
        <f t="shared" si="1177"/>
        <v>0</v>
      </c>
      <c r="N1868" s="120">
        <f t="shared" si="1177"/>
        <v>0</v>
      </c>
      <c r="O1868" s="120">
        <f t="shared" si="1177"/>
        <v>0</v>
      </c>
      <c r="P1868" s="120">
        <f t="shared" si="1177"/>
        <v>0</v>
      </c>
      <c r="Q1868" s="120">
        <f t="shared" si="1177"/>
        <v>0</v>
      </c>
      <c r="R1868" s="120">
        <f t="shared" si="1177"/>
        <v>0</v>
      </c>
      <c r="S1868" s="120">
        <f t="shared" si="1177"/>
        <v>0</v>
      </c>
      <c r="T1868" s="120">
        <f t="shared" si="1177"/>
        <v>0</v>
      </c>
      <c r="U1868" s="120">
        <f t="shared" si="1177"/>
        <v>0</v>
      </c>
      <c r="V1868" s="120">
        <f t="shared" si="1177"/>
        <v>0</v>
      </c>
      <c r="W1868" s="120">
        <f t="shared" si="1177"/>
        <v>0</v>
      </c>
      <c r="X1868" s="120">
        <f t="shared" si="1177"/>
        <v>0</v>
      </c>
    </row>
    <row r="1869" spans="2:24" hidden="1">
      <c r="B1869" s="111"/>
      <c r="C1869" s="111"/>
      <c r="D1869" s="113"/>
      <c r="E1869" s="113"/>
      <c r="F1869" s="113"/>
      <c r="G1869" s="113"/>
      <c r="H1869" s="113"/>
      <c r="I1869" s="113"/>
      <c r="J1869" s="113"/>
      <c r="K1869" s="120"/>
      <c r="L1869" s="120"/>
      <c r="M1869" s="120"/>
      <c r="N1869" s="120"/>
      <c r="O1869" s="120"/>
      <c r="P1869" s="120"/>
      <c r="Q1869" s="120"/>
      <c r="R1869" s="120"/>
      <c r="S1869" s="120"/>
      <c r="T1869" s="120"/>
      <c r="U1869" s="120"/>
      <c r="V1869" s="120"/>
      <c r="W1869" s="120"/>
      <c r="X1869" s="120"/>
    </row>
    <row r="1870" spans="2:24" hidden="1">
      <c r="B1870" s="111"/>
      <c r="C1870" s="111"/>
      <c r="D1870" s="113"/>
      <c r="E1870" s="113"/>
      <c r="F1870" s="113"/>
      <c r="G1870" s="113"/>
      <c r="H1870" s="113"/>
      <c r="I1870" s="113"/>
      <c r="J1870" s="113"/>
      <c r="K1870" s="120"/>
      <c r="L1870" s="120"/>
      <c r="M1870" s="120"/>
      <c r="N1870" s="120"/>
      <c r="O1870" s="120"/>
      <c r="P1870" s="120"/>
      <c r="Q1870" s="120"/>
      <c r="R1870" s="120"/>
      <c r="S1870" s="120"/>
      <c r="T1870" s="120"/>
      <c r="U1870" s="120"/>
      <c r="V1870" s="120"/>
      <c r="W1870" s="120"/>
      <c r="X1870" s="120"/>
    </row>
    <row r="1871" spans="2:24" hidden="1">
      <c r="B1871" s="111" t="s">
        <v>367</v>
      </c>
      <c r="C1871" s="111"/>
      <c r="D1871" s="113"/>
      <c r="E1871" s="113"/>
      <c r="F1871" s="113"/>
      <c r="G1871" s="113"/>
      <c r="H1871" s="113"/>
      <c r="I1871" s="113"/>
      <c r="J1871" s="113"/>
      <c r="K1871" s="113"/>
      <c r="L1871" s="113"/>
      <c r="M1871" s="113"/>
      <c r="N1871" s="113"/>
      <c r="O1871" s="113"/>
      <c r="P1871" s="113"/>
      <c r="Q1871" s="113"/>
      <c r="R1871" s="113"/>
      <c r="S1871" s="113"/>
      <c r="T1871" s="113"/>
      <c r="U1871" s="113"/>
      <c r="V1871" s="113"/>
      <c r="W1871" s="113"/>
      <c r="X1871" s="113"/>
    </row>
    <row r="1872" spans="2:24" hidden="1">
      <c r="B1872" s="113" t="s">
        <v>332</v>
      </c>
      <c r="C1872" s="113"/>
      <c r="D1872" s="113"/>
      <c r="E1872" s="113"/>
      <c r="F1872" s="113"/>
      <c r="G1872" s="113"/>
      <c r="H1872" s="113"/>
      <c r="I1872" s="113"/>
      <c r="J1872" s="113"/>
      <c r="K1872" s="121">
        <f t="shared" ref="K1872:X1872" si="1178">IF(LataProjekcji&lt;=Koniec_Projekt,ROUND(K1684,0),0)</f>
        <v>0</v>
      </c>
      <c r="L1872" s="121">
        <f t="shared" si="1178"/>
        <v>0</v>
      </c>
      <c r="M1872" s="121">
        <f t="shared" si="1178"/>
        <v>0</v>
      </c>
      <c r="N1872" s="121">
        <f t="shared" si="1178"/>
        <v>0</v>
      </c>
      <c r="O1872" s="121">
        <f t="shared" si="1178"/>
        <v>0</v>
      </c>
      <c r="P1872" s="121">
        <f t="shared" si="1178"/>
        <v>0</v>
      </c>
      <c r="Q1872" s="121">
        <f t="shared" si="1178"/>
        <v>0</v>
      </c>
      <c r="R1872" s="121">
        <f t="shared" si="1178"/>
        <v>0</v>
      </c>
      <c r="S1872" s="121">
        <f t="shared" si="1178"/>
        <v>0</v>
      </c>
      <c r="T1872" s="121">
        <f t="shared" si="1178"/>
        <v>0</v>
      </c>
      <c r="U1872" s="121">
        <f t="shared" si="1178"/>
        <v>0</v>
      </c>
      <c r="V1872" s="121">
        <f t="shared" si="1178"/>
        <v>0</v>
      </c>
      <c r="W1872" s="121">
        <f t="shared" si="1178"/>
        <v>0</v>
      </c>
      <c r="X1872" s="121">
        <f t="shared" si="1178"/>
        <v>0</v>
      </c>
    </row>
    <row r="1873" spans="2:24" hidden="1">
      <c r="B1873" s="113" t="s">
        <v>312</v>
      </c>
      <c r="C1873" s="113"/>
      <c r="D1873" s="113"/>
      <c r="E1873" s="113"/>
      <c r="F1873" s="113"/>
      <c r="G1873" s="113"/>
      <c r="H1873" s="113"/>
      <c r="I1873" s="113"/>
      <c r="J1873" s="113"/>
      <c r="K1873" s="121">
        <f t="shared" ref="K1873:X1873" si="1179">IF(LataProjekcji&lt;=Koniec_Projekt,ROUND(K1708,0),0)</f>
        <v>0</v>
      </c>
      <c r="L1873" s="121">
        <f t="shared" si="1179"/>
        <v>0</v>
      </c>
      <c r="M1873" s="121">
        <f t="shared" si="1179"/>
        <v>0</v>
      </c>
      <c r="N1873" s="121">
        <f t="shared" si="1179"/>
        <v>0</v>
      </c>
      <c r="O1873" s="121">
        <f t="shared" si="1179"/>
        <v>0</v>
      </c>
      <c r="P1873" s="121">
        <f t="shared" si="1179"/>
        <v>0</v>
      </c>
      <c r="Q1873" s="121">
        <f t="shared" si="1179"/>
        <v>0</v>
      </c>
      <c r="R1873" s="121">
        <f t="shared" si="1179"/>
        <v>0</v>
      </c>
      <c r="S1873" s="121">
        <f t="shared" si="1179"/>
        <v>0</v>
      </c>
      <c r="T1873" s="121">
        <f t="shared" si="1179"/>
        <v>0</v>
      </c>
      <c r="U1873" s="121">
        <f t="shared" si="1179"/>
        <v>0</v>
      </c>
      <c r="V1873" s="121">
        <f t="shared" si="1179"/>
        <v>0</v>
      </c>
      <c r="W1873" s="121">
        <f t="shared" si="1179"/>
        <v>0</v>
      </c>
      <c r="X1873" s="121">
        <f t="shared" si="1179"/>
        <v>0</v>
      </c>
    </row>
    <row r="1874" spans="2:24" hidden="1">
      <c r="B1874" s="113" t="s">
        <v>314</v>
      </c>
      <c r="C1874" s="113"/>
      <c r="D1874" s="113"/>
      <c r="E1874" s="113"/>
      <c r="F1874" s="113"/>
      <c r="G1874" s="113"/>
      <c r="H1874" s="113"/>
      <c r="I1874" s="113"/>
      <c r="J1874" s="113"/>
      <c r="K1874" s="121">
        <f t="shared" ref="K1874:X1874" si="1180">IF(LataProjekcji&lt;=Koniec_Projekt,ROUND(K1717,0),0)</f>
        <v>0</v>
      </c>
      <c r="L1874" s="121">
        <f t="shared" si="1180"/>
        <v>0</v>
      </c>
      <c r="M1874" s="121">
        <f t="shared" si="1180"/>
        <v>0</v>
      </c>
      <c r="N1874" s="121">
        <f t="shared" si="1180"/>
        <v>0</v>
      </c>
      <c r="O1874" s="121">
        <f t="shared" si="1180"/>
        <v>0</v>
      </c>
      <c r="P1874" s="121">
        <f t="shared" si="1180"/>
        <v>0</v>
      </c>
      <c r="Q1874" s="121">
        <f t="shared" si="1180"/>
        <v>0</v>
      </c>
      <c r="R1874" s="121">
        <f t="shared" si="1180"/>
        <v>0</v>
      </c>
      <c r="S1874" s="121">
        <f t="shared" si="1180"/>
        <v>0</v>
      </c>
      <c r="T1874" s="121">
        <f t="shared" si="1180"/>
        <v>0</v>
      </c>
      <c r="U1874" s="121">
        <f t="shared" si="1180"/>
        <v>0</v>
      </c>
      <c r="V1874" s="121">
        <f t="shared" si="1180"/>
        <v>0</v>
      </c>
      <c r="W1874" s="121">
        <f t="shared" si="1180"/>
        <v>0</v>
      </c>
      <c r="X1874" s="121">
        <f t="shared" si="1180"/>
        <v>0</v>
      </c>
    </row>
    <row r="1875" spans="2:24" hidden="1">
      <c r="B1875" s="113" t="s">
        <v>333</v>
      </c>
      <c r="C1875" s="113"/>
      <c r="D1875" s="113"/>
      <c r="E1875" s="113"/>
      <c r="F1875" s="113"/>
      <c r="G1875" s="113"/>
      <c r="H1875" s="113"/>
      <c r="I1875" s="113"/>
      <c r="J1875" s="113"/>
      <c r="K1875" s="121">
        <f t="shared" ref="K1875:X1875" si="1181">IF(LataProjekcji&lt;=Koniec_Projekt,ROUND(K1762,0),0)</f>
        <v>0</v>
      </c>
      <c r="L1875" s="121">
        <f t="shared" si="1181"/>
        <v>0</v>
      </c>
      <c r="M1875" s="121">
        <f t="shared" si="1181"/>
        <v>0</v>
      </c>
      <c r="N1875" s="121">
        <f t="shared" si="1181"/>
        <v>0</v>
      </c>
      <c r="O1875" s="121">
        <f t="shared" si="1181"/>
        <v>0</v>
      </c>
      <c r="P1875" s="121">
        <f t="shared" si="1181"/>
        <v>0</v>
      </c>
      <c r="Q1875" s="121">
        <f t="shared" si="1181"/>
        <v>0</v>
      </c>
      <c r="R1875" s="121">
        <f t="shared" si="1181"/>
        <v>0</v>
      </c>
      <c r="S1875" s="121">
        <f t="shared" si="1181"/>
        <v>0</v>
      </c>
      <c r="T1875" s="121">
        <f t="shared" si="1181"/>
        <v>0</v>
      </c>
      <c r="U1875" s="121">
        <f t="shared" si="1181"/>
        <v>0</v>
      </c>
      <c r="V1875" s="121">
        <f t="shared" si="1181"/>
        <v>0</v>
      </c>
      <c r="W1875" s="121">
        <f t="shared" si="1181"/>
        <v>0</v>
      </c>
      <c r="X1875" s="121">
        <f t="shared" si="1181"/>
        <v>0</v>
      </c>
    </row>
    <row r="1876" spans="2:24" hidden="1">
      <c r="B1876" s="113" t="s">
        <v>320</v>
      </c>
      <c r="C1876" s="113"/>
      <c r="D1876" s="113"/>
      <c r="E1876" s="113"/>
      <c r="F1876" s="113"/>
      <c r="G1876" s="113"/>
      <c r="H1876" s="113"/>
      <c r="I1876" s="113"/>
      <c r="J1876" s="113"/>
      <c r="K1876" s="121">
        <f t="shared" ref="K1876:X1876" si="1182">IF(LataProjekcji&lt;=Koniec_Projekt,ROUND(K1807,0),0)</f>
        <v>0</v>
      </c>
      <c r="L1876" s="121">
        <f t="shared" si="1182"/>
        <v>0</v>
      </c>
      <c r="M1876" s="121">
        <f t="shared" si="1182"/>
        <v>0</v>
      </c>
      <c r="N1876" s="121">
        <f t="shared" si="1182"/>
        <v>0</v>
      </c>
      <c r="O1876" s="121">
        <f t="shared" si="1182"/>
        <v>0</v>
      </c>
      <c r="P1876" s="121">
        <f t="shared" si="1182"/>
        <v>0</v>
      </c>
      <c r="Q1876" s="121">
        <f t="shared" si="1182"/>
        <v>0</v>
      </c>
      <c r="R1876" s="121">
        <f t="shared" si="1182"/>
        <v>0</v>
      </c>
      <c r="S1876" s="121">
        <f t="shared" si="1182"/>
        <v>0</v>
      </c>
      <c r="T1876" s="121">
        <f t="shared" si="1182"/>
        <v>0</v>
      </c>
      <c r="U1876" s="121">
        <f t="shared" si="1182"/>
        <v>0</v>
      </c>
      <c r="V1876" s="121">
        <f t="shared" si="1182"/>
        <v>0</v>
      </c>
      <c r="W1876" s="121">
        <f t="shared" si="1182"/>
        <v>0</v>
      </c>
      <c r="X1876" s="121">
        <f t="shared" si="1182"/>
        <v>0</v>
      </c>
    </row>
    <row r="1877" spans="2:24" hidden="1">
      <c r="B1877" s="113" t="s">
        <v>323</v>
      </c>
      <c r="C1877" s="113"/>
      <c r="D1877" s="113"/>
      <c r="E1877" s="113"/>
      <c r="F1877" s="113"/>
      <c r="G1877" s="113"/>
      <c r="H1877" s="113"/>
      <c r="I1877" s="113"/>
      <c r="J1877" s="113"/>
      <c r="K1877" s="121">
        <f t="shared" ref="K1877:X1877" si="1183">IF(LataProjekcji&lt;=Koniec_Projekt,ROUND(K1841,0),0)</f>
        <v>0</v>
      </c>
      <c r="L1877" s="121">
        <f t="shared" si="1183"/>
        <v>0</v>
      </c>
      <c r="M1877" s="121">
        <f t="shared" si="1183"/>
        <v>0</v>
      </c>
      <c r="N1877" s="121">
        <f t="shared" si="1183"/>
        <v>0</v>
      </c>
      <c r="O1877" s="121">
        <f t="shared" si="1183"/>
        <v>0</v>
      </c>
      <c r="P1877" s="121">
        <f t="shared" si="1183"/>
        <v>0</v>
      </c>
      <c r="Q1877" s="121">
        <f t="shared" si="1183"/>
        <v>0</v>
      </c>
      <c r="R1877" s="121">
        <f t="shared" si="1183"/>
        <v>0</v>
      </c>
      <c r="S1877" s="121">
        <f t="shared" si="1183"/>
        <v>0</v>
      </c>
      <c r="T1877" s="121">
        <f t="shared" si="1183"/>
        <v>0</v>
      </c>
      <c r="U1877" s="121">
        <f t="shared" si="1183"/>
        <v>0</v>
      </c>
      <c r="V1877" s="121">
        <f t="shared" si="1183"/>
        <v>0</v>
      </c>
      <c r="W1877" s="121">
        <f t="shared" si="1183"/>
        <v>0</v>
      </c>
      <c r="X1877" s="121">
        <f t="shared" si="1183"/>
        <v>0</v>
      </c>
    </row>
    <row r="1878" spans="2:24" hidden="1">
      <c r="B1878" s="113" t="s">
        <v>334</v>
      </c>
      <c r="C1878" s="113"/>
      <c r="D1878" s="113"/>
      <c r="E1878" s="113"/>
      <c r="F1878" s="113"/>
      <c r="G1878" s="113"/>
      <c r="H1878" s="113"/>
      <c r="I1878" s="113"/>
      <c r="J1878" s="113"/>
      <c r="K1878" s="121">
        <f t="shared" ref="K1878:X1878" si="1184">IF(LataProjekcji&lt;=Koniec_Projekt,K1850,0)</f>
        <v>0</v>
      </c>
      <c r="L1878" s="121">
        <f t="shared" si="1184"/>
        <v>0</v>
      </c>
      <c r="M1878" s="121">
        <f t="shared" si="1184"/>
        <v>0</v>
      </c>
      <c r="N1878" s="121">
        <f t="shared" si="1184"/>
        <v>0</v>
      </c>
      <c r="O1878" s="121">
        <f t="shared" si="1184"/>
        <v>0</v>
      </c>
      <c r="P1878" s="121">
        <f t="shared" si="1184"/>
        <v>0</v>
      </c>
      <c r="Q1878" s="121">
        <f t="shared" si="1184"/>
        <v>0</v>
      </c>
      <c r="R1878" s="121">
        <f t="shared" si="1184"/>
        <v>0</v>
      </c>
      <c r="S1878" s="121">
        <f t="shared" si="1184"/>
        <v>0</v>
      </c>
      <c r="T1878" s="121">
        <f t="shared" si="1184"/>
        <v>0</v>
      </c>
      <c r="U1878" s="121">
        <f t="shared" si="1184"/>
        <v>0</v>
      </c>
      <c r="V1878" s="121">
        <f t="shared" si="1184"/>
        <v>0</v>
      </c>
      <c r="W1878" s="121">
        <f t="shared" si="1184"/>
        <v>0</v>
      </c>
      <c r="X1878" s="121">
        <f t="shared" si="1184"/>
        <v>0</v>
      </c>
    </row>
    <row r="1879" spans="2:24" hidden="1">
      <c r="B1879" s="113" t="s">
        <v>325</v>
      </c>
      <c r="C1879" s="113"/>
      <c r="D1879" s="113"/>
      <c r="E1879" s="113"/>
      <c r="F1879" s="113"/>
      <c r="G1879" s="113"/>
      <c r="H1879" s="113"/>
      <c r="I1879" s="113"/>
      <c r="J1879" s="113"/>
      <c r="K1879" s="121">
        <f t="shared" ref="K1879:X1879" si="1185">IF(LataProjekcji&lt;=Koniec_Projekt,ROUND(K1859,0),0)</f>
        <v>0</v>
      </c>
      <c r="L1879" s="121">
        <f t="shared" si="1185"/>
        <v>0</v>
      </c>
      <c r="M1879" s="121">
        <f t="shared" si="1185"/>
        <v>0</v>
      </c>
      <c r="N1879" s="121">
        <f t="shared" si="1185"/>
        <v>0</v>
      </c>
      <c r="O1879" s="121">
        <f t="shared" si="1185"/>
        <v>0</v>
      </c>
      <c r="P1879" s="121">
        <f t="shared" si="1185"/>
        <v>0</v>
      </c>
      <c r="Q1879" s="121">
        <f t="shared" si="1185"/>
        <v>0</v>
      </c>
      <c r="R1879" s="121">
        <f t="shared" si="1185"/>
        <v>0</v>
      </c>
      <c r="S1879" s="121">
        <f t="shared" si="1185"/>
        <v>0</v>
      </c>
      <c r="T1879" s="121">
        <f t="shared" si="1185"/>
        <v>0</v>
      </c>
      <c r="U1879" s="121">
        <f t="shared" si="1185"/>
        <v>0</v>
      </c>
      <c r="V1879" s="121">
        <f t="shared" si="1185"/>
        <v>0</v>
      </c>
      <c r="W1879" s="121">
        <f t="shared" si="1185"/>
        <v>0</v>
      </c>
      <c r="X1879" s="121">
        <f t="shared" si="1185"/>
        <v>0</v>
      </c>
    </row>
    <row r="1880" spans="2:24" hidden="1">
      <c r="B1880" s="113" t="s">
        <v>327</v>
      </c>
      <c r="C1880" s="113"/>
      <c r="D1880" s="113"/>
      <c r="E1880" s="113"/>
      <c r="F1880" s="113"/>
      <c r="G1880" s="113"/>
      <c r="H1880" s="113"/>
      <c r="I1880" s="113"/>
      <c r="J1880" s="113"/>
      <c r="K1880" s="121">
        <f t="shared" ref="K1880:X1880" si="1186">IF(LataProjekcji&lt;=Koniec_Projekt,ROUND(K1868,0),0)</f>
        <v>0</v>
      </c>
      <c r="L1880" s="121">
        <f t="shared" si="1186"/>
        <v>0</v>
      </c>
      <c r="M1880" s="121">
        <f t="shared" si="1186"/>
        <v>0</v>
      </c>
      <c r="N1880" s="121">
        <f t="shared" si="1186"/>
        <v>0</v>
      </c>
      <c r="O1880" s="121">
        <f t="shared" si="1186"/>
        <v>0</v>
      </c>
      <c r="P1880" s="121">
        <f t="shared" si="1186"/>
        <v>0</v>
      </c>
      <c r="Q1880" s="121">
        <f t="shared" si="1186"/>
        <v>0</v>
      </c>
      <c r="R1880" s="121">
        <f t="shared" si="1186"/>
        <v>0</v>
      </c>
      <c r="S1880" s="121">
        <f t="shared" si="1186"/>
        <v>0</v>
      </c>
      <c r="T1880" s="121">
        <f t="shared" si="1186"/>
        <v>0</v>
      </c>
      <c r="U1880" s="121">
        <f t="shared" si="1186"/>
        <v>0</v>
      </c>
      <c r="V1880" s="121">
        <f t="shared" si="1186"/>
        <v>0</v>
      </c>
      <c r="W1880" s="121">
        <f t="shared" si="1186"/>
        <v>0</v>
      </c>
      <c r="X1880" s="121">
        <f t="shared" si="1186"/>
        <v>0</v>
      </c>
    </row>
    <row r="1881" spans="2:24" hidden="1">
      <c r="B1881" s="123" t="s">
        <v>335</v>
      </c>
      <c r="C1881" s="123"/>
      <c r="D1881" s="115"/>
      <c r="E1881" s="115"/>
      <c r="F1881" s="115"/>
      <c r="G1881" s="115"/>
      <c r="H1881" s="115"/>
      <c r="I1881" s="115"/>
      <c r="J1881" s="115"/>
      <c r="K1881" s="124">
        <f t="shared" ref="K1881:X1881" si="1187">ROUND(SUM(K1872:K1880),0)</f>
        <v>0</v>
      </c>
      <c r="L1881" s="124">
        <f t="shared" si="1187"/>
        <v>0</v>
      </c>
      <c r="M1881" s="124">
        <f t="shared" si="1187"/>
        <v>0</v>
      </c>
      <c r="N1881" s="124">
        <f t="shared" si="1187"/>
        <v>0</v>
      </c>
      <c r="O1881" s="124">
        <f t="shared" si="1187"/>
        <v>0</v>
      </c>
      <c r="P1881" s="124">
        <f t="shared" si="1187"/>
        <v>0</v>
      </c>
      <c r="Q1881" s="124">
        <f t="shared" si="1187"/>
        <v>0</v>
      </c>
      <c r="R1881" s="124">
        <f t="shared" si="1187"/>
        <v>0</v>
      </c>
      <c r="S1881" s="124">
        <f t="shared" si="1187"/>
        <v>0</v>
      </c>
      <c r="T1881" s="124">
        <f t="shared" si="1187"/>
        <v>0</v>
      </c>
      <c r="U1881" s="124">
        <f t="shared" si="1187"/>
        <v>0</v>
      </c>
      <c r="V1881" s="124">
        <f t="shared" si="1187"/>
        <v>0</v>
      </c>
      <c r="W1881" s="124">
        <f t="shared" si="1187"/>
        <v>0</v>
      </c>
      <c r="X1881" s="124">
        <f t="shared" si="1187"/>
        <v>0</v>
      </c>
    </row>
    <row r="1882" spans="2:24" hidden="1">
      <c r="B1882" s="115"/>
      <c r="C1882" s="115"/>
      <c r="D1882" s="115"/>
      <c r="E1882" s="115"/>
      <c r="F1882" s="115"/>
      <c r="G1882" s="115"/>
      <c r="H1882" s="115"/>
      <c r="I1882" s="115"/>
      <c r="J1882" s="115"/>
      <c r="K1882" s="115"/>
      <c r="L1882" s="115"/>
      <c r="M1882" s="115"/>
      <c r="N1882" s="115"/>
      <c r="O1882" s="115"/>
      <c r="P1882" s="115"/>
      <c r="Q1882" s="115"/>
      <c r="R1882" s="115"/>
      <c r="S1882" s="115"/>
      <c r="T1882" s="115"/>
      <c r="U1882" s="115"/>
      <c r="V1882" s="115"/>
      <c r="W1882" s="115"/>
      <c r="X1882" s="115"/>
    </row>
    <row r="1883" spans="2:24" hidden="1">
      <c r="B1883" s="125"/>
      <c r="C1883" s="125"/>
      <c r="D1883" s="125"/>
      <c r="E1883" s="125"/>
      <c r="F1883" s="125"/>
      <c r="G1883" s="125"/>
      <c r="H1883" s="125"/>
      <c r="I1883" s="125"/>
      <c r="J1883" s="125"/>
      <c r="K1883" s="125"/>
      <c r="L1883" s="125"/>
      <c r="M1883" s="125"/>
      <c r="N1883" s="125"/>
      <c r="O1883" s="125"/>
      <c r="P1883" s="125"/>
      <c r="Q1883" s="125"/>
      <c r="R1883" s="125"/>
      <c r="S1883" s="125"/>
      <c r="T1883" s="125"/>
      <c r="U1883" s="125"/>
      <c r="V1883" s="125"/>
      <c r="W1883" s="125"/>
      <c r="X1883" s="125"/>
    </row>
    <row r="1884" spans="2:24" hidden="1">
      <c r="B1884" s="125"/>
      <c r="C1884" s="125"/>
      <c r="D1884" s="125"/>
      <c r="E1884" s="125"/>
      <c r="F1884" s="125"/>
      <c r="G1884" s="125"/>
      <c r="H1884" s="125"/>
      <c r="I1884" s="125"/>
      <c r="J1884" s="125"/>
      <c r="K1884" s="114" t="str">
        <f t="shared" ref="K1884:X1884" si="1188">LataProjekcji</f>
        <v>Uzupełnij dane</v>
      </c>
      <c r="L1884" s="114" t="str">
        <f t="shared" si="1188"/>
        <v/>
      </c>
      <c r="M1884" s="114" t="str">
        <f t="shared" si="1188"/>
        <v/>
      </c>
      <c r="N1884" s="114" t="str">
        <f t="shared" si="1188"/>
        <v/>
      </c>
      <c r="O1884" s="114" t="str">
        <f t="shared" si="1188"/>
        <v/>
      </c>
      <c r="P1884" s="114" t="str">
        <f t="shared" si="1188"/>
        <v/>
      </c>
      <c r="Q1884" s="114" t="str">
        <f t="shared" si="1188"/>
        <v/>
      </c>
      <c r="R1884" s="114" t="str">
        <f t="shared" si="1188"/>
        <v/>
      </c>
      <c r="S1884" s="114" t="str">
        <f t="shared" si="1188"/>
        <v/>
      </c>
      <c r="T1884" s="114" t="str">
        <f t="shared" si="1188"/>
        <v/>
      </c>
      <c r="U1884" s="114" t="str">
        <f t="shared" si="1188"/>
        <v/>
      </c>
      <c r="V1884" s="114" t="str">
        <f t="shared" si="1188"/>
        <v/>
      </c>
      <c r="W1884" s="114" t="str">
        <f t="shared" si="1188"/>
        <v/>
      </c>
      <c r="X1884" s="114" t="str">
        <f t="shared" si="1188"/>
        <v/>
      </c>
    </row>
    <row r="1885" spans="2:24" hidden="1">
      <c r="B1885" s="125"/>
      <c r="C1885" s="125"/>
      <c r="D1885" s="125"/>
      <c r="E1885" s="125"/>
      <c r="F1885" s="125"/>
      <c r="G1885" s="125"/>
      <c r="H1885" s="125"/>
      <c r="I1885" s="125"/>
      <c r="J1885" s="125"/>
      <c r="K1885" s="125"/>
      <c r="L1885" s="125"/>
      <c r="M1885" s="125"/>
      <c r="N1885" s="125"/>
      <c r="O1885" s="125"/>
      <c r="P1885" s="125"/>
      <c r="Q1885" s="125"/>
      <c r="R1885" s="125"/>
      <c r="S1885" s="125"/>
      <c r="T1885" s="125"/>
      <c r="U1885" s="125"/>
      <c r="V1885" s="125"/>
      <c r="W1885" s="125"/>
      <c r="X1885" s="125"/>
    </row>
    <row r="1886" spans="2:24" hidden="1">
      <c r="B1886" s="126" t="s">
        <v>368</v>
      </c>
      <c r="C1886" s="126"/>
      <c r="D1886" s="125"/>
      <c r="E1886" s="125"/>
      <c r="F1886" s="125"/>
      <c r="G1886" s="125"/>
      <c r="H1886" s="125"/>
      <c r="I1886" s="125"/>
      <c r="J1886" s="125"/>
      <c r="K1886" s="124">
        <f>ROUND(K1881,0)</f>
        <v>0</v>
      </c>
      <c r="L1886" s="124">
        <f t="shared" ref="L1886:X1886" si="1189">ROUND(K1886+L1881,0)</f>
        <v>0</v>
      </c>
      <c r="M1886" s="124">
        <f t="shared" si="1189"/>
        <v>0</v>
      </c>
      <c r="N1886" s="124">
        <f t="shared" si="1189"/>
        <v>0</v>
      </c>
      <c r="O1886" s="124">
        <f t="shared" si="1189"/>
        <v>0</v>
      </c>
      <c r="P1886" s="124">
        <f t="shared" si="1189"/>
        <v>0</v>
      </c>
      <c r="Q1886" s="124">
        <f t="shared" si="1189"/>
        <v>0</v>
      </c>
      <c r="R1886" s="124">
        <f t="shared" si="1189"/>
        <v>0</v>
      </c>
      <c r="S1886" s="124">
        <f t="shared" si="1189"/>
        <v>0</v>
      </c>
      <c r="T1886" s="124">
        <f t="shared" si="1189"/>
        <v>0</v>
      </c>
      <c r="U1886" s="124">
        <f t="shared" si="1189"/>
        <v>0</v>
      </c>
      <c r="V1886" s="124">
        <f t="shared" si="1189"/>
        <v>0</v>
      </c>
      <c r="W1886" s="124">
        <f t="shared" si="1189"/>
        <v>0</v>
      </c>
      <c r="X1886" s="124">
        <f t="shared" si="1189"/>
        <v>0</v>
      </c>
    </row>
    <row r="1887" spans="2:24" hidden="1">
      <c r="B1887" s="125"/>
      <c r="C1887" s="125"/>
      <c r="D1887" s="125"/>
      <c r="E1887" s="125" t="s">
        <v>354</v>
      </c>
      <c r="F1887" s="125" t="s">
        <v>355</v>
      </c>
      <c r="G1887" s="125" t="s">
        <v>356</v>
      </c>
      <c r="H1887" s="125"/>
      <c r="I1887" s="125"/>
      <c r="J1887" s="125"/>
      <c r="K1887" s="125"/>
      <c r="L1887" s="125"/>
      <c r="M1887" s="125"/>
      <c r="N1887" s="125"/>
      <c r="O1887" s="125"/>
      <c r="P1887" s="125"/>
      <c r="Q1887" s="125"/>
      <c r="R1887" s="125"/>
      <c r="S1887" s="125"/>
      <c r="T1887" s="125"/>
      <c r="U1887" s="125"/>
      <c r="V1887" s="125"/>
      <c r="W1887" s="125"/>
      <c r="X1887" s="125"/>
    </row>
    <row r="1888" spans="2:24" hidden="1">
      <c r="B1888" s="125" t="s">
        <v>357</v>
      </c>
      <c r="C1888" s="125"/>
      <c r="D1888" s="125">
        <f>Poczatek</f>
        <v>0</v>
      </c>
      <c r="E1888" s="125" t="e">
        <f>MATCH($D1888,$A$921:$X$921,0)</f>
        <v>#N/A</v>
      </c>
      <c r="F1888" s="125">
        <f>ROW($K$1401)</f>
        <v>1401</v>
      </c>
      <c r="G1888" s="125" t="e">
        <f>ADDRESS(F1888,E1888)</f>
        <v>#N/A</v>
      </c>
      <c r="H1888" s="125"/>
      <c r="I1888" s="125"/>
      <c r="J1888" s="125"/>
      <c r="K1888" s="125"/>
      <c r="L1888" s="125"/>
      <c r="M1888" s="125"/>
      <c r="N1888" s="125"/>
      <c r="O1888" s="125"/>
      <c r="P1888" s="125"/>
      <c r="Q1888" s="125"/>
      <c r="R1888" s="125"/>
      <c r="S1888" s="125"/>
      <c r="T1888" s="125"/>
      <c r="U1888" s="125"/>
      <c r="V1888" s="125"/>
      <c r="W1888" s="125"/>
      <c r="X1888" s="125"/>
    </row>
    <row r="1889" spans="2:24" hidden="1">
      <c r="B1889" s="125" t="s">
        <v>358</v>
      </c>
      <c r="C1889" s="125"/>
      <c r="D1889" s="125">
        <f>Koniec_Projekt</f>
        <v>0</v>
      </c>
      <c r="E1889" s="125" t="e">
        <f>MATCH($D1889,$A$921:$X$921,0)</f>
        <v>#N/A</v>
      </c>
      <c r="F1889" s="125">
        <f>ROW($K$1401)</f>
        <v>1401</v>
      </c>
      <c r="G1889" s="125" t="e">
        <f>ADDRESS(F1889,E1889)</f>
        <v>#N/A</v>
      </c>
      <c r="H1889" s="125"/>
      <c r="I1889" s="125"/>
      <c r="J1889" s="125"/>
      <c r="K1889" s="125"/>
      <c r="L1889" s="125"/>
      <c r="M1889" s="125"/>
      <c r="N1889" s="125"/>
      <c r="O1889" s="125"/>
      <c r="P1889" s="125"/>
      <c r="Q1889" s="125"/>
      <c r="R1889" s="125"/>
      <c r="S1889" s="125"/>
      <c r="T1889" s="125"/>
      <c r="U1889" s="125"/>
      <c r="V1889" s="125"/>
      <c r="W1889" s="125"/>
      <c r="X1889" s="125"/>
    </row>
    <row r="1890" spans="2:24" hidden="1">
      <c r="B1890" s="125"/>
      <c r="C1890" s="125"/>
      <c r="D1890" s="125"/>
      <c r="E1890" s="125"/>
      <c r="F1890" s="125"/>
      <c r="G1890" s="125"/>
      <c r="H1890" s="125"/>
      <c r="I1890" s="125"/>
      <c r="J1890" s="125"/>
      <c r="K1890" s="125"/>
      <c r="L1890" s="125"/>
      <c r="M1890" s="125"/>
      <c r="N1890" s="125"/>
      <c r="O1890" s="125"/>
      <c r="P1890" s="125"/>
      <c r="Q1890" s="125"/>
      <c r="R1890" s="125"/>
      <c r="S1890" s="125"/>
      <c r="T1890" s="125"/>
      <c r="U1890" s="125"/>
      <c r="V1890" s="125"/>
      <c r="W1890" s="125"/>
      <c r="X1890" s="125"/>
    </row>
    <row r="1891" spans="2:24" hidden="1">
      <c r="B1891" s="126" t="s">
        <v>369</v>
      </c>
      <c r="C1891" s="126"/>
      <c r="D1891" s="126"/>
      <c r="E1891" s="126"/>
      <c r="F1891" s="126"/>
      <c r="G1891" s="126"/>
      <c r="H1891" s="126"/>
      <c r="I1891" s="126"/>
      <c r="J1891" s="126"/>
      <c r="K1891" s="124">
        <f t="shared" ref="K1891:X1891" si="1190">IF(LataProjekcji&lt;=Koniec_Projekt,K1881,0)</f>
        <v>0</v>
      </c>
      <c r="L1891" s="124">
        <f t="shared" si="1190"/>
        <v>0</v>
      </c>
      <c r="M1891" s="124">
        <f t="shared" si="1190"/>
        <v>0</v>
      </c>
      <c r="N1891" s="124">
        <f t="shared" si="1190"/>
        <v>0</v>
      </c>
      <c r="O1891" s="124">
        <f t="shared" si="1190"/>
        <v>0</v>
      </c>
      <c r="P1891" s="124">
        <f t="shared" si="1190"/>
        <v>0</v>
      </c>
      <c r="Q1891" s="124">
        <f t="shared" si="1190"/>
        <v>0</v>
      </c>
      <c r="R1891" s="124">
        <f t="shared" si="1190"/>
        <v>0</v>
      </c>
      <c r="S1891" s="124">
        <f t="shared" si="1190"/>
        <v>0</v>
      </c>
      <c r="T1891" s="124">
        <f t="shared" si="1190"/>
        <v>0</v>
      </c>
      <c r="U1891" s="124">
        <f t="shared" si="1190"/>
        <v>0</v>
      </c>
      <c r="V1891" s="124">
        <f t="shared" si="1190"/>
        <v>0</v>
      </c>
      <c r="W1891" s="124">
        <f t="shared" si="1190"/>
        <v>0</v>
      </c>
      <c r="X1891" s="124">
        <f t="shared" si="1190"/>
        <v>0</v>
      </c>
    </row>
    <row r="1895" spans="2:24" hidden="1">
      <c r="B1895" s="7" t="s">
        <v>370</v>
      </c>
      <c r="C1895" s="7"/>
    </row>
    <row r="1896" spans="2:24" hidden="1">
      <c r="B1896" s="160" t="s">
        <v>332</v>
      </c>
      <c r="C1896" s="160"/>
      <c r="D1896" s="160"/>
      <c r="E1896" s="160"/>
      <c r="F1896" s="160"/>
      <c r="G1896" s="160"/>
      <c r="H1896" s="160"/>
      <c r="I1896" s="160"/>
      <c r="J1896" s="160"/>
      <c r="K1896" s="161">
        <f t="shared" ref="K1896:X1896" si="1191">K1910+K1924+K1938</f>
        <v>0</v>
      </c>
      <c r="L1896" s="161">
        <f t="shared" si="1191"/>
        <v>0</v>
      </c>
      <c r="M1896" s="161">
        <f t="shared" si="1191"/>
        <v>0</v>
      </c>
      <c r="N1896" s="161">
        <f t="shared" si="1191"/>
        <v>0</v>
      </c>
      <c r="O1896" s="161">
        <f t="shared" si="1191"/>
        <v>0</v>
      </c>
      <c r="P1896" s="161">
        <f t="shared" si="1191"/>
        <v>0</v>
      </c>
      <c r="Q1896" s="161">
        <f t="shared" si="1191"/>
        <v>0</v>
      </c>
      <c r="R1896" s="161">
        <f t="shared" si="1191"/>
        <v>0</v>
      </c>
      <c r="S1896" s="161">
        <f t="shared" si="1191"/>
        <v>0</v>
      </c>
      <c r="T1896" s="161">
        <f t="shared" si="1191"/>
        <v>0</v>
      </c>
      <c r="U1896" s="161">
        <f t="shared" si="1191"/>
        <v>0</v>
      </c>
      <c r="V1896" s="161">
        <f t="shared" si="1191"/>
        <v>0</v>
      </c>
      <c r="W1896" s="161">
        <f t="shared" si="1191"/>
        <v>0</v>
      </c>
      <c r="X1896" s="161">
        <f t="shared" si="1191"/>
        <v>0</v>
      </c>
    </row>
    <row r="1897" spans="2:24" hidden="1">
      <c r="B1897" s="160" t="s">
        <v>312</v>
      </c>
      <c r="C1897" s="160"/>
      <c r="D1897" s="160"/>
      <c r="E1897" s="160"/>
      <c r="F1897" s="160"/>
      <c r="G1897" s="160"/>
      <c r="H1897" s="160"/>
      <c r="I1897" s="160"/>
      <c r="J1897" s="160"/>
      <c r="K1897" s="161">
        <f t="shared" ref="K1897:M1905" si="1192">K1911+K1925+K1939</f>
        <v>0</v>
      </c>
      <c r="L1897" s="161">
        <f t="shared" ref="L1897:L1902" si="1193">L1911+L1925+L1939</f>
        <v>0</v>
      </c>
      <c r="M1897" s="161">
        <f t="shared" si="1192"/>
        <v>0</v>
      </c>
      <c r="N1897" s="161">
        <f t="shared" ref="N1897:X1897" si="1194">N1911+N1925+N1939</f>
        <v>0</v>
      </c>
      <c r="O1897" s="161">
        <f t="shared" si="1194"/>
        <v>0</v>
      </c>
      <c r="P1897" s="161">
        <f t="shared" si="1194"/>
        <v>0</v>
      </c>
      <c r="Q1897" s="161">
        <f t="shared" si="1194"/>
        <v>0</v>
      </c>
      <c r="R1897" s="161">
        <f t="shared" si="1194"/>
        <v>0</v>
      </c>
      <c r="S1897" s="161">
        <f t="shared" si="1194"/>
        <v>0</v>
      </c>
      <c r="T1897" s="161">
        <f t="shared" si="1194"/>
        <v>0</v>
      </c>
      <c r="U1897" s="161">
        <f t="shared" si="1194"/>
        <v>0</v>
      </c>
      <c r="V1897" s="161">
        <f t="shared" si="1194"/>
        <v>0</v>
      </c>
      <c r="W1897" s="161">
        <f t="shared" si="1194"/>
        <v>0</v>
      </c>
      <c r="X1897" s="161">
        <f t="shared" si="1194"/>
        <v>0</v>
      </c>
    </row>
    <row r="1898" spans="2:24" hidden="1">
      <c r="B1898" s="160" t="s">
        <v>314</v>
      </c>
      <c r="C1898" s="160"/>
      <c r="D1898" s="160"/>
      <c r="E1898" s="160"/>
      <c r="F1898" s="160"/>
      <c r="G1898" s="160"/>
      <c r="H1898" s="160"/>
      <c r="I1898" s="160"/>
      <c r="J1898" s="160"/>
      <c r="K1898" s="161">
        <f t="shared" si="1192"/>
        <v>0</v>
      </c>
      <c r="L1898" s="161">
        <f t="shared" si="1193"/>
        <v>0</v>
      </c>
      <c r="M1898" s="161">
        <f t="shared" si="1192"/>
        <v>0</v>
      </c>
      <c r="N1898" s="161">
        <f t="shared" ref="N1898:X1898" si="1195">N1912+N1926+N1940</f>
        <v>0</v>
      </c>
      <c r="O1898" s="161">
        <f t="shared" si="1195"/>
        <v>0</v>
      </c>
      <c r="P1898" s="161">
        <f t="shared" si="1195"/>
        <v>0</v>
      </c>
      <c r="Q1898" s="161">
        <f t="shared" si="1195"/>
        <v>0</v>
      </c>
      <c r="R1898" s="161">
        <f t="shared" si="1195"/>
        <v>0</v>
      </c>
      <c r="S1898" s="161">
        <f t="shared" si="1195"/>
        <v>0</v>
      </c>
      <c r="T1898" s="161">
        <f t="shared" si="1195"/>
        <v>0</v>
      </c>
      <c r="U1898" s="161">
        <f t="shared" si="1195"/>
        <v>0</v>
      </c>
      <c r="V1898" s="161">
        <f t="shared" si="1195"/>
        <v>0</v>
      </c>
      <c r="W1898" s="161">
        <f t="shared" si="1195"/>
        <v>0</v>
      </c>
      <c r="X1898" s="161">
        <f t="shared" si="1195"/>
        <v>0</v>
      </c>
    </row>
    <row r="1899" spans="2:24" hidden="1">
      <c r="B1899" s="160" t="s">
        <v>333</v>
      </c>
      <c r="C1899" s="160"/>
      <c r="D1899" s="160"/>
      <c r="E1899" s="160"/>
      <c r="F1899" s="160"/>
      <c r="G1899" s="160"/>
      <c r="H1899" s="160"/>
      <c r="I1899" s="160"/>
      <c r="J1899" s="160"/>
      <c r="K1899" s="161">
        <f t="shared" si="1192"/>
        <v>0</v>
      </c>
      <c r="L1899" s="161">
        <f t="shared" si="1193"/>
        <v>0</v>
      </c>
      <c r="M1899" s="161">
        <f t="shared" si="1192"/>
        <v>0</v>
      </c>
      <c r="N1899" s="161">
        <f t="shared" ref="N1899:X1899" si="1196">N1913+N1927+N1941</f>
        <v>0</v>
      </c>
      <c r="O1899" s="161">
        <f t="shared" si="1196"/>
        <v>0</v>
      </c>
      <c r="P1899" s="161">
        <f t="shared" si="1196"/>
        <v>0</v>
      </c>
      <c r="Q1899" s="161">
        <f t="shared" si="1196"/>
        <v>0</v>
      </c>
      <c r="R1899" s="161">
        <f t="shared" si="1196"/>
        <v>0</v>
      </c>
      <c r="S1899" s="161">
        <f t="shared" si="1196"/>
        <v>0</v>
      </c>
      <c r="T1899" s="161">
        <f t="shared" si="1196"/>
        <v>0</v>
      </c>
      <c r="U1899" s="161">
        <f t="shared" si="1196"/>
        <v>0</v>
      </c>
      <c r="V1899" s="161">
        <f t="shared" si="1196"/>
        <v>0</v>
      </c>
      <c r="W1899" s="161">
        <f t="shared" si="1196"/>
        <v>0</v>
      </c>
      <c r="X1899" s="161">
        <f t="shared" si="1196"/>
        <v>0</v>
      </c>
    </row>
    <row r="1900" spans="2:24" hidden="1">
      <c r="B1900" s="160" t="s">
        <v>320</v>
      </c>
      <c r="C1900" s="160"/>
      <c r="D1900" s="160"/>
      <c r="E1900" s="160"/>
      <c r="F1900" s="160"/>
      <c r="G1900" s="160"/>
      <c r="H1900" s="160"/>
      <c r="I1900" s="160"/>
      <c r="J1900" s="160"/>
      <c r="K1900" s="161">
        <f t="shared" si="1192"/>
        <v>0</v>
      </c>
      <c r="L1900" s="161">
        <f t="shared" si="1193"/>
        <v>0</v>
      </c>
      <c r="M1900" s="161">
        <f t="shared" si="1192"/>
        <v>0</v>
      </c>
      <c r="N1900" s="161">
        <f t="shared" ref="N1900:X1900" si="1197">N1914+N1928+N1942</f>
        <v>0</v>
      </c>
      <c r="O1900" s="161">
        <f t="shared" si="1197"/>
        <v>0</v>
      </c>
      <c r="P1900" s="161">
        <f t="shared" si="1197"/>
        <v>0</v>
      </c>
      <c r="Q1900" s="161">
        <f t="shared" si="1197"/>
        <v>0</v>
      </c>
      <c r="R1900" s="161">
        <f t="shared" si="1197"/>
        <v>0</v>
      </c>
      <c r="S1900" s="161">
        <f t="shared" si="1197"/>
        <v>0</v>
      </c>
      <c r="T1900" s="161">
        <f t="shared" si="1197"/>
        <v>0</v>
      </c>
      <c r="U1900" s="161">
        <f t="shared" si="1197"/>
        <v>0</v>
      </c>
      <c r="V1900" s="161">
        <f t="shared" si="1197"/>
        <v>0</v>
      </c>
      <c r="W1900" s="161">
        <f t="shared" si="1197"/>
        <v>0</v>
      </c>
      <c r="X1900" s="161">
        <f t="shared" si="1197"/>
        <v>0</v>
      </c>
    </row>
    <row r="1901" spans="2:24" hidden="1">
      <c r="B1901" s="160" t="s">
        <v>323</v>
      </c>
      <c r="C1901" s="160"/>
      <c r="D1901" s="160"/>
      <c r="E1901" s="160"/>
      <c r="F1901" s="160"/>
      <c r="G1901" s="160"/>
      <c r="H1901" s="160"/>
      <c r="I1901" s="160"/>
      <c r="J1901" s="160"/>
      <c r="K1901" s="161">
        <f t="shared" si="1192"/>
        <v>0</v>
      </c>
      <c r="L1901" s="161">
        <f t="shared" si="1193"/>
        <v>0</v>
      </c>
      <c r="M1901" s="161">
        <f t="shared" si="1192"/>
        <v>0</v>
      </c>
      <c r="N1901" s="161">
        <f t="shared" ref="N1901:X1901" si="1198">N1915+N1929+N1943</f>
        <v>0</v>
      </c>
      <c r="O1901" s="161">
        <f t="shared" si="1198"/>
        <v>0</v>
      </c>
      <c r="P1901" s="161">
        <f t="shared" si="1198"/>
        <v>0</v>
      </c>
      <c r="Q1901" s="161">
        <f t="shared" si="1198"/>
        <v>0</v>
      </c>
      <c r="R1901" s="161">
        <f t="shared" si="1198"/>
        <v>0</v>
      </c>
      <c r="S1901" s="161">
        <f t="shared" si="1198"/>
        <v>0</v>
      </c>
      <c r="T1901" s="161">
        <f t="shared" si="1198"/>
        <v>0</v>
      </c>
      <c r="U1901" s="161">
        <f t="shared" si="1198"/>
        <v>0</v>
      </c>
      <c r="V1901" s="161">
        <f t="shared" si="1198"/>
        <v>0</v>
      </c>
      <c r="W1901" s="161">
        <f t="shared" si="1198"/>
        <v>0</v>
      </c>
      <c r="X1901" s="161">
        <f t="shared" si="1198"/>
        <v>0</v>
      </c>
    </row>
    <row r="1902" spans="2:24" hidden="1">
      <c r="B1902" s="160" t="s">
        <v>334</v>
      </c>
      <c r="C1902" s="160"/>
      <c r="D1902" s="160"/>
      <c r="E1902" s="160"/>
      <c r="F1902" s="160"/>
      <c r="G1902" s="160"/>
      <c r="H1902" s="160"/>
      <c r="I1902" s="160"/>
      <c r="J1902" s="160"/>
      <c r="K1902" s="161">
        <f t="shared" si="1192"/>
        <v>0</v>
      </c>
      <c r="L1902" s="161">
        <f t="shared" si="1193"/>
        <v>0</v>
      </c>
      <c r="M1902" s="161">
        <f t="shared" si="1192"/>
        <v>0</v>
      </c>
      <c r="N1902" s="161">
        <f t="shared" ref="N1902:X1902" si="1199">N1916+N1930+N1944</f>
        <v>0</v>
      </c>
      <c r="O1902" s="161">
        <f t="shared" si="1199"/>
        <v>0</v>
      </c>
      <c r="P1902" s="161">
        <f t="shared" si="1199"/>
        <v>0</v>
      </c>
      <c r="Q1902" s="161">
        <f t="shared" si="1199"/>
        <v>0</v>
      </c>
      <c r="R1902" s="161">
        <f t="shared" si="1199"/>
        <v>0</v>
      </c>
      <c r="S1902" s="161">
        <f t="shared" si="1199"/>
        <v>0</v>
      </c>
      <c r="T1902" s="161">
        <f t="shared" si="1199"/>
        <v>0</v>
      </c>
      <c r="U1902" s="161">
        <f t="shared" si="1199"/>
        <v>0</v>
      </c>
      <c r="V1902" s="161">
        <f t="shared" si="1199"/>
        <v>0</v>
      </c>
      <c r="W1902" s="161">
        <f t="shared" si="1199"/>
        <v>0</v>
      </c>
      <c r="X1902" s="161">
        <f t="shared" si="1199"/>
        <v>0</v>
      </c>
    </row>
    <row r="1903" spans="2:24" hidden="1">
      <c r="B1903" s="162" t="s">
        <v>371</v>
      </c>
      <c r="C1903" s="162"/>
      <c r="D1903" s="160"/>
      <c r="E1903" s="160"/>
      <c r="F1903" s="160"/>
      <c r="G1903" s="160"/>
      <c r="H1903" s="160"/>
      <c r="I1903" s="160"/>
      <c r="J1903" s="160"/>
      <c r="K1903" s="163">
        <f t="shared" ref="K1903:X1903" si="1200">SUM(K1896:K1902)</f>
        <v>0</v>
      </c>
      <c r="L1903" s="163">
        <f t="shared" si="1200"/>
        <v>0</v>
      </c>
      <c r="M1903" s="163">
        <f t="shared" si="1200"/>
        <v>0</v>
      </c>
      <c r="N1903" s="163">
        <f t="shared" si="1200"/>
        <v>0</v>
      </c>
      <c r="O1903" s="163">
        <f t="shared" si="1200"/>
        <v>0</v>
      </c>
      <c r="P1903" s="163">
        <f t="shared" si="1200"/>
        <v>0</v>
      </c>
      <c r="Q1903" s="163">
        <f t="shared" si="1200"/>
        <v>0</v>
      </c>
      <c r="R1903" s="163">
        <f t="shared" si="1200"/>
        <v>0</v>
      </c>
      <c r="S1903" s="163">
        <f t="shared" si="1200"/>
        <v>0</v>
      </c>
      <c r="T1903" s="163">
        <f t="shared" si="1200"/>
        <v>0</v>
      </c>
      <c r="U1903" s="163">
        <f t="shared" si="1200"/>
        <v>0</v>
      </c>
      <c r="V1903" s="163">
        <f t="shared" si="1200"/>
        <v>0</v>
      </c>
      <c r="W1903" s="163">
        <f t="shared" si="1200"/>
        <v>0</v>
      </c>
      <c r="X1903" s="163">
        <f t="shared" si="1200"/>
        <v>0</v>
      </c>
    </row>
    <row r="1904" spans="2:24" hidden="1">
      <c r="B1904" s="155" t="s">
        <v>325</v>
      </c>
      <c r="C1904" s="155"/>
      <c r="D1904" s="155"/>
      <c r="E1904" s="155"/>
      <c r="F1904" s="155"/>
      <c r="G1904" s="155"/>
      <c r="H1904" s="155"/>
      <c r="I1904" s="155"/>
      <c r="J1904" s="155"/>
      <c r="K1904" s="157">
        <f t="shared" si="1192"/>
        <v>0</v>
      </c>
      <c r="L1904" s="157">
        <f>L1918+L1932+L1946</f>
        <v>0</v>
      </c>
      <c r="M1904" s="157">
        <f t="shared" si="1192"/>
        <v>0</v>
      </c>
      <c r="N1904" s="157">
        <f t="shared" ref="N1904:X1904" si="1201">N1918+N1932+N1946</f>
        <v>0</v>
      </c>
      <c r="O1904" s="157">
        <f t="shared" si="1201"/>
        <v>0</v>
      </c>
      <c r="P1904" s="157">
        <f t="shared" si="1201"/>
        <v>0</v>
      </c>
      <c r="Q1904" s="157">
        <f t="shared" si="1201"/>
        <v>0</v>
      </c>
      <c r="R1904" s="157">
        <f t="shared" si="1201"/>
        <v>0</v>
      </c>
      <c r="S1904" s="157">
        <f t="shared" si="1201"/>
        <v>0</v>
      </c>
      <c r="T1904" s="157">
        <f t="shared" si="1201"/>
        <v>0</v>
      </c>
      <c r="U1904" s="157">
        <f t="shared" si="1201"/>
        <v>0</v>
      </c>
      <c r="V1904" s="157">
        <f t="shared" si="1201"/>
        <v>0</v>
      </c>
      <c r="W1904" s="157">
        <f t="shared" si="1201"/>
        <v>0</v>
      </c>
      <c r="X1904" s="157">
        <f t="shared" si="1201"/>
        <v>0</v>
      </c>
    </row>
    <row r="1905" spans="2:24" hidden="1">
      <c r="B1905" s="155" t="s">
        <v>327</v>
      </c>
      <c r="C1905" s="155"/>
      <c r="D1905" s="155"/>
      <c r="E1905" s="155"/>
      <c r="F1905" s="155"/>
      <c r="G1905" s="155"/>
      <c r="H1905" s="155"/>
      <c r="I1905" s="155"/>
      <c r="J1905" s="155"/>
      <c r="K1905" s="157">
        <f t="shared" si="1192"/>
        <v>0</v>
      </c>
      <c r="L1905" s="157">
        <f>L1919+L1933+L1947</f>
        <v>0</v>
      </c>
      <c r="M1905" s="157">
        <f t="shared" si="1192"/>
        <v>0</v>
      </c>
      <c r="N1905" s="157">
        <f t="shared" ref="N1905:X1905" si="1202">N1919+N1933+N1947</f>
        <v>0</v>
      </c>
      <c r="O1905" s="157">
        <f t="shared" si="1202"/>
        <v>0</v>
      </c>
      <c r="P1905" s="157">
        <f t="shared" si="1202"/>
        <v>0</v>
      </c>
      <c r="Q1905" s="157">
        <f t="shared" si="1202"/>
        <v>0</v>
      </c>
      <c r="R1905" s="157">
        <f t="shared" si="1202"/>
        <v>0</v>
      </c>
      <c r="S1905" s="157">
        <f t="shared" si="1202"/>
        <v>0</v>
      </c>
      <c r="T1905" s="157">
        <f t="shared" si="1202"/>
        <v>0</v>
      </c>
      <c r="U1905" s="157">
        <f t="shared" si="1202"/>
        <v>0</v>
      </c>
      <c r="V1905" s="157">
        <f t="shared" si="1202"/>
        <v>0</v>
      </c>
      <c r="W1905" s="157">
        <f t="shared" si="1202"/>
        <v>0</v>
      </c>
      <c r="X1905" s="157">
        <f t="shared" si="1202"/>
        <v>0</v>
      </c>
    </row>
    <row r="1906" spans="2:24" hidden="1">
      <c r="B1906" s="158" t="s">
        <v>372</v>
      </c>
      <c r="C1906" s="158"/>
      <c r="D1906" s="155"/>
      <c r="E1906" s="155"/>
      <c r="F1906" s="155"/>
      <c r="G1906" s="155"/>
      <c r="H1906" s="155"/>
      <c r="I1906" s="155"/>
      <c r="J1906" s="155"/>
      <c r="K1906" s="159">
        <f t="shared" ref="K1906:X1906" si="1203">K1903+SUM(K1904:K1905)</f>
        <v>0</v>
      </c>
      <c r="L1906" s="159">
        <f t="shared" si="1203"/>
        <v>0</v>
      </c>
      <c r="M1906" s="159">
        <f t="shared" si="1203"/>
        <v>0</v>
      </c>
      <c r="N1906" s="159">
        <f t="shared" si="1203"/>
        <v>0</v>
      </c>
      <c r="O1906" s="159">
        <f t="shared" si="1203"/>
        <v>0</v>
      </c>
      <c r="P1906" s="159">
        <f t="shared" si="1203"/>
        <v>0</v>
      </c>
      <c r="Q1906" s="159">
        <f t="shared" si="1203"/>
        <v>0</v>
      </c>
      <c r="R1906" s="159">
        <f t="shared" si="1203"/>
        <v>0</v>
      </c>
      <c r="S1906" s="159">
        <f t="shared" si="1203"/>
        <v>0</v>
      </c>
      <c r="T1906" s="159">
        <f t="shared" si="1203"/>
        <v>0</v>
      </c>
      <c r="U1906" s="159">
        <f t="shared" si="1203"/>
        <v>0</v>
      </c>
      <c r="V1906" s="159">
        <f t="shared" si="1203"/>
        <v>0</v>
      </c>
      <c r="W1906" s="159">
        <f t="shared" si="1203"/>
        <v>0</v>
      </c>
      <c r="X1906" s="159">
        <f t="shared" si="1203"/>
        <v>0</v>
      </c>
    </row>
    <row r="1909" spans="2:24" hidden="1">
      <c r="B1909" s="7" t="s">
        <v>373</v>
      </c>
      <c r="C1909" s="7"/>
    </row>
    <row r="1910" spans="2:24" hidden="1">
      <c r="B1910" s="160" t="s">
        <v>332</v>
      </c>
      <c r="C1910" s="160"/>
      <c r="D1910" s="160"/>
      <c r="E1910" s="160"/>
      <c r="F1910" s="160"/>
      <c r="G1910" s="160"/>
      <c r="H1910" s="160"/>
      <c r="I1910" s="160"/>
      <c r="J1910" s="160"/>
      <c r="K1910" s="161">
        <f t="shared" ref="K1910:K1916" si="1204">K1872</f>
        <v>0</v>
      </c>
      <c r="L1910" s="161">
        <f t="shared" ref="L1910:X1910" si="1205">L1872</f>
        <v>0</v>
      </c>
      <c r="M1910" s="161">
        <f t="shared" si="1205"/>
        <v>0</v>
      </c>
      <c r="N1910" s="161">
        <f t="shared" si="1205"/>
        <v>0</v>
      </c>
      <c r="O1910" s="161">
        <f t="shared" si="1205"/>
        <v>0</v>
      </c>
      <c r="P1910" s="161">
        <f t="shared" si="1205"/>
        <v>0</v>
      </c>
      <c r="Q1910" s="161">
        <f t="shared" si="1205"/>
        <v>0</v>
      </c>
      <c r="R1910" s="161">
        <f t="shared" si="1205"/>
        <v>0</v>
      </c>
      <c r="S1910" s="161">
        <f t="shared" si="1205"/>
        <v>0</v>
      </c>
      <c r="T1910" s="161">
        <f t="shared" si="1205"/>
        <v>0</v>
      </c>
      <c r="U1910" s="161">
        <f t="shared" si="1205"/>
        <v>0</v>
      </c>
      <c r="V1910" s="161">
        <f t="shared" si="1205"/>
        <v>0</v>
      </c>
      <c r="W1910" s="161">
        <f t="shared" si="1205"/>
        <v>0</v>
      </c>
      <c r="X1910" s="161">
        <f t="shared" si="1205"/>
        <v>0</v>
      </c>
    </row>
    <row r="1911" spans="2:24" hidden="1">
      <c r="B1911" s="160" t="s">
        <v>312</v>
      </c>
      <c r="C1911" s="160"/>
      <c r="D1911" s="160"/>
      <c r="E1911" s="160"/>
      <c r="F1911" s="160"/>
      <c r="G1911" s="160"/>
      <c r="H1911" s="160"/>
      <c r="I1911" s="160"/>
      <c r="J1911" s="160"/>
      <c r="K1911" s="161">
        <f t="shared" si="1204"/>
        <v>0</v>
      </c>
      <c r="L1911" s="161">
        <f t="shared" ref="L1911:X1911" si="1206">L1873</f>
        <v>0</v>
      </c>
      <c r="M1911" s="161">
        <f t="shared" si="1206"/>
        <v>0</v>
      </c>
      <c r="N1911" s="161">
        <f t="shared" si="1206"/>
        <v>0</v>
      </c>
      <c r="O1911" s="161">
        <f t="shared" si="1206"/>
        <v>0</v>
      </c>
      <c r="P1911" s="161">
        <f t="shared" si="1206"/>
        <v>0</v>
      </c>
      <c r="Q1911" s="161">
        <f t="shared" si="1206"/>
        <v>0</v>
      </c>
      <c r="R1911" s="161">
        <f t="shared" si="1206"/>
        <v>0</v>
      </c>
      <c r="S1911" s="161">
        <f t="shared" si="1206"/>
        <v>0</v>
      </c>
      <c r="T1911" s="161">
        <f t="shared" si="1206"/>
        <v>0</v>
      </c>
      <c r="U1911" s="161">
        <f t="shared" si="1206"/>
        <v>0</v>
      </c>
      <c r="V1911" s="161">
        <f t="shared" si="1206"/>
        <v>0</v>
      </c>
      <c r="W1911" s="161">
        <f t="shared" si="1206"/>
        <v>0</v>
      </c>
      <c r="X1911" s="161">
        <f t="shared" si="1206"/>
        <v>0</v>
      </c>
    </row>
    <row r="1912" spans="2:24" hidden="1">
      <c r="B1912" s="160" t="s">
        <v>314</v>
      </c>
      <c r="C1912" s="160"/>
      <c r="D1912" s="160"/>
      <c r="E1912" s="160"/>
      <c r="F1912" s="160"/>
      <c r="G1912" s="160"/>
      <c r="H1912" s="160"/>
      <c r="I1912" s="160"/>
      <c r="J1912" s="160"/>
      <c r="K1912" s="161">
        <f t="shared" si="1204"/>
        <v>0</v>
      </c>
      <c r="L1912" s="161">
        <f t="shared" ref="L1912:X1912" si="1207">L1874</f>
        <v>0</v>
      </c>
      <c r="M1912" s="161">
        <f t="shared" si="1207"/>
        <v>0</v>
      </c>
      <c r="N1912" s="161">
        <f t="shared" si="1207"/>
        <v>0</v>
      </c>
      <c r="O1912" s="161">
        <f t="shared" si="1207"/>
        <v>0</v>
      </c>
      <c r="P1912" s="161">
        <f t="shared" si="1207"/>
        <v>0</v>
      </c>
      <c r="Q1912" s="161">
        <f t="shared" si="1207"/>
        <v>0</v>
      </c>
      <c r="R1912" s="161">
        <f t="shared" si="1207"/>
        <v>0</v>
      </c>
      <c r="S1912" s="161">
        <f t="shared" si="1207"/>
        <v>0</v>
      </c>
      <c r="T1912" s="161">
        <f t="shared" si="1207"/>
        <v>0</v>
      </c>
      <c r="U1912" s="161">
        <f t="shared" si="1207"/>
        <v>0</v>
      </c>
      <c r="V1912" s="161">
        <f t="shared" si="1207"/>
        <v>0</v>
      </c>
      <c r="W1912" s="161">
        <f t="shared" si="1207"/>
        <v>0</v>
      </c>
      <c r="X1912" s="161">
        <f t="shared" si="1207"/>
        <v>0</v>
      </c>
    </row>
    <row r="1913" spans="2:24" hidden="1">
      <c r="B1913" s="160" t="s">
        <v>333</v>
      </c>
      <c r="C1913" s="160"/>
      <c r="D1913" s="160"/>
      <c r="E1913" s="160"/>
      <c r="F1913" s="160"/>
      <c r="G1913" s="160"/>
      <c r="H1913" s="160"/>
      <c r="I1913" s="160"/>
      <c r="J1913" s="160"/>
      <c r="K1913" s="161">
        <f t="shared" si="1204"/>
        <v>0</v>
      </c>
      <c r="L1913" s="161">
        <f t="shared" ref="L1913:X1913" si="1208">L1875</f>
        <v>0</v>
      </c>
      <c r="M1913" s="161">
        <f t="shared" si="1208"/>
        <v>0</v>
      </c>
      <c r="N1913" s="161">
        <f t="shared" si="1208"/>
        <v>0</v>
      </c>
      <c r="O1913" s="161">
        <f t="shared" si="1208"/>
        <v>0</v>
      </c>
      <c r="P1913" s="161">
        <f t="shared" si="1208"/>
        <v>0</v>
      </c>
      <c r="Q1913" s="161">
        <f t="shared" si="1208"/>
        <v>0</v>
      </c>
      <c r="R1913" s="161">
        <f t="shared" si="1208"/>
        <v>0</v>
      </c>
      <c r="S1913" s="161">
        <f t="shared" si="1208"/>
        <v>0</v>
      </c>
      <c r="T1913" s="161">
        <f t="shared" si="1208"/>
        <v>0</v>
      </c>
      <c r="U1913" s="161">
        <f t="shared" si="1208"/>
        <v>0</v>
      </c>
      <c r="V1913" s="161">
        <f t="shared" si="1208"/>
        <v>0</v>
      </c>
      <c r="W1913" s="161">
        <f t="shared" si="1208"/>
        <v>0</v>
      </c>
      <c r="X1913" s="161">
        <f t="shared" si="1208"/>
        <v>0</v>
      </c>
    </row>
    <row r="1914" spans="2:24" hidden="1">
      <c r="B1914" s="160" t="s">
        <v>320</v>
      </c>
      <c r="C1914" s="160"/>
      <c r="D1914" s="160"/>
      <c r="E1914" s="160"/>
      <c r="F1914" s="160"/>
      <c r="G1914" s="160"/>
      <c r="H1914" s="160"/>
      <c r="I1914" s="160"/>
      <c r="J1914" s="160"/>
      <c r="K1914" s="161">
        <f t="shared" si="1204"/>
        <v>0</v>
      </c>
      <c r="L1914" s="161">
        <f t="shared" ref="L1914:X1914" si="1209">L1876</f>
        <v>0</v>
      </c>
      <c r="M1914" s="161">
        <f t="shared" si="1209"/>
        <v>0</v>
      </c>
      <c r="N1914" s="161">
        <f t="shared" si="1209"/>
        <v>0</v>
      </c>
      <c r="O1914" s="161">
        <f t="shared" si="1209"/>
        <v>0</v>
      </c>
      <c r="P1914" s="161">
        <f t="shared" si="1209"/>
        <v>0</v>
      </c>
      <c r="Q1914" s="161">
        <f t="shared" si="1209"/>
        <v>0</v>
      </c>
      <c r="R1914" s="161">
        <f t="shared" si="1209"/>
        <v>0</v>
      </c>
      <c r="S1914" s="161">
        <f t="shared" si="1209"/>
        <v>0</v>
      </c>
      <c r="T1914" s="161">
        <f t="shared" si="1209"/>
        <v>0</v>
      </c>
      <c r="U1914" s="161">
        <f t="shared" si="1209"/>
        <v>0</v>
      </c>
      <c r="V1914" s="161">
        <f t="shared" si="1209"/>
        <v>0</v>
      </c>
      <c r="W1914" s="161">
        <f t="shared" si="1209"/>
        <v>0</v>
      </c>
      <c r="X1914" s="161">
        <f t="shared" si="1209"/>
        <v>0</v>
      </c>
    </row>
    <row r="1915" spans="2:24" hidden="1">
      <c r="B1915" s="160" t="s">
        <v>323</v>
      </c>
      <c r="C1915" s="160"/>
      <c r="D1915" s="160"/>
      <c r="E1915" s="160"/>
      <c r="F1915" s="160"/>
      <c r="G1915" s="160"/>
      <c r="H1915" s="160"/>
      <c r="I1915" s="160"/>
      <c r="J1915" s="160"/>
      <c r="K1915" s="161">
        <f t="shared" si="1204"/>
        <v>0</v>
      </c>
      <c r="L1915" s="161">
        <f t="shared" ref="L1915:X1915" si="1210">L1877</f>
        <v>0</v>
      </c>
      <c r="M1915" s="161">
        <f t="shared" si="1210"/>
        <v>0</v>
      </c>
      <c r="N1915" s="161">
        <f t="shared" si="1210"/>
        <v>0</v>
      </c>
      <c r="O1915" s="161">
        <f t="shared" si="1210"/>
        <v>0</v>
      </c>
      <c r="P1915" s="161">
        <f t="shared" si="1210"/>
        <v>0</v>
      </c>
      <c r="Q1915" s="161">
        <f t="shared" si="1210"/>
        <v>0</v>
      </c>
      <c r="R1915" s="161">
        <f t="shared" si="1210"/>
        <v>0</v>
      </c>
      <c r="S1915" s="161">
        <f t="shared" si="1210"/>
        <v>0</v>
      </c>
      <c r="T1915" s="161">
        <f t="shared" si="1210"/>
        <v>0</v>
      </c>
      <c r="U1915" s="161">
        <f t="shared" si="1210"/>
        <v>0</v>
      </c>
      <c r="V1915" s="161">
        <f t="shared" si="1210"/>
        <v>0</v>
      </c>
      <c r="W1915" s="161">
        <f t="shared" si="1210"/>
        <v>0</v>
      </c>
      <c r="X1915" s="161">
        <f t="shared" si="1210"/>
        <v>0</v>
      </c>
    </row>
    <row r="1916" spans="2:24" hidden="1">
      <c r="B1916" s="160" t="s">
        <v>334</v>
      </c>
      <c r="C1916" s="160"/>
      <c r="D1916" s="160"/>
      <c r="E1916" s="160"/>
      <c r="F1916" s="160"/>
      <c r="G1916" s="160"/>
      <c r="H1916" s="160"/>
      <c r="I1916" s="160"/>
      <c r="J1916" s="160"/>
      <c r="K1916" s="161">
        <f t="shared" si="1204"/>
        <v>0</v>
      </c>
      <c r="L1916" s="161">
        <f t="shared" ref="L1916:X1916" si="1211">L1878</f>
        <v>0</v>
      </c>
      <c r="M1916" s="161">
        <f t="shared" si="1211"/>
        <v>0</v>
      </c>
      <c r="N1916" s="161">
        <f t="shared" si="1211"/>
        <v>0</v>
      </c>
      <c r="O1916" s="161">
        <f t="shared" si="1211"/>
        <v>0</v>
      </c>
      <c r="P1916" s="161">
        <f t="shared" si="1211"/>
        <v>0</v>
      </c>
      <c r="Q1916" s="161">
        <f t="shared" si="1211"/>
        <v>0</v>
      </c>
      <c r="R1916" s="161">
        <f t="shared" si="1211"/>
        <v>0</v>
      </c>
      <c r="S1916" s="161">
        <f t="shared" si="1211"/>
        <v>0</v>
      </c>
      <c r="T1916" s="161">
        <f t="shared" si="1211"/>
        <v>0</v>
      </c>
      <c r="U1916" s="161">
        <f t="shared" si="1211"/>
        <v>0</v>
      </c>
      <c r="V1916" s="161">
        <f t="shared" si="1211"/>
        <v>0</v>
      </c>
      <c r="W1916" s="161">
        <f t="shared" si="1211"/>
        <v>0</v>
      </c>
      <c r="X1916" s="161">
        <f t="shared" si="1211"/>
        <v>0</v>
      </c>
    </row>
    <row r="1917" spans="2:24" hidden="1">
      <c r="B1917" s="162" t="s">
        <v>374</v>
      </c>
      <c r="C1917" s="162"/>
      <c r="D1917" s="160"/>
      <c r="E1917" s="160"/>
      <c r="F1917" s="160"/>
      <c r="G1917" s="160"/>
      <c r="H1917" s="160"/>
      <c r="I1917" s="160"/>
      <c r="J1917" s="160"/>
      <c r="K1917" s="163">
        <f t="shared" ref="K1917:X1917" si="1212">SUM(K1910:K1916)</f>
        <v>0</v>
      </c>
      <c r="L1917" s="163">
        <f t="shared" si="1212"/>
        <v>0</v>
      </c>
      <c r="M1917" s="163">
        <f t="shared" si="1212"/>
        <v>0</v>
      </c>
      <c r="N1917" s="163">
        <f t="shared" si="1212"/>
        <v>0</v>
      </c>
      <c r="O1917" s="163">
        <f t="shared" si="1212"/>
        <v>0</v>
      </c>
      <c r="P1917" s="163">
        <f t="shared" si="1212"/>
        <v>0</v>
      </c>
      <c r="Q1917" s="163">
        <f t="shared" si="1212"/>
        <v>0</v>
      </c>
      <c r="R1917" s="163">
        <f t="shared" si="1212"/>
        <v>0</v>
      </c>
      <c r="S1917" s="163">
        <f t="shared" si="1212"/>
        <v>0</v>
      </c>
      <c r="T1917" s="163">
        <f t="shared" si="1212"/>
        <v>0</v>
      </c>
      <c r="U1917" s="163">
        <f t="shared" si="1212"/>
        <v>0</v>
      </c>
      <c r="V1917" s="163">
        <f t="shared" si="1212"/>
        <v>0</v>
      </c>
      <c r="W1917" s="163">
        <f t="shared" si="1212"/>
        <v>0</v>
      </c>
      <c r="X1917" s="163">
        <f t="shared" si="1212"/>
        <v>0</v>
      </c>
    </row>
    <row r="1918" spans="2:24" hidden="1">
      <c r="B1918" s="155" t="s">
        <v>325</v>
      </c>
      <c r="C1918" s="155"/>
      <c r="D1918" s="155"/>
      <c r="E1918" s="155"/>
      <c r="F1918" s="155"/>
      <c r="G1918" s="155"/>
      <c r="H1918" s="155"/>
      <c r="I1918" s="155"/>
      <c r="J1918" s="155"/>
      <c r="K1918" s="157">
        <f t="shared" ref="K1918:X1918" si="1213">K1879</f>
        <v>0</v>
      </c>
      <c r="L1918" s="157">
        <f t="shared" si="1213"/>
        <v>0</v>
      </c>
      <c r="M1918" s="157">
        <f t="shared" si="1213"/>
        <v>0</v>
      </c>
      <c r="N1918" s="157">
        <f t="shared" si="1213"/>
        <v>0</v>
      </c>
      <c r="O1918" s="157">
        <f t="shared" si="1213"/>
        <v>0</v>
      </c>
      <c r="P1918" s="157">
        <f t="shared" si="1213"/>
        <v>0</v>
      </c>
      <c r="Q1918" s="157">
        <f t="shared" si="1213"/>
        <v>0</v>
      </c>
      <c r="R1918" s="157">
        <f t="shared" si="1213"/>
        <v>0</v>
      </c>
      <c r="S1918" s="157">
        <f t="shared" si="1213"/>
        <v>0</v>
      </c>
      <c r="T1918" s="157">
        <f t="shared" si="1213"/>
        <v>0</v>
      </c>
      <c r="U1918" s="157">
        <f t="shared" si="1213"/>
        <v>0</v>
      </c>
      <c r="V1918" s="157">
        <f t="shared" si="1213"/>
        <v>0</v>
      </c>
      <c r="W1918" s="157">
        <f t="shared" si="1213"/>
        <v>0</v>
      </c>
      <c r="X1918" s="157">
        <f t="shared" si="1213"/>
        <v>0</v>
      </c>
    </row>
    <row r="1919" spans="2:24" hidden="1">
      <c r="B1919" s="155" t="s">
        <v>327</v>
      </c>
      <c r="C1919" s="155"/>
      <c r="D1919" s="155"/>
      <c r="E1919" s="155"/>
      <c r="F1919" s="155"/>
      <c r="G1919" s="155"/>
      <c r="H1919" s="155"/>
      <c r="I1919" s="155"/>
      <c r="J1919" s="155"/>
      <c r="K1919" s="157">
        <f t="shared" ref="K1919:X1919" si="1214">K1880</f>
        <v>0</v>
      </c>
      <c r="L1919" s="157">
        <f t="shared" si="1214"/>
        <v>0</v>
      </c>
      <c r="M1919" s="157">
        <f t="shared" si="1214"/>
        <v>0</v>
      </c>
      <c r="N1919" s="157">
        <f t="shared" si="1214"/>
        <v>0</v>
      </c>
      <c r="O1919" s="157">
        <f t="shared" si="1214"/>
        <v>0</v>
      </c>
      <c r="P1919" s="157">
        <f t="shared" si="1214"/>
        <v>0</v>
      </c>
      <c r="Q1919" s="157">
        <f t="shared" si="1214"/>
        <v>0</v>
      </c>
      <c r="R1919" s="157">
        <f t="shared" si="1214"/>
        <v>0</v>
      </c>
      <c r="S1919" s="157">
        <f t="shared" si="1214"/>
        <v>0</v>
      </c>
      <c r="T1919" s="157">
        <f t="shared" si="1214"/>
        <v>0</v>
      </c>
      <c r="U1919" s="157">
        <f t="shared" si="1214"/>
        <v>0</v>
      </c>
      <c r="V1919" s="157">
        <f t="shared" si="1214"/>
        <v>0</v>
      </c>
      <c r="W1919" s="157">
        <f t="shared" si="1214"/>
        <v>0</v>
      </c>
      <c r="X1919" s="157">
        <f t="shared" si="1214"/>
        <v>0</v>
      </c>
    </row>
    <row r="1920" spans="2:24" hidden="1">
      <c r="B1920" s="158" t="s">
        <v>375</v>
      </c>
      <c r="C1920" s="158"/>
      <c r="D1920" s="155"/>
      <c r="E1920" s="155"/>
      <c r="F1920" s="155"/>
      <c r="G1920" s="155"/>
      <c r="H1920" s="155"/>
      <c r="I1920" s="155"/>
      <c r="J1920" s="155"/>
      <c r="K1920" s="159">
        <f t="shared" ref="K1920:X1920" si="1215">K1917+SUM(K1918:K1919)</f>
        <v>0</v>
      </c>
      <c r="L1920" s="159">
        <f t="shared" si="1215"/>
        <v>0</v>
      </c>
      <c r="M1920" s="159">
        <f t="shared" si="1215"/>
        <v>0</v>
      </c>
      <c r="N1920" s="159">
        <f t="shared" si="1215"/>
        <v>0</v>
      </c>
      <c r="O1920" s="159">
        <f t="shared" si="1215"/>
        <v>0</v>
      </c>
      <c r="P1920" s="159">
        <f t="shared" si="1215"/>
        <v>0</v>
      </c>
      <c r="Q1920" s="159">
        <f t="shared" si="1215"/>
        <v>0</v>
      </c>
      <c r="R1920" s="159">
        <f t="shared" si="1215"/>
        <v>0</v>
      </c>
      <c r="S1920" s="159">
        <f t="shared" si="1215"/>
        <v>0</v>
      </c>
      <c r="T1920" s="159">
        <f t="shared" si="1215"/>
        <v>0</v>
      </c>
      <c r="U1920" s="159">
        <f t="shared" si="1215"/>
        <v>0</v>
      </c>
      <c r="V1920" s="159">
        <f t="shared" si="1215"/>
        <v>0</v>
      </c>
      <c r="W1920" s="159">
        <f t="shared" si="1215"/>
        <v>0</v>
      </c>
      <c r="X1920" s="159">
        <f t="shared" si="1215"/>
        <v>0</v>
      </c>
    </row>
    <row r="1923" spans="2:24" hidden="1">
      <c r="B1923" s="7" t="s">
        <v>679</v>
      </c>
      <c r="C1923" s="7"/>
    </row>
    <row r="1924" spans="2:24" hidden="1">
      <c r="B1924" s="160" t="s">
        <v>332</v>
      </c>
      <c r="C1924" s="160"/>
      <c r="D1924" s="160"/>
      <c r="E1924" s="160"/>
      <c r="F1924" s="160"/>
      <c r="G1924" s="160"/>
      <c r="H1924" s="160"/>
      <c r="I1924" s="160"/>
      <c r="J1924" s="160"/>
      <c r="K1924" s="161">
        <f t="shared" ref="K1924:X1924" si="1216">K909</f>
        <v>0</v>
      </c>
      <c r="L1924" s="161">
        <f t="shared" si="1216"/>
        <v>0</v>
      </c>
      <c r="M1924" s="161">
        <f t="shared" si="1216"/>
        <v>0</v>
      </c>
      <c r="N1924" s="161">
        <f t="shared" si="1216"/>
        <v>0</v>
      </c>
      <c r="O1924" s="161">
        <f t="shared" si="1216"/>
        <v>0</v>
      </c>
      <c r="P1924" s="161">
        <f t="shared" si="1216"/>
        <v>0</v>
      </c>
      <c r="Q1924" s="161">
        <f t="shared" si="1216"/>
        <v>0</v>
      </c>
      <c r="R1924" s="161">
        <f t="shared" si="1216"/>
        <v>0</v>
      </c>
      <c r="S1924" s="161">
        <f t="shared" si="1216"/>
        <v>0</v>
      </c>
      <c r="T1924" s="161">
        <f t="shared" si="1216"/>
        <v>0</v>
      </c>
      <c r="U1924" s="161">
        <f t="shared" si="1216"/>
        <v>0</v>
      </c>
      <c r="V1924" s="161">
        <f t="shared" si="1216"/>
        <v>0</v>
      </c>
      <c r="W1924" s="161">
        <f t="shared" si="1216"/>
        <v>0</v>
      </c>
      <c r="X1924" s="161">
        <f t="shared" si="1216"/>
        <v>0</v>
      </c>
    </row>
    <row r="1925" spans="2:24" hidden="1">
      <c r="B1925" s="160" t="s">
        <v>312</v>
      </c>
      <c r="C1925" s="160"/>
      <c r="D1925" s="160"/>
      <c r="E1925" s="160"/>
      <c r="F1925" s="160"/>
      <c r="G1925" s="160"/>
      <c r="H1925" s="160"/>
      <c r="I1925" s="160"/>
      <c r="J1925" s="160"/>
      <c r="K1925" s="161">
        <f t="shared" ref="K1925:X1925" si="1217">K910</f>
        <v>0</v>
      </c>
      <c r="L1925" s="161">
        <f t="shared" si="1217"/>
        <v>0</v>
      </c>
      <c r="M1925" s="161">
        <f t="shared" si="1217"/>
        <v>0</v>
      </c>
      <c r="N1925" s="161">
        <f t="shared" si="1217"/>
        <v>0</v>
      </c>
      <c r="O1925" s="161">
        <f t="shared" si="1217"/>
        <v>0</v>
      </c>
      <c r="P1925" s="161">
        <f t="shared" si="1217"/>
        <v>0</v>
      </c>
      <c r="Q1925" s="161">
        <f t="shared" si="1217"/>
        <v>0</v>
      </c>
      <c r="R1925" s="161">
        <f t="shared" si="1217"/>
        <v>0</v>
      </c>
      <c r="S1925" s="161">
        <f t="shared" si="1217"/>
        <v>0</v>
      </c>
      <c r="T1925" s="161">
        <f t="shared" si="1217"/>
        <v>0</v>
      </c>
      <c r="U1925" s="161">
        <f t="shared" si="1217"/>
        <v>0</v>
      </c>
      <c r="V1925" s="161">
        <f t="shared" si="1217"/>
        <v>0</v>
      </c>
      <c r="W1925" s="161">
        <f t="shared" si="1217"/>
        <v>0</v>
      </c>
      <c r="X1925" s="161">
        <f t="shared" si="1217"/>
        <v>0</v>
      </c>
    </row>
    <row r="1926" spans="2:24" hidden="1">
      <c r="B1926" s="160" t="s">
        <v>314</v>
      </c>
      <c r="C1926" s="160"/>
      <c r="D1926" s="160"/>
      <c r="E1926" s="160"/>
      <c r="F1926" s="160"/>
      <c r="G1926" s="160"/>
      <c r="H1926" s="160"/>
      <c r="I1926" s="160"/>
      <c r="J1926" s="160"/>
      <c r="K1926" s="161">
        <f t="shared" ref="K1926:X1926" si="1218">K911</f>
        <v>0</v>
      </c>
      <c r="L1926" s="161">
        <f t="shared" si="1218"/>
        <v>0</v>
      </c>
      <c r="M1926" s="161">
        <f t="shared" si="1218"/>
        <v>0</v>
      </c>
      <c r="N1926" s="161">
        <f t="shared" si="1218"/>
        <v>0</v>
      </c>
      <c r="O1926" s="161">
        <f t="shared" si="1218"/>
        <v>0</v>
      </c>
      <c r="P1926" s="161">
        <f t="shared" si="1218"/>
        <v>0</v>
      </c>
      <c r="Q1926" s="161">
        <f t="shared" si="1218"/>
        <v>0</v>
      </c>
      <c r="R1926" s="161">
        <f t="shared" si="1218"/>
        <v>0</v>
      </c>
      <c r="S1926" s="161">
        <f t="shared" si="1218"/>
        <v>0</v>
      </c>
      <c r="T1926" s="161">
        <f t="shared" si="1218"/>
        <v>0</v>
      </c>
      <c r="U1926" s="161">
        <f t="shared" si="1218"/>
        <v>0</v>
      </c>
      <c r="V1926" s="161">
        <f t="shared" si="1218"/>
        <v>0</v>
      </c>
      <c r="W1926" s="161">
        <f t="shared" si="1218"/>
        <v>0</v>
      </c>
      <c r="X1926" s="161">
        <f t="shared" si="1218"/>
        <v>0</v>
      </c>
    </row>
    <row r="1927" spans="2:24" hidden="1">
      <c r="B1927" s="160" t="s">
        <v>333</v>
      </c>
      <c r="C1927" s="160"/>
      <c r="D1927" s="160"/>
      <c r="E1927" s="160"/>
      <c r="F1927" s="160"/>
      <c r="G1927" s="160"/>
      <c r="H1927" s="160"/>
      <c r="I1927" s="160"/>
      <c r="J1927" s="160"/>
      <c r="K1927" s="161">
        <f t="shared" ref="K1927:X1927" si="1219">K912</f>
        <v>0</v>
      </c>
      <c r="L1927" s="161">
        <f t="shared" si="1219"/>
        <v>0</v>
      </c>
      <c r="M1927" s="161">
        <f t="shared" si="1219"/>
        <v>0</v>
      </c>
      <c r="N1927" s="161">
        <f t="shared" si="1219"/>
        <v>0</v>
      </c>
      <c r="O1927" s="161">
        <f t="shared" si="1219"/>
        <v>0</v>
      </c>
      <c r="P1927" s="161">
        <f t="shared" si="1219"/>
        <v>0</v>
      </c>
      <c r="Q1927" s="161">
        <f t="shared" si="1219"/>
        <v>0</v>
      </c>
      <c r="R1927" s="161">
        <f t="shared" si="1219"/>
        <v>0</v>
      </c>
      <c r="S1927" s="161">
        <f t="shared" si="1219"/>
        <v>0</v>
      </c>
      <c r="T1927" s="161">
        <f t="shared" si="1219"/>
        <v>0</v>
      </c>
      <c r="U1927" s="161">
        <f t="shared" si="1219"/>
        <v>0</v>
      </c>
      <c r="V1927" s="161">
        <f t="shared" si="1219"/>
        <v>0</v>
      </c>
      <c r="W1927" s="161">
        <f t="shared" si="1219"/>
        <v>0</v>
      </c>
      <c r="X1927" s="161">
        <f t="shared" si="1219"/>
        <v>0</v>
      </c>
    </row>
    <row r="1928" spans="2:24" hidden="1">
      <c r="B1928" s="160" t="s">
        <v>320</v>
      </c>
      <c r="C1928" s="160"/>
      <c r="D1928" s="160"/>
      <c r="E1928" s="160"/>
      <c r="F1928" s="160"/>
      <c r="G1928" s="160"/>
      <c r="H1928" s="160"/>
      <c r="I1928" s="160"/>
      <c r="J1928" s="160"/>
      <c r="K1928" s="161">
        <f t="shared" ref="K1928:X1928" si="1220">K913</f>
        <v>0</v>
      </c>
      <c r="L1928" s="161">
        <f t="shared" si="1220"/>
        <v>0</v>
      </c>
      <c r="M1928" s="161">
        <f t="shared" si="1220"/>
        <v>0</v>
      </c>
      <c r="N1928" s="161">
        <f t="shared" si="1220"/>
        <v>0</v>
      </c>
      <c r="O1928" s="161">
        <f t="shared" si="1220"/>
        <v>0</v>
      </c>
      <c r="P1928" s="161">
        <f t="shared" si="1220"/>
        <v>0</v>
      </c>
      <c r="Q1928" s="161">
        <f t="shared" si="1220"/>
        <v>0</v>
      </c>
      <c r="R1928" s="161">
        <f t="shared" si="1220"/>
        <v>0</v>
      </c>
      <c r="S1928" s="161">
        <f t="shared" si="1220"/>
        <v>0</v>
      </c>
      <c r="T1928" s="161">
        <f t="shared" si="1220"/>
        <v>0</v>
      </c>
      <c r="U1928" s="161">
        <f t="shared" si="1220"/>
        <v>0</v>
      </c>
      <c r="V1928" s="161">
        <f t="shared" si="1220"/>
        <v>0</v>
      </c>
      <c r="W1928" s="161">
        <f t="shared" si="1220"/>
        <v>0</v>
      </c>
      <c r="X1928" s="161">
        <f t="shared" si="1220"/>
        <v>0</v>
      </c>
    </row>
    <row r="1929" spans="2:24" hidden="1">
      <c r="B1929" s="160" t="s">
        <v>323</v>
      </c>
      <c r="C1929" s="160"/>
      <c r="D1929" s="160"/>
      <c r="E1929" s="160"/>
      <c r="F1929" s="160"/>
      <c r="G1929" s="160"/>
      <c r="H1929" s="160"/>
      <c r="I1929" s="160"/>
      <c r="J1929" s="160"/>
      <c r="K1929" s="161">
        <f t="shared" ref="K1929:X1929" si="1221">K914</f>
        <v>0</v>
      </c>
      <c r="L1929" s="161">
        <f t="shared" si="1221"/>
        <v>0</v>
      </c>
      <c r="M1929" s="161">
        <f t="shared" si="1221"/>
        <v>0</v>
      </c>
      <c r="N1929" s="161">
        <f t="shared" si="1221"/>
        <v>0</v>
      </c>
      <c r="O1929" s="161">
        <f t="shared" si="1221"/>
        <v>0</v>
      </c>
      <c r="P1929" s="161">
        <f t="shared" si="1221"/>
        <v>0</v>
      </c>
      <c r="Q1929" s="161">
        <f t="shared" si="1221"/>
        <v>0</v>
      </c>
      <c r="R1929" s="161">
        <f t="shared" si="1221"/>
        <v>0</v>
      </c>
      <c r="S1929" s="161">
        <f t="shared" si="1221"/>
        <v>0</v>
      </c>
      <c r="T1929" s="161">
        <f t="shared" si="1221"/>
        <v>0</v>
      </c>
      <c r="U1929" s="161">
        <f t="shared" si="1221"/>
        <v>0</v>
      </c>
      <c r="V1929" s="161">
        <f t="shared" si="1221"/>
        <v>0</v>
      </c>
      <c r="W1929" s="161">
        <f t="shared" si="1221"/>
        <v>0</v>
      </c>
      <c r="X1929" s="161">
        <f t="shared" si="1221"/>
        <v>0</v>
      </c>
    </row>
    <row r="1930" spans="2:24" hidden="1">
      <c r="B1930" s="160" t="s">
        <v>334</v>
      </c>
      <c r="C1930" s="160"/>
      <c r="D1930" s="160"/>
      <c r="E1930" s="160"/>
      <c r="F1930" s="160"/>
      <c r="G1930" s="160"/>
      <c r="H1930" s="160"/>
      <c r="I1930" s="160"/>
      <c r="J1930" s="160"/>
      <c r="K1930" s="161">
        <f t="shared" ref="K1930:X1930" si="1222">K915</f>
        <v>0</v>
      </c>
      <c r="L1930" s="161">
        <f t="shared" si="1222"/>
        <v>0</v>
      </c>
      <c r="M1930" s="161">
        <f t="shared" si="1222"/>
        <v>0</v>
      </c>
      <c r="N1930" s="161">
        <f t="shared" si="1222"/>
        <v>0</v>
      </c>
      <c r="O1930" s="161">
        <f t="shared" si="1222"/>
        <v>0</v>
      </c>
      <c r="P1930" s="161">
        <f t="shared" si="1222"/>
        <v>0</v>
      </c>
      <c r="Q1930" s="161">
        <f t="shared" si="1222"/>
        <v>0</v>
      </c>
      <c r="R1930" s="161">
        <f t="shared" si="1222"/>
        <v>0</v>
      </c>
      <c r="S1930" s="161">
        <f t="shared" si="1222"/>
        <v>0</v>
      </c>
      <c r="T1930" s="161">
        <f t="shared" si="1222"/>
        <v>0</v>
      </c>
      <c r="U1930" s="161">
        <f t="shared" si="1222"/>
        <v>0</v>
      </c>
      <c r="V1930" s="161">
        <f t="shared" si="1222"/>
        <v>0</v>
      </c>
      <c r="W1930" s="161">
        <f t="shared" si="1222"/>
        <v>0</v>
      </c>
      <c r="X1930" s="161">
        <f t="shared" si="1222"/>
        <v>0</v>
      </c>
    </row>
    <row r="1931" spans="2:24" hidden="1">
      <c r="B1931" s="162" t="s">
        <v>376</v>
      </c>
      <c r="C1931" s="162"/>
      <c r="D1931" s="160"/>
      <c r="E1931" s="160"/>
      <c r="F1931" s="160"/>
      <c r="G1931" s="160"/>
      <c r="H1931" s="160"/>
      <c r="I1931" s="160"/>
      <c r="J1931" s="160"/>
      <c r="K1931" s="163">
        <f t="shared" ref="K1931:X1931" si="1223">SUM(K1924:K1930)</f>
        <v>0</v>
      </c>
      <c r="L1931" s="163">
        <f t="shared" si="1223"/>
        <v>0</v>
      </c>
      <c r="M1931" s="163">
        <f t="shared" si="1223"/>
        <v>0</v>
      </c>
      <c r="N1931" s="163">
        <f t="shared" si="1223"/>
        <v>0</v>
      </c>
      <c r="O1931" s="163">
        <f t="shared" si="1223"/>
        <v>0</v>
      </c>
      <c r="P1931" s="163">
        <f t="shared" si="1223"/>
        <v>0</v>
      </c>
      <c r="Q1931" s="163">
        <f t="shared" si="1223"/>
        <v>0</v>
      </c>
      <c r="R1931" s="163">
        <f t="shared" si="1223"/>
        <v>0</v>
      </c>
      <c r="S1931" s="163">
        <f t="shared" si="1223"/>
        <v>0</v>
      </c>
      <c r="T1931" s="163">
        <f t="shared" si="1223"/>
        <v>0</v>
      </c>
      <c r="U1931" s="163">
        <f t="shared" si="1223"/>
        <v>0</v>
      </c>
      <c r="V1931" s="163">
        <f t="shared" si="1223"/>
        <v>0</v>
      </c>
      <c r="W1931" s="163">
        <f t="shared" si="1223"/>
        <v>0</v>
      </c>
      <c r="X1931" s="163">
        <f t="shared" si="1223"/>
        <v>0</v>
      </c>
    </row>
    <row r="1932" spans="2:24" hidden="1">
      <c r="B1932" s="155" t="s">
        <v>325</v>
      </c>
      <c r="C1932" s="155"/>
      <c r="D1932" s="155"/>
      <c r="E1932" s="155"/>
      <c r="F1932" s="155"/>
      <c r="G1932" s="155"/>
      <c r="H1932" s="155"/>
      <c r="I1932" s="155"/>
      <c r="J1932" s="155"/>
      <c r="K1932" s="157">
        <f t="shared" ref="K1932:X1932" si="1224">K916</f>
        <v>0</v>
      </c>
      <c r="L1932" s="157">
        <f t="shared" si="1224"/>
        <v>0</v>
      </c>
      <c r="M1932" s="157">
        <f t="shared" si="1224"/>
        <v>0</v>
      </c>
      <c r="N1932" s="157">
        <f t="shared" si="1224"/>
        <v>0</v>
      </c>
      <c r="O1932" s="157">
        <f t="shared" si="1224"/>
        <v>0</v>
      </c>
      <c r="P1932" s="157">
        <f t="shared" si="1224"/>
        <v>0</v>
      </c>
      <c r="Q1932" s="157">
        <f t="shared" si="1224"/>
        <v>0</v>
      </c>
      <c r="R1932" s="157">
        <f t="shared" si="1224"/>
        <v>0</v>
      </c>
      <c r="S1932" s="157">
        <f t="shared" si="1224"/>
        <v>0</v>
      </c>
      <c r="T1932" s="157">
        <f t="shared" si="1224"/>
        <v>0</v>
      </c>
      <c r="U1932" s="157">
        <f t="shared" si="1224"/>
        <v>0</v>
      </c>
      <c r="V1932" s="157">
        <f t="shared" si="1224"/>
        <v>0</v>
      </c>
      <c r="W1932" s="157">
        <f t="shared" si="1224"/>
        <v>0</v>
      </c>
      <c r="X1932" s="157">
        <f t="shared" si="1224"/>
        <v>0</v>
      </c>
    </row>
    <row r="1933" spans="2:24" hidden="1">
      <c r="B1933" s="155" t="s">
        <v>327</v>
      </c>
      <c r="C1933" s="155"/>
      <c r="D1933" s="155"/>
      <c r="E1933" s="155"/>
      <c r="F1933" s="155"/>
      <c r="G1933" s="155"/>
      <c r="H1933" s="155"/>
      <c r="I1933" s="155"/>
      <c r="J1933" s="155"/>
      <c r="K1933" s="157">
        <f t="shared" ref="K1933:X1933" si="1225">K917</f>
        <v>0</v>
      </c>
      <c r="L1933" s="157">
        <f t="shared" si="1225"/>
        <v>0</v>
      </c>
      <c r="M1933" s="157">
        <f t="shared" si="1225"/>
        <v>0</v>
      </c>
      <c r="N1933" s="157">
        <f t="shared" si="1225"/>
        <v>0</v>
      </c>
      <c r="O1933" s="157">
        <f t="shared" si="1225"/>
        <v>0</v>
      </c>
      <c r="P1933" s="157">
        <f t="shared" si="1225"/>
        <v>0</v>
      </c>
      <c r="Q1933" s="157">
        <f t="shared" si="1225"/>
        <v>0</v>
      </c>
      <c r="R1933" s="157">
        <f t="shared" si="1225"/>
        <v>0</v>
      </c>
      <c r="S1933" s="157">
        <f t="shared" si="1225"/>
        <v>0</v>
      </c>
      <c r="T1933" s="157">
        <f t="shared" si="1225"/>
        <v>0</v>
      </c>
      <c r="U1933" s="157">
        <f t="shared" si="1225"/>
        <v>0</v>
      </c>
      <c r="V1933" s="157">
        <f t="shared" si="1225"/>
        <v>0</v>
      </c>
      <c r="W1933" s="157">
        <f t="shared" si="1225"/>
        <v>0</v>
      </c>
      <c r="X1933" s="157">
        <f t="shared" si="1225"/>
        <v>0</v>
      </c>
    </row>
    <row r="1934" spans="2:24" hidden="1">
      <c r="B1934" s="158" t="s">
        <v>377</v>
      </c>
      <c r="C1934" s="158"/>
      <c r="D1934" s="155"/>
      <c r="E1934" s="155"/>
      <c r="F1934" s="155"/>
      <c r="G1934" s="155"/>
      <c r="H1934" s="155"/>
      <c r="I1934" s="155"/>
      <c r="J1934" s="155"/>
      <c r="K1934" s="159">
        <f t="shared" ref="K1934:X1934" si="1226">K1931+SUM(K1932:K1933)</f>
        <v>0</v>
      </c>
      <c r="L1934" s="159">
        <f t="shared" si="1226"/>
        <v>0</v>
      </c>
      <c r="M1934" s="159">
        <f t="shared" si="1226"/>
        <v>0</v>
      </c>
      <c r="N1934" s="159">
        <f t="shared" si="1226"/>
        <v>0</v>
      </c>
      <c r="O1934" s="159">
        <f t="shared" si="1226"/>
        <v>0</v>
      </c>
      <c r="P1934" s="159">
        <f t="shared" si="1226"/>
        <v>0</v>
      </c>
      <c r="Q1934" s="159">
        <f t="shared" si="1226"/>
        <v>0</v>
      </c>
      <c r="R1934" s="159">
        <f t="shared" si="1226"/>
        <v>0</v>
      </c>
      <c r="S1934" s="159">
        <f t="shared" si="1226"/>
        <v>0</v>
      </c>
      <c r="T1934" s="159">
        <f t="shared" si="1226"/>
        <v>0</v>
      </c>
      <c r="U1934" s="159">
        <f t="shared" si="1226"/>
        <v>0</v>
      </c>
      <c r="V1934" s="159">
        <f t="shared" si="1226"/>
        <v>0</v>
      </c>
      <c r="W1934" s="159">
        <f t="shared" si="1226"/>
        <v>0</v>
      </c>
      <c r="X1934" s="159">
        <f t="shared" si="1226"/>
        <v>0</v>
      </c>
    </row>
    <row r="1937" spans="2:24" hidden="1">
      <c r="B1937" s="7" t="s">
        <v>378</v>
      </c>
      <c r="C1937" s="7"/>
    </row>
    <row r="1938" spans="2:24" hidden="1">
      <c r="B1938" s="160" t="s">
        <v>332</v>
      </c>
      <c r="C1938" s="160"/>
      <c r="D1938" s="160"/>
      <c r="E1938" s="160"/>
      <c r="F1938" s="160"/>
      <c r="G1938" s="160"/>
      <c r="H1938" s="160"/>
      <c r="I1938" s="160"/>
      <c r="J1938" s="160"/>
      <c r="K1938" s="161">
        <f t="shared" ref="K1938:X1938" si="1227">K605-K1910-K1924</f>
        <v>0</v>
      </c>
      <c r="L1938" s="161">
        <f t="shared" si="1227"/>
        <v>0</v>
      </c>
      <c r="M1938" s="161">
        <f t="shared" si="1227"/>
        <v>0</v>
      </c>
      <c r="N1938" s="161">
        <f t="shared" si="1227"/>
        <v>0</v>
      </c>
      <c r="O1938" s="161">
        <f t="shared" si="1227"/>
        <v>0</v>
      </c>
      <c r="P1938" s="161">
        <f t="shared" si="1227"/>
        <v>0</v>
      </c>
      <c r="Q1938" s="161">
        <f t="shared" si="1227"/>
        <v>0</v>
      </c>
      <c r="R1938" s="161">
        <f t="shared" si="1227"/>
        <v>0</v>
      </c>
      <c r="S1938" s="161">
        <f t="shared" si="1227"/>
        <v>0</v>
      </c>
      <c r="T1938" s="161">
        <f t="shared" si="1227"/>
        <v>0</v>
      </c>
      <c r="U1938" s="161">
        <f t="shared" si="1227"/>
        <v>0</v>
      </c>
      <c r="V1938" s="161">
        <f t="shared" si="1227"/>
        <v>0</v>
      </c>
      <c r="W1938" s="161">
        <f t="shared" si="1227"/>
        <v>0</v>
      </c>
      <c r="X1938" s="161">
        <f t="shared" si="1227"/>
        <v>0</v>
      </c>
    </row>
    <row r="1939" spans="2:24" hidden="1">
      <c r="B1939" s="160" t="s">
        <v>312</v>
      </c>
      <c r="C1939" s="160"/>
      <c r="D1939" s="160"/>
      <c r="E1939" s="160"/>
      <c r="F1939" s="160"/>
      <c r="G1939" s="160"/>
      <c r="H1939" s="160"/>
      <c r="I1939" s="160"/>
      <c r="J1939" s="160"/>
      <c r="K1939" s="161">
        <f t="shared" ref="K1939:X1939" si="1228">K606-K1911-K1925</f>
        <v>0</v>
      </c>
      <c r="L1939" s="161">
        <f t="shared" si="1228"/>
        <v>0</v>
      </c>
      <c r="M1939" s="161">
        <f t="shared" si="1228"/>
        <v>0</v>
      </c>
      <c r="N1939" s="161">
        <f t="shared" si="1228"/>
        <v>0</v>
      </c>
      <c r="O1939" s="161">
        <f t="shared" si="1228"/>
        <v>0</v>
      </c>
      <c r="P1939" s="161">
        <f t="shared" si="1228"/>
        <v>0</v>
      </c>
      <c r="Q1939" s="161">
        <f t="shared" si="1228"/>
        <v>0</v>
      </c>
      <c r="R1939" s="161">
        <f t="shared" si="1228"/>
        <v>0</v>
      </c>
      <c r="S1939" s="161">
        <f t="shared" si="1228"/>
        <v>0</v>
      </c>
      <c r="T1939" s="161">
        <f t="shared" si="1228"/>
        <v>0</v>
      </c>
      <c r="U1939" s="161">
        <f t="shared" si="1228"/>
        <v>0</v>
      </c>
      <c r="V1939" s="161">
        <f t="shared" si="1228"/>
        <v>0</v>
      </c>
      <c r="W1939" s="161">
        <f t="shared" si="1228"/>
        <v>0</v>
      </c>
      <c r="X1939" s="161">
        <f t="shared" si="1228"/>
        <v>0</v>
      </c>
    </row>
    <row r="1940" spans="2:24" hidden="1">
      <c r="B1940" s="160" t="s">
        <v>314</v>
      </c>
      <c r="C1940" s="160"/>
      <c r="D1940" s="160"/>
      <c r="E1940" s="160"/>
      <c r="F1940" s="160"/>
      <c r="G1940" s="160"/>
      <c r="H1940" s="160"/>
      <c r="I1940" s="160"/>
      <c r="J1940" s="160"/>
      <c r="K1940" s="161">
        <f t="shared" ref="K1940:X1940" si="1229">K607-K1912-K1926</f>
        <v>0</v>
      </c>
      <c r="L1940" s="161">
        <f t="shared" si="1229"/>
        <v>0</v>
      </c>
      <c r="M1940" s="161">
        <f t="shared" si="1229"/>
        <v>0</v>
      </c>
      <c r="N1940" s="161">
        <f t="shared" si="1229"/>
        <v>0</v>
      </c>
      <c r="O1940" s="161">
        <f t="shared" si="1229"/>
        <v>0</v>
      </c>
      <c r="P1940" s="161">
        <f t="shared" si="1229"/>
        <v>0</v>
      </c>
      <c r="Q1940" s="161">
        <f t="shared" si="1229"/>
        <v>0</v>
      </c>
      <c r="R1940" s="161">
        <f t="shared" si="1229"/>
        <v>0</v>
      </c>
      <c r="S1940" s="161">
        <f t="shared" si="1229"/>
        <v>0</v>
      </c>
      <c r="T1940" s="161">
        <f t="shared" si="1229"/>
        <v>0</v>
      </c>
      <c r="U1940" s="161">
        <f t="shared" si="1229"/>
        <v>0</v>
      </c>
      <c r="V1940" s="161">
        <f t="shared" si="1229"/>
        <v>0</v>
      </c>
      <c r="W1940" s="161">
        <f t="shared" si="1229"/>
        <v>0</v>
      </c>
      <c r="X1940" s="161">
        <f t="shared" si="1229"/>
        <v>0</v>
      </c>
    </row>
    <row r="1941" spans="2:24" hidden="1">
      <c r="B1941" s="160" t="s">
        <v>333</v>
      </c>
      <c r="C1941" s="160"/>
      <c r="D1941" s="160"/>
      <c r="E1941" s="160"/>
      <c r="F1941" s="160"/>
      <c r="G1941" s="160"/>
      <c r="H1941" s="160"/>
      <c r="I1941" s="160"/>
      <c r="J1941" s="160"/>
      <c r="K1941" s="161">
        <f t="shared" ref="K1941:X1941" si="1230">K608-K1913-K1927</f>
        <v>0</v>
      </c>
      <c r="L1941" s="161">
        <f t="shared" si="1230"/>
        <v>0</v>
      </c>
      <c r="M1941" s="161">
        <f t="shared" si="1230"/>
        <v>0</v>
      </c>
      <c r="N1941" s="161">
        <f t="shared" si="1230"/>
        <v>0</v>
      </c>
      <c r="O1941" s="161">
        <f t="shared" si="1230"/>
        <v>0</v>
      </c>
      <c r="P1941" s="161">
        <f t="shared" si="1230"/>
        <v>0</v>
      </c>
      <c r="Q1941" s="161">
        <f t="shared" si="1230"/>
        <v>0</v>
      </c>
      <c r="R1941" s="161">
        <f t="shared" si="1230"/>
        <v>0</v>
      </c>
      <c r="S1941" s="161">
        <f t="shared" si="1230"/>
        <v>0</v>
      </c>
      <c r="T1941" s="161">
        <f t="shared" si="1230"/>
        <v>0</v>
      </c>
      <c r="U1941" s="161">
        <f t="shared" si="1230"/>
        <v>0</v>
      </c>
      <c r="V1941" s="161">
        <f t="shared" si="1230"/>
        <v>0</v>
      </c>
      <c r="W1941" s="161">
        <f t="shared" si="1230"/>
        <v>0</v>
      </c>
      <c r="X1941" s="161">
        <f t="shared" si="1230"/>
        <v>0</v>
      </c>
    </row>
    <row r="1942" spans="2:24" hidden="1">
      <c r="B1942" s="160" t="s">
        <v>320</v>
      </c>
      <c r="C1942" s="160"/>
      <c r="D1942" s="160"/>
      <c r="E1942" s="160"/>
      <c r="F1942" s="160"/>
      <c r="G1942" s="160"/>
      <c r="H1942" s="160"/>
      <c r="I1942" s="160"/>
      <c r="J1942" s="160"/>
      <c r="K1942" s="161">
        <f t="shared" ref="K1942:X1942" si="1231">K609-K1914-K1928</f>
        <v>0</v>
      </c>
      <c r="L1942" s="161">
        <f t="shared" si="1231"/>
        <v>0</v>
      </c>
      <c r="M1942" s="161">
        <f t="shared" si="1231"/>
        <v>0</v>
      </c>
      <c r="N1942" s="161">
        <f t="shared" si="1231"/>
        <v>0</v>
      </c>
      <c r="O1942" s="161">
        <f t="shared" si="1231"/>
        <v>0</v>
      </c>
      <c r="P1942" s="161">
        <f t="shared" si="1231"/>
        <v>0</v>
      </c>
      <c r="Q1942" s="161">
        <f t="shared" si="1231"/>
        <v>0</v>
      </c>
      <c r="R1942" s="161">
        <f t="shared" si="1231"/>
        <v>0</v>
      </c>
      <c r="S1942" s="161">
        <f t="shared" si="1231"/>
        <v>0</v>
      </c>
      <c r="T1942" s="161">
        <f t="shared" si="1231"/>
        <v>0</v>
      </c>
      <c r="U1942" s="161">
        <f t="shared" si="1231"/>
        <v>0</v>
      </c>
      <c r="V1942" s="161">
        <f t="shared" si="1231"/>
        <v>0</v>
      </c>
      <c r="W1942" s="161">
        <f t="shared" si="1231"/>
        <v>0</v>
      </c>
      <c r="X1942" s="161">
        <f t="shared" si="1231"/>
        <v>0</v>
      </c>
    </row>
    <row r="1943" spans="2:24" hidden="1">
      <c r="B1943" s="160" t="s">
        <v>323</v>
      </c>
      <c r="C1943" s="160"/>
      <c r="D1943" s="160"/>
      <c r="E1943" s="160"/>
      <c r="F1943" s="160"/>
      <c r="G1943" s="160"/>
      <c r="H1943" s="160"/>
      <c r="I1943" s="160"/>
      <c r="J1943" s="160"/>
      <c r="K1943" s="161">
        <f t="shared" ref="K1943:X1943" si="1232">K610-K1915-K1929</f>
        <v>0</v>
      </c>
      <c r="L1943" s="161">
        <f t="shared" si="1232"/>
        <v>0</v>
      </c>
      <c r="M1943" s="161">
        <f t="shared" si="1232"/>
        <v>0</v>
      </c>
      <c r="N1943" s="161">
        <f t="shared" si="1232"/>
        <v>0</v>
      </c>
      <c r="O1943" s="161">
        <f t="shared" si="1232"/>
        <v>0</v>
      </c>
      <c r="P1943" s="161">
        <f t="shared" si="1232"/>
        <v>0</v>
      </c>
      <c r="Q1943" s="161">
        <f t="shared" si="1232"/>
        <v>0</v>
      </c>
      <c r="R1943" s="161">
        <f t="shared" si="1232"/>
        <v>0</v>
      </c>
      <c r="S1943" s="161">
        <f t="shared" si="1232"/>
        <v>0</v>
      </c>
      <c r="T1943" s="161">
        <f t="shared" si="1232"/>
        <v>0</v>
      </c>
      <c r="U1943" s="161">
        <f t="shared" si="1232"/>
        <v>0</v>
      </c>
      <c r="V1943" s="161">
        <f t="shared" si="1232"/>
        <v>0</v>
      </c>
      <c r="W1943" s="161">
        <f t="shared" si="1232"/>
        <v>0</v>
      </c>
      <c r="X1943" s="161">
        <f t="shared" si="1232"/>
        <v>0</v>
      </c>
    </row>
    <row r="1944" spans="2:24" hidden="1">
      <c r="B1944" s="160" t="s">
        <v>334</v>
      </c>
      <c r="C1944" s="160"/>
      <c r="D1944" s="160"/>
      <c r="E1944" s="160"/>
      <c r="F1944" s="160"/>
      <c r="G1944" s="160"/>
      <c r="H1944" s="160"/>
      <c r="I1944" s="160"/>
      <c r="J1944" s="160"/>
      <c r="K1944" s="161">
        <f t="shared" ref="K1944:X1944" si="1233">K611-K1916-K1930</f>
        <v>0</v>
      </c>
      <c r="L1944" s="161">
        <f t="shared" si="1233"/>
        <v>0</v>
      </c>
      <c r="M1944" s="161">
        <f t="shared" si="1233"/>
        <v>0</v>
      </c>
      <c r="N1944" s="161">
        <f t="shared" si="1233"/>
        <v>0</v>
      </c>
      <c r="O1944" s="161">
        <f t="shared" si="1233"/>
        <v>0</v>
      </c>
      <c r="P1944" s="161">
        <f t="shared" si="1233"/>
        <v>0</v>
      </c>
      <c r="Q1944" s="161">
        <f t="shared" si="1233"/>
        <v>0</v>
      </c>
      <c r="R1944" s="161">
        <f t="shared" si="1233"/>
        <v>0</v>
      </c>
      <c r="S1944" s="161">
        <f t="shared" si="1233"/>
        <v>0</v>
      </c>
      <c r="T1944" s="161">
        <f t="shared" si="1233"/>
        <v>0</v>
      </c>
      <c r="U1944" s="161">
        <f t="shared" si="1233"/>
        <v>0</v>
      </c>
      <c r="V1944" s="161">
        <f t="shared" si="1233"/>
        <v>0</v>
      </c>
      <c r="W1944" s="161">
        <f t="shared" si="1233"/>
        <v>0</v>
      </c>
      <c r="X1944" s="161">
        <f t="shared" si="1233"/>
        <v>0</v>
      </c>
    </row>
    <row r="1945" spans="2:24" hidden="1">
      <c r="B1945" s="162" t="s">
        <v>379</v>
      </c>
      <c r="C1945" s="162"/>
      <c r="D1945" s="160"/>
      <c r="E1945" s="160"/>
      <c r="F1945" s="160"/>
      <c r="G1945" s="160"/>
      <c r="H1945" s="160"/>
      <c r="I1945" s="160"/>
      <c r="J1945" s="160"/>
      <c r="K1945" s="163">
        <f>SUM(K1938:K1944)</f>
        <v>0</v>
      </c>
      <c r="L1945" s="163">
        <f>SUM(L1938:L1944)</f>
        <v>0</v>
      </c>
      <c r="M1945" s="163">
        <f>SUM(M1938:M1944)</f>
        <v>0</v>
      </c>
      <c r="N1945" s="163">
        <f t="shared" ref="N1945:X1945" si="1234">SUM(N1938:N1944)</f>
        <v>0</v>
      </c>
      <c r="O1945" s="163">
        <f t="shared" si="1234"/>
        <v>0</v>
      </c>
      <c r="P1945" s="163">
        <f t="shared" si="1234"/>
        <v>0</v>
      </c>
      <c r="Q1945" s="163">
        <f t="shared" si="1234"/>
        <v>0</v>
      </c>
      <c r="R1945" s="163">
        <f t="shared" si="1234"/>
        <v>0</v>
      </c>
      <c r="S1945" s="163">
        <f t="shared" si="1234"/>
        <v>0</v>
      </c>
      <c r="T1945" s="163">
        <f t="shared" si="1234"/>
        <v>0</v>
      </c>
      <c r="U1945" s="163">
        <f t="shared" si="1234"/>
        <v>0</v>
      </c>
      <c r="V1945" s="163">
        <f t="shared" si="1234"/>
        <v>0</v>
      </c>
      <c r="W1945" s="163">
        <f t="shared" si="1234"/>
        <v>0</v>
      </c>
      <c r="X1945" s="163">
        <f t="shared" si="1234"/>
        <v>0</v>
      </c>
    </row>
    <row r="1946" spans="2:24" hidden="1">
      <c r="B1946" s="155" t="s">
        <v>325</v>
      </c>
      <c r="C1946" s="155"/>
      <c r="D1946" s="155"/>
      <c r="E1946" s="155"/>
      <c r="F1946" s="155"/>
      <c r="G1946" s="155"/>
      <c r="H1946" s="155"/>
      <c r="I1946" s="155"/>
      <c r="J1946" s="155"/>
      <c r="K1946" s="157">
        <f t="shared" ref="K1946:X1946" si="1235">K613-K1918-K1932</f>
        <v>0</v>
      </c>
      <c r="L1946" s="157">
        <f t="shared" si="1235"/>
        <v>0</v>
      </c>
      <c r="M1946" s="157">
        <f t="shared" si="1235"/>
        <v>0</v>
      </c>
      <c r="N1946" s="157">
        <f t="shared" si="1235"/>
        <v>0</v>
      </c>
      <c r="O1946" s="157">
        <f t="shared" si="1235"/>
        <v>0</v>
      </c>
      <c r="P1946" s="157">
        <f t="shared" si="1235"/>
        <v>0</v>
      </c>
      <c r="Q1946" s="157">
        <f t="shared" si="1235"/>
        <v>0</v>
      </c>
      <c r="R1946" s="157">
        <f t="shared" si="1235"/>
        <v>0</v>
      </c>
      <c r="S1946" s="157">
        <f t="shared" si="1235"/>
        <v>0</v>
      </c>
      <c r="T1946" s="157">
        <f t="shared" si="1235"/>
        <v>0</v>
      </c>
      <c r="U1946" s="157">
        <f t="shared" si="1235"/>
        <v>0</v>
      </c>
      <c r="V1946" s="157">
        <f t="shared" si="1235"/>
        <v>0</v>
      </c>
      <c r="W1946" s="157">
        <f t="shared" si="1235"/>
        <v>0</v>
      </c>
      <c r="X1946" s="157">
        <f t="shared" si="1235"/>
        <v>0</v>
      </c>
    </row>
    <row r="1947" spans="2:24" hidden="1">
      <c r="B1947" s="155" t="s">
        <v>327</v>
      </c>
      <c r="C1947" s="155"/>
      <c r="D1947" s="155"/>
      <c r="E1947" s="155"/>
      <c r="F1947" s="155"/>
      <c r="G1947" s="155"/>
      <c r="H1947" s="155"/>
      <c r="I1947" s="155"/>
      <c r="J1947" s="155"/>
      <c r="K1947" s="157">
        <f t="shared" ref="K1947:X1947" si="1236">K614-K1919-K1933</f>
        <v>0</v>
      </c>
      <c r="L1947" s="157">
        <f t="shared" si="1236"/>
        <v>0</v>
      </c>
      <c r="M1947" s="157">
        <f t="shared" si="1236"/>
        <v>0</v>
      </c>
      <c r="N1947" s="157">
        <f t="shared" si="1236"/>
        <v>0</v>
      </c>
      <c r="O1947" s="157">
        <f t="shared" si="1236"/>
        <v>0</v>
      </c>
      <c r="P1947" s="157">
        <f t="shared" si="1236"/>
        <v>0</v>
      </c>
      <c r="Q1947" s="157">
        <f t="shared" si="1236"/>
        <v>0</v>
      </c>
      <c r="R1947" s="157">
        <f t="shared" si="1236"/>
        <v>0</v>
      </c>
      <c r="S1947" s="157">
        <f t="shared" si="1236"/>
        <v>0</v>
      </c>
      <c r="T1947" s="157">
        <f t="shared" si="1236"/>
        <v>0</v>
      </c>
      <c r="U1947" s="157">
        <f t="shared" si="1236"/>
        <v>0</v>
      </c>
      <c r="V1947" s="157">
        <f t="shared" si="1236"/>
        <v>0</v>
      </c>
      <c r="W1947" s="157">
        <f t="shared" si="1236"/>
        <v>0</v>
      </c>
      <c r="X1947" s="157">
        <f t="shared" si="1236"/>
        <v>0</v>
      </c>
    </row>
    <row r="1948" spans="2:24" hidden="1">
      <c r="B1948" s="158" t="s">
        <v>380</v>
      </c>
      <c r="C1948" s="158"/>
      <c r="D1948" s="155"/>
      <c r="E1948" s="155"/>
      <c r="F1948" s="155"/>
      <c r="G1948" s="155"/>
      <c r="H1948" s="155"/>
      <c r="I1948" s="155"/>
      <c r="J1948" s="155"/>
      <c r="K1948" s="159">
        <f>K1945+SUM(K1946:K1947)</f>
        <v>0</v>
      </c>
      <c r="L1948" s="159">
        <f t="shared" ref="L1948:X1948" si="1237">L1945+SUM(L1946:L1947)</f>
        <v>0</v>
      </c>
      <c r="M1948" s="159">
        <f t="shared" si="1237"/>
        <v>0</v>
      </c>
      <c r="N1948" s="159">
        <f t="shared" si="1237"/>
        <v>0</v>
      </c>
      <c r="O1948" s="159">
        <f t="shared" si="1237"/>
        <v>0</v>
      </c>
      <c r="P1948" s="159">
        <f t="shared" si="1237"/>
        <v>0</v>
      </c>
      <c r="Q1948" s="159">
        <f t="shared" si="1237"/>
        <v>0</v>
      </c>
      <c r="R1948" s="159">
        <f t="shared" si="1237"/>
        <v>0</v>
      </c>
      <c r="S1948" s="159">
        <f t="shared" si="1237"/>
        <v>0</v>
      </c>
      <c r="T1948" s="159">
        <f t="shared" si="1237"/>
        <v>0</v>
      </c>
      <c r="U1948" s="159">
        <f t="shared" si="1237"/>
        <v>0</v>
      </c>
      <c r="V1948" s="159">
        <f t="shared" si="1237"/>
        <v>0</v>
      </c>
      <c r="W1948" s="159">
        <f t="shared" si="1237"/>
        <v>0</v>
      </c>
      <c r="X1948" s="159">
        <f t="shared" si="1237"/>
        <v>0</v>
      </c>
    </row>
    <row r="1949" spans="2:24" hidden="1">
      <c r="M1949" s="5"/>
      <c r="N1949" s="5"/>
      <c r="O1949" s="5"/>
      <c r="P1949" s="5"/>
      <c r="Q1949" s="5"/>
    </row>
  </sheetData>
  <sheetProtection algorithmName="SHA-512" hashValue="7rYaNYdLUO5+yTjITrN1mkynqLtPQBby1HOIikTRFexLZ/3EcMtzjTwqzfzljsB9DkdMtNR52ESQCfT7pdti5g==" saltValue="EqyJJm4FJAjx0rHR3x2YBg==" spinCount="100000" sheet="1" objects="1" scenarios="1"/>
  <mergeCells count="7">
    <mergeCell ref="K552:X552"/>
    <mergeCell ref="B2:M3"/>
    <mergeCell ref="K348:X348"/>
    <mergeCell ref="K477:X477"/>
    <mergeCell ref="K138:X138"/>
    <mergeCell ref="K183:X183"/>
    <mergeCell ref="K213:X213"/>
  </mergeCells>
  <phoneticPr fontId="58" type="noConversion"/>
  <conditionalFormatting sqref="K139:X158">
    <cfRule type="expression" dxfId="632" priority="41">
      <formula>$D139="nie"</formula>
    </cfRule>
    <cfRule type="expression" dxfId="631" priority="42">
      <formula>AND($D139="tak",K$114&gt;=Poczatek,K$114&lt;=Koniec_Projekt)</formula>
    </cfRule>
  </conditionalFormatting>
  <conditionalFormatting sqref="K184:X203">
    <cfRule type="expression" dxfId="630" priority="39">
      <formula>$D184="nie"</formula>
    </cfRule>
    <cfRule type="expression" dxfId="629" priority="40">
      <formula>AND($D184="tak",K$114&gt;=Poczatek,K$114&lt;=Koniec_Projekt)</formula>
    </cfRule>
  </conditionalFormatting>
  <conditionalFormatting sqref="K214:X218">
    <cfRule type="expression" dxfId="628" priority="37">
      <formula>$D214="nie"</formula>
    </cfRule>
    <cfRule type="expression" dxfId="627" priority="38">
      <formula>AND($D214="tak",K$114&gt;=Poczatek,K$114&lt;=Koniec_Projekt)</formula>
    </cfRule>
  </conditionalFormatting>
  <conditionalFormatting sqref="K349:X388">
    <cfRule type="expression" dxfId="626" priority="35">
      <formula>OR($D349="nie",$D349="")</formula>
    </cfRule>
    <cfRule type="expression" dxfId="625" priority="36">
      <formula>AND($D349="tak",K$114&gt;=Poczatek,K$114&lt;=Koniec_Projekt)</formula>
    </cfRule>
  </conditionalFormatting>
  <conditionalFormatting sqref="K553:X582">
    <cfRule type="expression" dxfId="624" priority="33">
      <formula>$D553="nie"</formula>
    </cfRule>
    <cfRule type="expression" dxfId="623" priority="34">
      <formula>AND($D553="tak",K$114&gt;=Poczatek,K$114&lt;=Koniec_Projekt)</formula>
    </cfRule>
  </conditionalFormatting>
  <conditionalFormatting sqref="B139:E158">
    <cfRule type="expression" dxfId="622" priority="30">
      <formula>$D117="nie"</formula>
    </cfRule>
  </conditionalFormatting>
  <conditionalFormatting sqref="B184:E203">
    <cfRule type="expression" dxfId="621" priority="29">
      <formula>$D162="nie"</formula>
    </cfRule>
  </conditionalFormatting>
  <conditionalFormatting sqref="B214:E218">
    <cfRule type="expression" dxfId="620" priority="28">
      <formula>$D207="nie"</formula>
    </cfRule>
  </conditionalFormatting>
  <conditionalFormatting sqref="B349:E388">
    <cfRule type="expression" dxfId="619" priority="27">
      <formula>$D223="nie"</formula>
    </cfRule>
  </conditionalFormatting>
  <conditionalFormatting sqref="B478:E517">
    <cfRule type="expression" dxfId="618" priority="26">
      <formula>$D223="nie"</formula>
    </cfRule>
  </conditionalFormatting>
  <conditionalFormatting sqref="B553:E582">
    <cfRule type="expression" dxfId="617" priority="25">
      <formula>$D521="nie"</formula>
    </cfRule>
  </conditionalFormatting>
  <conditionalFormatting sqref="K478:X517">
    <cfRule type="expression" dxfId="616" priority="8">
      <formula>AND($D478="tak",K$114&gt;=Poczatek,K$114&lt;=Koniec_Projekt)</formula>
    </cfRule>
  </conditionalFormatting>
  <conditionalFormatting sqref="K15:X19 K24:X28 K33:X37 K43:X47 K49:X53 K74:X78 K83:X87 K93:X96">
    <cfRule type="expression" dxfId="615" priority="6">
      <formula>AND(K$12&gt;Koniec_Projekt,K$12&lt;=Koniec)</formula>
    </cfRule>
    <cfRule type="expression" dxfId="614" priority="7">
      <formula>(K$12&lt;=Koniec_Projekt)</formula>
    </cfRule>
  </conditionalFormatting>
  <conditionalFormatting sqref="K162:X181 K207:X211 K223:X262 K265:X304 K307:X346 K586:X590 K596:X599 K521:X550 K117:X136">
    <cfRule type="expression" dxfId="613" priority="4">
      <formula>AND(K$12&gt;Koniec_Projekt,K$12&lt;=Koniec)</formula>
    </cfRule>
    <cfRule type="expression" dxfId="612" priority="5">
      <formula>AND(K$12&gt;=Poczatek,K$12&lt;=Koniec_Projekt)</formula>
    </cfRule>
  </conditionalFormatting>
  <conditionalFormatting sqref="E162:E181 E207:E211 E223:E262 E521:E550 E586:E590 E596:E599 E117:E136">
    <cfRule type="expression" dxfId="611" priority="3">
      <formula>test_kosztyBR</formula>
    </cfRule>
  </conditionalFormatting>
  <conditionalFormatting sqref="C117:C136 C162:C181 C207:C211 C223:C262 C521:C550 C586:C590 C595:C599">
    <cfRule type="expression" dxfId="610" priority="1">
      <formula>Kontrola_modulow_koszty_operacyjne</formula>
    </cfRule>
  </conditionalFormatting>
  <dataValidations count="6">
    <dataValidation type="list" allowBlank="1" showInputMessage="1" showErrorMessage="1" sqref="C223:C262 C162:C181 C207:C211 C596:C599 C521:C550 C586:C590 C117:C136" xr:uid="{2B693B6A-753F-482C-A543-3F840835BC5C}">
      <formula1>Lista_Modulow_Menu</formula1>
    </dataValidation>
    <dataValidation type="list" allowBlank="1" showInputMessage="1" showErrorMessage="1" sqref="D586:D590 D521:D550 D162:D181 D207:D211 D223:D262 D596:D599 D117:D136" xr:uid="{F90C3569-6905-4F34-9D19-AD5A7FDB7ACA}">
      <formula1>tak_nie</formula1>
    </dataValidation>
    <dataValidation type="whole" allowBlank="1" showErrorMessage="1" sqref="K307:X346" xr:uid="{00000000-0002-0000-0500-000000000000}">
      <formula1>1</formula1>
      <formula2>12</formula2>
    </dataValidation>
    <dataValidation type="custom" allowBlank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39:X158 K184:X203 K214:X218 K349:X389 K478:X517 K553:X582" xr:uid="{E4CC6066-A327-4260-8D6E-15804106E2B7}">
      <formula1>AND($D139="tak",K139&gt;0,K139&lt;=1)</formula1>
    </dataValidation>
    <dataValidation type="list" allowBlank="1" showInputMessage="1" showErrorMessage="1" promptTitle="Uwaga!" prompt="Dla modułu &quot;B+R&quot; wybierz pozycję z listy_x000a_- badania przemysłowe_x000a_- prace rozwojowe_x000a_- nie dotyczy_x000a__x000a_Dla pozostałych modułów wybierz &quot;nie dotyczy&quot;" sqref="E162:E181 E596:E599 E207:E211 E223:E262 E521:E550 E586:E590 E117:E136" xr:uid="{A092CE0F-63B7-46F1-9E5B-757E15512A47}">
      <formula1>IF($C117="B+R",b_plus_r,nie_b_plus_r)</formula1>
    </dataValidation>
    <dataValidation type="custom" allowBlank="1" showInputMessage="1" showErrorMessage="1" sqref="K117:X136" xr:uid="{05C786AF-9AF1-42C5-B4E1-FC9CF35BAE21}">
      <formula1>AND(K$114&gt;=Poczatek,K$114&lt;=Koniec)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&amp;L&amp;F&amp;CStrona &amp;P z &amp;N&amp;RData i godzina wydruku: &amp;D &amp;T</oddFooter>
  </headerFooter>
  <rowBreaks count="13" manualBreakCount="13">
    <brk id="62" min="1" max="23" man="1"/>
    <brk id="113" min="1" max="23" man="1"/>
    <brk id="160" min="1" max="23" man="1"/>
    <brk id="220" min="1" max="23" man="1"/>
    <brk id="263" min="1" max="23" man="1"/>
    <brk id="305" min="1" max="23" man="1"/>
    <brk id="347" min="1" max="23" man="1"/>
    <brk id="389" min="1" max="23" man="1"/>
    <brk id="433" min="1" max="23" man="1"/>
    <brk id="476" min="1" max="23" man="1"/>
    <brk id="519" min="1" max="23" man="1"/>
    <brk id="584" min="1" max="23" man="1"/>
    <brk id="64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8" r:id="rId4" name="Group Box 8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99060</xdr:rowOff>
                  </from>
                  <to>
                    <xdr:col>12</xdr:col>
                    <xdr:colOff>640080</xdr:colOff>
                    <xdr:row>10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pageSetUpPr fitToPage="1"/>
  </sheetPr>
  <dimension ref="A1:AL2264"/>
  <sheetViews>
    <sheetView showGridLines="0" workbookViewId="0"/>
  </sheetViews>
  <sheetFormatPr defaultColWidth="0" defaultRowHeight="12" zeroHeight="1"/>
  <cols>
    <col min="1" max="1" width="2.85546875" style="327" customWidth="1"/>
    <col min="2" max="2" width="49.140625" style="1" customWidth="1"/>
    <col min="3" max="3" width="18.85546875" style="1" bestFit="1" customWidth="1"/>
    <col min="4" max="5" width="12.85546875" style="1" customWidth="1"/>
    <col min="6" max="7" width="13.7109375" style="1" customWidth="1"/>
    <col min="8" max="8" width="13.85546875" style="1" customWidth="1"/>
    <col min="9" max="9" width="14.85546875" style="1" customWidth="1"/>
    <col min="10" max="10" width="14.28515625" style="1" customWidth="1"/>
    <col min="11" max="24" width="12.85546875" style="1" customWidth="1"/>
    <col min="25" max="25" width="2.85546875" style="1" customWidth="1"/>
    <col min="26" max="27" width="9.28515625" style="1" hidden="1" customWidth="1"/>
    <col min="28" max="38" width="0" style="1" hidden="1" customWidth="1"/>
    <col min="39" max="16384" width="9.28515625" style="1" hidden="1"/>
  </cols>
  <sheetData>
    <row r="1" spans="2:24"/>
    <row r="2" spans="2:24">
      <c r="B2" s="543" t="str">
        <f>IF(ISBLANK(Firma),"Wstaw nazwę firmy w zakładce Dane Firmy",Firma)</f>
        <v>Wstaw nazwę firmy w zakładce Dane Firmy</v>
      </c>
      <c r="C2" s="543"/>
      <c r="D2" s="543"/>
      <c r="E2" s="543"/>
      <c r="F2" s="543"/>
      <c r="G2" s="543"/>
    </row>
    <row r="3" spans="2:24">
      <c r="B3" s="544"/>
      <c r="C3" s="544"/>
      <c r="D3" s="544"/>
      <c r="E3" s="544"/>
      <c r="F3" s="544"/>
      <c r="G3" s="544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4">
      <c r="B12" s="23" t="s">
        <v>265</v>
      </c>
      <c r="C12" s="23"/>
      <c r="D12" s="24"/>
      <c r="E12" s="24"/>
      <c r="F12" s="24"/>
      <c r="G12" s="458"/>
      <c r="H12" s="23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33" t="s">
        <v>381</v>
      </c>
      <c r="C14" s="233"/>
      <c r="D14" s="234"/>
      <c r="E14" s="234"/>
      <c r="F14" s="234"/>
      <c r="G14" s="234"/>
      <c r="H14" s="234"/>
      <c r="I14" s="234"/>
      <c r="J14" s="234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</row>
    <row r="15" spans="2:24">
      <c r="B15" s="8" t="s">
        <v>382</v>
      </c>
      <c r="C15" s="8"/>
      <c r="D15" s="5">
        <f>MAX('Sprawozdania finansowe'!E15,'Sprawozdania finansowe'!F15)</f>
        <v>0</v>
      </c>
      <c r="J15" s="5">
        <f>ROUND(D15,0)</f>
        <v>0</v>
      </c>
    </row>
    <row r="16" spans="2:24">
      <c r="B16" s="8" t="s">
        <v>383</v>
      </c>
      <c r="C16" s="8"/>
      <c r="D16" s="12">
        <f>am_prace_rozwojowe</f>
        <v>0</v>
      </c>
      <c r="F16" s="459"/>
      <c r="G16" s="459"/>
      <c r="H16" s="459"/>
    </row>
    <row r="17" spans="2:24">
      <c r="B17" s="8" t="s">
        <v>743</v>
      </c>
      <c r="C17" s="8"/>
      <c r="F17" s="459"/>
      <c r="G17" s="459"/>
      <c r="H17" s="459"/>
      <c r="K17" s="5">
        <f>IF(AND(LataProjekcji&lt;=Koniec,$C$2232=1),IFERROR(ROUND(MIN($D16*$J15,$J15),0),0),0)</f>
        <v>0</v>
      </c>
      <c r="L17" s="5">
        <f t="shared" ref="L17:X17" si="0">IF(AND(LataProjekcji&lt;=Koniec,$C$2232=1),IFERROR(ROUND(MIN($D16*$J15,$J15-K19),0),0),0)</f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si="0"/>
        <v>0</v>
      </c>
      <c r="R17" s="5">
        <f t="shared" si="0"/>
        <v>0</v>
      </c>
      <c r="S17" s="5">
        <f t="shared" si="0"/>
        <v>0</v>
      </c>
      <c r="T17" s="5">
        <f t="shared" si="0"/>
        <v>0</v>
      </c>
      <c r="U17" s="5">
        <f t="shared" si="0"/>
        <v>0</v>
      </c>
      <c r="V17" s="5">
        <f t="shared" si="0"/>
        <v>0</v>
      </c>
      <c r="W17" s="5">
        <f t="shared" si="0"/>
        <v>0</v>
      </c>
      <c r="X17" s="5">
        <f t="shared" si="0"/>
        <v>0</v>
      </c>
    </row>
    <row r="18" spans="2:24">
      <c r="B18" s="460" t="s">
        <v>744</v>
      </c>
      <c r="C18" s="8"/>
      <c r="F18" s="459"/>
      <c r="G18" s="459"/>
      <c r="H18" s="459"/>
      <c r="J18" s="463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</row>
    <row r="19" spans="2:24">
      <c r="B19" s="8" t="s">
        <v>385</v>
      </c>
      <c r="C19" s="8"/>
      <c r="K19" s="5">
        <f t="shared" ref="K19:X19" si="1">IF(LataProjekcji&lt;=Koniec,ROUND(K2244,0),0)</f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f t="shared" si="1"/>
        <v>0</v>
      </c>
      <c r="T19" s="5">
        <f t="shared" si="1"/>
        <v>0</v>
      </c>
      <c r="U19" s="5">
        <f t="shared" si="1"/>
        <v>0</v>
      </c>
      <c r="V19" s="5">
        <f t="shared" si="1"/>
        <v>0</v>
      </c>
      <c r="W19" s="5">
        <f t="shared" si="1"/>
        <v>0</v>
      </c>
      <c r="X19" s="5">
        <f t="shared" si="1"/>
        <v>0</v>
      </c>
    </row>
    <row r="20" spans="2:24">
      <c r="B20" s="96" t="s">
        <v>386</v>
      </c>
      <c r="C20" s="96"/>
      <c r="D20" s="97"/>
      <c r="E20" s="97"/>
      <c r="F20" s="97"/>
      <c r="G20" s="97"/>
      <c r="H20" s="97"/>
      <c r="I20" s="97"/>
      <c r="J20" s="97"/>
      <c r="K20" s="98">
        <f t="shared" ref="K20:X20" ca="1" si="2">IF(LataProjekcji&lt;=Koniec,ROUND(K2256,0),0)</f>
        <v>0</v>
      </c>
      <c r="L20" s="98">
        <f t="shared" ca="1" si="2"/>
        <v>0</v>
      </c>
      <c r="M20" s="98">
        <f t="shared" ca="1" si="2"/>
        <v>0</v>
      </c>
      <c r="N20" s="98">
        <f t="shared" ca="1" si="2"/>
        <v>0</v>
      </c>
      <c r="O20" s="98">
        <f t="shared" ca="1" si="2"/>
        <v>0</v>
      </c>
      <c r="P20" s="98">
        <f t="shared" ca="1" si="2"/>
        <v>0</v>
      </c>
      <c r="Q20" s="98">
        <f t="shared" ca="1" si="2"/>
        <v>0</v>
      </c>
      <c r="R20" s="98">
        <f t="shared" ca="1" si="2"/>
        <v>0</v>
      </c>
      <c r="S20" s="98">
        <f t="shared" ca="1" si="2"/>
        <v>0</v>
      </c>
      <c r="T20" s="98">
        <f t="shared" ca="1" si="2"/>
        <v>0</v>
      </c>
      <c r="U20" s="98">
        <f t="shared" ca="1" si="2"/>
        <v>0</v>
      </c>
      <c r="V20" s="98">
        <f t="shared" ca="1" si="2"/>
        <v>0</v>
      </c>
      <c r="W20" s="98">
        <f t="shared" ca="1" si="2"/>
        <v>0</v>
      </c>
      <c r="X20" s="98">
        <f t="shared" ca="1" si="2"/>
        <v>0</v>
      </c>
    </row>
    <row r="21" spans="2:24"/>
    <row r="22" spans="2:24">
      <c r="B22" s="233" t="s">
        <v>387</v>
      </c>
      <c r="C22" s="233"/>
      <c r="D22" s="234"/>
      <c r="E22" s="234"/>
      <c r="F22" s="234"/>
      <c r="G22" s="234"/>
      <c r="H22" s="234"/>
      <c r="I22" s="234"/>
      <c r="J22" s="234"/>
      <c r="K22" s="235" t="str">
        <f t="shared" ref="K22:X22" si="3">LataProjekcji</f>
        <v>Uzupełnij dane</v>
      </c>
      <c r="L22" s="235" t="str">
        <f t="shared" si="3"/>
        <v/>
      </c>
      <c r="M22" s="235" t="str">
        <f t="shared" si="3"/>
        <v/>
      </c>
      <c r="N22" s="235" t="str">
        <f t="shared" si="3"/>
        <v/>
      </c>
      <c r="O22" s="235" t="str">
        <f t="shared" si="3"/>
        <v/>
      </c>
      <c r="P22" s="235" t="str">
        <f t="shared" si="3"/>
        <v/>
      </c>
      <c r="Q22" s="235" t="str">
        <f t="shared" si="3"/>
        <v/>
      </c>
      <c r="R22" s="235" t="str">
        <f t="shared" si="3"/>
        <v/>
      </c>
      <c r="S22" s="235" t="str">
        <f t="shared" si="3"/>
        <v/>
      </c>
      <c r="T22" s="235" t="str">
        <f t="shared" si="3"/>
        <v/>
      </c>
      <c r="U22" s="235" t="str">
        <f t="shared" si="3"/>
        <v/>
      </c>
      <c r="V22" s="235" t="str">
        <f t="shared" si="3"/>
        <v/>
      </c>
      <c r="W22" s="235" t="str">
        <f t="shared" si="3"/>
        <v/>
      </c>
      <c r="X22" s="235" t="str">
        <f t="shared" si="3"/>
        <v/>
      </c>
    </row>
    <row r="23" spans="2:24">
      <c r="B23" s="8" t="s">
        <v>382</v>
      </c>
      <c r="C23" s="8"/>
      <c r="D23" s="5">
        <f>MAX('Sprawozdania finansowe'!E16,'Sprawozdania finansowe'!F16)</f>
        <v>0</v>
      </c>
      <c r="J23" s="5">
        <f>ROUND(D23,0)</f>
        <v>0</v>
      </c>
    </row>
    <row r="24" spans="2:24">
      <c r="B24" s="8" t="s">
        <v>383</v>
      </c>
      <c r="C24" s="8"/>
      <c r="D24" s="12">
        <f>am_wartosc_firmy</f>
        <v>0</v>
      </c>
      <c r="F24" s="459"/>
      <c r="G24" s="459"/>
      <c r="H24" s="459"/>
    </row>
    <row r="25" spans="2:24">
      <c r="B25" s="8" t="s">
        <v>743</v>
      </c>
      <c r="C25" s="8"/>
      <c r="F25" s="459"/>
      <c r="G25" s="459"/>
      <c r="H25" s="459"/>
      <c r="K25" s="5">
        <f>IF(AND(LataProjekcji&lt;=Koniec,$C$2233=1),IFERROR(ROUND(MIN($D24*$J23,$J23),0),0),0)</f>
        <v>0</v>
      </c>
      <c r="L25" s="5">
        <f t="shared" ref="L25:X25" si="4">IF(AND(LataProjekcji&lt;=Koniec,$C$2233=1),IFERROR(ROUND(MIN($D24*$J23,$J23-K27),0),0),0)</f>
        <v>0</v>
      </c>
      <c r="M25" s="5">
        <f t="shared" si="4"/>
        <v>0</v>
      </c>
      <c r="N25" s="5">
        <f t="shared" si="4"/>
        <v>0</v>
      </c>
      <c r="O25" s="5">
        <f t="shared" si="4"/>
        <v>0</v>
      </c>
      <c r="P25" s="5">
        <f t="shared" si="4"/>
        <v>0</v>
      </c>
      <c r="Q25" s="5">
        <f t="shared" si="4"/>
        <v>0</v>
      </c>
      <c r="R25" s="5">
        <f t="shared" si="4"/>
        <v>0</v>
      </c>
      <c r="S25" s="5">
        <f t="shared" si="4"/>
        <v>0</v>
      </c>
      <c r="T25" s="5">
        <f t="shared" si="4"/>
        <v>0</v>
      </c>
      <c r="U25" s="5">
        <f t="shared" si="4"/>
        <v>0</v>
      </c>
      <c r="V25" s="5">
        <f t="shared" si="4"/>
        <v>0</v>
      </c>
      <c r="W25" s="5">
        <f t="shared" si="4"/>
        <v>0</v>
      </c>
      <c r="X25" s="5">
        <f t="shared" si="4"/>
        <v>0</v>
      </c>
    </row>
    <row r="26" spans="2:24">
      <c r="B26" s="460" t="s">
        <v>744</v>
      </c>
      <c r="C26" s="8"/>
      <c r="F26" s="459"/>
      <c r="G26" s="459"/>
      <c r="H26" s="459"/>
      <c r="K26" s="346"/>
      <c r="L26" s="346"/>
      <c r="M26" s="346"/>
      <c r="N26" s="346"/>
      <c r="O26" s="346"/>
      <c r="P26" s="346"/>
      <c r="Q26" s="346"/>
      <c r="R26" s="346"/>
      <c r="S26" s="346"/>
      <c r="T26" s="346"/>
      <c r="U26" s="346"/>
      <c r="V26" s="346"/>
      <c r="W26" s="346"/>
      <c r="X26" s="346"/>
    </row>
    <row r="27" spans="2:24">
      <c r="B27" s="8" t="s">
        <v>385</v>
      </c>
      <c r="C27" s="8"/>
      <c r="K27" s="5">
        <f t="shared" ref="K27:X27" si="5">IF(LataProjekcji&lt;=Koniec,ROUND(K2245,0),0)</f>
        <v>0</v>
      </c>
      <c r="L27" s="5">
        <f t="shared" si="5"/>
        <v>0</v>
      </c>
      <c r="M27" s="5">
        <f t="shared" si="5"/>
        <v>0</v>
      </c>
      <c r="N27" s="5">
        <f t="shared" si="5"/>
        <v>0</v>
      </c>
      <c r="O27" s="5">
        <f t="shared" si="5"/>
        <v>0</v>
      </c>
      <c r="P27" s="5">
        <f t="shared" si="5"/>
        <v>0</v>
      </c>
      <c r="Q27" s="5">
        <f t="shared" si="5"/>
        <v>0</v>
      </c>
      <c r="R27" s="5">
        <f t="shared" si="5"/>
        <v>0</v>
      </c>
      <c r="S27" s="5">
        <f t="shared" si="5"/>
        <v>0</v>
      </c>
      <c r="T27" s="5">
        <f t="shared" si="5"/>
        <v>0</v>
      </c>
      <c r="U27" s="5">
        <f t="shared" si="5"/>
        <v>0</v>
      </c>
      <c r="V27" s="5">
        <f t="shared" si="5"/>
        <v>0</v>
      </c>
      <c r="W27" s="5">
        <f t="shared" si="5"/>
        <v>0</v>
      </c>
      <c r="X27" s="5">
        <f t="shared" si="5"/>
        <v>0</v>
      </c>
    </row>
    <row r="28" spans="2:24">
      <c r="B28" s="96" t="s">
        <v>386</v>
      </c>
      <c r="C28" s="96"/>
      <c r="D28" s="97"/>
      <c r="E28" s="97"/>
      <c r="F28" s="97"/>
      <c r="G28" s="97"/>
      <c r="H28" s="97"/>
      <c r="I28" s="97"/>
      <c r="J28" s="97"/>
      <c r="K28" s="98">
        <f t="shared" ref="K28:X28" ca="1" si="6">IF(LataProjekcji&lt;=Koniec,ROUND(K2257,0),0)</f>
        <v>0</v>
      </c>
      <c r="L28" s="98">
        <f t="shared" ca="1" si="6"/>
        <v>0</v>
      </c>
      <c r="M28" s="98">
        <f t="shared" ca="1" si="6"/>
        <v>0</v>
      </c>
      <c r="N28" s="98">
        <f t="shared" ca="1" si="6"/>
        <v>0</v>
      </c>
      <c r="O28" s="98">
        <f t="shared" ca="1" si="6"/>
        <v>0</v>
      </c>
      <c r="P28" s="98">
        <f t="shared" ca="1" si="6"/>
        <v>0</v>
      </c>
      <c r="Q28" s="98">
        <f t="shared" ca="1" si="6"/>
        <v>0</v>
      </c>
      <c r="R28" s="98">
        <f t="shared" ca="1" si="6"/>
        <v>0</v>
      </c>
      <c r="S28" s="98">
        <f t="shared" ca="1" si="6"/>
        <v>0</v>
      </c>
      <c r="T28" s="98">
        <f t="shared" ca="1" si="6"/>
        <v>0</v>
      </c>
      <c r="U28" s="98">
        <f t="shared" ca="1" si="6"/>
        <v>0</v>
      </c>
      <c r="V28" s="98">
        <f t="shared" ca="1" si="6"/>
        <v>0</v>
      </c>
      <c r="W28" s="98">
        <f t="shared" ca="1" si="6"/>
        <v>0</v>
      </c>
      <c r="X28" s="98">
        <f t="shared" ca="1" si="6"/>
        <v>0</v>
      </c>
    </row>
    <row r="29" spans="2:24"/>
    <row r="30" spans="2:24">
      <c r="B30" s="233" t="s">
        <v>388</v>
      </c>
      <c r="C30" s="233"/>
      <c r="D30" s="234"/>
      <c r="E30" s="234"/>
      <c r="F30" s="234"/>
      <c r="G30" s="234"/>
      <c r="H30" s="234"/>
      <c r="I30" s="234"/>
      <c r="J30" s="234"/>
      <c r="K30" s="235" t="str">
        <f t="shared" ref="K30:X30" si="7">LataProjekcji</f>
        <v>Uzupełnij dane</v>
      </c>
      <c r="L30" s="235" t="str">
        <f t="shared" si="7"/>
        <v/>
      </c>
      <c r="M30" s="235" t="str">
        <f t="shared" si="7"/>
        <v/>
      </c>
      <c r="N30" s="235" t="str">
        <f t="shared" si="7"/>
        <v/>
      </c>
      <c r="O30" s="235" t="str">
        <f t="shared" si="7"/>
        <v/>
      </c>
      <c r="P30" s="235" t="str">
        <f t="shared" si="7"/>
        <v/>
      </c>
      <c r="Q30" s="235" t="str">
        <f t="shared" si="7"/>
        <v/>
      </c>
      <c r="R30" s="235" t="str">
        <f t="shared" si="7"/>
        <v/>
      </c>
      <c r="S30" s="235" t="str">
        <f t="shared" si="7"/>
        <v/>
      </c>
      <c r="T30" s="235" t="str">
        <f t="shared" si="7"/>
        <v/>
      </c>
      <c r="U30" s="235" t="str">
        <f t="shared" si="7"/>
        <v/>
      </c>
      <c r="V30" s="235" t="str">
        <f t="shared" si="7"/>
        <v/>
      </c>
      <c r="W30" s="235" t="str">
        <f t="shared" si="7"/>
        <v/>
      </c>
      <c r="X30" s="235" t="str">
        <f t="shared" si="7"/>
        <v/>
      </c>
    </row>
    <row r="31" spans="2:24">
      <c r="B31" s="8" t="s">
        <v>382</v>
      </c>
      <c r="C31" s="8"/>
      <c r="D31" s="5">
        <f>MAX('Sprawozdania finansowe'!E17,'Sprawozdania finansowe'!F17)</f>
        <v>0</v>
      </c>
      <c r="J31" s="5">
        <f>ROUND(D31,0)</f>
        <v>0</v>
      </c>
    </row>
    <row r="32" spans="2:24">
      <c r="B32" s="8" t="s">
        <v>383</v>
      </c>
      <c r="C32" s="8"/>
      <c r="D32" s="12">
        <f>am_wnip</f>
        <v>0</v>
      </c>
      <c r="F32" s="459"/>
      <c r="G32" s="459"/>
      <c r="H32" s="459"/>
    </row>
    <row r="33" spans="2:24">
      <c r="B33" s="8" t="s">
        <v>743</v>
      </c>
      <c r="C33" s="8"/>
      <c r="F33" s="459"/>
      <c r="G33" s="459"/>
      <c r="H33" s="459"/>
      <c r="K33" s="5">
        <f>IF(AND(LataProjekcji&lt;=Koniec,$C$2234=1),IFERROR(ROUND(MIN($D32*$J31,$J31),0),0),0)</f>
        <v>0</v>
      </c>
      <c r="L33" s="5">
        <f t="shared" ref="L33:X33" si="8">IF(AND(LataProjekcji&lt;=Koniec,$C$2234=1),IFERROR(ROUND(MIN($D32*$J31,$J31-K35),0),0),0)</f>
        <v>0</v>
      </c>
      <c r="M33" s="5">
        <f t="shared" si="8"/>
        <v>0</v>
      </c>
      <c r="N33" s="5">
        <f t="shared" si="8"/>
        <v>0</v>
      </c>
      <c r="O33" s="5">
        <f t="shared" si="8"/>
        <v>0</v>
      </c>
      <c r="P33" s="5">
        <f t="shared" si="8"/>
        <v>0</v>
      </c>
      <c r="Q33" s="5">
        <f t="shared" si="8"/>
        <v>0</v>
      </c>
      <c r="R33" s="5">
        <f t="shared" si="8"/>
        <v>0</v>
      </c>
      <c r="S33" s="5">
        <f t="shared" si="8"/>
        <v>0</v>
      </c>
      <c r="T33" s="5">
        <f t="shared" si="8"/>
        <v>0</v>
      </c>
      <c r="U33" s="5">
        <f t="shared" si="8"/>
        <v>0</v>
      </c>
      <c r="V33" s="5">
        <f t="shared" si="8"/>
        <v>0</v>
      </c>
      <c r="W33" s="5">
        <f t="shared" si="8"/>
        <v>0</v>
      </c>
      <c r="X33" s="5">
        <f t="shared" si="8"/>
        <v>0</v>
      </c>
    </row>
    <row r="34" spans="2:24">
      <c r="B34" s="460" t="s">
        <v>744</v>
      </c>
      <c r="C34" s="8"/>
      <c r="F34" s="459"/>
      <c r="G34" s="459"/>
      <c r="H34" s="459"/>
      <c r="K34" s="346"/>
      <c r="L34" s="346"/>
      <c r="M34" s="346"/>
      <c r="N34" s="346"/>
      <c r="O34" s="346"/>
      <c r="P34" s="346"/>
      <c r="Q34" s="346"/>
      <c r="R34" s="346"/>
      <c r="S34" s="346"/>
      <c r="T34" s="346"/>
      <c r="U34" s="346"/>
      <c r="V34" s="346"/>
      <c r="W34" s="346"/>
      <c r="X34" s="346"/>
    </row>
    <row r="35" spans="2:24">
      <c r="B35" s="8" t="s">
        <v>385</v>
      </c>
      <c r="C35" s="8"/>
      <c r="K35" s="5">
        <f t="shared" ref="K35:X35" si="9">IF(LataProjekcji&lt;=Koniec,ROUND(K2246,0),0)</f>
        <v>0</v>
      </c>
      <c r="L35" s="5">
        <f t="shared" si="9"/>
        <v>0</v>
      </c>
      <c r="M35" s="5">
        <f t="shared" si="9"/>
        <v>0</v>
      </c>
      <c r="N35" s="5">
        <f t="shared" si="9"/>
        <v>0</v>
      </c>
      <c r="O35" s="5">
        <f t="shared" si="9"/>
        <v>0</v>
      </c>
      <c r="P35" s="5">
        <f t="shared" si="9"/>
        <v>0</v>
      </c>
      <c r="Q35" s="5">
        <f t="shared" si="9"/>
        <v>0</v>
      </c>
      <c r="R35" s="5">
        <f t="shared" si="9"/>
        <v>0</v>
      </c>
      <c r="S35" s="5">
        <f t="shared" si="9"/>
        <v>0</v>
      </c>
      <c r="T35" s="5">
        <f t="shared" si="9"/>
        <v>0</v>
      </c>
      <c r="U35" s="5">
        <f t="shared" si="9"/>
        <v>0</v>
      </c>
      <c r="V35" s="5">
        <f t="shared" si="9"/>
        <v>0</v>
      </c>
      <c r="W35" s="5">
        <f t="shared" si="9"/>
        <v>0</v>
      </c>
      <c r="X35" s="5">
        <f t="shared" si="9"/>
        <v>0</v>
      </c>
    </row>
    <row r="36" spans="2:24">
      <c r="B36" s="96" t="s">
        <v>386</v>
      </c>
      <c r="C36" s="96"/>
      <c r="D36" s="97"/>
      <c r="E36" s="97"/>
      <c r="F36" s="97"/>
      <c r="G36" s="97"/>
      <c r="H36" s="97"/>
      <c r="I36" s="97"/>
      <c r="J36" s="97"/>
      <c r="K36" s="98">
        <f t="shared" ref="K36:X36" ca="1" si="10">IF(LataProjekcji&lt;=Koniec,ROUND(K2258,0),0)</f>
        <v>0</v>
      </c>
      <c r="L36" s="98">
        <f t="shared" ca="1" si="10"/>
        <v>0</v>
      </c>
      <c r="M36" s="98">
        <f t="shared" ca="1" si="10"/>
        <v>0</v>
      </c>
      <c r="N36" s="98">
        <f t="shared" ca="1" si="10"/>
        <v>0</v>
      </c>
      <c r="O36" s="98">
        <f t="shared" ca="1" si="10"/>
        <v>0</v>
      </c>
      <c r="P36" s="98">
        <f t="shared" ca="1" si="10"/>
        <v>0</v>
      </c>
      <c r="Q36" s="98">
        <f t="shared" ca="1" si="10"/>
        <v>0</v>
      </c>
      <c r="R36" s="98">
        <f t="shared" ca="1" si="10"/>
        <v>0</v>
      </c>
      <c r="S36" s="98">
        <f t="shared" ca="1" si="10"/>
        <v>0</v>
      </c>
      <c r="T36" s="98">
        <f t="shared" ca="1" si="10"/>
        <v>0</v>
      </c>
      <c r="U36" s="98">
        <f t="shared" ca="1" si="10"/>
        <v>0</v>
      </c>
      <c r="V36" s="98">
        <f t="shared" ca="1" si="10"/>
        <v>0</v>
      </c>
      <c r="W36" s="98">
        <f t="shared" ca="1" si="10"/>
        <v>0</v>
      </c>
      <c r="X36" s="98">
        <f t="shared" ca="1" si="10"/>
        <v>0</v>
      </c>
    </row>
    <row r="37" spans="2:24"/>
    <row r="38" spans="2:24">
      <c r="B38" s="233" t="s">
        <v>389</v>
      </c>
      <c r="C38" s="233"/>
      <c r="D38" s="234"/>
      <c r="E38" s="234"/>
      <c r="F38" s="234"/>
      <c r="G38" s="234"/>
      <c r="H38" s="234"/>
      <c r="I38" s="234"/>
      <c r="J38" s="234"/>
      <c r="K38" s="235" t="str">
        <f t="shared" ref="K38:X38" si="11">LataProjekcji</f>
        <v>Uzupełnij dane</v>
      </c>
      <c r="L38" s="235" t="str">
        <f t="shared" si="11"/>
        <v/>
      </c>
      <c r="M38" s="235" t="str">
        <f t="shared" si="11"/>
        <v/>
      </c>
      <c r="N38" s="235" t="str">
        <f t="shared" si="11"/>
        <v/>
      </c>
      <c r="O38" s="235" t="str">
        <f t="shared" si="11"/>
        <v/>
      </c>
      <c r="P38" s="235" t="str">
        <f t="shared" si="11"/>
        <v/>
      </c>
      <c r="Q38" s="235" t="str">
        <f t="shared" si="11"/>
        <v/>
      </c>
      <c r="R38" s="235" t="str">
        <f t="shared" si="11"/>
        <v/>
      </c>
      <c r="S38" s="235" t="str">
        <f t="shared" si="11"/>
        <v/>
      </c>
      <c r="T38" s="235" t="str">
        <f t="shared" si="11"/>
        <v/>
      </c>
      <c r="U38" s="235" t="str">
        <f t="shared" si="11"/>
        <v/>
      </c>
      <c r="V38" s="235" t="str">
        <f t="shared" si="11"/>
        <v/>
      </c>
      <c r="W38" s="235" t="str">
        <f t="shared" si="11"/>
        <v/>
      </c>
      <c r="X38" s="235" t="str">
        <f t="shared" si="11"/>
        <v/>
      </c>
    </row>
    <row r="39" spans="2:24">
      <c r="B39" s="8" t="s">
        <v>382</v>
      </c>
      <c r="C39" s="8"/>
      <c r="D39" s="5">
        <f>MAX('Sprawozdania finansowe'!E21,'Sprawozdania finansowe'!F21)</f>
        <v>0</v>
      </c>
      <c r="J39" s="5">
        <f>ROUND(D39,0)</f>
        <v>0</v>
      </c>
    </row>
    <row r="40" spans="2:24">
      <c r="B40" s="8" t="s">
        <v>383</v>
      </c>
      <c r="C40" s="8"/>
      <c r="D40" s="12">
        <f>am_grunty</f>
        <v>0</v>
      </c>
      <c r="F40" s="459"/>
      <c r="G40" s="459"/>
      <c r="H40" s="459"/>
    </row>
    <row r="41" spans="2:24">
      <c r="B41" s="8" t="s">
        <v>743</v>
      </c>
      <c r="C41" s="8"/>
      <c r="F41" s="459"/>
      <c r="G41" s="459"/>
      <c r="H41" s="459"/>
      <c r="K41" s="5">
        <f>IF(AND(LataProjekcji&lt;=Koniec,$C$2235=1),IFERROR(ROUND(MIN($D40*$J39,$J39),0),0),0)</f>
        <v>0</v>
      </c>
      <c r="L41" s="5">
        <f t="shared" ref="L41:X41" si="12">IF(AND(LataProjekcji&lt;=Koniec,$C$2235=1),IFERROR(ROUND(MIN($D40*$J39,$J39-K43),0),0),0)</f>
        <v>0</v>
      </c>
      <c r="M41" s="5">
        <f t="shared" si="12"/>
        <v>0</v>
      </c>
      <c r="N41" s="5">
        <f t="shared" si="12"/>
        <v>0</v>
      </c>
      <c r="O41" s="5">
        <f t="shared" si="12"/>
        <v>0</v>
      </c>
      <c r="P41" s="5">
        <f t="shared" si="12"/>
        <v>0</v>
      </c>
      <c r="Q41" s="5">
        <f t="shared" si="12"/>
        <v>0</v>
      </c>
      <c r="R41" s="5">
        <f t="shared" si="12"/>
        <v>0</v>
      </c>
      <c r="S41" s="5">
        <f t="shared" si="12"/>
        <v>0</v>
      </c>
      <c r="T41" s="5">
        <f t="shared" si="12"/>
        <v>0</v>
      </c>
      <c r="U41" s="5">
        <f t="shared" si="12"/>
        <v>0</v>
      </c>
      <c r="V41" s="5">
        <f t="shared" si="12"/>
        <v>0</v>
      </c>
      <c r="W41" s="5">
        <f t="shared" si="12"/>
        <v>0</v>
      </c>
      <c r="X41" s="5">
        <f t="shared" si="12"/>
        <v>0</v>
      </c>
    </row>
    <row r="42" spans="2:24">
      <c r="B42" s="460" t="s">
        <v>744</v>
      </c>
      <c r="C42" s="8"/>
      <c r="F42" s="459"/>
      <c r="G42" s="459"/>
      <c r="H42" s="459"/>
      <c r="K42" s="346"/>
      <c r="L42" s="346"/>
      <c r="M42" s="346"/>
      <c r="N42" s="346"/>
      <c r="O42" s="346"/>
      <c r="P42" s="346"/>
      <c r="Q42" s="346"/>
      <c r="R42" s="346"/>
      <c r="S42" s="346"/>
      <c r="T42" s="346"/>
      <c r="U42" s="346"/>
      <c r="V42" s="346"/>
      <c r="W42" s="346"/>
      <c r="X42" s="346"/>
    </row>
    <row r="43" spans="2:24">
      <c r="B43" s="8" t="s">
        <v>385</v>
      </c>
      <c r="C43" s="8"/>
      <c r="K43" s="5">
        <f t="shared" ref="K43:X43" si="13">IF(LataProjekcji&lt;=Koniec,ROUND(K2247,0),0)</f>
        <v>0</v>
      </c>
      <c r="L43" s="5">
        <f t="shared" si="13"/>
        <v>0</v>
      </c>
      <c r="M43" s="5">
        <f t="shared" si="13"/>
        <v>0</v>
      </c>
      <c r="N43" s="5">
        <f t="shared" si="13"/>
        <v>0</v>
      </c>
      <c r="O43" s="5">
        <f t="shared" si="13"/>
        <v>0</v>
      </c>
      <c r="P43" s="5">
        <f t="shared" si="13"/>
        <v>0</v>
      </c>
      <c r="Q43" s="5">
        <f t="shared" si="13"/>
        <v>0</v>
      </c>
      <c r="R43" s="5">
        <f t="shared" si="13"/>
        <v>0</v>
      </c>
      <c r="S43" s="5">
        <f t="shared" si="13"/>
        <v>0</v>
      </c>
      <c r="T43" s="5">
        <f t="shared" si="13"/>
        <v>0</v>
      </c>
      <c r="U43" s="5">
        <f t="shared" si="13"/>
        <v>0</v>
      </c>
      <c r="V43" s="5">
        <f t="shared" si="13"/>
        <v>0</v>
      </c>
      <c r="W43" s="5">
        <f t="shared" si="13"/>
        <v>0</v>
      </c>
      <c r="X43" s="5">
        <f t="shared" si="13"/>
        <v>0</v>
      </c>
    </row>
    <row r="44" spans="2:24">
      <c r="B44" s="96" t="s">
        <v>386</v>
      </c>
      <c r="C44" s="96"/>
      <c r="D44" s="97"/>
      <c r="E44" s="97"/>
      <c r="F44" s="97"/>
      <c r="G44" s="97"/>
      <c r="H44" s="97"/>
      <c r="I44" s="97"/>
      <c r="J44" s="97"/>
      <c r="K44" s="98">
        <f t="shared" ref="K44:X44" ca="1" si="14">IF(LataProjekcji&lt;=Koniec,ROUND(K2259,0),0)</f>
        <v>0</v>
      </c>
      <c r="L44" s="98">
        <f t="shared" ca="1" si="14"/>
        <v>0</v>
      </c>
      <c r="M44" s="98">
        <f t="shared" ca="1" si="14"/>
        <v>0</v>
      </c>
      <c r="N44" s="98">
        <f t="shared" ca="1" si="14"/>
        <v>0</v>
      </c>
      <c r="O44" s="98">
        <f t="shared" ca="1" si="14"/>
        <v>0</v>
      </c>
      <c r="P44" s="98">
        <f t="shared" ca="1" si="14"/>
        <v>0</v>
      </c>
      <c r="Q44" s="98">
        <f t="shared" ca="1" si="14"/>
        <v>0</v>
      </c>
      <c r="R44" s="98">
        <f t="shared" ca="1" si="14"/>
        <v>0</v>
      </c>
      <c r="S44" s="98">
        <f t="shared" ca="1" si="14"/>
        <v>0</v>
      </c>
      <c r="T44" s="98">
        <f t="shared" ca="1" si="14"/>
        <v>0</v>
      </c>
      <c r="U44" s="98">
        <f t="shared" ca="1" si="14"/>
        <v>0</v>
      </c>
      <c r="V44" s="98">
        <f t="shared" ca="1" si="14"/>
        <v>0</v>
      </c>
      <c r="W44" s="98">
        <f t="shared" ca="1" si="14"/>
        <v>0</v>
      </c>
      <c r="X44" s="98">
        <f t="shared" ca="1" si="14"/>
        <v>0</v>
      </c>
    </row>
    <row r="45" spans="2:24"/>
    <row r="46" spans="2:24">
      <c r="B46" s="233" t="s">
        <v>390</v>
      </c>
      <c r="C46" s="233"/>
      <c r="D46" s="234"/>
      <c r="E46" s="234"/>
      <c r="F46" s="234"/>
      <c r="G46" s="234"/>
      <c r="H46" s="234"/>
      <c r="I46" s="234"/>
      <c r="J46" s="234"/>
      <c r="K46" s="235" t="str">
        <f t="shared" ref="K46:X46" si="15">LataProjekcji</f>
        <v>Uzupełnij dane</v>
      </c>
      <c r="L46" s="235" t="str">
        <f t="shared" si="15"/>
        <v/>
      </c>
      <c r="M46" s="235" t="str">
        <f t="shared" si="15"/>
        <v/>
      </c>
      <c r="N46" s="235" t="str">
        <f t="shared" si="15"/>
        <v/>
      </c>
      <c r="O46" s="235" t="str">
        <f t="shared" si="15"/>
        <v/>
      </c>
      <c r="P46" s="235" t="str">
        <f t="shared" si="15"/>
        <v/>
      </c>
      <c r="Q46" s="235" t="str">
        <f t="shared" si="15"/>
        <v/>
      </c>
      <c r="R46" s="235" t="str">
        <f t="shared" si="15"/>
        <v/>
      </c>
      <c r="S46" s="235" t="str">
        <f t="shared" si="15"/>
        <v/>
      </c>
      <c r="T46" s="235" t="str">
        <f t="shared" si="15"/>
        <v/>
      </c>
      <c r="U46" s="235" t="str">
        <f t="shared" si="15"/>
        <v/>
      </c>
      <c r="V46" s="235" t="str">
        <f t="shared" si="15"/>
        <v/>
      </c>
      <c r="W46" s="235" t="str">
        <f t="shared" si="15"/>
        <v/>
      </c>
      <c r="X46" s="235" t="str">
        <f t="shared" si="15"/>
        <v/>
      </c>
    </row>
    <row r="47" spans="2:24">
      <c r="B47" s="8" t="s">
        <v>382</v>
      </c>
      <c r="C47" s="8"/>
      <c r="D47" s="5">
        <f>MAX('Sprawozdania finansowe'!E22,'Sprawozdania finansowe'!F22)</f>
        <v>0</v>
      </c>
      <c r="J47" s="5">
        <f>ROUND(D47,0)</f>
        <v>0</v>
      </c>
    </row>
    <row r="48" spans="2:24">
      <c r="B48" s="8" t="s">
        <v>383</v>
      </c>
      <c r="C48" s="8"/>
      <c r="D48" s="12">
        <f>am_budynki</f>
        <v>0</v>
      </c>
      <c r="F48" s="459"/>
      <c r="G48" s="459"/>
      <c r="H48" s="459"/>
    </row>
    <row r="49" spans="2:24">
      <c r="B49" s="8" t="s">
        <v>743</v>
      </c>
      <c r="C49" s="8"/>
      <c r="F49" s="459"/>
      <c r="G49" s="459"/>
      <c r="H49" s="459"/>
      <c r="K49" s="5">
        <f>IF(AND(LataProjekcji&lt;=Koniec,$C$2236=1),IFERROR(ROUND(MIN($D48*$J47,$J47),0),0),0)</f>
        <v>0</v>
      </c>
      <c r="L49" s="5">
        <f t="shared" ref="L49:X49" si="16">IF(AND(LataProjekcji&lt;=Koniec,$C$2236=1),IFERROR(ROUND(MIN($D48*$J47,$J47-K51),0),0),0)</f>
        <v>0</v>
      </c>
      <c r="M49" s="5">
        <f t="shared" si="16"/>
        <v>0</v>
      </c>
      <c r="N49" s="5">
        <f t="shared" si="16"/>
        <v>0</v>
      </c>
      <c r="O49" s="5">
        <f t="shared" si="16"/>
        <v>0</v>
      </c>
      <c r="P49" s="5">
        <f t="shared" si="16"/>
        <v>0</v>
      </c>
      <c r="Q49" s="5">
        <f t="shared" si="16"/>
        <v>0</v>
      </c>
      <c r="R49" s="5">
        <f t="shared" si="16"/>
        <v>0</v>
      </c>
      <c r="S49" s="5">
        <f t="shared" si="16"/>
        <v>0</v>
      </c>
      <c r="T49" s="5">
        <f t="shared" si="16"/>
        <v>0</v>
      </c>
      <c r="U49" s="5">
        <f t="shared" si="16"/>
        <v>0</v>
      </c>
      <c r="V49" s="5">
        <f t="shared" si="16"/>
        <v>0</v>
      </c>
      <c r="W49" s="5">
        <f t="shared" si="16"/>
        <v>0</v>
      </c>
      <c r="X49" s="5">
        <f t="shared" si="16"/>
        <v>0</v>
      </c>
    </row>
    <row r="50" spans="2:24">
      <c r="B50" s="460" t="s">
        <v>744</v>
      </c>
      <c r="C50" s="8"/>
      <c r="F50" s="459"/>
      <c r="G50" s="459"/>
      <c r="H50" s="459"/>
      <c r="K50" s="346"/>
      <c r="L50" s="346"/>
      <c r="M50" s="346"/>
      <c r="N50" s="346"/>
      <c r="O50" s="346"/>
      <c r="P50" s="346"/>
      <c r="Q50" s="346"/>
      <c r="R50" s="346"/>
      <c r="S50" s="346"/>
      <c r="T50" s="346"/>
      <c r="U50" s="346"/>
      <c r="V50" s="346"/>
      <c r="W50" s="346"/>
      <c r="X50" s="346"/>
    </row>
    <row r="51" spans="2:24">
      <c r="B51" s="8" t="s">
        <v>385</v>
      </c>
      <c r="C51" s="8"/>
      <c r="K51" s="5">
        <f t="shared" ref="K51:X51" si="17">IF(LataProjekcji&lt;=Koniec,ROUND(K2248,0),0)</f>
        <v>0</v>
      </c>
      <c r="L51" s="5">
        <f t="shared" si="17"/>
        <v>0</v>
      </c>
      <c r="M51" s="5">
        <f t="shared" si="17"/>
        <v>0</v>
      </c>
      <c r="N51" s="5">
        <f t="shared" si="17"/>
        <v>0</v>
      </c>
      <c r="O51" s="5">
        <f t="shared" si="17"/>
        <v>0</v>
      </c>
      <c r="P51" s="5">
        <f t="shared" si="17"/>
        <v>0</v>
      </c>
      <c r="Q51" s="5">
        <f t="shared" si="17"/>
        <v>0</v>
      </c>
      <c r="R51" s="5">
        <f t="shared" si="17"/>
        <v>0</v>
      </c>
      <c r="S51" s="5">
        <f t="shared" si="17"/>
        <v>0</v>
      </c>
      <c r="T51" s="5">
        <f t="shared" si="17"/>
        <v>0</v>
      </c>
      <c r="U51" s="5">
        <f t="shared" si="17"/>
        <v>0</v>
      </c>
      <c r="V51" s="5">
        <f t="shared" si="17"/>
        <v>0</v>
      </c>
      <c r="W51" s="5">
        <f t="shared" si="17"/>
        <v>0</v>
      </c>
      <c r="X51" s="5">
        <f t="shared" si="17"/>
        <v>0</v>
      </c>
    </row>
    <row r="52" spans="2:24">
      <c r="B52" s="96" t="s">
        <v>386</v>
      </c>
      <c r="C52" s="96"/>
      <c r="D52" s="97"/>
      <c r="E52" s="97"/>
      <c r="F52" s="97"/>
      <c r="G52" s="97"/>
      <c r="H52" s="97"/>
      <c r="I52" s="97"/>
      <c r="J52" s="97"/>
      <c r="K52" s="98">
        <f t="shared" ref="K52:X52" ca="1" si="18">IF(LataProjekcji&lt;=Koniec,ROUND(K2260,0),0)</f>
        <v>0</v>
      </c>
      <c r="L52" s="98">
        <f t="shared" ca="1" si="18"/>
        <v>0</v>
      </c>
      <c r="M52" s="98">
        <f t="shared" ca="1" si="18"/>
        <v>0</v>
      </c>
      <c r="N52" s="98">
        <f t="shared" ca="1" si="18"/>
        <v>0</v>
      </c>
      <c r="O52" s="98">
        <f t="shared" ca="1" si="18"/>
        <v>0</v>
      </c>
      <c r="P52" s="98">
        <f t="shared" ca="1" si="18"/>
        <v>0</v>
      </c>
      <c r="Q52" s="98">
        <f t="shared" ca="1" si="18"/>
        <v>0</v>
      </c>
      <c r="R52" s="98">
        <f t="shared" ca="1" si="18"/>
        <v>0</v>
      </c>
      <c r="S52" s="98">
        <f t="shared" ca="1" si="18"/>
        <v>0</v>
      </c>
      <c r="T52" s="98">
        <f t="shared" ca="1" si="18"/>
        <v>0</v>
      </c>
      <c r="U52" s="98">
        <f t="shared" ca="1" si="18"/>
        <v>0</v>
      </c>
      <c r="V52" s="98">
        <f t="shared" ca="1" si="18"/>
        <v>0</v>
      </c>
      <c r="W52" s="98">
        <f t="shared" ca="1" si="18"/>
        <v>0</v>
      </c>
      <c r="X52" s="98">
        <f t="shared" ca="1" si="18"/>
        <v>0</v>
      </c>
    </row>
    <row r="53" spans="2:24"/>
    <row r="54" spans="2:24">
      <c r="B54" s="233" t="s">
        <v>391</v>
      </c>
      <c r="C54" s="233"/>
      <c r="D54" s="234"/>
      <c r="E54" s="234"/>
      <c r="F54" s="234"/>
      <c r="G54" s="234"/>
      <c r="H54" s="234"/>
      <c r="I54" s="234"/>
      <c r="J54" s="234"/>
      <c r="K54" s="235" t="str">
        <f t="shared" ref="K54:X54" si="19">LataProjekcji</f>
        <v>Uzupełnij dane</v>
      </c>
      <c r="L54" s="235" t="str">
        <f t="shared" si="19"/>
        <v/>
      </c>
      <c r="M54" s="235" t="str">
        <f t="shared" si="19"/>
        <v/>
      </c>
      <c r="N54" s="235" t="str">
        <f t="shared" si="19"/>
        <v/>
      </c>
      <c r="O54" s="235" t="str">
        <f t="shared" si="19"/>
        <v/>
      </c>
      <c r="P54" s="235" t="str">
        <f t="shared" si="19"/>
        <v/>
      </c>
      <c r="Q54" s="235" t="str">
        <f t="shared" si="19"/>
        <v/>
      </c>
      <c r="R54" s="235" t="str">
        <f t="shared" si="19"/>
        <v/>
      </c>
      <c r="S54" s="235" t="str">
        <f t="shared" si="19"/>
        <v/>
      </c>
      <c r="T54" s="235" t="str">
        <f t="shared" si="19"/>
        <v/>
      </c>
      <c r="U54" s="235" t="str">
        <f t="shared" si="19"/>
        <v/>
      </c>
      <c r="V54" s="235" t="str">
        <f t="shared" si="19"/>
        <v/>
      </c>
      <c r="W54" s="235" t="str">
        <f t="shared" si="19"/>
        <v/>
      </c>
      <c r="X54" s="235" t="str">
        <f t="shared" si="19"/>
        <v/>
      </c>
    </row>
    <row r="55" spans="2:24">
      <c r="B55" s="8" t="s">
        <v>382</v>
      </c>
      <c r="C55" s="8"/>
      <c r="D55" s="5">
        <f>MAX('Sprawozdania finansowe'!E23,'Sprawozdania finansowe'!F23)</f>
        <v>0</v>
      </c>
      <c r="J55" s="5">
        <f>ROUND(D55,0)</f>
        <v>0</v>
      </c>
    </row>
    <row r="56" spans="2:24">
      <c r="B56" s="8" t="s">
        <v>383</v>
      </c>
      <c r="C56" s="8"/>
      <c r="D56" s="12">
        <f>am_maszyny</f>
        <v>0</v>
      </c>
      <c r="F56" s="459"/>
      <c r="G56" s="459"/>
      <c r="H56" s="459"/>
    </row>
    <row r="57" spans="2:24">
      <c r="B57" s="8" t="s">
        <v>743</v>
      </c>
      <c r="C57" s="8"/>
      <c r="F57" s="459"/>
      <c r="G57" s="459"/>
      <c r="H57" s="459"/>
      <c r="K57" s="5">
        <f>IF(AND(LataProjekcji&lt;=Koniec,$C$2237=1),IFERROR(ROUND(MIN($D56*$J55,$J55),0),0),0)</f>
        <v>0</v>
      </c>
      <c r="L57" s="5">
        <f t="shared" ref="L57:X57" si="20">IF(AND(LataProjekcji&lt;=Koniec,$C$2237=1),IFERROR(ROUND(MIN($D56*$J55,$J55-K59),0),0),0)</f>
        <v>0</v>
      </c>
      <c r="M57" s="5">
        <f t="shared" si="20"/>
        <v>0</v>
      </c>
      <c r="N57" s="5">
        <f t="shared" si="20"/>
        <v>0</v>
      </c>
      <c r="O57" s="5">
        <f t="shared" si="20"/>
        <v>0</v>
      </c>
      <c r="P57" s="5">
        <f t="shared" si="20"/>
        <v>0</v>
      </c>
      <c r="Q57" s="5">
        <f t="shared" si="20"/>
        <v>0</v>
      </c>
      <c r="R57" s="5">
        <f t="shared" si="20"/>
        <v>0</v>
      </c>
      <c r="S57" s="5">
        <f t="shared" si="20"/>
        <v>0</v>
      </c>
      <c r="T57" s="5">
        <f t="shared" si="20"/>
        <v>0</v>
      </c>
      <c r="U57" s="5">
        <f t="shared" si="20"/>
        <v>0</v>
      </c>
      <c r="V57" s="5">
        <f t="shared" si="20"/>
        <v>0</v>
      </c>
      <c r="W57" s="5">
        <f t="shared" si="20"/>
        <v>0</v>
      </c>
      <c r="X57" s="5">
        <f t="shared" si="20"/>
        <v>0</v>
      </c>
    </row>
    <row r="58" spans="2:24">
      <c r="B58" s="460" t="s">
        <v>744</v>
      </c>
      <c r="C58" s="8"/>
      <c r="F58" s="459"/>
      <c r="G58" s="459"/>
      <c r="H58" s="459"/>
      <c r="K58" s="346"/>
      <c r="L58" s="346"/>
      <c r="M58" s="346"/>
      <c r="N58" s="346"/>
      <c r="O58" s="346"/>
      <c r="P58" s="346"/>
      <c r="Q58" s="346"/>
      <c r="R58" s="346"/>
      <c r="S58" s="346"/>
      <c r="T58" s="346"/>
      <c r="U58" s="346"/>
      <c r="V58" s="346"/>
      <c r="W58" s="346"/>
      <c r="X58" s="346"/>
    </row>
    <row r="59" spans="2:24">
      <c r="B59" s="8" t="s">
        <v>385</v>
      </c>
      <c r="C59" s="8"/>
      <c r="K59" s="5">
        <f t="shared" ref="K59:X59" si="21">IF(LataProjekcji&lt;=Koniec,ROUND(K2249,0),0)</f>
        <v>0</v>
      </c>
      <c r="L59" s="5">
        <f t="shared" si="21"/>
        <v>0</v>
      </c>
      <c r="M59" s="5">
        <f t="shared" si="21"/>
        <v>0</v>
      </c>
      <c r="N59" s="5">
        <f t="shared" si="21"/>
        <v>0</v>
      </c>
      <c r="O59" s="5">
        <f t="shared" si="21"/>
        <v>0</v>
      </c>
      <c r="P59" s="5">
        <f t="shared" si="21"/>
        <v>0</v>
      </c>
      <c r="Q59" s="5">
        <f t="shared" si="21"/>
        <v>0</v>
      </c>
      <c r="R59" s="5">
        <f t="shared" si="21"/>
        <v>0</v>
      </c>
      <c r="S59" s="5">
        <f t="shared" si="21"/>
        <v>0</v>
      </c>
      <c r="T59" s="5">
        <f t="shared" si="21"/>
        <v>0</v>
      </c>
      <c r="U59" s="5">
        <f t="shared" si="21"/>
        <v>0</v>
      </c>
      <c r="V59" s="5">
        <f t="shared" si="21"/>
        <v>0</v>
      </c>
      <c r="W59" s="5">
        <f t="shared" si="21"/>
        <v>0</v>
      </c>
      <c r="X59" s="5">
        <f t="shared" si="21"/>
        <v>0</v>
      </c>
    </row>
    <row r="60" spans="2:24">
      <c r="B60" s="96" t="s">
        <v>386</v>
      </c>
      <c r="C60" s="96"/>
      <c r="D60" s="97"/>
      <c r="E60" s="97"/>
      <c r="F60" s="97"/>
      <c r="G60" s="97"/>
      <c r="H60" s="97"/>
      <c r="I60" s="97"/>
      <c r="J60" s="97"/>
      <c r="K60" s="98">
        <f t="shared" ref="K60:X60" ca="1" si="22">IF(LataProjekcji&lt;=Koniec,ROUND(K2261,0),0)</f>
        <v>0</v>
      </c>
      <c r="L60" s="98">
        <f t="shared" ca="1" si="22"/>
        <v>0</v>
      </c>
      <c r="M60" s="98">
        <f t="shared" ca="1" si="22"/>
        <v>0</v>
      </c>
      <c r="N60" s="98">
        <f t="shared" ca="1" si="22"/>
        <v>0</v>
      </c>
      <c r="O60" s="98">
        <f t="shared" ca="1" si="22"/>
        <v>0</v>
      </c>
      <c r="P60" s="98">
        <f t="shared" ca="1" si="22"/>
        <v>0</v>
      </c>
      <c r="Q60" s="98">
        <f t="shared" ca="1" si="22"/>
        <v>0</v>
      </c>
      <c r="R60" s="98">
        <f t="shared" ca="1" si="22"/>
        <v>0</v>
      </c>
      <c r="S60" s="98">
        <f t="shared" ca="1" si="22"/>
        <v>0</v>
      </c>
      <c r="T60" s="98">
        <f t="shared" ca="1" si="22"/>
        <v>0</v>
      </c>
      <c r="U60" s="98">
        <f t="shared" ca="1" si="22"/>
        <v>0</v>
      </c>
      <c r="V60" s="98">
        <f t="shared" ca="1" si="22"/>
        <v>0</v>
      </c>
      <c r="W60" s="98">
        <f t="shared" ca="1" si="22"/>
        <v>0</v>
      </c>
      <c r="X60" s="98">
        <f t="shared" ca="1" si="22"/>
        <v>0</v>
      </c>
    </row>
    <row r="61" spans="2:24"/>
    <row r="62" spans="2:24">
      <c r="B62" s="233" t="s">
        <v>392</v>
      </c>
      <c r="C62" s="233"/>
      <c r="D62" s="234"/>
      <c r="E62" s="234"/>
      <c r="F62" s="234"/>
      <c r="G62" s="234"/>
      <c r="H62" s="234"/>
      <c r="I62" s="234"/>
      <c r="J62" s="234"/>
      <c r="K62" s="235" t="str">
        <f t="shared" ref="K62:X62" si="23">LataProjekcji</f>
        <v>Uzupełnij dane</v>
      </c>
      <c r="L62" s="235" t="str">
        <f t="shared" si="23"/>
        <v/>
      </c>
      <c r="M62" s="235" t="str">
        <f t="shared" si="23"/>
        <v/>
      </c>
      <c r="N62" s="235" t="str">
        <f t="shared" si="23"/>
        <v/>
      </c>
      <c r="O62" s="235" t="str">
        <f t="shared" si="23"/>
        <v/>
      </c>
      <c r="P62" s="235" t="str">
        <f t="shared" si="23"/>
        <v/>
      </c>
      <c r="Q62" s="235" t="str">
        <f t="shared" si="23"/>
        <v/>
      </c>
      <c r="R62" s="235" t="str">
        <f t="shared" si="23"/>
        <v/>
      </c>
      <c r="S62" s="235" t="str">
        <f t="shared" si="23"/>
        <v/>
      </c>
      <c r="T62" s="235" t="str">
        <f t="shared" si="23"/>
        <v/>
      </c>
      <c r="U62" s="235" t="str">
        <f t="shared" si="23"/>
        <v/>
      </c>
      <c r="V62" s="235" t="str">
        <f t="shared" si="23"/>
        <v/>
      </c>
      <c r="W62" s="235" t="str">
        <f t="shared" si="23"/>
        <v/>
      </c>
      <c r="X62" s="235" t="str">
        <f t="shared" si="23"/>
        <v/>
      </c>
    </row>
    <row r="63" spans="2:24">
      <c r="B63" s="8" t="s">
        <v>382</v>
      </c>
      <c r="C63" s="8"/>
      <c r="D63" s="5">
        <f>MAX('Sprawozdania finansowe'!E24,'Sprawozdania finansowe'!F24)</f>
        <v>0</v>
      </c>
      <c r="J63" s="5">
        <f>ROUND(D63,0)</f>
        <v>0</v>
      </c>
    </row>
    <row r="64" spans="2:24">
      <c r="B64" s="8" t="s">
        <v>383</v>
      </c>
      <c r="C64" s="8"/>
      <c r="D64" s="12">
        <f>am_transport</f>
        <v>0</v>
      </c>
      <c r="F64" s="459"/>
      <c r="G64" s="459"/>
      <c r="H64" s="459"/>
    </row>
    <row r="65" spans="2:24">
      <c r="B65" s="8" t="s">
        <v>743</v>
      </c>
      <c r="C65" s="8"/>
      <c r="F65" s="459"/>
      <c r="G65" s="459"/>
      <c r="H65" s="459"/>
      <c r="K65" s="5">
        <f>IF(AND(LataProjekcji&lt;=Koniec,$C$2238=1),IFERROR(ROUND(MIN($D64*$J63,$J63),0),0),0)</f>
        <v>0</v>
      </c>
      <c r="L65" s="5">
        <f t="shared" ref="L65:X65" si="24">IF(AND(LataProjekcji&lt;=Koniec,$C$2238=1),IFERROR(ROUND(MIN($D64*$J63,$J63-K67),0),0),0)</f>
        <v>0</v>
      </c>
      <c r="M65" s="5">
        <f t="shared" si="24"/>
        <v>0</v>
      </c>
      <c r="N65" s="5">
        <f t="shared" si="24"/>
        <v>0</v>
      </c>
      <c r="O65" s="5">
        <f t="shared" si="24"/>
        <v>0</v>
      </c>
      <c r="P65" s="5">
        <f t="shared" si="24"/>
        <v>0</v>
      </c>
      <c r="Q65" s="5">
        <f t="shared" si="24"/>
        <v>0</v>
      </c>
      <c r="R65" s="5">
        <f t="shared" si="24"/>
        <v>0</v>
      </c>
      <c r="S65" s="5">
        <f t="shared" si="24"/>
        <v>0</v>
      </c>
      <c r="T65" s="5">
        <f t="shared" si="24"/>
        <v>0</v>
      </c>
      <c r="U65" s="5">
        <f t="shared" si="24"/>
        <v>0</v>
      </c>
      <c r="V65" s="5">
        <f t="shared" si="24"/>
        <v>0</v>
      </c>
      <c r="W65" s="5">
        <f t="shared" si="24"/>
        <v>0</v>
      </c>
      <c r="X65" s="5">
        <f t="shared" si="24"/>
        <v>0</v>
      </c>
    </row>
    <row r="66" spans="2:24">
      <c r="B66" s="460" t="s">
        <v>744</v>
      </c>
      <c r="C66" s="8"/>
      <c r="F66" s="459"/>
      <c r="G66" s="459"/>
      <c r="H66" s="459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346"/>
      <c r="X66" s="346"/>
    </row>
    <row r="67" spans="2:24">
      <c r="B67" s="8" t="s">
        <v>385</v>
      </c>
      <c r="C67" s="8"/>
      <c r="K67" s="5">
        <f t="shared" ref="K67:X67" si="25">IF(LataProjekcji&lt;=Koniec,ROUND(K2250,0),0)</f>
        <v>0</v>
      </c>
      <c r="L67" s="5">
        <f t="shared" si="25"/>
        <v>0</v>
      </c>
      <c r="M67" s="5">
        <f t="shared" si="25"/>
        <v>0</v>
      </c>
      <c r="N67" s="5">
        <f t="shared" si="25"/>
        <v>0</v>
      </c>
      <c r="O67" s="5">
        <f t="shared" si="25"/>
        <v>0</v>
      </c>
      <c r="P67" s="5">
        <f t="shared" si="25"/>
        <v>0</v>
      </c>
      <c r="Q67" s="5">
        <f t="shared" si="25"/>
        <v>0</v>
      </c>
      <c r="R67" s="5">
        <f t="shared" si="25"/>
        <v>0</v>
      </c>
      <c r="S67" s="5">
        <f t="shared" si="25"/>
        <v>0</v>
      </c>
      <c r="T67" s="5">
        <f t="shared" si="25"/>
        <v>0</v>
      </c>
      <c r="U67" s="5">
        <f t="shared" si="25"/>
        <v>0</v>
      </c>
      <c r="V67" s="5">
        <f t="shared" si="25"/>
        <v>0</v>
      </c>
      <c r="W67" s="5">
        <f t="shared" si="25"/>
        <v>0</v>
      </c>
      <c r="X67" s="5">
        <f t="shared" si="25"/>
        <v>0</v>
      </c>
    </row>
    <row r="68" spans="2:24">
      <c r="B68" s="96" t="s">
        <v>386</v>
      </c>
      <c r="C68" s="96"/>
      <c r="D68" s="97"/>
      <c r="E68" s="97"/>
      <c r="F68" s="97"/>
      <c r="G68" s="97"/>
      <c r="H68" s="97"/>
      <c r="I68" s="97"/>
      <c r="J68" s="97"/>
      <c r="K68" s="98">
        <f t="shared" ref="K68:X68" ca="1" si="26">IF(LataProjekcji&lt;=Koniec,ROUND(K2262,0),0)</f>
        <v>0</v>
      </c>
      <c r="L68" s="98">
        <f t="shared" ca="1" si="26"/>
        <v>0</v>
      </c>
      <c r="M68" s="98">
        <f t="shared" ca="1" si="26"/>
        <v>0</v>
      </c>
      <c r="N68" s="98">
        <f t="shared" ca="1" si="26"/>
        <v>0</v>
      </c>
      <c r="O68" s="98">
        <f t="shared" ca="1" si="26"/>
        <v>0</v>
      </c>
      <c r="P68" s="98">
        <f t="shared" ca="1" si="26"/>
        <v>0</v>
      </c>
      <c r="Q68" s="98">
        <f t="shared" ca="1" si="26"/>
        <v>0</v>
      </c>
      <c r="R68" s="98">
        <f t="shared" ca="1" si="26"/>
        <v>0</v>
      </c>
      <c r="S68" s="98">
        <f t="shared" ca="1" si="26"/>
        <v>0</v>
      </c>
      <c r="T68" s="98">
        <f t="shared" ca="1" si="26"/>
        <v>0</v>
      </c>
      <c r="U68" s="98">
        <f t="shared" ca="1" si="26"/>
        <v>0</v>
      </c>
      <c r="V68" s="98">
        <f t="shared" ca="1" si="26"/>
        <v>0</v>
      </c>
      <c r="W68" s="98">
        <f t="shared" ca="1" si="26"/>
        <v>0</v>
      </c>
      <c r="X68" s="98">
        <f t="shared" ca="1" si="26"/>
        <v>0</v>
      </c>
    </row>
    <row r="69" spans="2:24"/>
    <row r="70" spans="2:24">
      <c r="B70" s="233" t="s">
        <v>393</v>
      </c>
      <c r="C70" s="233"/>
      <c r="D70" s="234"/>
      <c r="E70" s="234"/>
      <c r="F70" s="234"/>
      <c r="G70" s="234"/>
      <c r="H70" s="234"/>
      <c r="I70" s="234"/>
      <c r="J70" s="234"/>
      <c r="K70" s="235" t="str">
        <f t="shared" ref="K70:X70" si="27">LataProjekcji</f>
        <v>Uzupełnij dane</v>
      </c>
      <c r="L70" s="235" t="str">
        <f t="shared" si="27"/>
        <v/>
      </c>
      <c r="M70" s="235" t="str">
        <f t="shared" si="27"/>
        <v/>
      </c>
      <c r="N70" s="235" t="str">
        <f t="shared" si="27"/>
        <v/>
      </c>
      <c r="O70" s="235" t="str">
        <f t="shared" si="27"/>
        <v/>
      </c>
      <c r="P70" s="235" t="str">
        <f t="shared" si="27"/>
        <v/>
      </c>
      <c r="Q70" s="235" t="str">
        <f t="shared" si="27"/>
        <v/>
      </c>
      <c r="R70" s="235" t="str">
        <f t="shared" si="27"/>
        <v/>
      </c>
      <c r="S70" s="235" t="str">
        <f t="shared" si="27"/>
        <v/>
      </c>
      <c r="T70" s="235" t="str">
        <f t="shared" si="27"/>
        <v/>
      </c>
      <c r="U70" s="235" t="str">
        <f t="shared" si="27"/>
        <v/>
      </c>
      <c r="V70" s="235" t="str">
        <f t="shared" si="27"/>
        <v/>
      </c>
      <c r="W70" s="235" t="str">
        <f t="shared" si="27"/>
        <v/>
      </c>
      <c r="X70" s="235" t="str">
        <f t="shared" si="27"/>
        <v/>
      </c>
    </row>
    <row r="71" spans="2:24">
      <c r="B71" s="8" t="s">
        <v>382</v>
      </c>
      <c r="C71" s="8"/>
      <c r="D71" s="5">
        <f>MAX('Sprawozdania finansowe'!E25,'Sprawozdania finansowe'!F25)</f>
        <v>0</v>
      </c>
      <c r="J71" s="5">
        <f>ROUND(D71,0)</f>
        <v>0</v>
      </c>
    </row>
    <row r="72" spans="2:24">
      <c r="B72" s="8" t="s">
        <v>383</v>
      </c>
      <c r="C72" s="8"/>
      <c r="D72" s="12">
        <f>am_inneST</f>
        <v>0</v>
      </c>
      <c r="F72" s="459"/>
      <c r="G72" s="459"/>
      <c r="H72" s="459"/>
    </row>
    <row r="73" spans="2:24">
      <c r="B73" s="8" t="s">
        <v>743</v>
      </c>
      <c r="C73" s="8"/>
      <c r="F73" s="459"/>
      <c r="G73" s="459"/>
      <c r="H73" s="459"/>
      <c r="K73" s="5">
        <f>IF(AND(LataProjekcji&lt;=Koniec,$C$2239=1),IFERROR(ROUND(MIN($D72*$J71,$J71),0),0),0)</f>
        <v>0</v>
      </c>
      <c r="L73" s="5">
        <f t="shared" ref="L73:X73" si="28">IF(AND(LataProjekcji&lt;=Koniec,$C$2239=1),IFERROR(ROUND(MIN($D72*$J71,$J71-K75),0),0),0)</f>
        <v>0</v>
      </c>
      <c r="M73" s="5">
        <f t="shared" si="28"/>
        <v>0</v>
      </c>
      <c r="N73" s="5">
        <f t="shared" si="28"/>
        <v>0</v>
      </c>
      <c r="O73" s="5">
        <f t="shared" si="28"/>
        <v>0</v>
      </c>
      <c r="P73" s="5">
        <f t="shared" si="28"/>
        <v>0</v>
      </c>
      <c r="Q73" s="5">
        <f t="shared" si="28"/>
        <v>0</v>
      </c>
      <c r="R73" s="5">
        <f t="shared" si="28"/>
        <v>0</v>
      </c>
      <c r="S73" s="5">
        <f t="shared" si="28"/>
        <v>0</v>
      </c>
      <c r="T73" s="5">
        <f t="shared" si="28"/>
        <v>0</v>
      </c>
      <c r="U73" s="5">
        <f t="shared" si="28"/>
        <v>0</v>
      </c>
      <c r="V73" s="5">
        <f t="shared" si="28"/>
        <v>0</v>
      </c>
      <c r="W73" s="5">
        <f t="shared" si="28"/>
        <v>0</v>
      </c>
      <c r="X73" s="5">
        <f t="shared" si="28"/>
        <v>0</v>
      </c>
    </row>
    <row r="74" spans="2:24">
      <c r="B74" s="460" t="s">
        <v>744</v>
      </c>
      <c r="C74" s="8"/>
      <c r="F74" s="459"/>
      <c r="G74" s="459"/>
      <c r="H74" s="459"/>
      <c r="K74" s="346"/>
      <c r="L74" s="346"/>
      <c r="M74" s="346"/>
      <c r="N74" s="346"/>
      <c r="O74" s="346"/>
      <c r="P74" s="346"/>
      <c r="Q74" s="346"/>
      <c r="R74" s="346"/>
      <c r="S74" s="346"/>
      <c r="T74" s="346"/>
      <c r="U74" s="346"/>
      <c r="V74" s="346"/>
      <c r="W74" s="346"/>
      <c r="X74" s="346"/>
    </row>
    <row r="75" spans="2:24">
      <c r="B75" s="8" t="s">
        <v>385</v>
      </c>
      <c r="C75" s="8"/>
      <c r="K75" s="5">
        <f t="shared" ref="K75:X75" si="29">IF(LataProjekcji&lt;=Koniec,ROUND(K2251,0),0)</f>
        <v>0</v>
      </c>
      <c r="L75" s="5">
        <f t="shared" si="29"/>
        <v>0</v>
      </c>
      <c r="M75" s="5">
        <f t="shared" si="29"/>
        <v>0</v>
      </c>
      <c r="N75" s="5">
        <f t="shared" si="29"/>
        <v>0</v>
      </c>
      <c r="O75" s="5">
        <f t="shared" si="29"/>
        <v>0</v>
      </c>
      <c r="P75" s="5">
        <f t="shared" si="29"/>
        <v>0</v>
      </c>
      <c r="Q75" s="5">
        <f t="shared" si="29"/>
        <v>0</v>
      </c>
      <c r="R75" s="5">
        <f t="shared" si="29"/>
        <v>0</v>
      </c>
      <c r="S75" s="5">
        <f t="shared" si="29"/>
        <v>0</v>
      </c>
      <c r="T75" s="5">
        <f t="shared" si="29"/>
        <v>0</v>
      </c>
      <c r="U75" s="5">
        <f t="shared" si="29"/>
        <v>0</v>
      </c>
      <c r="V75" s="5">
        <f t="shared" si="29"/>
        <v>0</v>
      </c>
      <c r="W75" s="5">
        <f t="shared" si="29"/>
        <v>0</v>
      </c>
      <c r="X75" s="5">
        <f t="shared" si="29"/>
        <v>0</v>
      </c>
    </row>
    <row r="76" spans="2:24">
      <c r="B76" s="96" t="s">
        <v>386</v>
      </c>
      <c r="C76" s="96"/>
      <c r="D76" s="97"/>
      <c r="E76" s="97"/>
      <c r="F76" s="97"/>
      <c r="G76" s="97"/>
      <c r="H76" s="97"/>
      <c r="I76" s="97"/>
      <c r="J76" s="97"/>
      <c r="K76" s="98">
        <f t="shared" ref="K76:X76" ca="1" si="30">IF(LataProjekcji&lt;=Koniec,ROUND(K2263,0),0)</f>
        <v>0</v>
      </c>
      <c r="L76" s="98">
        <f t="shared" ca="1" si="30"/>
        <v>0</v>
      </c>
      <c r="M76" s="98">
        <f t="shared" ca="1" si="30"/>
        <v>0</v>
      </c>
      <c r="N76" s="98">
        <f t="shared" ca="1" si="30"/>
        <v>0</v>
      </c>
      <c r="O76" s="98">
        <f t="shared" ca="1" si="30"/>
        <v>0</v>
      </c>
      <c r="P76" s="98">
        <f t="shared" ca="1" si="30"/>
        <v>0</v>
      </c>
      <c r="Q76" s="98">
        <f t="shared" ca="1" si="30"/>
        <v>0</v>
      </c>
      <c r="R76" s="98">
        <f t="shared" ca="1" si="30"/>
        <v>0</v>
      </c>
      <c r="S76" s="98">
        <f t="shared" ca="1" si="30"/>
        <v>0</v>
      </c>
      <c r="T76" s="98">
        <f t="shared" ca="1" si="30"/>
        <v>0</v>
      </c>
      <c r="U76" s="98">
        <f t="shared" ca="1" si="30"/>
        <v>0</v>
      </c>
      <c r="V76" s="98">
        <f t="shared" ca="1" si="30"/>
        <v>0</v>
      </c>
      <c r="W76" s="98">
        <f t="shared" ca="1" si="30"/>
        <v>0</v>
      </c>
      <c r="X76" s="98">
        <f t="shared" ca="1" si="30"/>
        <v>0</v>
      </c>
    </row>
    <row r="77" spans="2:24"/>
    <row r="78" spans="2:24" customFormat="1"/>
    <row r="79" spans="2:24" customFormat="1">
      <c r="B79" s="29" t="s">
        <v>394</v>
      </c>
      <c r="C79" s="29"/>
      <c r="D79" s="30"/>
      <c r="E79" s="30"/>
      <c r="F79" s="30"/>
      <c r="G79" s="30"/>
      <c r="H79" s="30"/>
      <c r="I79" s="30"/>
      <c r="J79" s="30"/>
      <c r="K79" s="156" t="str">
        <f t="shared" ref="K79:X79" si="31">LataProjekcji</f>
        <v>Uzupełnij dane</v>
      </c>
      <c r="L79" s="156" t="str">
        <f t="shared" si="31"/>
        <v/>
      </c>
      <c r="M79" s="156" t="str">
        <f t="shared" si="31"/>
        <v/>
      </c>
      <c r="N79" s="156" t="str">
        <f t="shared" si="31"/>
        <v/>
      </c>
      <c r="O79" s="156" t="str">
        <f t="shared" si="31"/>
        <v/>
      </c>
      <c r="P79" s="156" t="str">
        <f t="shared" si="31"/>
        <v/>
      </c>
      <c r="Q79" s="156" t="str">
        <f t="shared" si="31"/>
        <v/>
      </c>
      <c r="R79" s="156" t="str">
        <f t="shared" si="31"/>
        <v/>
      </c>
      <c r="S79" s="156" t="str">
        <f t="shared" si="31"/>
        <v/>
      </c>
      <c r="T79" s="156" t="str">
        <f t="shared" si="31"/>
        <v/>
      </c>
      <c r="U79" s="156" t="str">
        <f t="shared" si="31"/>
        <v/>
      </c>
      <c r="V79" s="156" t="str">
        <f t="shared" si="31"/>
        <v/>
      </c>
      <c r="W79" s="156" t="str">
        <f t="shared" si="31"/>
        <v/>
      </c>
      <c r="X79" s="156" t="str">
        <f t="shared" si="31"/>
        <v/>
      </c>
    </row>
    <row r="80" spans="2:24" customFormat="1">
      <c r="B80" s="29" t="s">
        <v>395</v>
      </c>
      <c r="C80" s="29"/>
      <c r="D80" s="30"/>
      <c r="E80" s="30"/>
      <c r="F80" s="30"/>
      <c r="G80" s="30"/>
      <c r="H80" s="30"/>
      <c r="I80" s="30"/>
      <c r="J80" s="30"/>
      <c r="K80" s="31">
        <f ca="1">ROUND(SUM(K81:K83),0)</f>
        <v>0</v>
      </c>
      <c r="L80" s="31">
        <f t="shared" ref="L80:X80" ca="1" si="32">ROUND(SUM(L81:L83),0)</f>
        <v>0</v>
      </c>
      <c r="M80" s="31">
        <f t="shared" ca="1" si="32"/>
        <v>0</v>
      </c>
      <c r="N80" s="31">
        <f t="shared" ca="1" si="32"/>
        <v>0</v>
      </c>
      <c r="O80" s="31">
        <f t="shared" ca="1" si="32"/>
        <v>0</v>
      </c>
      <c r="P80" s="31">
        <f t="shared" ca="1" si="32"/>
        <v>0</v>
      </c>
      <c r="Q80" s="31">
        <f t="shared" ca="1" si="32"/>
        <v>0</v>
      </c>
      <c r="R80" s="31">
        <f t="shared" ca="1" si="32"/>
        <v>0</v>
      </c>
      <c r="S80" s="31">
        <f t="shared" ca="1" si="32"/>
        <v>0</v>
      </c>
      <c r="T80" s="31">
        <f t="shared" ca="1" si="32"/>
        <v>0</v>
      </c>
      <c r="U80" s="31">
        <f t="shared" ca="1" si="32"/>
        <v>0</v>
      </c>
      <c r="V80" s="31">
        <f t="shared" ca="1" si="32"/>
        <v>0</v>
      </c>
      <c r="W80" s="31">
        <f t="shared" ca="1" si="32"/>
        <v>0</v>
      </c>
      <c r="X80" s="31">
        <f t="shared" ca="1" si="32"/>
        <v>0</v>
      </c>
    </row>
    <row r="81" spans="2:24" customFormat="1">
      <c r="B81" s="104" t="s">
        <v>396</v>
      </c>
      <c r="C81" s="104"/>
      <c r="D81" s="102"/>
      <c r="E81" s="102"/>
      <c r="F81" s="102"/>
      <c r="G81" s="102"/>
      <c r="H81" s="102"/>
      <c r="I81" s="102"/>
      <c r="J81" s="102"/>
      <c r="K81" s="103">
        <f t="shared" ref="K81" ca="1" si="33">ROUND(K20,0)</f>
        <v>0</v>
      </c>
      <c r="L81" s="103">
        <f t="shared" ref="L81:X81" ca="1" si="34">ROUND(L20,0)</f>
        <v>0</v>
      </c>
      <c r="M81" s="103">
        <f t="shared" ca="1" si="34"/>
        <v>0</v>
      </c>
      <c r="N81" s="103">
        <f t="shared" ca="1" si="34"/>
        <v>0</v>
      </c>
      <c r="O81" s="103">
        <f t="shared" ca="1" si="34"/>
        <v>0</v>
      </c>
      <c r="P81" s="103">
        <f t="shared" ca="1" si="34"/>
        <v>0</v>
      </c>
      <c r="Q81" s="103">
        <f t="shared" ca="1" si="34"/>
        <v>0</v>
      </c>
      <c r="R81" s="103">
        <f t="shared" ca="1" si="34"/>
        <v>0</v>
      </c>
      <c r="S81" s="103">
        <f t="shared" ca="1" si="34"/>
        <v>0</v>
      </c>
      <c r="T81" s="103">
        <f t="shared" ca="1" si="34"/>
        <v>0</v>
      </c>
      <c r="U81" s="103">
        <f t="shared" ca="1" si="34"/>
        <v>0</v>
      </c>
      <c r="V81" s="103">
        <f t="shared" ca="1" si="34"/>
        <v>0</v>
      </c>
      <c r="W81" s="103">
        <f t="shared" ca="1" si="34"/>
        <v>0</v>
      </c>
      <c r="X81" s="103">
        <f t="shared" ca="1" si="34"/>
        <v>0</v>
      </c>
    </row>
    <row r="82" spans="2:24">
      <c r="B82" s="37" t="s">
        <v>397</v>
      </c>
      <c r="C82" s="37"/>
      <c r="D82" s="52"/>
      <c r="E82" s="52"/>
      <c r="F82" s="52"/>
      <c r="G82" s="52"/>
      <c r="H82" s="52"/>
      <c r="I82" s="52"/>
      <c r="J82" s="52"/>
      <c r="K82" s="33">
        <f t="shared" ref="K82" ca="1" si="35">ROUND(K28,0)</f>
        <v>0</v>
      </c>
      <c r="L82" s="33">
        <f t="shared" ref="L82:X82" ca="1" si="36">ROUND(L28,0)</f>
        <v>0</v>
      </c>
      <c r="M82" s="33">
        <f t="shared" ca="1" si="36"/>
        <v>0</v>
      </c>
      <c r="N82" s="33">
        <f t="shared" ca="1" si="36"/>
        <v>0</v>
      </c>
      <c r="O82" s="33">
        <f t="shared" ca="1" si="36"/>
        <v>0</v>
      </c>
      <c r="P82" s="33">
        <f t="shared" ca="1" si="36"/>
        <v>0</v>
      </c>
      <c r="Q82" s="33">
        <f t="shared" ca="1" si="36"/>
        <v>0</v>
      </c>
      <c r="R82" s="33">
        <f t="shared" ca="1" si="36"/>
        <v>0</v>
      </c>
      <c r="S82" s="33">
        <f t="shared" ca="1" si="36"/>
        <v>0</v>
      </c>
      <c r="T82" s="33">
        <f t="shared" ca="1" si="36"/>
        <v>0</v>
      </c>
      <c r="U82" s="33">
        <f t="shared" ca="1" si="36"/>
        <v>0</v>
      </c>
      <c r="V82" s="33">
        <f t="shared" ca="1" si="36"/>
        <v>0</v>
      </c>
      <c r="W82" s="33">
        <f t="shared" ca="1" si="36"/>
        <v>0</v>
      </c>
      <c r="X82" s="33">
        <f t="shared" ca="1" si="36"/>
        <v>0</v>
      </c>
    </row>
    <row r="83" spans="2:24">
      <c r="B83" s="105" t="s">
        <v>398</v>
      </c>
      <c r="C83" s="105"/>
      <c r="D83" s="106"/>
      <c r="E83" s="106"/>
      <c r="F83" s="106"/>
      <c r="G83" s="106"/>
      <c r="H83" s="106"/>
      <c r="I83" s="106"/>
      <c r="J83" s="106"/>
      <c r="K83" s="107">
        <f t="shared" ref="K83" ca="1" si="37">ROUND(K36,0)</f>
        <v>0</v>
      </c>
      <c r="L83" s="107">
        <f t="shared" ref="L83:X83" ca="1" si="38">ROUND(L36,0)</f>
        <v>0</v>
      </c>
      <c r="M83" s="107">
        <f t="shared" ca="1" si="38"/>
        <v>0</v>
      </c>
      <c r="N83" s="107">
        <f t="shared" ca="1" si="38"/>
        <v>0</v>
      </c>
      <c r="O83" s="107">
        <f t="shared" ca="1" si="38"/>
        <v>0</v>
      </c>
      <c r="P83" s="107">
        <f t="shared" ca="1" si="38"/>
        <v>0</v>
      </c>
      <c r="Q83" s="107">
        <f t="shared" ca="1" si="38"/>
        <v>0</v>
      </c>
      <c r="R83" s="107">
        <f t="shared" ca="1" si="38"/>
        <v>0</v>
      </c>
      <c r="S83" s="107">
        <f t="shared" ca="1" si="38"/>
        <v>0</v>
      </c>
      <c r="T83" s="107">
        <f t="shared" ca="1" si="38"/>
        <v>0</v>
      </c>
      <c r="U83" s="107">
        <f t="shared" ca="1" si="38"/>
        <v>0</v>
      </c>
      <c r="V83" s="107">
        <f t="shared" ca="1" si="38"/>
        <v>0</v>
      </c>
      <c r="W83" s="107">
        <f t="shared" ca="1" si="38"/>
        <v>0</v>
      </c>
      <c r="X83" s="107">
        <f t="shared" ca="1" si="38"/>
        <v>0</v>
      </c>
    </row>
    <row r="84" spans="2:24">
      <c r="B84" s="99" t="s">
        <v>399</v>
      </c>
      <c r="C84" s="99"/>
      <c r="D84" s="97"/>
      <c r="E84" s="97"/>
      <c r="F84" s="97"/>
      <c r="G84" s="97"/>
      <c r="H84" s="97"/>
      <c r="I84" s="97"/>
      <c r="J84" s="97"/>
      <c r="K84" s="98">
        <f ca="1">ROUND(SUM(K85:K89),0)</f>
        <v>0</v>
      </c>
      <c r="L84" s="98">
        <f t="shared" ref="L84:X84" ca="1" si="39">ROUND(SUM(L85:L89),0)</f>
        <v>0</v>
      </c>
      <c r="M84" s="98">
        <f t="shared" ca="1" si="39"/>
        <v>0</v>
      </c>
      <c r="N84" s="98">
        <f t="shared" ca="1" si="39"/>
        <v>0</v>
      </c>
      <c r="O84" s="98">
        <f t="shared" ca="1" si="39"/>
        <v>0</v>
      </c>
      <c r="P84" s="98">
        <f t="shared" ca="1" si="39"/>
        <v>0</v>
      </c>
      <c r="Q84" s="98">
        <f t="shared" ca="1" si="39"/>
        <v>0</v>
      </c>
      <c r="R84" s="98">
        <f t="shared" ca="1" si="39"/>
        <v>0</v>
      </c>
      <c r="S84" s="98">
        <f t="shared" ca="1" si="39"/>
        <v>0</v>
      </c>
      <c r="T84" s="98">
        <f t="shared" ca="1" si="39"/>
        <v>0</v>
      </c>
      <c r="U84" s="98">
        <f t="shared" ca="1" si="39"/>
        <v>0</v>
      </c>
      <c r="V84" s="98">
        <f t="shared" ca="1" si="39"/>
        <v>0</v>
      </c>
      <c r="W84" s="98">
        <f t="shared" ca="1" si="39"/>
        <v>0</v>
      </c>
      <c r="X84" s="98">
        <f t="shared" ca="1" si="39"/>
        <v>0</v>
      </c>
    </row>
    <row r="85" spans="2:24">
      <c r="B85" s="104" t="s">
        <v>400</v>
      </c>
      <c r="C85" s="104"/>
      <c r="D85" s="102"/>
      <c r="E85" s="102"/>
      <c r="F85" s="102"/>
      <c r="G85" s="102"/>
      <c r="H85" s="102"/>
      <c r="I85" s="102"/>
      <c r="J85" s="102"/>
      <c r="K85" s="103">
        <f t="shared" ref="K85" ca="1" si="40">ROUND(K44,0)</f>
        <v>0</v>
      </c>
      <c r="L85" s="103">
        <f t="shared" ref="L85:X85" ca="1" si="41">ROUND(L44,0)</f>
        <v>0</v>
      </c>
      <c r="M85" s="103">
        <f t="shared" ca="1" si="41"/>
        <v>0</v>
      </c>
      <c r="N85" s="103">
        <f t="shared" ca="1" si="41"/>
        <v>0</v>
      </c>
      <c r="O85" s="103">
        <f t="shared" ca="1" si="41"/>
        <v>0</v>
      </c>
      <c r="P85" s="103">
        <f t="shared" ca="1" si="41"/>
        <v>0</v>
      </c>
      <c r="Q85" s="103">
        <f t="shared" ca="1" si="41"/>
        <v>0</v>
      </c>
      <c r="R85" s="103">
        <f t="shared" ca="1" si="41"/>
        <v>0</v>
      </c>
      <c r="S85" s="103">
        <f t="shared" ca="1" si="41"/>
        <v>0</v>
      </c>
      <c r="T85" s="103">
        <f t="shared" ca="1" si="41"/>
        <v>0</v>
      </c>
      <c r="U85" s="103">
        <f t="shared" ca="1" si="41"/>
        <v>0</v>
      </c>
      <c r="V85" s="103">
        <f t="shared" ca="1" si="41"/>
        <v>0</v>
      </c>
      <c r="W85" s="103">
        <f t="shared" ca="1" si="41"/>
        <v>0</v>
      </c>
      <c r="X85" s="103">
        <f t="shared" ca="1" si="41"/>
        <v>0</v>
      </c>
    </row>
    <row r="86" spans="2:24">
      <c r="B86" s="37" t="s">
        <v>401</v>
      </c>
      <c r="C86" s="37"/>
      <c r="D86" s="52"/>
      <c r="E86" s="52"/>
      <c r="F86" s="52"/>
      <c r="G86" s="52"/>
      <c r="H86" s="52"/>
      <c r="I86" s="52"/>
      <c r="J86" s="52"/>
      <c r="K86" s="33">
        <f t="shared" ref="K86" ca="1" si="42">ROUND(K52,0)</f>
        <v>0</v>
      </c>
      <c r="L86" s="33">
        <f t="shared" ref="L86:X86" ca="1" si="43">ROUND(L52,0)</f>
        <v>0</v>
      </c>
      <c r="M86" s="33">
        <f t="shared" ca="1" si="43"/>
        <v>0</v>
      </c>
      <c r="N86" s="33">
        <f t="shared" ca="1" si="43"/>
        <v>0</v>
      </c>
      <c r="O86" s="33">
        <f t="shared" ca="1" si="43"/>
        <v>0</v>
      </c>
      <c r="P86" s="33">
        <f t="shared" ca="1" si="43"/>
        <v>0</v>
      </c>
      <c r="Q86" s="33">
        <f t="shared" ca="1" si="43"/>
        <v>0</v>
      </c>
      <c r="R86" s="33">
        <f t="shared" ca="1" si="43"/>
        <v>0</v>
      </c>
      <c r="S86" s="33">
        <f t="shared" ca="1" si="43"/>
        <v>0</v>
      </c>
      <c r="T86" s="33">
        <f t="shared" ca="1" si="43"/>
        <v>0</v>
      </c>
      <c r="U86" s="33">
        <f t="shared" ca="1" si="43"/>
        <v>0</v>
      </c>
      <c r="V86" s="33">
        <f t="shared" ca="1" si="43"/>
        <v>0</v>
      </c>
      <c r="W86" s="33">
        <f t="shared" ca="1" si="43"/>
        <v>0</v>
      </c>
      <c r="X86" s="33">
        <f t="shared" ca="1" si="43"/>
        <v>0</v>
      </c>
    </row>
    <row r="87" spans="2:24">
      <c r="B87" s="37" t="s">
        <v>402</v>
      </c>
      <c r="C87" s="37"/>
      <c r="D87" s="52"/>
      <c r="E87" s="52"/>
      <c r="F87" s="52"/>
      <c r="G87" s="52"/>
      <c r="H87" s="52"/>
      <c r="I87" s="52"/>
      <c r="J87" s="52"/>
      <c r="K87" s="33">
        <f t="shared" ref="K87" ca="1" si="44">ROUND(K60,0)</f>
        <v>0</v>
      </c>
      <c r="L87" s="33">
        <f t="shared" ref="L87:X87" ca="1" si="45">ROUND(L60,0)</f>
        <v>0</v>
      </c>
      <c r="M87" s="33">
        <f t="shared" ca="1" si="45"/>
        <v>0</v>
      </c>
      <c r="N87" s="33">
        <f t="shared" ca="1" si="45"/>
        <v>0</v>
      </c>
      <c r="O87" s="33">
        <f t="shared" ca="1" si="45"/>
        <v>0</v>
      </c>
      <c r="P87" s="33">
        <f t="shared" ca="1" si="45"/>
        <v>0</v>
      </c>
      <c r="Q87" s="33">
        <f t="shared" ca="1" si="45"/>
        <v>0</v>
      </c>
      <c r="R87" s="33">
        <f t="shared" ca="1" si="45"/>
        <v>0</v>
      </c>
      <c r="S87" s="33">
        <f t="shared" ca="1" si="45"/>
        <v>0</v>
      </c>
      <c r="T87" s="33">
        <f t="shared" ca="1" si="45"/>
        <v>0</v>
      </c>
      <c r="U87" s="33">
        <f t="shared" ca="1" si="45"/>
        <v>0</v>
      </c>
      <c r="V87" s="33">
        <f t="shared" ca="1" si="45"/>
        <v>0</v>
      </c>
      <c r="W87" s="33">
        <f t="shared" ca="1" si="45"/>
        <v>0</v>
      </c>
      <c r="X87" s="33">
        <f t="shared" ca="1" si="45"/>
        <v>0</v>
      </c>
    </row>
    <row r="88" spans="2:24">
      <c r="B88" s="37" t="s">
        <v>403</v>
      </c>
      <c r="C88" s="37"/>
      <c r="D88" s="52"/>
      <c r="E88" s="52"/>
      <c r="F88" s="52"/>
      <c r="G88" s="52"/>
      <c r="H88" s="52"/>
      <c r="I88" s="52"/>
      <c r="J88" s="52"/>
      <c r="K88" s="33">
        <f t="shared" ref="K88" ca="1" si="46">ROUND(K68,0)</f>
        <v>0</v>
      </c>
      <c r="L88" s="33">
        <f t="shared" ref="L88:X88" ca="1" si="47">ROUND(L68,0)</f>
        <v>0</v>
      </c>
      <c r="M88" s="33">
        <f t="shared" ca="1" si="47"/>
        <v>0</v>
      </c>
      <c r="N88" s="33">
        <f t="shared" ca="1" si="47"/>
        <v>0</v>
      </c>
      <c r="O88" s="33">
        <f t="shared" ca="1" si="47"/>
        <v>0</v>
      </c>
      <c r="P88" s="33">
        <f t="shared" ca="1" si="47"/>
        <v>0</v>
      </c>
      <c r="Q88" s="33">
        <f t="shared" ca="1" si="47"/>
        <v>0</v>
      </c>
      <c r="R88" s="33">
        <f t="shared" ca="1" si="47"/>
        <v>0</v>
      </c>
      <c r="S88" s="33">
        <f t="shared" ca="1" si="47"/>
        <v>0</v>
      </c>
      <c r="T88" s="33">
        <f t="shared" ca="1" si="47"/>
        <v>0</v>
      </c>
      <c r="U88" s="33">
        <f t="shared" ca="1" si="47"/>
        <v>0</v>
      </c>
      <c r="V88" s="33">
        <f t="shared" ca="1" si="47"/>
        <v>0</v>
      </c>
      <c r="W88" s="33">
        <f t="shared" ca="1" si="47"/>
        <v>0</v>
      </c>
      <c r="X88" s="33">
        <f t="shared" ca="1" si="47"/>
        <v>0</v>
      </c>
    </row>
    <row r="89" spans="2:24">
      <c r="B89" s="37" t="s">
        <v>404</v>
      </c>
      <c r="C89" s="37"/>
      <c r="D89" s="52"/>
      <c r="E89" s="52"/>
      <c r="F89" s="52"/>
      <c r="G89" s="52"/>
      <c r="H89" s="52"/>
      <c r="I89" s="52"/>
      <c r="J89" s="52"/>
      <c r="K89" s="33">
        <f t="shared" ref="K89" ca="1" si="48">ROUND(K76,0)</f>
        <v>0</v>
      </c>
      <c r="L89" s="33">
        <f t="shared" ref="L89:X89" ca="1" si="49">ROUND(L76,0)</f>
        <v>0</v>
      </c>
      <c r="M89" s="33">
        <f t="shared" ca="1" si="49"/>
        <v>0</v>
      </c>
      <c r="N89" s="33">
        <f t="shared" ca="1" si="49"/>
        <v>0</v>
      </c>
      <c r="O89" s="33">
        <f t="shared" ca="1" si="49"/>
        <v>0</v>
      </c>
      <c r="P89" s="33">
        <f t="shared" ca="1" si="49"/>
        <v>0</v>
      </c>
      <c r="Q89" s="33">
        <f t="shared" ca="1" si="49"/>
        <v>0</v>
      </c>
      <c r="R89" s="33">
        <f t="shared" ca="1" si="49"/>
        <v>0</v>
      </c>
      <c r="S89" s="33">
        <f t="shared" ca="1" si="49"/>
        <v>0</v>
      </c>
      <c r="T89" s="33">
        <f t="shared" ca="1" si="49"/>
        <v>0</v>
      </c>
      <c r="U89" s="33">
        <f t="shared" ca="1" si="49"/>
        <v>0</v>
      </c>
      <c r="V89" s="33">
        <f t="shared" ca="1" si="49"/>
        <v>0</v>
      </c>
      <c r="W89" s="33">
        <f t="shared" ca="1" si="49"/>
        <v>0</v>
      </c>
      <c r="X89" s="33">
        <f t="shared" ca="1" si="49"/>
        <v>0</v>
      </c>
    </row>
    <row r="90" spans="2:24"/>
    <row r="91" spans="2:24">
      <c r="B91" s="99" t="s">
        <v>405</v>
      </c>
      <c r="C91" s="99"/>
      <c r="D91" s="99"/>
      <c r="E91" s="99"/>
      <c r="F91" s="99"/>
      <c r="G91" s="99"/>
      <c r="H91" s="99"/>
      <c r="I91" s="99"/>
      <c r="J91" s="99"/>
      <c r="K91" s="98">
        <f t="shared" ref="K91:X91" si="50">IF(LataProjekcji&lt;=Koniec,ROUND(K2240,0),0)</f>
        <v>0</v>
      </c>
      <c r="L91" s="98">
        <f t="shared" si="50"/>
        <v>0</v>
      </c>
      <c r="M91" s="98">
        <f t="shared" si="50"/>
        <v>0</v>
      </c>
      <c r="N91" s="98">
        <f t="shared" si="50"/>
        <v>0</v>
      </c>
      <c r="O91" s="98">
        <f t="shared" si="50"/>
        <v>0</v>
      </c>
      <c r="P91" s="98">
        <f t="shared" si="50"/>
        <v>0</v>
      </c>
      <c r="Q91" s="98">
        <f t="shared" si="50"/>
        <v>0</v>
      </c>
      <c r="R91" s="98">
        <f t="shared" si="50"/>
        <v>0</v>
      </c>
      <c r="S91" s="98">
        <f t="shared" si="50"/>
        <v>0</v>
      </c>
      <c r="T91" s="98">
        <f t="shared" si="50"/>
        <v>0</v>
      </c>
      <c r="U91" s="98">
        <f t="shared" si="50"/>
        <v>0</v>
      </c>
      <c r="V91" s="98">
        <f t="shared" si="50"/>
        <v>0</v>
      </c>
      <c r="W91" s="98">
        <f t="shared" si="50"/>
        <v>0</v>
      </c>
      <c r="X91" s="98">
        <f t="shared" si="50"/>
        <v>0</v>
      </c>
    </row>
    <row r="92" spans="2:24"/>
    <row r="93" spans="2:24"/>
    <row r="94" spans="2:24"/>
    <row r="95" spans="2:24" ht="36">
      <c r="B95" s="430" t="s">
        <v>730</v>
      </c>
      <c r="C95" s="428" t="s">
        <v>709</v>
      </c>
      <c r="D95" s="428" t="s">
        <v>406</v>
      </c>
      <c r="E95" s="428" t="s">
        <v>706</v>
      </c>
      <c r="F95" s="428" t="s">
        <v>758</v>
      </c>
      <c r="G95" s="234"/>
      <c r="H95" s="234"/>
      <c r="I95" s="234"/>
      <c r="J95" s="429" t="s">
        <v>423</v>
      </c>
      <c r="K95" s="235" t="str">
        <f t="shared" ref="K95:X95" si="51">LataProjekcji</f>
        <v>Uzupełnij dane</v>
      </c>
      <c r="L95" s="235" t="str">
        <f t="shared" si="51"/>
        <v/>
      </c>
      <c r="M95" s="235" t="str">
        <f t="shared" si="51"/>
        <v/>
      </c>
      <c r="N95" s="235" t="str">
        <f t="shared" si="51"/>
        <v/>
      </c>
      <c r="O95" s="235" t="str">
        <f t="shared" si="51"/>
        <v/>
      </c>
      <c r="P95" s="235" t="str">
        <f t="shared" si="51"/>
        <v/>
      </c>
      <c r="Q95" s="235" t="str">
        <f t="shared" si="51"/>
        <v/>
      </c>
      <c r="R95" s="235" t="str">
        <f t="shared" si="51"/>
        <v/>
      </c>
      <c r="S95" s="235" t="str">
        <f t="shared" si="51"/>
        <v/>
      </c>
      <c r="T95" s="235" t="str">
        <f t="shared" si="51"/>
        <v/>
      </c>
      <c r="U95" s="235" t="str">
        <f t="shared" si="51"/>
        <v/>
      </c>
      <c r="V95" s="235" t="str">
        <f t="shared" si="51"/>
        <v/>
      </c>
      <c r="W95" s="235" t="str">
        <f t="shared" si="51"/>
        <v/>
      </c>
      <c r="X95" s="235" t="str">
        <f t="shared" si="51"/>
        <v/>
      </c>
    </row>
    <row r="96" spans="2:24">
      <c r="B96" s="431"/>
      <c r="C96" s="306"/>
      <c r="D96" s="432"/>
      <c r="E96" s="433"/>
      <c r="F96" s="471"/>
      <c r="G96" s="102"/>
      <c r="H96" s="102"/>
      <c r="I96" s="102"/>
      <c r="J96" s="434" t="str" cm="1">
        <f t="array" ref="J96">IF(SUMPRODUCT(ISBLANK(B96:E96)*1)=4,"wstaw dane",IF(AND(SUMPRODUCT(ISBLANK(B96:E96)*1)&gt;0,SUMPRODUCT(ISBLANK(B96:E96)*1)&lt;4),"uzupełnij dane","ok"))</f>
        <v>wstaw dane</v>
      </c>
      <c r="K96" s="435">
        <f t="shared" ref="K96:X135" si="52">ROUND(IF(AND(YEAR($E96)=LataProjekcji,$D96&gt;0,$J96="ok"),$D96,0),0)</f>
        <v>0</v>
      </c>
      <c r="L96" s="435">
        <f t="shared" si="52"/>
        <v>0</v>
      </c>
      <c r="M96" s="435">
        <f t="shared" si="52"/>
        <v>0</v>
      </c>
      <c r="N96" s="435">
        <f t="shared" si="52"/>
        <v>0</v>
      </c>
      <c r="O96" s="435">
        <f t="shared" si="52"/>
        <v>0</v>
      </c>
      <c r="P96" s="435">
        <f t="shared" si="52"/>
        <v>0</v>
      </c>
      <c r="Q96" s="435">
        <f t="shared" si="52"/>
        <v>0</v>
      </c>
      <c r="R96" s="435">
        <f t="shared" si="52"/>
        <v>0</v>
      </c>
      <c r="S96" s="435">
        <f t="shared" si="52"/>
        <v>0</v>
      </c>
      <c r="T96" s="435">
        <f t="shared" si="52"/>
        <v>0</v>
      </c>
      <c r="U96" s="435">
        <f t="shared" si="52"/>
        <v>0</v>
      </c>
      <c r="V96" s="435">
        <f t="shared" si="52"/>
        <v>0</v>
      </c>
      <c r="W96" s="435">
        <f t="shared" si="52"/>
        <v>0</v>
      </c>
      <c r="X96" s="435">
        <f t="shared" si="52"/>
        <v>0</v>
      </c>
    </row>
    <row r="97" spans="2:24">
      <c r="B97" s="305"/>
      <c r="C97" s="306"/>
      <c r="D97" s="288"/>
      <c r="E97" s="390"/>
      <c r="F97" s="472"/>
      <c r="G97" s="52"/>
      <c r="H97" s="52"/>
      <c r="I97" s="52"/>
      <c r="J97" s="203" t="str" cm="1">
        <f t="array" ref="J97">IF(SUMPRODUCT(ISBLANK(B97:E97)*1)=4,"wstaw dane",IF(AND(SUMPRODUCT(ISBLANK(B97:E97)*1)&gt;0,SUMPRODUCT(ISBLANK(B97:E97)*1)&lt;4),"uzupełnij dane","ok"))</f>
        <v>wstaw dane</v>
      </c>
      <c r="K97" s="33">
        <f t="shared" si="52"/>
        <v>0</v>
      </c>
      <c r="L97" s="33">
        <f t="shared" si="52"/>
        <v>0</v>
      </c>
      <c r="M97" s="33">
        <f t="shared" si="52"/>
        <v>0</v>
      </c>
      <c r="N97" s="33">
        <f t="shared" si="52"/>
        <v>0</v>
      </c>
      <c r="O97" s="33">
        <f t="shared" si="52"/>
        <v>0</v>
      </c>
      <c r="P97" s="33">
        <f t="shared" si="52"/>
        <v>0</v>
      </c>
      <c r="Q97" s="33">
        <f t="shared" si="52"/>
        <v>0</v>
      </c>
      <c r="R97" s="33">
        <f t="shared" si="52"/>
        <v>0</v>
      </c>
      <c r="S97" s="33">
        <f t="shared" si="52"/>
        <v>0</v>
      </c>
      <c r="T97" s="33">
        <f t="shared" si="52"/>
        <v>0</v>
      </c>
      <c r="U97" s="33">
        <f t="shared" si="52"/>
        <v>0</v>
      </c>
      <c r="V97" s="33">
        <f t="shared" si="52"/>
        <v>0</v>
      </c>
      <c r="W97" s="33">
        <f t="shared" si="52"/>
        <v>0</v>
      </c>
      <c r="X97" s="33">
        <f t="shared" si="52"/>
        <v>0</v>
      </c>
    </row>
    <row r="98" spans="2:24">
      <c r="B98" s="305"/>
      <c r="C98" s="306"/>
      <c r="D98" s="288"/>
      <c r="E98" s="390"/>
      <c r="F98" s="472"/>
      <c r="G98" s="52"/>
      <c r="H98" s="52"/>
      <c r="I98" s="52"/>
      <c r="J98" s="203" t="str" cm="1">
        <f t="array" ref="J98">IF(SUMPRODUCT(ISBLANK(B98:E98)*1)=4,"wstaw dane",IF(AND(SUMPRODUCT(ISBLANK(B98:E98)*1)&gt;0,SUMPRODUCT(ISBLANK(B98:E98)*1)&lt;4),"uzupełnij dane","ok"))</f>
        <v>wstaw dane</v>
      </c>
      <c r="K98" s="33">
        <f t="shared" si="52"/>
        <v>0</v>
      </c>
      <c r="L98" s="33">
        <f t="shared" si="52"/>
        <v>0</v>
      </c>
      <c r="M98" s="33">
        <f t="shared" si="52"/>
        <v>0</v>
      </c>
      <c r="N98" s="33">
        <f t="shared" si="52"/>
        <v>0</v>
      </c>
      <c r="O98" s="33">
        <f t="shared" si="52"/>
        <v>0</v>
      </c>
      <c r="P98" s="33">
        <f t="shared" si="52"/>
        <v>0</v>
      </c>
      <c r="Q98" s="33">
        <f t="shared" si="52"/>
        <v>0</v>
      </c>
      <c r="R98" s="33">
        <f t="shared" si="52"/>
        <v>0</v>
      </c>
      <c r="S98" s="33">
        <f t="shared" si="52"/>
        <v>0</v>
      </c>
      <c r="T98" s="33">
        <f t="shared" si="52"/>
        <v>0</v>
      </c>
      <c r="U98" s="33">
        <f t="shared" si="52"/>
        <v>0</v>
      </c>
      <c r="V98" s="33">
        <f t="shared" si="52"/>
        <v>0</v>
      </c>
      <c r="W98" s="33">
        <f t="shared" si="52"/>
        <v>0</v>
      </c>
      <c r="X98" s="33">
        <f t="shared" si="52"/>
        <v>0</v>
      </c>
    </row>
    <row r="99" spans="2:24">
      <c r="B99" s="305"/>
      <c r="C99" s="306"/>
      <c r="D99" s="288"/>
      <c r="E99" s="390"/>
      <c r="F99" s="472"/>
      <c r="G99" s="52"/>
      <c r="H99" s="52"/>
      <c r="I99" s="52"/>
      <c r="J99" s="203" t="str" cm="1">
        <f t="array" ref="J99">IF(SUMPRODUCT(ISBLANK(B99:E99)*1)=4,"wstaw dane",IF(AND(SUMPRODUCT(ISBLANK(B99:E99)*1)&gt;0,SUMPRODUCT(ISBLANK(B99:E99)*1)&lt;4),"uzupełnij dane","ok"))</f>
        <v>wstaw dane</v>
      </c>
      <c r="K99" s="33">
        <f t="shared" si="52"/>
        <v>0</v>
      </c>
      <c r="L99" s="33">
        <f t="shared" si="52"/>
        <v>0</v>
      </c>
      <c r="M99" s="33">
        <f t="shared" si="52"/>
        <v>0</v>
      </c>
      <c r="N99" s="33">
        <f t="shared" si="52"/>
        <v>0</v>
      </c>
      <c r="O99" s="33">
        <f t="shared" si="52"/>
        <v>0</v>
      </c>
      <c r="P99" s="33">
        <f t="shared" si="52"/>
        <v>0</v>
      </c>
      <c r="Q99" s="33">
        <f t="shared" si="52"/>
        <v>0</v>
      </c>
      <c r="R99" s="33">
        <f t="shared" si="52"/>
        <v>0</v>
      </c>
      <c r="S99" s="33">
        <f t="shared" si="52"/>
        <v>0</v>
      </c>
      <c r="T99" s="33">
        <f t="shared" si="52"/>
        <v>0</v>
      </c>
      <c r="U99" s="33">
        <f t="shared" si="52"/>
        <v>0</v>
      </c>
      <c r="V99" s="33">
        <f t="shared" si="52"/>
        <v>0</v>
      </c>
      <c r="W99" s="33">
        <f t="shared" si="52"/>
        <v>0</v>
      </c>
      <c r="X99" s="33">
        <f t="shared" si="52"/>
        <v>0</v>
      </c>
    </row>
    <row r="100" spans="2:24">
      <c r="B100" s="305"/>
      <c r="C100" s="306"/>
      <c r="D100" s="432"/>
      <c r="E100" s="390"/>
      <c r="F100" s="472"/>
      <c r="G100" s="52"/>
      <c r="H100" s="52"/>
      <c r="I100" s="52"/>
      <c r="J100" s="203" t="str" cm="1">
        <f t="array" ref="J100">IF(SUMPRODUCT(ISBLANK(B100:E100)*1)=4,"wstaw dane",IF(AND(SUMPRODUCT(ISBLANK(B100:E100)*1)&gt;0,SUMPRODUCT(ISBLANK(B100:E100)*1)&lt;4),"uzupełnij dane","ok"))</f>
        <v>wstaw dane</v>
      </c>
      <c r="K100" s="33">
        <f t="shared" si="52"/>
        <v>0</v>
      </c>
      <c r="L100" s="33">
        <f t="shared" si="52"/>
        <v>0</v>
      </c>
      <c r="M100" s="33">
        <f t="shared" si="52"/>
        <v>0</v>
      </c>
      <c r="N100" s="33">
        <f t="shared" si="52"/>
        <v>0</v>
      </c>
      <c r="O100" s="33">
        <f t="shared" si="52"/>
        <v>0</v>
      </c>
      <c r="P100" s="33">
        <f t="shared" si="52"/>
        <v>0</v>
      </c>
      <c r="Q100" s="33">
        <f t="shared" si="52"/>
        <v>0</v>
      </c>
      <c r="R100" s="33">
        <f t="shared" si="52"/>
        <v>0</v>
      </c>
      <c r="S100" s="33">
        <f t="shared" si="52"/>
        <v>0</v>
      </c>
      <c r="T100" s="33">
        <f t="shared" si="52"/>
        <v>0</v>
      </c>
      <c r="U100" s="33">
        <f t="shared" si="52"/>
        <v>0</v>
      </c>
      <c r="V100" s="33">
        <f t="shared" si="52"/>
        <v>0</v>
      </c>
      <c r="W100" s="33">
        <f t="shared" si="52"/>
        <v>0</v>
      </c>
      <c r="X100" s="33">
        <f t="shared" si="52"/>
        <v>0</v>
      </c>
    </row>
    <row r="101" spans="2:24">
      <c r="B101" s="305"/>
      <c r="C101" s="306"/>
      <c r="D101" s="288"/>
      <c r="E101" s="390"/>
      <c r="F101" s="472"/>
      <c r="G101" s="52"/>
      <c r="H101" s="52"/>
      <c r="I101" s="52"/>
      <c r="J101" s="203" t="str" cm="1">
        <f t="array" ref="J101">IF(SUMPRODUCT(ISBLANK(B101:E101)*1)=4,"wstaw dane",IF(AND(SUMPRODUCT(ISBLANK(B101:E101)*1)&gt;0,SUMPRODUCT(ISBLANK(B101:E101)*1)&lt;4),"uzupełnij dane","ok"))</f>
        <v>wstaw dane</v>
      </c>
      <c r="K101" s="33">
        <f t="shared" si="52"/>
        <v>0</v>
      </c>
      <c r="L101" s="33">
        <f t="shared" si="52"/>
        <v>0</v>
      </c>
      <c r="M101" s="33">
        <f t="shared" si="52"/>
        <v>0</v>
      </c>
      <c r="N101" s="33">
        <f t="shared" si="52"/>
        <v>0</v>
      </c>
      <c r="O101" s="33">
        <f t="shared" si="52"/>
        <v>0</v>
      </c>
      <c r="P101" s="33">
        <f t="shared" si="52"/>
        <v>0</v>
      </c>
      <c r="Q101" s="33">
        <f t="shared" si="52"/>
        <v>0</v>
      </c>
      <c r="R101" s="33">
        <f t="shared" si="52"/>
        <v>0</v>
      </c>
      <c r="S101" s="33">
        <f t="shared" si="52"/>
        <v>0</v>
      </c>
      <c r="T101" s="33">
        <f t="shared" si="52"/>
        <v>0</v>
      </c>
      <c r="U101" s="33">
        <f t="shared" si="52"/>
        <v>0</v>
      </c>
      <c r="V101" s="33">
        <f t="shared" si="52"/>
        <v>0</v>
      </c>
      <c r="W101" s="33">
        <f t="shared" si="52"/>
        <v>0</v>
      </c>
      <c r="X101" s="33">
        <f t="shared" si="52"/>
        <v>0</v>
      </c>
    </row>
    <row r="102" spans="2:24">
      <c r="B102" s="305"/>
      <c r="C102" s="306"/>
      <c r="D102" s="432"/>
      <c r="E102" s="390"/>
      <c r="F102" s="472"/>
      <c r="G102" s="52"/>
      <c r="H102" s="52"/>
      <c r="I102" s="52"/>
      <c r="J102" s="203" t="str" cm="1">
        <f t="array" ref="J102">IF(SUMPRODUCT(ISBLANK(B102:E102)*1)=4,"wstaw dane",IF(AND(SUMPRODUCT(ISBLANK(B102:E102)*1)&gt;0,SUMPRODUCT(ISBLANK(B102:E102)*1)&lt;4),"uzupełnij dane","ok"))</f>
        <v>wstaw dane</v>
      </c>
      <c r="K102" s="33">
        <f t="shared" si="52"/>
        <v>0</v>
      </c>
      <c r="L102" s="33">
        <f t="shared" si="52"/>
        <v>0</v>
      </c>
      <c r="M102" s="33">
        <f t="shared" si="52"/>
        <v>0</v>
      </c>
      <c r="N102" s="33">
        <f t="shared" si="52"/>
        <v>0</v>
      </c>
      <c r="O102" s="33">
        <f t="shared" si="52"/>
        <v>0</v>
      </c>
      <c r="P102" s="33">
        <f t="shared" si="52"/>
        <v>0</v>
      </c>
      <c r="Q102" s="33">
        <f t="shared" si="52"/>
        <v>0</v>
      </c>
      <c r="R102" s="33">
        <f t="shared" si="52"/>
        <v>0</v>
      </c>
      <c r="S102" s="33">
        <f t="shared" si="52"/>
        <v>0</v>
      </c>
      <c r="T102" s="33">
        <f t="shared" si="52"/>
        <v>0</v>
      </c>
      <c r="U102" s="33">
        <f t="shared" si="52"/>
        <v>0</v>
      </c>
      <c r="V102" s="33">
        <f t="shared" si="52"/>
        <v>0</v>
      </c>
      <c r="W102" s="33">
        <f t="shared" si="52"/>
        <v>0</v>
      </c>
      <c r="X102" s="33">
        <f t="shared" si="52"/>
        <v>0</v>
      </c>
    </row>
    <row r="103" spans="2:24">
      <c r="B103" s="305"/>
      <c r="C103" s="306"/>
      <c r="D103" s="288"/>
      <c r="E103" s="390"/>
      <c r="F103" s="472"/>
      <c r="G103" s="52"/>
      <c r="H103" s="52"/>
      <c r="I103" s="52"/>
      <c r="J103" s="203" t="str" cm="1">
        <f t="array" ref="J103">IF(SUMPRODUCT(ISBLANK(B103:E103)*1)=4,"wstaw dane",IF(AND(SUMPRODUCT(ISBLANK(B103:E103)*1)&gt;0,SUMPRODUCT(ISBLANK(B103:E103)*1)&lt;4),"uzupełnij dane","ok"))</f>
        <v>wstaw dane</v>
      </c>
      <c r="K103" s="33">
        <f t="shared" si="52"/>
        <v>0</v>
      </c>
      <c r="L103" s="33">
        <f t="shared" si="52"/>
        <v>0</v>
      </c>
      <c r="M103" s="33">
        <f t="shared" si="52"/>
        <v>0</v>
      </c>
      <c r="N103" s="33">
        <f t="shared" si="52"/>
        <v>0</v>
      </c>
      <c r="O103" s="33">
        <f t="shared" si="52"/>
        <v>0</v>
      </c>
      <c r="P103" s="33">
        <f t="shared" si="52"/>
        <v>0</v>
      </c>
      <c r="Q103" s="33">
        <f t="shared" si="52"/>
        <v>0</v>
      </c>
      <c r="R103" s="33">
        <f t="shared" si="52"/>
        <v>0</v>
      </c>
      <c r="S103" s="33">
        <f t="shared" si="52"/>
        <v>0</v>
      </c>
      <c r="T103" s="33">
        <f t="shared" si="52"/>
        <v>0</v>
      </c>
      <c r="U103" s="33">
        <f t="shared" si="52"/>
        <v>0</v>
      </c>
      <c r="V103" s="33">
        <f t="shared" si="52"/>
        <v>0</v>
      </c>
      <c r="W103" s="33">
        <f t="shared" si="52"/>
        <v>0</v>
      </c>
      <c r="X103" s="33">
        <f t="shared" si="52"/>
        <v>0</v>
      </c>
    </row>
    <row r="104" spans="2:24">
      <c r="B104" s="305"/>
      <c r="C104" s="306"/>
      <c r="D104" s="432"/>
      <c r="E104" s="390"/>
      <c r="F104" s="472"/>
      <c r="G104" s="52"/>
      <c r="H104" s="52"/>
      <c r="I104" s="52"/>
      <c r="J104" s="203" t="str" cm="1">
        <f t="array" ref="J104">IF(SUMPRODUCT(ISBLANK(B104:E104)*1)=4,"wstaw dane",IF(AND(SUMPRODUCT(ISBLANK(B104:E104)*1)&gt;0,SUMPRODUCT(ISBLANK(B104:E104)*1)&lt;4),"uzupełnij dane","ok"))</f>
        <v>wstaw dane</v>
      </c>
      <c r="K104" s="33">
        <f t="shared" si="52"/>
        <v>0</v>
      </c>
      <c r="L104" s="33">
        <f t="shared" si="52"/>
        <v>0</v>
      </c>
      <c r="M104" s="33">
        <f t="shared" si="52"/>
        <v>0</v>
      </c>
      <c r="N104" s="33">
        <f t="shared" si="52"/>
        <v>0</v>
      </c>
      <c r="O104" s="33">
        <f t="shared" si="52"/>
        <v>0</v>
      </c>
      <c r="P104" s="33">
        <f t="shared" si="52"/>
        <v>0</v>
      </c>
      <c r="Q104" s="33">
        <f t="shared" si="52"/>
        <v>0</v>
      </c>
      <c r="R104" s="33">
        <f t="shared" si="52"/>
        <v>0</v>
      </c>
      <c r="S104" s="33">
        <f t="shared" si="52"/>
        <v>0</v>
      </c>
      <c r="T104" s="33">
        <f t="shared" si="52"/>
        <v>0</v>
      </c>
      <c r="U104" s="33">
        <f t="shared" si="52"/>
        <v>0</v>
      </c>
      <c r="V104" s="33">
        <f t="shared" si="52"/>
        <v>0</v>
      </c>
      <c r="W104" s="33">
        <f t="shared" si="52"/>
        <v>0</v>
      </c>
      <c r="X104" s="33">
        <f t="shared" si="52"/>
        <v>0</v>
      </c>
    </row>
    <row r="105" spans="2:24">
      <c r="B105" s="305"/>
      <c r="C105" s="306"/>
      <c r="D105" s="288"/>
      <c r="E105" s="390"/>
      <c r="F105" s="473"/>
      <c r="G105" s="90"/>
      <c r="H105" s="90"/>
      <c r="I105" s="90"/>
      <c r="J105" s="203" t="str" cm="1">
        <f t="array" ref="J105">IF(SUMPRODUCT(ISBLANK(B105:E105)*1)=4,"wstaw dane",IF(AND(SUMPRODUCT(ISBLANK(B105:E105)*1)&gt;0,SUMPRODUCT(ISBLANK(B105:E105)*1)&lt;4),"uzupełnij dane","ok"))</f>
        <v>wstaw dane</v>
      </c>
      <c r="K105" s="33">
        <f t="shared" si="52"/>
        <v>0</v>
      </c>
      <c r="L105" s="33">
        <f t="shared" si="52"/>
        <v>0</v>
      </c>
      <c r="M105" s="33">
        <f t="shared" si="52"/>
        <v>0</v>
      </c>
      <c r="N105" s="33">
        <f t="shared" si="52"/>
        <v>0</v>
      </c>
      <c r="O105" s="33">
        <f t="shared" si="52"/>
        <v>0</v>
      </c>
      <c r="P105" s="33">
        <f t="shared" si="52"/>
        <v>0</v>
      </c>
      <c r="Q105" s="33">
        <f t="shared" si="52"/>
        <v>0</v>
      </c>
      <c r="R105" s="33">
        <f t="shared" si="52"/>
        <v>0</v>
      </c>
      <c r="S105" s="33">
        <f t="shared" si="52"/>
        <v>0</v>
      </c>
      <c r="T105" s="33">
        <f t="shared" si="52"/>
        <v>0</v>
      </c>
      <c r="U105" s="33">
        <f t="shared" si="52"/>
        <v>0</v>
      </c>
      <c r="V105" s="33">
        <f t="shared" si="52"/>
        <v>0</v>
      </c>
      <c r="W105" s="33">
        <f t="shared" si="52"/>
        <v>0</v>
      </c>
      <c r="X105" s="33">
        <f t="shared" si="52"/>
        <v>0</v>
      </c>
    </row>
    <row r="106" spans="2:24">
      <c r="B106" s="305"/>
      <c r="C106" s="306"/>
      <c r="D106" s="432"/>
      <c r="E106" s="390"/>
      <c r="F106" s="473"/>
      <c r="G106" s="90"/>
      <c r="H106" s="90"/>
      <c r="I106" s="90"/>
      <c r="J106" s="203" t="str" cm="1">
        <f t="array" ref="J106">IF(SUMPRODUCT(ISBLANK(B106:E106)*1)=4,"wstaw dane",IF(AND(SUMPRODUCT(ISBLANK(B106:E106)*1)&gt;0,SUMPRODUCT(ISBLANK(B106:E106)*1)&lt;4),"uzupełnij dane","ok"))</f>
        <v>wstaw dane</v>
      </c>
      <c r="K106" s="33">
        <f t="shared" si="52"/>
        <v>0</v>
      </c>
      <c r="L106" s="33">
        <f t="shared" si="52"/>
        <v>0</v>
      </c>
      <c r="M106" s="33">
        <f t="shared" si="52"/>
        <v>0</v>
      </c>
      <c r="N106" s="33">
        <f t="shared" si="52"/>
        <v>0</v>
      </c>
      <c r="O106" s="33">
        <f t="shared" si="52"/>
        <v>0</v>
      </c>
      <c r="P106" s="33">
        <f t="shared" si="52"/>
        <v>0</v>
      </c>
      <c r="Q106" s="33">
        <f t="shared" si="52"/>
        <v>0</v>
      </c>
      <c r="R106" s="33">
        <f t="shared" si="52"/>
        <v>0</v>
      </c>
      <c r="S106" s="33">
        <f t="shared" si="52"/>
        <v>0</v>
      </c>
      <c r="T106" s="33">
        <f t="shared" si="52"/>
        <v>0</v>
      </c>
      <c r="U106" s="33">
        <f t="shared" si="52"/>
        <v>0</v>
      </c>
      <c r="V106" s="33">
        <f t="shared" si="52"/>
        <v>0</v>
      </c>
      <c r="W106" s="33">
        <f t="shared" si="52"/>
        <v>0</v>
      </c>
      <c r="X106" s="33">
        <f t="shared" si="52"/>
        <v>0</v>
      </c>
    </row>
    <row r="107" spans="2:24">
      <c r="B107" s="305"/>
      <c r="C107" s="306"/>
      <c r="D107" s="288"/>
      <c r="E107" s="390"/>
      <c r="F107" s="473"/>
      <c r="G107" s="90"/>
      <c r="H107" s="90"/>
      <c r="I107" s="90"/>
      <c r="J107" s="203" t="str" cm="1">
        <f t="array" ref="J107">IF(SUMPRODUCT(ISBLANK(B107:E107)*1)=4,"wstaw dane",IF(AND(SUMPRODUCT(ISBLANK(B107:E107)*1)&gt;0,SUMPRODUCT(ISBLANK(B107:E107)*1)&lt;4),"uzupełnij dane","ok"))</f>
        <v>wstaw dane</v>
      </c>
      <c r="K107" s="33">
        <f t="shared" si="52"/>
        <v>0</v>
      </c>
      <c r="L107" s="33">
        <f t="shared" si="52"/>
        <v>0</v>
      </c>
      <c r="M107" s="33">
        <f t="shared" si="52"/>
        <v>0</v>
      </c>
      <c r="N107" s="33">
        <f t="shared" si="52"/>
        <v>0</v>
      </c>
      <c r="O107" s="33">
        <f t="shared" si="52"/>
        <v>0</v>
      </c>
      <c r="P107" s="33">
        <f t="shared" si="52"/>
        <v>0</v>
      </c>
      <c r="Q107" s="33">
        <f t="shared" si="52"/>
        <v>0</v>
      </c>
      <c r="R107" s="33">
        <f t="shared" si="52"/>
        <v>0</v>
      </c>
      <c r="S107" s="33">
        <f t="shared" si="52"/>
        <v>0</v>
      </c>
      <c r="T107" s="33">
        <f t="shared" si="52"/>
        <v>0</v>
      </c>
      <c r="U107" s="33">
        <f t="shared" si="52"/>
        <v>0</v>
      </c>
      <c r="V107" s="33">
        <f t="shared" si="52"/>
        <v>0</v>
      </c>
      <c r="W107" s="33">
        <f t="shared" si="52"/>
        <v>0</v>
      </c>
      <c r="X107" s="33">
        <f t="shared" si="52"/>
        <v>0</v>
      </c>
    </row>
    <row r="108" spans="2:24">
      <c r="B108" s="305"/>
      <c r="C108" s="306"/>
      <c r="D108" s="432"/>
      <c r="E108" s="390"/>
      <c r="F108" s="473"/>
      <c r="G108" s="90"/>
      <c r="H108" s="90"/>
      <c r="I108" s="90"/>
      <c r="J108" s="203" t="str" cm="1">
        <f t="array" ref="J108">IF(SUMPRODUCT(ISBLANK(B108:E108)*1)=4,"wstaw dane",IF(AND(SUMPRODUCT(ISBLANK(B108:E108)*1)&gt;0,SUMPRODUCT(ISBLANK(B108:E108)*1)&lt;4),"uzupełnij dane","ok"))</f>
        <v>wstaw dane</v>
      </c>
      <c r="K108" s="33">
        <f t="shared" si="52"/>
        <v>0</v>
      </c>
      <c r="L108" s="33">
        <f t="shared" si="52"/>
        <v>0</v>
      </c>
      <c r="M108" s="33">
        <f t="shared" si="52"/>
        <v>0</v>
      </c>
      <c r="N108" s="33">
        <f t="shared" si="52"/>
        <v>0</v>
      </c>
      <c r="O108" s="33">
        <f t="shared" si="52"/>
        <v>0</v>
      </c>
      <c r="P108" s="33">
        <f t="shared" si="52"/>
        <v>0</v>
      </c>
      <c r="Q108" s="33">
        <f t="shared" si="52"/>
        <v>0</v>
      </c>
      <c r="R108" s="33">
        <f t="shared" si="52"/>
        <v>0</v>
      </c>
      <c r="S108" s="33">
        <f t="shared" si="52"/>
        <v>0</v>
      </c>
      <c r="T108" s="33">
        <f t="shared" si="52"/>
        <v>0</v>
      </c>
      <c r="U108" s="33">
        <f t="shared" si="52"/>
        <v>0</v>
      </c>
      <c r="V108" s="33">
        <f t="shared" si="52"/>
        <v>0</v>
      </c>
      <c r="W108" s="33">
        <f t="shared" si="52"/>
        <v>0</v>
      </c>
      <c r="X108" s="33">
        <f t="shared" si="52"/>
        <v>0</v>
      </c>
    </row>
    <row r="109" spans="2:24">
      <c r="B109" s="305"/>
      <c r="C109" s="306"/>
      <c r="D109" s="288"/>
      <c r="E109" s="390"/>
      <c r="F109" s="473"/>
      <c r="G109" s="90"/>
      <c r="H109" s="90"/>
      <c r="I109" s="90"/>
      <c r="J109" s="203" t="str" cm="1">
        <f t="array" ref="J109">IF(SUMPRODUCT(ISBLANK(B109:E109)*1)=4,"wstaw dane",IF(AND(SUMPRODUCT(ISBLANK(B109:E109)*1)&gt;0,SUMPRODUCT(ISBLANK(B109:E109)*1)&lt;4),"uzupełnij dane","ok"))</f>
        <v>wstaw dane</v>
      </c>
      <c r="K109" s="33">
        <f t="shared" si="52"/>
        <v>0</v>
      </c>
      <c r="L109" s="33">
        <f t="shared" si="52"/>
        <v>0</v>
      </c>
      <c r="M109" s="33">
        <f t="shared" si="52"/>
        <v>0</v>
      </c>
      <c r="N109" s="33">
        <f t="shared" si="52"/>
        <v>0</v>
      </c>
      <c r="O109" s="33">
        <f t="shared" si="52"/>
        <v>0</v>
      </c>
      <c r="P109" s="33">
        <f t="shared" si="52"/>
        <v>0</v>
      </c>
      <c r="Q109" s="33">
        <f t="shared" si="52"/>
        <v>0</v>
      </c>
      <c r="R109" s="33">
        <f t="shared" si="52"/>
        <v>0</v>
      </c>
      <c r="S109" s="33">
        <f t="shared" si="52"/>
        <v>0</v>
      </c>
      <c r="T109" s="33">
        <f t="shared" si="52"/>
        <v>0</v>
      </c>
      <c r="U109" s="33">
        <f t="shared" si="52"/>
        <v>0</v>
      </c>
      <c r="V109" s="33">
        <f t="shared" si="52"/>
        <v>0</v>
      </c>
      <c r="W109" s="33">
        <f t="shared" si="52"/>
        <v>0</v>
      </c>
      <c r="X109" s="33">
        <f t="shared" si="52"/>
        <v>0</v>
      </c>
    </row>
    <row r="110" spans="2:24">
      <c r="B110" s="305"/>
      <c r="C110" s="306"/>
      <c r="D110" s="432"/>
      <c r="E110" s="390"/>
      <c r="F110" s="473"/>
      <c r="G110" s="90"/>
      <c r="H110" s="90"/>
      <c r="I110" s="90"/>
      <c r="J110" s="203" t="str" cm="1">
        <f t="array" ref="J110">IF(SUMPRODUCT(ISBLANK(B110:E110)*1)=4,"wstaw dane",IF(AND(SUMPRODUCT(ISBLANK(B110:E110)*1)&gt;0,SUMPRODUCT(ISBLANK(B110:E110)*1)&lt;4),"uzupełnij dane","ok"))</f>
        <v>wstaw dane</v>
      </c>
      <c r="K110" s="33">
        <f t="shared" si="52"/>
        <v>0</v>
      </c>
      <c r="L110" s="33">
        <f t="shared" si="52"/>
        <v>0</v>
      </c>
      <c r="M110" s="33">
        <f t="shared" si="52"/>
        <v>0</v>
      </c>
      <c r="N110" s="33">
        <f t="shared" si="52"/>
        <v>0</v>
      </c>
      <c r="O110" s="33">
        <f t="shared" si="52"/>
        <v>0</v>
      </c>
      <c r="P110" s="33">
        <f t="shared" si="52"/>
        <v>0</v>
      </c>
      <c r="Q110" s="33">
        <f t="shared" si="52"/>
        <v>0</v>
      </c>
      <c r="R110" s="33">
        <f t="shared" si="52"/>
        <v>0</v>
      </c>
      <c r="S110" s="33">
        <f t="shared" si="52"/>
        <v>0</v>
      </c>
      <c r="T110" s="33">
        <f t="shared" si="52"/>
        <v>0</v>
      </c>
      <c r="U110" s="33">
        <f t="shared" si="52"/>
        <v>0</v>
      </c>
      <c r="V110" s="33">
        <f t="shared" si="52"/>
        <v>0</v>
      </c>
      <c r="W110" s="33">
        <f t="shared" si="52"/>
        <v>0</v>
      </c>
      <c r="X110" s="33">
        <f t="shared" si="52"/>
        <v>0</v>
      </c>
    </row>
    <row r="111" spans="2:24">
      <c r="B111" s="305"/>
      <c r="C111" s="306"/>
      <c r="D111" s="288"/>
      <c r="E111" s="390"/>
      <c r="F111" s="473"/>
      <c r="G111" s="90"/>
      <c r="H111" s="90"/>
      <c r="I111" s="90"/>
      <c r="J111" s="203" t="str" cm="1">
        <f t="array" ref="J111">IF(SUMPRODUCT(ISBLANK(B111:E111)*1)=4,"wstaw dane",IF(AND(SUMPRODUCT(ISBLANK(B111:E111)*1)&gt;0,SUMPRODUCT(ISBLANK(B111:E111)*1)&lt;4),"uzupełnij dane","ok"))</f>
        <v>wstaw dane</v>
      </c>
      <c r="K111" s="33">
        <f t="shared" si="52"/>
        <v>0</v>
      </c>
      <c r="L111" s="33">
        <f t="shared" si="52"/>
        <v>0</v>
      </c>
      <c r="M111" s="33">
        <f t="shared" si="52"/>
        <v>0</v>
      </c>
      <c r="N111" s="33">
        <f t="shared" si="52"/>
        <v>0</v>
      </c>
      <c r="O111" s="33">
        <f t="shared" si="52"/>
        <v>0</v>
      </c>
      <c r="P111" s="33">
        <f t="shared" si="52"/>
        <v>0</v>
      </c>
      <c r="Q111" s="33">
        <f t="shared" si="52"/>
        <v>0</v>
      </c>
      <c r="R111" s="33">
        <f t="shared" si="52"/>
        <v>0</v>
      </c>
      <c r="S111" s="33">
        <f t="shared" si="52"/>
        <v>0</v>
      </c>
      <c r="T111" s="33">
        <f t="shared" si="52"/>
        <v>0</v>
      </c>
      <c r="U111" s="33">
        <f t="shared" si="52"/>
        <v>0</v>
      </c>
      <c r="V111" s="33">
        <f t="shared" si="52"/>
        <v>0</v>
      </c>
      <c r="W111" s="33">
        <f t="shared" si="52"/>
        <v>0</v>
      </c>
      <c r="X111" s="33">
        <f t="shared" si="52"/>
        <v>0</v>
      </c>
    </row>
    <row r="112" spans="2:24">
      <c r="B112" s="305"/>
      <c r="C112" s="306"/>
      <c r="D112" s="432"/>
      <c r="E112" s="390"/>
      <c r="F112" s="473"/>
      <c r="G112" s="90"/>
      <c r="H112" s="90"/>
      <c r="I112" s="90"/>
      <c r="J112" s="203" t="str" cm="1">
        <f t="array" ref="J112">IF(SUMPRODUCT(ISBLANK(B112:E112)*1)=4,"wstaw dane",IF(AND(SUMPRODUCT(ISBLANK(B112:E112)*1)&gt;0,SUMPRODUCT(ISBLANK(B112:E112)*1)&lt;4),"uzupełnij dane","ok"))</f>
        <v>wstaw dane</v>
      </c>
      <c r="K112" s="33">
        <f t="shared" si="52"/>
        <v>0</v>
      </c>
      <c r="L112" s="33">
        <f t="shared" si="52"/>
        <v>0</v>
      </c>
      <c r="M112" s="33">
        <f t="shared" si="52"/>
        <v>0</v>
      </c>
      <c r="N112" s="33">
        <f t="shared" si="52"/>
        <v>0</v>
      </c>
      <c r="O112" s="33">
        <f t="shared" si="52"/>
        <v>0</v>
      </c>
      <c r="P112" s="33">
        <f t="shared" si="52"/>
        <v>0</v>
      </c>
      <c r="Q112" s="33">
        <f t="shared" si="52"/>
        <v>0</v>
      </c>
      <c r="R112" s="33">
        <f t="shared" si="52"/>
        <v>0</v>
      </c>
      <c r="S112" s="33">
        <f t="shared" si="52"/>
        <v>0</v>
      </c>
      <c r="T112" s="33">
        <f t="shared" si="52"/>
        <v>0</v>
      </c>
      <c r="U112" s="33">
        <f t="shared" si="52"/>
        <v>0</v>
      </c>
      <c r="V112" s="33">
        <f t="shared" si="52"/>
        <v>0</v>
      </c>
      <c r="W112" s="33">
        <f t="shared" si="52"/>
        <v>0</v>
      </c>
      <c r="X112" s="33">
        <f t="shared" si="52"/>
        <v>0</v>
      </c>
    </row>
    <row r="113" spans="2:24">
      <c r="B113" s="305"/>
      <c r="C113" s="306"/>
      <c r="D113" s="288"/>
      <c r="E113" s="390"/>
      <c r="F113" s="473"/>
      <c r="G113" s="90"/>
      <c r="H113" s="90"/>
      <c r="I113" s="90"/>
      <c r="J113" s="203" t="str" cm="1">
        <f t="array" ref="J113">IF(SUMPRODUCT(ISBLANK(B113:E113)*1)=4,"wstaw dane",IF(AND(SUMPRODUCT(ISBLANK(B113:E113)*1)&gt;0,SUMPRODUCT(ISBLANK(B113:E113)*1)&lt;4),"uzupełnij dane","ok"))</f>
        <v>wstaw dane</v>
      </c>
      <c r="K113" s="33">
        <f t="shared" si="52"/>
        <v>0</v>
      </c>
      <c r="L113" s="33">
        <f t="shared" si="52"/>
        <v>0</v>
      </c>
      <c r="M113" s="33">
        <f t="shared" si="52"/>
        <v>0</v>
      </c>
      <c r="N113" s="33">
        <f t="shared" ref="K113:X131" si="53">ROUND(IF(AND(YEAR($E113)=LataProjekcji,$D113&gt;0,$J113="ok"),$D113,0),0)</f>
        <v>0</v>
      </c>
      <c r="O113" s="33">
        <f t="shared" si="53"/>
        <v>0</v>
      </c>
      <c r="P113" s="33">
        <f t="shared" si="53"/>
        <v>0</v>
      </c>
      <c r="Q113" s="33">
        <f t="shared" si="53"/>
        <v>0</v>
      </c>
      <c r="R113" s="33">
        <f t="shared" si="53"/>
        <v>0</v>
      </c>
      <c r="S113" s="33">
        <f t="shared" si="53"/>
        <v>0</v>
      </c>
      <c r="T113" s="33">
        <f t="shared" si="53"/>
        <v>0</v>
      </c>
      <c r="U113" s="33">
        <f t="shared" si="53"/>
        <v>0</v>
      </c>
      <c r="V113" s="33">
        <f t="shared" si="53"/>
        <v>0</v>
      </c>
      <c r="W113" s="33">
        <f t="shared" si="53"/>
        <v>0</v>
      </c>
      <c r="X113" s="33">
        <f t="shared" si="53"/>
        <v>0</v>
      </c>
    </row>
    <row r="114" spans="2:24">
      <c r="B114" s="305"/>
      <c r="C114" s="306"/>
      <c r="D114" s="432"/>
      <c r="E114" s="390"/>
      <c r="F114" s="473"/>
      <c r="G114" s="90"/>
      <c r="H114" s="90"/>
      <c r="I114" s="90"/>
      <c r="J114" s="203" t="str" cm="1">
        <f t="array" ref="J114">IF(SUMPRODUCT(ISBLANK(B114:E114)*1)=4,"wstaw dane",IF(AND(SUMPRODUCT(ISBLANK(B114:E114)*1)&gt;0,SUMPRODUCT(ISBLANK(B114:E114)*1)&lt;4),"uzupełnij dane","ok"))</f>
        <v>wstaw dane</v>
      </c>
      <c r="K114" s="33">
        <f t="shared" si="53"/>
        <v>0</v>
      </c>
      <c r="L114" s="33">
        <f t="shared" si="53"/>
        <v>0</v>
      </c>
      <c r="M114" s="33">
        <f t="shared" si="53"/>
        <v>0</v>
      </c>
      <c r="N114" s="33">
        <f t="shared" si="53"/>
        <v>0</v>
      </c>
      <c r="O114" s="33">
        <f t="shared" si="53"/>
        <v>0</v>
      </c>
      <c r="P114" s="33">
        <f t="shared" si="53"/>
        <v>0</v>
      </c>
      <c r="Q114" s="33">
        <f t="shared" si="53"/>
        <v>0</v>
      </c>
      <c r="R114" s="33">
        <f t="shared" si="53"/>
        <v>0</v>
      </c>
      <c r="S114" s="33">
        <f t="shared" si="53"/>
        <v>0</v>
      </c>
      <c r="T114" s="33">
        <f t="shared" si="53"/>
        <v>0</v>
      </c>
      <c r="U114" s="33">
        <f t="shared" si="53"/>
        <v>0</v>
      </c>
      <c r="V114" s="33">
        <f t="shared" si="53"/>
        <v>0</v>
      </c>
      <c r="W114" s="33">
        <f t="shared" si="53"/>
        <v>0</v>
      </c>
      <c r="X114" s="33">
        <f t="shared" si="53"/>
        <v>0</v>
      </c>
    </row>
    <row r="115" spans="2:24">
      <c r="B115" s="305"/>
      <c r="C115" s="306"/>
      <c r="D115" s="288"/>
      <c r="E115" s="390"/>
      <c r="F115" s="473"/>
      <c r="G115" s="90"/>
      <c r="H115" s="90"/>
      <c r="I115" s="90"/>
      <c r="J115" s="203" t="str" cm="1">
        <f t="array" ref="J115">IF(SUMPRODUCT(ISBLANK(B115:E115)*1)=4,"wstaw dane",IF(AND(SUMPRODUCT(ISBLANK(B115:E115)*1)&gt;0,SUMPRODUCT(ISBLANK(B115:E115)*1)&lt;4),"uzupełnij dane","ok"))</f>
        <v>wstaw dane</v>
      </c>
      <c r="K115" s="33">
        <f t="shared" si="53"/>
        <v>0</v>
      </c>
      <c r="L115" s="33">
        <f t="shared" si="53"/>
        <v>0</v>
      </c>
      <c r="M115" s="33">
        <f t="shared" si="53"/>
        <v>0</v>
      </c>
      <c r="N115" s="33">
        <f t="shared" si="53"/>
        <v>0</v>
      </c>
      <c r="O115" s="33">
        <f t="shared" si="53"/>
        <v>0</v>
      </c>
      <c r="P115" s="33">
        <f t="shared" si="53"/>
        <v>0</v>
      </c>
      <c r="Q115" s="33">
        <f t="shared" si="53"/>
        <v>0</v>
      </c>
      <c r="R115" s="33">
        <f t="shared" si="53"/>
        <v>0</v>
      </c>
      <c r="S115" s="33">
        <f t="shared" si="53"/>
        <v>0</v>
      </c>
      <c r="T115" s="33">
        <f t="shared" si="53"/>
        <v>0</v>
      </c>
      <c r="U115" s="33">
        <f t="shared" si="53"/>
        <v>0</v>
      </c>
      <c r="V115" s="33">
        <f t="shared" si="53"/>
        <v>0</v>
      </c>
      <c r="W115" s="33">
        <f t="shared" si="53"/>
        <v>0</v>
      </c>
      <c r="X115" s="33">
        <f t="shared" si="53"/>
        <v>0</v>
      </c>
    </row>
    <row r="116" spans="2:24">
      <c r="B116" s="305"/>
      <c r="C116" s="306"/>
      <c r="D116" s="432"/>
      <c r="E116" s="390"/>
      <c r="F116" s="473"/>
      <c r="G116" s="90"/>
      <c r="H116" s="90"/>
      <c r="I116" s="90"/>
      <c r="J116" s="203" t="str" cm="1">
        <f t="array" ref="J116">IF(SUMPRODUCT(ISBLANK(B116:E116)*1)=4,"wstaw dane",IF(AND(SUMPRODUCT(ISBLANK(B116:E116)*1)&gt;0,SUMPRODUCT(ISBLANK(B116:E116)*1)&lt;4),"uzupełnij dane","ok"))</f>
        <v>wstaw dane</v>
      </c>
      <c r="K116" s="33">
        <f t="shared" si="53"/>
        <v>0</v>
      </c>
      <c r="L116" s="33">
        <f t="shared" si="53"/>
        <v>0</v>
      </c>
      <c r="M116" s="33">
        <f t="shared" si="53"/>
        <v>0</v>
      </c>
      <c r="N116" s="33">
        <f t="shared" si="53"/>
        <v>0</v>
      </c>
      <c r="O116" s="33">
        <f t="shared" si="53"/>
        <v>0</v>
      </c>
      <c r="P116" s="33">
        <f t="shared" si="53"/>
        <v>0</v>
      </c>
      <c r="Q116" s="33">
        <f t="shared" si="53"/>
        <v>0</v>
      </c>
      <c r="R116" s="33">
        <f t="shared" si="53"/>
        <v>0</v>
      </c>
      <c r="S116" s="33">
        <f t="shared" si="53"/>
        <v>0</v>
      </c>
      <c r="T116" s="33">
        <f t="shared" si="53"/>
        <v>0</v>
      </c>
      <c r="U116" s="33">
        <f t="shared" si="53"/>
        <v>0</v>
      </c>
      <c r="V116" s="33">
        <f t="shared" si="53"/>
        <v>0</v>
      </c>
      <c r="W116" s="33">
        <f t="shared" si="53"/>
        <v>0</v>
      </c>
      <c r="X116" s="33">
        <f t="shared" si="53"/>
        <v>0</v>
      </c>
    </row>
    <row r="117" spans="2:24">
      <c r="B117" s="305"/>
      <c r="C117" s="306"/>
      <c r="D117" s="288"/>
      <c r="E117" s="390"/>
      <c r="F117" s="473"/>
      <c r="G117" s="90"/>
      <c r="H117" s="90"/>
      <c r="I117" s="90"/>
      <c r="J117" s="203" t="str" cm="1">
        <f t="array" ref="J117">IF(SUMPRODUCT(ISBLANK(B117:E117)*1)=4,"wstaw dane",IF(AND(SUMPRODUCT(ISBLANK(B117:E117)*1)&gt;0,SUMPRODUCT(ISBLANK(B117:E117)*1)&lt;4),"uzupełnij dane","ok"))</f>
        <v>wstaw dane</v>
      </c>
      <c r="K117" s="33">
        <f t="shared" si="53"/>
        <v>0</v>
      </c>
      <c r="L117" s="33">
        <f t="shared" si="53"/>
        <v>0</v>
      </c>
      <c r="M117" s="33">
        <f t="shared" si="53"/>
        <v>0</v>
      </c>
      <c r="N117" s="33">
        <f t="shared" si="53"/>
        <v>0</v>
      </c>
      <c r="O117" s="33">
        <f t="shared" si="53"/>
        <v>0</v>
      </c>
      <c r="P117" s="33">
        <f t="shared" si="53"/>
        <v>0</v>
      </c>
      <c r="Q117" s="33">
        <f t="shared" si="53"/>
        <v>0</v>
      </c>
      <c r="R117" s="33">
        <f t="shared" si="53"/>
        <v>0</v>
      </c>
      <c r="S117" s="33">
        <f t="shared" si="53"/>
        <v>0</v>
      </c>
      <c r="T117" s="33">
        <f t="shared" si="53"/>
        <v>0</v>
      </c>
      <c r="U117" s="33">
        <f t="shared" si="53"/>
        <v>0</v>
      </c>
      <c r="V117" s="33">
        <f t="shared" si="53"/>
        <v>0</v>
      </c>
      <c r="W117" s="33">
        <f t="shared" si="53"/>
        <v>0</v>
      </c>
      <c r="X117" s="33">
        <f t="shared" si="53"/>
        <v>0</v>
      </c>
    </row>
    <row r="118" spans="2:24">
      <c r="B118" s="305"/>
      <c r="C118" s="306"/>
      <c r="D118" s="432"/>
      <c r="E118" s="390"/>
      <c r="F118" s="473"/>
      <c r="G118" s="90"/>
      <c r="H118" s="90"/>
      <c r="I118" s="90"/>
      <c r="J118" s="203" t="str" cm="1">
        <f t="array" ref="J118">IF(SUMPRODUCT(ISBLANK(B118:E118)*1)=4,"wstaw dane",IF(AND(SUMPRODUCT(ISBLANK(B118:E118)*1)&gt;0,SUMPRODUCT(ISBLANK(B118:E118)*1)&lt;4),"uzupełnij dane","ok"))</f>
        <v>wstaw dane</v>
      </c>
      <c r="K118" s="33">
        <f t="shared" si="53"/>
        <v>0</v>
      </c>
      <c r="L118" s="33">
        <f t="shared" si="53"/>
        <v>0</v>
      </c>
      <c r="M118" s="33">
        <f t="shared" si="53"/>
        <v>0</v>
      </c>
      <c r="N118" s="33">
        <f t="shared" si="53"/>
        <v>0</v>
      </c>
      <c r="O118" s="33">
        <f t="shared" si="53"/>
        <v>0</v>
      </c>
      <c r="P118" s="33">
        <f t="shared" si="53"/>
        <v>0</v>
      </c>
      <c r="Q118" s="33">
        <f t="shared" si="53"/>
        <v>0</v>
      </c>
      <c r="R118" s="33">
        <f t="shared" si="53"/>
        <v>0</v>
      </c>
      <c r="S118" s="33">
        <f t="shared" si="53"/>
        <v>0</v>
      </c>
      <c r="T118" s="33">
        <f t="shared" si="53"/>
        <v>0</v>
      </c>
      <c r="U118" s="33">
        <f t="shared" si="53"/>
        <v>0</v>
      </c>
      <c r="V118" s="33">
        <f t="shared" si="53"/>
        <v>0</v>
      </c>
      <c r="W118" s="33">
        <f t="shared" si="53"/>
        <v>0</v>
      </c>
      <c r="X118" s="33">
        <f t="shared" si="53"/>
        <v>0</v>
      </c>
    </row>
    <row r="119" spans="2:24">
      <c r="B119" s="305"/>
      <c r="C119" s="306"/>
      <c r="D119" s="288"/>
      <c r="E119" s="390"/>
      <c r="F119" s="473"/>
      <c r="G119" s="90"/>
      <c r="H119" s="90"/>
      <c r="I119" s="90"/>
      <c r="J119" s="203" t="str" cm="1">
        <f t="array" ref="J119">IF(SUMPRODUCT(ISBLANK(B119:E119)*1)=4,"wstaw dane",IF(AND(SUMPRODUCT(ISBLANK(B119:E119)*1)&gt;0,SUMPRODUCT(ISBLANK(B119:E119)*1)&lt;4),"uzupełnij dane","ok"))</f>
        <v>wstaw dane</v>
      </c>
      <c r="K119" s="33">
        <f t="shared" si="53"/>
        <v>0</v>
      </c>
      <c r="L119" s="33">
        <f t="shared" si="53"/>
        <v>0</v>
      </c>
      <c r="M119" s="33">
        <f t="shared" si="53"/>
        <v>0</v>
      </c>
      <c r="N119" s="33">
        <f t="shared" si="53"/>
        <v>0</v>
      </c>
      <c r="O119" s="33">
        <f t="shared" si="53"/>
        <v>0</v>
      </c>
      <c r="P119" s="33">
        <f t="shared" si="53"/>
        <v>0</v>
      </c>
      <c r="Q119" s="33">
        <f t="shared" si="53"/>
        <v>0</v>
      </c>
      <c r="R119" s="33">
        <f t="shared" si="53"/>
        <v>0</v>
      </c>
      <c r="S119" s="33">
        <f t="shared" si="53"/>
        <v>0</v>
      </c>
      <c r="T119" s="33">
        <f t="shared" si="53"/>
        <v>0</v>
      </c>
      <c r="U119" s="33">
        <f t="shared" si="53"/>
        <v>0</v>
      </c>
      <c r="V119" s="33">
        <f t="shared" si="53"/>
        <v>0</v>
      </c>
      <c r="W119" s="33">
        <f t="shared" si="53"/>
        <v>0</v>
      </c>
      <c r="X119" s="33">
        <f t="shared" si="53"/>
        <v>0</v>
      </c>
    </row>
    <row r="120" spans="2:24">
      <c r="B120" s="305"/>
      <c r="C120" s="306"/>
      <c r="D120" s="432"/>
      <c r="E120" s="390"/>
      <c r="F120" s="473"/>
      <c r="G120" s="90"/>
      <c r="H120" s="90"/>
      <c r="I120" s="90"/>
      <c r="J120" s="203" t="str" cm="1">
        <f t="array" ref="J120">IF(SUMPRODUCT(ISBLANK(B120:E120)*1)=4,"wstaw dane",IF(AND(SUMPRODUCT(ISBLANK(B120:E120)*1)&gt;0,SUMPRODUCT(ISBLANK(B120:E120)*1)&lt;4),"uzupełnij dane","ok"))</f>
        <v>wstaw dane</v>
      </c>
      <c r="K120" s="33">
        <f t="shared" si="53"/>
        <v>0</v>
      </c>
      <c r="L120" s="33">
        <f t="shared" si="53"/>
        <v>0</v>
      </c>
      <c r="M120" s="33">
        <f t="shared" si="53"/>
        <v>0</v>
      </c>
      <c r="N120" s="33">
        <f t="shared" si="53"/>
        <v>0</v>
      </c>
      <c r="O120" s="33">
        <f t="shared" si="53"/>
        <v>0</v>
      </c>
      <c r="P120" s="33">
        <f t="shared" si="53"/>
        <v>0</v>
      </c>
      <c r="Q120" s="33">
        <f t="shared" si="53"/>
        <v>0</v>
      </c>
      <c r="R120" s="33">
        <f t="shared" si="53"/>
        <v>0</v>
      </c>
      <c r="S120" s="33">
        <f t="shared" si="53"/>
        <v>0</v>
      </c>
      <c r="T120" s="33">
        <f t="shared" si="53"/>
        <v>0</v>
      </c>
      <c r="U120" s="33">
        <f t="shared" si="53"/>
        <v>0</v>
      </c>
      <c r="V120" s="33">
        <f t="shared" si="53"/>
        <v>0</v>
      </c>
      <c r="W120" s="33">
        <f t="shared" si="53"/>
        <v>0</v>
      </c>
      <c r="X120" s="33">
        <f t="shared" si="53"/>
        <v>0</v>
      </c>
    </row>
    <row r="121" spans="2:24">
      <c r="B121" s="305"/>
      <c r="C121" s="306"/>
      <c r="D121" s="288"/>
      <c r="E121" s="390"/>
      <c r="F121" s="473"/>
      <c r="G121" s="90"/>
      <c r="H121" s="90"/>
      <c r="I121" s="90"/>
      <c r="J121" s="203" t="str" cm="1">
        <f t="array" ref="J121">IF(SUMPRODUCT(ISBLANK(B121:E121)*1)=4,"wstaw dane",IF(AND(SUMPRODUCT(ISBLANK(B121:E121)*1)&gt;0,SUMPRODUCT(ISBLANK(B121:E121)*1)&lt;4),"uzupełnij dane","ok"))</f>
        <v>wstaw dane</v>
      </c>
      <c r="K121" s="33">
        <f t="shared" si="53"/>
        <v>0</v>
      </c>
      <c r="L121" s="33">
        <f t="shared" si="53"/>
        <v>0</v>
      </c>
      <c r="M121" s="33">
        <f t="shared" si="53"/>
        <v>0</v>
      </c>
      <c r="N121" s="33">
        <f t="shared" si="53"/>
        <v>0</v>
      </c>
      <c r="O121" s="33">
        <f t="shared" si="53"/>
        <v>0</v>
      </c>
      <c r="P121" s="33">
        <f t="shared" si="53"/>
        <v>0</v>
      </c>
      <c r="Q121" s="33">
        <f t="shared" si="53"/>
        <v>0</v>
      </c>
      <c r="R121" s="33">
        <f t="shared" si="53"/>
        <v>0</v>
      </c>
      <c r="S121" s="33">
        <f t="shared" si="53"/>
        <v>0</v>
      </c>
      <c r="T121" s="33">
        <f t="shared" si="53"/>
        <v>0</v>
      </c>
      <c r="U121" s="33">
        <f t="shared" si="53"/>
        <v>0</v>
      </c>
      <c r="V121" s="33">
        <f t="shared" si="53"/>
        <v>0</v>
      </c>
      <c r="W121" s="33">
        <f t="shared" si="53"/>
        <v>0</v>
      </c>
      <c r="X121" s="33">
        <f t="shared" si="53"/>
        <v>0</v>
      </c>
    </row>
    <row r="122" spans="2:24">
      <c r="B122" s="305"/>
      <c r="C122" s="306"/>
      <c r="D122" s="432"/>
      <c r="E122" s="390"/>
      <c r="F122" s="473"/>
      <c r="G122" s="90"/>
      <c r="H122" s="90"/>
      <c r="I122" s="90"/>
      <c r="J122" s="203" t="str" cm="1">
        <f t="array" ref="J122">IF(SUMPRODUCT(ISBLANK(B122:E122)*1)=4,"wstaw dane",IF(AND(SUMPRODUCT(ISBLANK(B122:E122)*1)&gt;0,SUMPRODUCT(ISBLANK(B122:E122)*1)&lt;4),"uzupełnij dane","ok"))</f>
        <v>wstaw dane</v>
      </c>
      <c r="K122" s="33">
        <f t="shared" si="53"/>
        <v>0</v>
      </c>
      <c r="L122" s="33">
        <f t="shared" si="53"/>
        <v>0</v>
      </c>
      <c r="M122" s="33">
        <f t="shared" si="53"/>
        <v>0</v>
      </c>
      <c r="N122" s="33">
        <f t="shared" si="53"/>
        <v>0</v>
      </c>
      <c r="O122" s="33">
        <f t="shared" si="53"/>
        <v>0</v>
      </c>
      <c r="P122" s="33">
        <f t="shared" si="53"/>
        <v>0</v>
      </c>
      <c r="Q122" s="33">
        <f t="shared" si="53"/>
        <v>0</v>
      </c>
      <c r="R122" s="33">
        <f t="shared" si="53"/>
        <v>0</v>
      </c>
      <c r="S122" s="33">
        <f t="shared" si="53"/>
        <v>0</v>
      </c>
      <c r="T122" s="33">
        <f t="shared" si="53"/>
        <v>0</v>
      </c>
      <c r="U122" s="33">
        <f t="shared" si="53"/>
        <v>0</v>
      </c>
      <c r="V122" s="33">
        <f t="shared" si="53"/>
        <v>0</v>
      </c>
      <c r="W122" s="33">
        <f t="shared" si="53"/>
        <v>0</v>
      </c>
      <c r="X122" s="33">
        <f t="shared" si="53"/>
        <v>0</v>
      </c>
    </row>
    <row r="123" spans="2:24">
      <c r="B123" s="305"/>
      <c r="C123" s="306"/>
      <c r="D123" s="288"/>
      <c r="E123" s="390"/>
      <c r="F123" s="473"/>
      <c r="G123" s="90"/>
      <c r="H123" s="90"/>
      <c r="I123" s="90"/>
      <c r="J123" s="203" t="str" cm="1">
        <f t="array" ref="J123">IF(SUMPRODUCT(ISBLANK(B123:E123)*1)=4,"wstaw dane",IF(AND(SUMPRODUCT(ISBLANK(B123:E123)*1)&gt;0,SUMPRODUCT(ISBLANK(B123:E123)*1)&lt;4),"uzupełnij dane","ok"))</f>
        <v>wstaw dane</v>
      </c>
      <c r="K123" s="33">
        <f t="shared" si="53"/>
        <v>0</v>
      </c>
      <c r="L123" s="33">
        <f t="shared" si="53"/>
        <v>0</v>
      </c>
      <c r="M123" s="33">
        <f t="shared" si="53"/>
        <v>0</v>
      </c>
      <c r="N123" s="33">
        <f t="shared" si="53"/>
        <v>0</v>
      </c>
      <c r="O123" s="33">
        <f t="shared" si="53"/>
        <v>0</v>
      </c>
      <c r="P123" s="33">
        <f t="shared" si="53"/>
        <v>0</v>
      </c>
      <c r="Q123" s="33">
        <f t="shared" si="53"/>
        <v>0</v>
      </c>
      <c r="R123" s="33">
        <f t="shared" si="53"/>
        <v>0</v>
      </c>
      <c r="S123" s="33">
        <f t="shared" si="53"/>
        <v>0</v>
      </c>
      <c r="T123" s="33">
        <f t="shared" si="53"/>
        <v>0</v>
      </c>
      <c r="U123" s="33">
        <f t="shared" si="53"/>
        <v>0</v>
      </c>
      <c r="V123" s="33">
        <f t="shared" si="53"/>
        <v>0</v>
      </c>
      <c r="W123" s="33">
        <f t="shared" si="53"/>
        <v>0</v>
      </c>
      <c r="X123" s="33">
        <f t="shared" si="53"/>
        <v>0</v>
      </c>
    </row>
    <row r="124" spans="2:24">
      <c r="B124" s="305"/>
      <c r="C124" s="306"/>
      <c r="D124" s="432"/>
      <c r="E124" s="390"/>
      <c r="F124" s="473"/>
      <c r="G124" s="90"/>
      <c r="H124" s="90"/>
      <c r="I124" s="90"/>
      <c r="J124" s="203" t="str" cm="1">
        <f t="array" ref="J124">IF(SUMPRODUCT(ISBLANK(B124:E124)*1)=4,"wstaw dane",IF(AND(SUMPRODUCT(ISBLANK(B124:E124)*1)&gt;0,SUMPRODUCT(ISBLANK(B124:E124)*1)&lt;4),"uzupełnij dane","ok"))</f>
        <v>wstaw dane</v>
      </c>
      <c r="K124" s="33">
        <f t="shared" si="53"/>
        <v>0</v>
      </c>
      <c r="L124" s="33">
        <f t="shared" si="53"/>
        <v>0</v>
      </c>
      <c r="M124" s="33">
        <f t="shared" si="53"/>
        <v>0</v>
      </c>
      <c r="N124" s="33">
        <f t="shared" si="53"/>
        <v>0</v>
      </c>
      <c r="O124" s="33">
        <f t="shared" si="53"/>
        <v>0</v>
      </c>
      <c r="P124" s="33">
        <f t="shared" si="53"/>
        <v>0</v>
      </c>
      <c r="Q124" s="33">
        <f t="shared" si="53"/>
        <v>0</v>
      </c>
      <c r="R124" s="33">
        <f t="shared" si="53"/>
        <v>0</v>
      </c>
      <c r="S124" s="33">
        <f t="shared" si="53"/>
        <v>0</v>
      </c>
      <c r="T124" s="33">
        <f t="shared" si="53"/>
        <v>0</v>
      </c>
      <c r="U124" s="33">
        <f t="shared" si="53"/>
        <v>0</v>
      </c>
      <c r="V124" s="33">
        <f t="shared" si="53"/>
        <v>0</v>
      </c>
      <c r="W124" s="33">
        <f t="shared" si="53"/>
        <v>0</v>
      </c>
      <c r="X124" s="33">
        <f t="shared" si="53"/>
        <v>0</v>
      </c>
    </row>
    <row r="125" spans="2:24">
      <c r="B125" s="305"/>
      <c r="C125" s="306"/>
      <c r="D125" s="288"/>
      <c r="E125" s="390"/>
      <c r="F125" s="473"/>
      <c r="G125" s="90"/>
      <c r="H125" s="90"/>
      <c r="I125" s="90"/>
      <c r="J125" s="203" t="str" cm="1">
        <f t="array" ref="J125">IF(SUMPRODUCT(ISBLANK(B125:E125)*1)=4,"wstaw dane",IF(AND(SUMPRODUCT(ISBLANK(B125:E125)*1)&gt;0,SUMPRODUCT(ISBLANK(B125:E125)*1)&lt;4),"uzupełnij dane","ok"))</f>
        <v>wstaw dane</v>
      </c>
      <c r="K125" s="33">
        <f t="shared" si="53"/>
        <v>0</v>
      </c>
      <c r="L125" s="33">
        <f t="shared" si="53"/>
        <v>0</v>
      </c>
      <c r="M125" s="33">
        <f t="shared" si="53"/>
        <v>0</v>
      </c>
      <c r="N125" s="33">
        <f t="shared" si="53"/>
        <v>0</v>
      </c>
      <c r="O125" s="33">
        <f t="shared" si="53"/>
        <v>0</v>
      </c>
      <c r="P125" s="33">
        <f t="shared" si="53"/>
        <v>0</v>
      </c>
      <c r="Q125" s="33">
        <f t="shared" si="53"/>
        <v>0</v>
      </c>
      <c r="R125" s="33">
        <f t="shared" si="53"/>
        <v>0</v>
      </c>
      <c r="S125" s="33">
        <f t="shared" si="53"/>
        <v>0</v>
      </c>
      <c r="T125" s="33">
        <f t="shared" si="53"/>
        <v>0</v>
      </c>
      <c r="U125" s="33">
        <f t="shared" si="53"/>
        <v>0</v>
      </c>
      <c r="V125" s="33">
        <f t="shared" si="53"/>
        <v>0</v>
      </c>
      <c r="W125" s="33">
        <f t="shared" si="53"/>
        <v>0</v>
      </c>
      <c r="X125" s="33">
        <f t="shared" si="53"/>
        <v>0</v>
      </c>
    </row>
    <row r="126" spans="2:24">
      <c r="B126" s="305"/>
      <c r="C126" s="306"/>
      <c r="D126" s="432"/>
      <c r="E126" s="390"/>
      <c r="F126" s="473"/>
      <c r="G126" s="90"/>
      <c r="H126" s="90"/>
      <c r="I126" s="90"/>
      <c r="J126" s="203" t="str" cm="1">
        <f t="array" ref="J126">IF(SUMPRODUCT(ISBLANK(B126:E126)*1)=4,"wstaw dane",IF(AND(SUMPRODUCT(ISBLANK(B126:E126)*1)&gt;0,SUMPRODUCT(ISBLANK(B126:E126)*1)&lt;4),"uzupełnij dane","ok"))</f>
        <v>wstaw dane</v>
      </c>
      <c r="K126" s="33">
        <f t="shared" si="53"/>
        <v>0</v>
      </c>
      <c r="L126" s="33">
        <f t="shared" si="53"/>
        <v>0</v>
      </c>
      <c r="M126" s="33">
        <f t="shared" si="53"/>
        <v>0</v>
      </c>
      <c r="N126" s="33">
        <f t="shared" si="53"/>
        <v>0</v>
      </c>
      <c r="O126" s="33">
        <f t="shared" si="53"/>
        <v>0</v>
      </c>
      <c r="P126" s="33">
        <f t="shared" si="53"/>
        <v>0</v>
      </c>
      <c r="Q126" s="33">
        <f t="shared" si="53"/>
        <v>0</v>
      </c>
      <c r="R126" s="33">
        <f t="shared" si="53"/>
        <v>0</v>
      </c>
      <c r="S126" s="33">
        <f t="shared" si="53"/>
        <v>0</v>
      </c>
      <c r="T126" s="33">
        <f t="shared" si="53"/>
        <v>0</v>
      </c>
      <c r="U126" s="33">
        <f t="shared" si="53"/>
        <v>0</v>
      </c>
      <c r="V126" s="33">
        <f t="shared" si="53"/>
        <v>0</v>
      </c>
      <c r="W126" s="33">
        <f t="shared" si="53"/>
        <v>0</v>
      </c>
      <c r="X126" s="33">
        <f t="shared" si="53"/>
        <v>0</v>
      </c>
    </row>
    <row r="127" spans="2:24">
      <c r="B127" s="305"/>
      <c r="C127" s="306"/>
      <c r="D127" s="288"/>
      <c r="E127" s="390"/>
      <c r="F127" s="473"/>
      <c r="G127" s="90"/>
      <c r="H127" s="90"/>
      <c r="I127" s="90"/>
      <c r="J127" s="203" t="str" cm="1">
        <f t="array" ref="J127">IF(SUMPRODUCT(ISBLANK(B127:E127)*1)=4,"wstaw dane",IF(AND(SUMPRODUCT(ISBLANK(B127:E127)*1)&gt;0,SUMPRODUCT(ISBLANK(B127:E127)*1)&lt;4),"uzupełnij dane","ok"))</f>
        <v>wstaw dane</v>
      </c>
      <c r="K127" s="33">
        <f t="shared" si="53"/>
        <v>0</v>
      </c>
      <c r="L127" s="33">
        <f t="shared" si="53"/>
        <v>0</v>
      </c>
      <c r="M127" s="33">
        <f t="shared" si="53"/>
        <v>0</v>
      </c>
      <c r="N127" s="33">
        <f t="shared" si="53"/>
        <v>0</v>
      </c>
      <c r="O127" s="33">
        <f t="shared" si="53"/>
        <v>0</v>
      </c>
      <c r="P127" s="33">
        <f t="shared" si="53"/>
        <v>0</v>
      </c>
      <c r="Q127" s="33">
        <f t="shared" si="53"/>
        <v>0</v>
      </c>
      <c r="R127" s="33">
        <f t="shared" si="53"/>
        <v>0</v>
      </c>
      <c r="S127" s="33">
        <f t="shared" si="53"/>
        <v>0</v>
      </c>
      <c r="T127" s="33">
        <f t="shared" si="53"/>
        <v>0</v>
      </c>
      <c r="U127" s="33">
        <f t="shared" si="53"/>
        <v>0</v>
      </c>
      <c r="V127" s="33">
        <f t="shared" si="53"/>
        <v>0</v>
      </c>
      <c r="W127" s="33">
        <f t="shared" si="53"/>
        <v>0</v>
      </c>
      <c r="X127" s="33">
        <f t="shared" si="53"/>
        <v>0</v>
      </c>
    </row>
    <row r="128" spans="2:24">
      <c r="B128" s="305"/>
      <c r="C128" s="306"/>
      <c r="D128" s="432"/>
      <c r="E128" s="390"/>
      <c r="F128" s="473"/>
      <c r="G128" s="90"/>
      <c r="H128" s="90"/>
      <c r="I128" s="90"/>
      <c r="J128" s="203" t="str" cm="1">
        <f t="array" ref="J128">IF(SUMPRODUCT(ISBLANK(B128:E128)*1)=4,"wstaw dane",IF(AND(SUMPRODUCT(ISBLANK(B128:E128)*1)&gt;0,SUMPRODUCT(ISBLANK(B128:E128)*1)&lt;4),"uzupełnij dane","ok"))</f>
        <v>wstaw dane</v>
      </c>
      <c r="K128" s="33">
        <f t="shared" si="53"/>
        <v>0</v>
      </c>
      <c r="L128" s="33">
        <f t="shared" si="53"/>
        <v>0</v>
      </c>
      <c r="M128" s="33">
        <f t="shared" si="53"/>
        <v>0</v>
      </c>
      <c r="N128" s="33">
        <f t="shared" si="53"/>
        <v>0</v>
      </c>
      <c r="O128" s="33">
        <f t="shared" si="53"/>
        <v>0</v>
      </c>
      <c r="P128" s="33">
        <f t="shared" si="53"/>
        <v>0</v>
      </c>
      <c r="Q128" s="33">
        <f t="shared" si="53"/>
        <v>0</v>
      </c>
      <c r="R128" s="33">
        <f t="shared" si="53"/>
        <v>0</v>
      </c>
      <c r="S128" s="33">
        <f t="shared" si="53"/>
        <v>0</v>
      </c>
      <c r="T128" s="33">
        <f t="shared" si="53"/>
        <v>0</v>
      </c>
      <c r="U128" s="33">
        <f t="shared" si="53"/>
        <v>0</v>
      </c>
      <c r="V128" s="33">
        <f t="shared" si="53"/>
        <v>0</v>
      </c>
      <c r="W128" s="33">
        <f t="shared" si="53"/>
        <v>0</v>
      </c>
      <c r="X128" s="33">
        <f t="shared" si="53"/>
        <v>0</v>
      </c>
    </row>
    <row r="129" spans="1:24">
      <c r="B129" s="305"/>
      <c r="C129" s="306"/>
      <c r="D129" s="288"/>
      <c r="E129" s="390"/>
      <c r="F129" s="473"/>
      <c r="G129" s="90"/>
      <c r="H129" s="90"/>
      <c r="I129" s="90"/>
      <c r="J129" s="203" t="str" cm="1">
        <f t="array" ref="J129">IF(SUMPRODUCT(ISBLANK(B129:E129)*1)=4,"wstaw dane",IF(AND(SUMPRODUCT(ISBLANK(B129:E129)*1)&gt;0,SUMPRODUCT(ISBLANK(B129:E129)*1)&lt;4),"uzupełnij dane","ok"))</f>
        <v>wstaw dane</v>
      </c>
      <c r="K129" s="33">
        <f t="shared" si="53"/>
        <v>0</v>
      </c>
      <c r="L129" s="33">
        <f t="shared" si="53"/>
        <v>0</v>
      </c>
      <c r="M129" s="33">
        <f t="shared" si="53"/>
        <v>0</v>
      </c>
      <c r="N129" s="33">
        <f t="shared" si="53"/>
        <v>0</v>
      </c>
      <c r="O129" s="33">
        <f t="shared" si="53"/>
        <v>0</v>
      </c>
      <c r="P129" s="33">
        <f t="shared" si="53"/>
        <v>0</v>
      </c>
      <c r="Q129" s="33">
        <f t="shared" si="53"/>
        <v>0</v>
      </c>
      <c r="R129" s="33">
        <f t="shared" si="53"/>
        <v>0</v>
      </c>
      <c r="S129" s="33">
        <f t="shared" si="53"/>
        <v>0</v>
      </c>
      <c r="T129" s="33">
        <f t="shared" si="53"/>
        <v>0</v>
      </c>
      <c r="U129" s="33">
        <f t="shared" si="53"/>
        <v>0</v>
      </c>
      <c r="V129" s="33">
        <f t="shared" si="53"/>
        <v>0</v>
      </c>
      <c r="W129" s="33">
        <f t="shared" si="53"/>
        <v>0</v>
      </c>
      <c r="X129" s="33">
        <f t="shared" si="53"/>
        <v>0</v>
      </c>
    </row>
    <row r="130" spans="1:24">
      <c r="B130" s="305"/>
      <c r="C130" s="306"/>
      <c r="D130" s="432"/>
      <c r="E130" s="390"/>
      <c r="F130" s="473"/>
      <c r="G130" s="90"/>
      <c r="H130" s="90"/>
      <c r="I130" s="90"/>
      <c r="J130" s="203" t="str" cm="1">
        <f t="array" ref="J130">IF(SUMPRODUCT(ISBLANK(B130:E130)*1)=4,"wstaw dane",IF(AND(SUMPRODUCT(ISBLANK(B130:E130)*1)&gt;0,SUMPRODUCT(ISBLANK(B130:E130)*1)&lt;4),"uzupełnij dane","ok"))</f>
        <v>wstaw dane</v>
      </c>
      <c r="K130" s="33">
        <f t="shared" si="53"/>
        <v>0</v>
      </c>
      <c r="L130" s="33">
        <f t="shared" si="53"/>
        <v>0</v>
      </c>
      <c r="M130" s="33">
        <f t="shared" si="53"/>
        <v>0</v>
      </c>
      <c r="N130" s="33">
        <f t="shared" si="53"/>
        <v>0</v>
      </c>
      <c r="O130" s="33">
        <f t="shared" si="53"/>
        <v>0</v>
      </c>
      <c r="P130" s="33">
        <f t="shared" si="53"/>
        <v>0</v>
      </c>
      <c r="Q130" s="33">
        <f t="shared" si="53"/>
        <v>0</v>
      </c>
      <c r="R130" s="33">
        <f t="shared" si="53"/>
        <v>0</v>
      </c>
      <c r="S130" s="33">
        <f t="shared" si="53"/>
        <v>0</v>
      </c>
      <c r="T130" s="33">
        <f t="shared" si="53"/>
        <v>0</v>
      </c>
      <c r="U130" s="33">
        <f t="shared" si="53"/>
        <v>0</v>
      </c>
      <c r="V130" s="33">
        <f t="shared" si="53"/>
        <v>0</v>
      </c>
      <c r="W130" s="33">
        <f t="shared" si="53"/>
        <v>0</v>
      </c>
      <c r="X130" s="33">
        <f t="shared" si="53"/>
        <v>0</v>
      </c>
    </row>
    <row r="131" spans="1:24">
      <c r="B131" s="305"/>
      <c r="C131" s="306"/>
      <c r="D131" s="288"/>
      <c r="E131" s="390"/>
      <c r="F131" s="473"/>
      <c r="G131" s="90"/>
      <c r="H131" s="90"/>
      <c r="I131" s="90"/>
      <c r="J131" s="203" t="str" cm="1">
        <f t="array" ref="J131">IF(SUMPRODUCT(ISBLANK(B131:E131)*1)=4,"wstaw dane",IF(AND(SUMPRODUCT(ISBLANK(B131:E131)*1)&gt;0,SUMPRODUCT(ISBLANK(B131:E131)*1)&lt;4),"uzupełnij dane","ok"))</f>
        <v>wstaw dane</v>
      </c>
      <c r="K131" s="33">
        <f t="shared" si="53"/>
        <v>0</v>
      </c>
      <c r="L131" s="33">
        <f t="shared" si="53"/>
        <v>0</v>
      </c>
      <c r="M131" s="33">
        <f t="shared" si="53"/>
        <v>0</v>
      </c>
      <c r="N131" s="33">
        <f t="shared" si="53"/>
        <v>0</v>
      </c>
      <c r="O131" s="33">
        <f t="shared" si="53"/>
        <v>0</v>
      </c>
      <c r="P131" s="33">
        <f t="shared" si="53"/>
        <v>0</v>
      </c>
      <c r="Q131" s="33">
        <f t="shared" ref="K131:X134" si="54">ROUND(IF(AND(YEAR($E131)=LataProjekcji,$D131&gt;0,$J131="ok"),$D131,0),0)</f>
        <v>0</v>
      </c>
      <c r="R131" s="33">
        <f t="shared" si="54"/>
        <v>0</v>
      </c>
      <c r="S131" s="33">
        <f t="shared" si="54"/>
        <v>0</v>
      </c>
      <c r="T131" s="33">
        <f t="shared" si="54"/>
        <v>0</v>
      </c>
      <c r="U131" s="33">
        <f t="shared" si="54"/>
        <v>0</v>
      </c>
      <c r="V131" s="33">
        <f t="shared" si="54"/>
        <v>0</v>
      </c>
      <c r="W131" s="33">
        <f t="shared" si="54"/>
        <v>0</v>
      </c>
      <c r="X131" s="33">
        <f t="shared" si="54"/>
        <v>0</v>
      </c>
    </row>
    <row r="132" spans="1:24">
      <c r="B132" s="305"/>
      <c r="C132" s="306"/>
      <c r="D132" s="432"/>
      <c r="E132" s="390"/>
      <c r="F132" s="473"/>
      <c r="G132" s="90"/>
      <c r="H132" s="90"/>
      <c r="I132" s="90"/>
      <c r="J132" s="203" t="str" cm="1">
        <f t="array" ref="J132">IF(SUMPRODUCT(ISBLANK(B132:E132)*1)=4,"wstaw dane",IF(AND(SUMPRODUCT(ISBLANK(B132:E132)*1)&gt;0,SUMPRODUCT(ISBLANK(B132:E132)*1)&lt;4),"uzupełnij dane","ok"))</f>
        <v>wstaw dane</v>
      </c>
      <c r="K132" s="33">
        <f t="shared" si="54"/>
        <v>0</v>
      </c>
      <c r="L132" s="33">
        <f t="shared" si="54"/>
        <v>0</v>
      </c>
      <c r="M132" s="33">
        <f t="shared" si="54"/>
        <v>0</v>
      </c>
      <c r="N132" s="33">
        <f t="shared" si="54"/>
        <v>0</v>
      </c>
      <c r="O132" s="33">
        <f t="shared" si="54"/>
        <v>0</v>
      </c>
      <c r="P132" s="33">
        <f t="shared" si="54"/>
        <v>0</v>
      </c>
      <c r="Q132" s="33">
        <f t="shared" si="54"/>
        <v>0</v>
      </c>
      <c r="R132" s="33">
        <f t="shared" si="54"/>
        <v>0</v>
      </c>
      <c r="S132" s="33">
        <f t="shared" si="54"/>
        <v>0</v>
      </c>
      <c r="T132" s="33">
        <f t="shared" si="54"/>
        <v>0</v>
      </c>
      <c r="U132" s="33">
        <f t="shared" si="54"/>
        <v>0</v>
      </c>
      <c r="V132" s="33">
        <f t="shared" si="54"/>
        <v>0</v>
      </c>
      <c r="W132" s="33">
        <f t="shared" si="54"/>
        <v>0</v>
      </c>
      <c r="X132" s="33">
        <f t="shared" si="54"/>
        <v>0</v>
      </c>
    </row>
    <row r="133" spans="1:24">
      <c r="B133" s="305"/>
      <c r="C133" s="306"/>
      <c r="D133" s="288"/>
      <c r="E133" s="390"/>
      <c r="F133" s="473"/>
      <c r="G133" s="90"/>
      <c r="H133" s="90"/>
      <c r="I133" s="90"/>
      <c r="J133" s="203" t="str" cm="1">
        <f t="array" ref="J133">IF(SUMPRODUCT(ISBLANK(B133:E133)*1)=4,"wstaw dane",IF(AND(SUMPRODUCT(ISBLANK(B133:E133)*1)&gt;0,SUMPRODUCT(ISBLANK(B133:E133)*1)&lt;4),"uzupełnij dane","ok"))</f>
        <v>wstaw dane</v>
      </c>
      <c r="K133" s="33">
        <f t="shared" si="54"/>
        <v>0</v>
      </c>
      <c r="L133" s="33">
        <f t="shared" si="54"/>
        <v>0</v>
      </c>
      <c r="M133" s="33">
        <f t="shared" si="54"/>
        <v>0</v>
      </c>
      <c r="N133" s="33">
        <f t="shared" si="54"/>
        <v>0</v>
      </c>
      <c r="O133" s="33">
        <f t="shared" si="54"/>
        <v>0</v>
      </c>
      <c r="P133" s="33">
        <f t="shared" si="54"/>
        <v>0</v>
      </c>
      <c r="Q133" s="33">
        <f t="shared" si="54"/>
        <v>0</v>
      </c>
      <c r="R133" s="33">
        <f t="shared" si="54"/>
        <v>0</v>
      </c>
      <c r="S133" s="33">
        <f t="shared" si="54"/>
        <v>0</v>
      </c>
      <c r="T133" s="33">
        <f t="shared" si="54"/>
        <v>0</v>
      </c>
      <c r="U133" s="33">
        <f t="shared" si="54"/>
        <v>0</v>
      </c>
      <c r="V133" s="33">
        <f t="shared" si="54"/>
        <v>0</v>
      </c>
      <c r="W133" s="33">
        <f t="shared" si="54"/>
        <v>0</v>
      </c>
      <c r="X133" s="33">
        <f t="shared" si="54"/>
        <v>0</v>
      </c>
    </row>
    <row r="134" spans="1:24">
      <c r="B134" s="305"/>
      <c r="C134" s="306"/>
      <c r="D134" s="432"/>
      <c r="E134" s="390"/>
      <c r="F134" s="473"/>
      <c r="G134" s="90"/>
      <c r="H134" s="90"/>
      <c r="I134" s="90"/>
      <c r="J134" s="203" t="str" cm="1">
        <f t="array" ref="J134">IF(SUMPRODUCT(ISBLANK(B134:E134)*1)=4,"wstaw dane",IF(AND(SUMPRODUCT(ISBLANK(B134:E134)*1)&gt;0,SUMPRODUCT(ISBLANK(B134:E134)*1)&lt;4),"uzupełnij dane","ok"))</f>
        <v>wstaw dane</v>
      </c>
      <c r="K134" s="33">
        <f t="shared" si="54"/>
        <v>0</v>
      </c>
      <c r="L134" s="33">
        <f t="shared" si="54"/>
        <v>0</v>
      </c>
      <c r="M134" s="33">
        <f t="shared" si="54"/>
        <v>0</v>
      </c>
      <c r="N134" s="33">
        <f t="shared" si="54"/>
        <v>0</v>
      </c>
      <c r="O134" s="33">
        <f t="shared" si="54"/>
        <v>0</v>
      </c>
      <c r="P134" s="33">
        <f t="shared" si="54"/>
        <v>0</v>
      </c>
      <c r="Q134" s="33">
        <f t="shared" si="54"/>
        <v>0</v>
      </c>
      <c r="R134" s="33">
        <f t="shared" si="54"/>
        <v>0</v>
      </c>
      <c r="S134" s="33">
        <f t="shared" si="54"/>
        <v>0</v>
      </c>
      <c r="T134" s="33">
        <f t="shared" si="54"/>
        <v>0</v>
      </c>
      <c r="U134" s="33">
        <f t="shared" si="54"/>
        <v>0</v>
      </c>
      <c r="V134" s="33">
        <f t="shared" si="54"/>
        <v>0</v>
      </c>
      <c r="W134" s="33">
        <f t="shared" si="54"/>
        <v>0</v>
      </c>
      <c r="X134" s="33">
        <f t="shared" si="54"/>
        <v>0</v>
      </c>
    </row>
    <row r="135" spans="1:24">
      <c r="B135" s="305"/>
      <c r="C135" s="306"/>
      <c r="D135" s="288"/>
      <c r="E135" s="390"/>
      <c r="F135" s="474"/>
      <c r="G135" s="106"/>
      <c r="H135" s="106"/>
      <c r="I135" s="106"/>
      <c r="J135" s="203" t="str" cm="1">
        <f t="array" ref="J135">IF(SUMPRODUCT(ISBLANK(B135:E135)*1)=4,"wstaw dane",IF(AND(SUMPRODUCT(ISBLANK(B135:E135)*1)&gt;0,SUMPRODUCT(ISBLANK(B135:E135)*1)&lt;4),"uzupełnij dane","ok"))</f>
        <v>wstaw dane</v>
      </c>
      <c r="K135" s="33">
        <f t="shared" si="52"/>
        <v>0</v>
      </c>
      <c r="L135" s="33">
        <f t="shared" si="52"/>
        <v>0</v>
      </c>
      <c r="M135" s="33">
        <f t="shared" si="52"/>
        <v>0</v>
      </c>
      <c r="N135" s="33">
        <f t="shared" si="52"/>
        <v>0</v>
      </c>
      <c r="O135" s="33">
        <f t="shared" si="52"/>
        <v>0</v>
      </c>
      <c r="P135" s="33">
        <f t="shared" si="52"/>
        <v>0</v>
      </c>
      <c r="Q135" s="33">
        <f t="shared" si="52"/>
        <v>0</v>
      </c>
      <c r="R135" s="33">
        <f t="shared" si="52"/>
        <v>0</v>
      </c>
      <c r="S135" s="33">
        <f t="shared" si="52"/>
        <v>0</v>
      </c>
      <c r="T135" s="33">
        <f t="shared" si="52"/>
        <v>0</v>
      </c>
      <c r="U135" s="33">
        <f t="shared" si="52"/>
        <v>0</v>
      </c>
      <c r="V135" s="33">
        <f t="shared" si="52"/>
        <v>0</v>
      </c>
      <c r="W135" s="33">
        <f t="shared" si="52"/>
        <v>0</v>
      </c>
      <c r="X135" s="33">
        <f t="shared" si="52"/>
        <v>0</v>
      </c>
    </row>
    <row r="136" spans="1:24" customFormat="1">
      <c r="A136" s="327"/>
      <c r="B136" s="99" t="s">
        <v>335</v>
      </c>
      <c r="C136" s="99"/>
      <c r="D136" s="98">
        <f>SUM(D96:D135)</f>
        <v>0</v>
      </c>
      <c r="E136" s="200"/>
      <c r="F136" s="97"/>
      <c r="G136" s="98"/>
      <c r="H136" s="97"/>
      <c r="I136" s="98"/>
      <c r="J136" s="97"/>
      <c r="K136" s="98">
        <f>ROUND(SUM(K96:K135),0)</f>
        <v>0</v>
      </c>
      <c r="L136" s="98">
        <f t="shared" ref="L136:X136" si="55">ROUND(SUM(L96:L135),0)</f>
        <v>0</v>
      </c>
      <c r="M136" s="98">
        <f t="shared" si="55"/>
        <v>0</v>
      </c>
      <c r="N136" s="98">
        <f t="shared" si="55"/>
        <v>0</v>
      </c>
      <c r="O136" s="98">
        <f t="shared" si="55"/>
        <v>0</v>
      </c>
      <c r="P136" s="98">
        <f t="shared" si="55"/>
        <v>0</v>
      </c>
      <c r="Q136" s="98">
        <f t="shared" si="55"/>
        <v>0</v>
      </c>
      <c r="R136" s="98">
        <f t="shared" si="55"/>
        <v>0</v>
      </c>
      <c r="S136" s="98">
        <f t="shared" si="55"/>
        <v>0</v>
      </c>
      <c r="T136" s="98">
        <f t="shared" si="55"/>
        <v>0</v>
      </c>
      <c r="U136" s="98">
        <f t="shared" si="55"/>
        <v>0</v>
      </c>
      <c r="V136" s="98">
        <f t="shared" si="55"/>
        <v>0</v>
      </c>
      <c r="W136" s="98">
        <f t="shared" si="55"/>
        <v>0</v>
      </c>
      <c r="X136" s="98">
        <f t="shared" si="55"/>
        <v>0</v>
      </c>
    </row>
    <row r="137" spans="1:24" customFormat="1">
      <c r="A137" s="327"/>
      <c r="B137" s="104" t="s">
        <v>384</v>
      </c>
      <c r="C137" s="104"/>
      <c r="D137" s="102"/>
      <c r="E137" s="102"/>
      <c r="F137" s="102"/>
      <c r="G137" s="102"/>
      <c r="H137" s="102"/>
      <c r="I137" s="102"/>
      <c r="J137" s="102"/>
      <c r="K137" s="103">
        <f t="shared" ref="K137:X137" ca="1" si="56">ROUND(IF(K$12&lt;=Koniec,(K874+K880+K886+K892+K898+K904+K910+K916+K922+K928+K934+K940+K946+K952+K958+K964+K970+K976+K982+K988+K994+K1000+K1006+K1012+K1018+K1024+K1030+K1036+K1042+K1048+K1054+K1060+K1066+K1072+K1078+K1084+K1090+K1096+K1102+K1108),0),0)</f>
        <v>0</v>
      </c>
      <c r="L137" s="103">
        <f t="shared" ca="1" si="56"/>
        <v>0</v>
      </c>
      <c r="M137" s="103">
        <f t="shared" ca="1" si="56"/>
        <v>0</v>
      </c>
      <c r="N137" s="103">
        <f t="shared" ca="1" si="56"/>
        <v>0</v>
      </c>
      <c r="O137" s="103">
        <f t="shared" ca="1" si="56"/>
        <v>0</v>
      </c>
      <c r="P137" s="103">
        <f t="shared" ca="1" si="56"/>
        <v>0</v>
      </c>
      <c r="Q137" s="103">
        <f t="shared" ca="1" si="56"/>
        <v>0</v>
      </c>
      <c r="R137" s="103">
        <f t="shared" ca="1" si="56"/>
        <v>0</v>
      </c>
      <c r="S137" s="103">
        <f t="shared" ca="1" si="56"/>
        <v>0</v>
      </c>
      <c r="T137" s="103">
        <f t="shared" ca="1" si="56"/>
        <v>0</v>
      </c>
      <c r="U137" s="103">
        <f t="shared" ca="1" si="56"/>
        <v>0</v>
      </c>
      <c r="V137" s="103">
        <f t="shared" ca="1" si="56"/>
        <v>0</v>
      </c>
      <c r="W137" s="103">
        <f t="shared" ca="1" si="56"/>
        <v>0</v>
      </c>
      <c r="X137" s="103">
        <f t="shared" ca="1" si="56"/>
        <v>0</v>
      </c>
    </row>
    <row r="138" spans="1:24" customFormat="1">
      <c r="A138" s="327"/>
      <c r="B138" s="37" t="s">
        <v>385</v>
      </c>
      <c r="C138" s="37"/>
      <c r="D138" s="52"/>
      <c r="E138" s="52"/>
      <c r="F138" s="52"/>
      <c r="G138" s="52"/>
      <c r="H138" s="52"/>
      <c r="I138" s="52"/>
      <c r="J138" s="52"/>
      <c r="K138" s="33">
        <f t="shared" ref="K138:X138" ca="1" si="57">ROUND(IF(K$12&lt;=Koniec,(K875+K881+K887+K893+K899+K905+K911+K917+K923+K929+K935+K941+K947+K953+K959+K965+K971+K977+K983+K989+K995+K1001+K1007+K1013+K1019+K1025+K1031+K1037+K1043+K1049+K1055+K1061+K1067+K1073+K1079+K1085+K1091+K1097+K1103+K1109),0),0)</f>
        <v>0</v>
      </c>
      <c r="L138" s="33">
        <f t="shared" ca="1" si="57"/>
        <v>0</v>
      </c>
      <c r="M138" s="33">
        <f t="shared" ca="1" si="57"/>
        <v>0</v>
      </c>
      <c r="N138" s="33">
        <f t="shared" ca="1" si="57"/>
        <v>0</v>
      </c>
      <c r="O138" s="33">
        <f t="shared" ca="1" si="57"/>
        <v>0</v>
      </c>
      <c r="P138" s="33">
        <f t="shared" ca="1" si="57"/>
        <v>0</v>
      </c>
      <c r="Q138" s="33">
        <f t="shared" ca="1" si="57"/>
        <v>0</v>
      </c>
      <c r="R138" s="33">
        <f t="shared" ca="1" si="57"/>
        <v>0</v>
      </c>
      <c r="S138" s="33">
        <f t="shared" ca="1" si="57"/>
        <v>0</v>
      </c>
      <c r="T138" s="33">
        <f t="shared" ca="1" si="57"/>
        <v>0</v>
      </c>
      <c r="U138" s="33">
        <f t="shared" ca="1" si="57"/>
        <v>0</v>
      </c>
      <c r="V138" s="33">
        <f t="shared" ca="1" si="57"/>
        <v>0</v>
      </c>
      <c r="W138" s="33">
        <f t="shared" ca="1" si="57"/>
        <v>0</v>
      </c>
      <c r="X138" s="33">
        <f t="shared" ca="1" si="57"/>
        <v>0</v>
      </c>
    </row>
    <row r="139" spans="1:24" customFormat="1">
      <c r="A139" s="327"/>
      <c r="B139" s="201" t="s">
        <v>386</v>
      </c>
      <c r="C139" s="201"/>
      <c r="D139" s="52"/>
      <c r="E139" s="52"/>
      <c r="F139" s="52"/>
      <c r="G139" s="52"/>
      <c r="H139" s="52"/>
      <c r="I139" s="52"/>
      <c r="J139" s="52"/>
      <c r="K139" s="87">
        <f t="shared" ref="K139:X139" ca="1" si="58">ROUND(IF(K$12&lt;=Koniec,(K876+K882+K888+K894+K900+K906+K912+K918+K924+K930+K936+K942+K948+K954+K960+K966+K972+K978+K984+K990+K996+K1002+K1008+K1014+K1020+K1026+K1032+K1038+K1044+K1050+K1056+K1062+K1068+K1074+K1080+K1086+K1092+K1098+K1104+K1110),0),0)</f>
        <v>0</v>
      </c>
      <c r="L139" s="87">
        <f t="shared" ca="1" si="58"/>
        <v>0</v>
      </c>
      <c r="M139" s="87">
        <f t="shared" ca="1" si="58"/>
        <v>0</v>
      </c>
      <c r="N139" s="87">
        <f t="shared" ca="1" si="58"/>
        <v>0</v>
      </c>
      <c r="O139" s="87">
        <f t="shared" ca="1" si="58"/>
        <v>0</v>
      </c>
      <c r="P139" s="87">
        <f t="shared" ca="1" si="58"/>
        <v>0</v>
      </c>
      <c r="Q139" s="87">
        <f t="shared" ca="1" si="58"/>
        <v>0</v>
      </c>
      <c r="R139" s="87">
        <f t="shared" ca="1" si="58"/>
        <v>0</v>
      </c>
      <c r="S139" s="87">
        <f t="shared" ca="1" si="58"/>
        <v>0</v>
      </c>
      <c r="T139" s="87">
        <f t="shared" ca="1" si="58"/>
        <v>0</v>
      </c>
      <c r="U139" s="87">
        <f t="shared" ca="1" si="58"/>
        <v>0</v>
      </c>
      <c r="V139" s="87">
        <f t="shared" ca="1" si="58"/>
        <v>0</v>
      </c>
      <c r="W139" s="87">
        <f t="shared" ca="1" si="58"/>
        <v>0</v>
      </c>
      <c r="X139" s="87">
        <f t="shared" ca="1" si="58"/>
        <v>0</v>
      </c>
    </row>
    <row r="140" spans="1:2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customFormat="1" ht="36">
      <c r="A141" s="1"/>
      <c r="B141" s="430" t="s">
        <v>718</v>
      </c>
      <c r="C141" s="234"/>
      <c r="D141" s="234"/>
      <c r="E141" s="234"/>
      <c r="F141" s="234"/>
      <c r="G141" s="234"/>
      <c r="H141" s="234"/>
      <c r="I141" s="234"/>
      <c r="J141" s="437" t="str">
        <f>Rok_n</f>
        <v/>
      </c>
      <c r="K141" s="235" t="str">
        <f t="shared" ref="K141:X141" si="59">LataProjekcji</f>
        <v>Uzupełnij dane</v>
      </c>
      <c r="L141" s="235" t="str">
        <f t="shared" si="59"/>
        <v/>
      </c>
      <c r="M141" s="235" t="str">
        <f t="shared" si="59"/>
        <v/>
      </c>
      <c r="N141" s="235" t="str">
        <f t="shared" si="59"/>
        <v/>
      </c>
      <c r="O141" s="235" t="str">
        <f t="shared" si="59"/>
        <v/>
      </c>
      <c r="P141" s="235" t="str">
        <f t="shared" si="59"/>
        <v/>
      </c>
      <c r="Q141" s="235" t="str">
        <f t="shared" si="59"/>
        <v/>
      </c>
      <c r="R141" s="235" t="str">
        <f t="shared" si="59"/>
        <v/>
      </c>
      <c r="S141" s="235" t="str">
        <f t="shared" si="59"/>
        <v/>
      </c>
      <c r="T141" s="235" t="str">
        <f t="shared" si="59"/>
        <v/>
      </c>
      <c r="U141" s="235" t="str">
        <f t="shared" si="59"/>
        <v/>
      </c>
      <c r="V141" s="235" t="str">
        <f t="shared" si="59"/>
        <v/>
      </c>
      <c r="W141" s="235" t="str">
        <f t="shared" si="59"/>
        <v/>
      </c>
      <c r="X141" s="235" t="str">
        <f t="shared" si="59"/>
        <v/>
      </c>
    </row>
    <row r="142" spans="1:24" customFormat="1">
      <c r="A142" s="1"/>
      <c r="B142" s="439" t="s">
        <v>719</v>
      </c>
      <c r="C142" s="102"/>
      <c r="D142" s="102"/>
      <c r="E142" s="102"/>
      <c r="F142" s="102"/>
      <c r="G142" s="102"/>
      <c r="H142" s="102"/>
      <c r="I142" s="102"/>
      <c r="J142" s="438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1:24" customFormat="1">
      <c r="A143" s="1"/>
      <c r="B143" s="443" t="s">
        <v>720</v>
      </c>
      <c r="C143" s="19"/>
      <c r="D143" s="19"/>
      <c r="E143" s="19"/>
      <c r="F143" s="19"/>
      <c r="G143" s="19"/>
      <c r="H143" s="19"/>
      <c r="I143" s="19"/>
      <c r="J143" s="18">
        <f>ROUND('Sprawozdania finansowe'!F18,0)</f>
        <v>0</v>
      </c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customFormat="1">
      <c r="A144" s="1"/>
      <c r="B144" s="37" t="s">
        <v>722</v>
      </c>
      <c r="C144" s="19"/>
      <c r="D144" s="19"/>
      <c r="E144" s="19"/>
      <c r="F144" s="19"/>
      <c r="G144" s="19"/>
      <c r="H144" s="19"/>
      <c r="I144" s="19"/>
      <c r="J144" s="18"/>
      <c r="K144" s="95">
        <f t="shared" ref="K144:X144" si="60">ROUND(SUMIFS(K$96:K$135,$C$96:$C$135,$C$159,$F$96:$F$135,przeniesiony)+SUMIFS(K$96:K$135,$C$96:$C$135,$C$160,$F$96:$F$135,przeniesiony)+SUMIFS(K$96:K$135,$C$96:$C$135,$C$161,$F$96:$F$135,przeniesiony),0)</f>
        <v>0</v>
      </c>
      <c r="L144" s="95">
        <f t="shared" si="60"/>
        <v>0</v>
      </c>
      <c r="M144" s="95">
        <f t="shared" si="60"/>
        <v>0</v>
      </c>
      <c r="N144" s="95">
        <f t="shared" si="60"/>
        <v>0</v>
      </c>
      <c r="O144" s="95">
        <f t="shared" si="60"/>
        <v>0</v>
      </c>
      <c r="P144" s="95">
        <f t="shared" si="60"/>
        <v>0</v>
      </c>
      <c r="Q144" s="95">
        <f t="shared" si="60"/>
        <v>0</v>
      </c>
      <c r="R144" s="95">
        <f t="shared" si="60"/>
        <v>0</v>
      </c>
      <c r="S144" s="95">
        <f t="shared" si="60"/>
        <v>0</v>
      </c>
      <c r="T144" s="95">
        <f t="shared" si="60"/>
        <v>0</v>
      </c>
      <c r="U144" s="95">
        <f t="shared" si="60"/>
        <v>0</v>
      </c>
      <c r="V144" s="95">
        <f t="shared" si="60"/>
        <v>0</v>
      </c>
      <c r="W144" s="95">
        <f t="shared" si="60"/>
        <v>0</v>
      </c>
      <c r="X144" s="95">
        <f t="shared" si="60"/>
        <v>0</v>
      </c>
    </row>
    <row r="145" spans="1:24" customFormat="1">
      <c r="A145" s="1"/>
      <c r="B145" s="37" t="s">
        <v>724</v>
      </c>
      <c r="C145" s="19"/>
      <c r="D145" s="19"/>
      <c r="E145" s="19"/>
      <c r="F145" s="19"/>
      <c r="G145" s="19"/>
      <c r="H145" s="19"/>
      <c r="I145" s="19"/>
      <c r="J145" s="18"/>
      <c r="K145" s="346"/>
      <c r="L145" s="346"/>
      <c r="M145" s="346"/>
      <c r="N145" s="346"/>
      <c r="O145" s="346"/>
      <c r="P145" s="346"/>
      <c r="Q145" s="346"/>
      <c r="R145" s="346"/>
      <c r="S145" s="346"/>
      <c r="T145" s="346"/>
      <c r="U145" s="346"/>
      <c r="V145" s="346"/>
      <c r="W145" s="346"/>
      <c r="X145" s="346"/>
    </row>
    <row r="146" spans="1:24" customFormat="1">
      <c r="A146" s="1"/>
      <c r="B146" s="201" t="s">
        <v>725</v>
      </c>
      <c r="C146" s="19"/>
      <c r="D146" s="19"/>
      <c r="E146" s="19"/>
      <c r="F146" s="19"/>
      <c r="G146" s="19"/>
      <c r="H146" s="19"/>
      <c r="I146" s="19"/>
      <c r="J146" s="18"/>
      <c r="K146" s="87">
        <f>IF(LataProjekcji&lt;=Koniec,ROUND(J143-K144+K145,0),0)</f>
        <v>0</v>
      </c>
      <c r="L146" s="87">
        <f t="shared" ref="L146:X146" si="61">IF(LataProjekcji&lt;=Koniec,ROUND(K146-L144+L145,0),0)</f>
        <v>0</v>
      </c>
      <c r="M146" s="87">
        <f t="shared" si="61"/>
        <v>0</v>
      </c>
      <c r="N146" s="87">
        <f t="shared" si="61"/>
        <v>0</v>
      </c>
      <c r="O146" s="87">
        <f t="shared" si="61"/>
        <v>0</v>
      </c>
      <c r="P146" s="87">
        <f t="shared" si="61"/>
        <v>0</v>
      </c>
      <c r="Q146" s="87">
        <f t="shared" si="61"/>
        <v>0</v>
      </c>
      <c r="R146" s="87">
        <f t="shared" si="61"/>
        <v>0</v>
      </c>
      <c r="S146" s="87">
        <f t="shared" si="61"/>
        <v>0</v>
      </c>
      <c r="T146" s="87">
        <f t="shared" si="61"/>
        <v>0</v>
      </c>
      <c r="U146" s="87">
        <f t="shared" si="61"/>
        <v>0</v>
      </c>
      <c r="V146" s="87">
        <f t="shared" si="61"/>
        <v>0</v>
      </c>
      <c r="W146" s="87">
        <f t="shared" si="61"/>
        <v>0</v>
      </c>
      <c r="X146" s="87">
        <f t="shared" si="61"/>
        <v>0</v>
      </c>
    </row>
    <row r="147" spans="1:24" customFormat="1" ht="3.9" customHeight="1">
      <c r="A147" s="1"/>
      <c r="B147" s="17"/>
      <c r="C147" s="19"/>
      <c r="D147" s="19"/>
      <c r="E147" s="19"/>
      <c r="F147" s="19"/>
      <c r="G147" s="19"/>
      <c r="H147" s="19"/>
      <c r="I147" s="19"/>
      <c r="J147" s="1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customFormat="1">
      <c r="A148" s="1"/>
      <c r="B148" s="17" t="s">
        <v>745</v>
      </c>
      <c r="C148" s="19"/>
      <c r="D148" s="19"/>
      <c r="E148" s="19"/>
      <c r="F148" s="19"/>
      <c r="G148" s="19"/>
      <c r="H148" s="19"/>
      <c r="I148" s="19"/>
      <c r="J148" s="1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customFormat="1">
      <c r="A149" s="1"/>
      <c r="B149" s="443" t="s">
        <v>720</v>
      </c>
      <c r="C149" s="19"/>
      <c r="D149" s="19"/>
      <c r="E149" s="19"/>
      <c r="F149" s="19"/>
      <c r="G149" s="19"/>
      <c r="H149" s="19"/>
      <c r="I149" s="19"/>
      <c r="J149" s="18">
        <f>ROUND('Sprawozdania finansowe'!F26+'Sprawozdania finansowe'!F27,0)</f>
        <v>0</v>
      </c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customFormat="1">
      <c r="A150" s="1"/>
      <c r="B150" s="37" t="s">
        <v>721</v>
      </c>
      <c r="C150" s="52"/>
      <c r="D150" s="52"/>
      <c r="E150" s="52"/>
      <c r="F150" s="52"/>
      <c r="G150" s="52"/>
      <c r="H150" s="52"/>
      <c r="I150" s="52"/>
      <c r="J150" s="52"/>
      <c r="K150" s="95">
        <f t="shared" ref="K150:X150" si="62">ROUND(SUMIFS(K$96:K$135,$C$96:$C$135,$C$164,$F$96:$F$135,przeniesiony)+SUMIFS(K$96:K$135,$C$96:$C$135,$C$165,$F$96:$F$135,przeniesiony)+SUMIFS(K$96:K$135,$C$96:$C$135,$C$166,$F$96:$F$135,przeniesiony)+SUMIFS(K$96:K$135,$C$96:$C$135,$C$167,$F$96:$F$135,przeniesiony)+SUMIFS(K$96:K$135,$C$96:$C$135,$C$168,$F$96:$F$135,przeniesiony),0)</f>
        <v>0</v>
      </c>
      <c r="L150" s="95">
        <f t="shared" si="62"/>
        <v>0</v>
      </c>
      <c r="M150" s="95">
        <f t="shared" si="62"/>
        <v>0</v>
      </c>
      <c r="N150" s="95">
        <f t="shared" si="62"/>
        <v>0</v>
      </c>
      <c r="O150" s="95">
        <f t="shared" si="62"/>
        <v>0</v>
      </c>
      <c r="P150" s="95">
        <f t="shared" si="62"/>
        <v>0</v>
      </c>
      <c r="Q150" s="95">
        <f t="shared" si="62"/>
        <v>0</v>
      </c>
      <c r="R150" s="95">
        <f t="shared" si="62"/>
        <v>0</v>
      </c>
      <c r="S150" s="95">
        <f t="shared" si="62"/>
        <v>0</v>
      </c>
      <c r="T150" s="95">
        <f t="shared" si="62"/>
        <v>0</v>
      </c>
      <c r="U150" s="95">
        <f t="shared" si="62"/>
        <v>0</v>
      </c>
      <c r="V150" s="95">
        <f t="shared" si="62"/>
        <v>0</v>
      </c>
      <c r="W150" s="95">
        <f t="shared" si="62"/>
        <v>0</v>
      </c>
      <c r="X150" s="95">
        <f t="shared" si="62"/>
        <v>0</v>
      </c>
    </row>
    <row r="151" spans="1:24" customFormat="1">
      <c r="A151" s="1"/>
      <c r="B151" s="37" t="s">
        <v>723</v>
      </c>
      <c r="C151" s="52"/>
      <c r="D151" s="52"/>
      <c r="E151" s="52"/>
      <c r="F151" s="52"/>
      <c r="G151" s="52"/>
      <c r="H151" s="52"/>
      <c r="I151" s="52"/>
      <c r="J151" s="52"/>
      <c r="K151" s="346"/>
      <c r="L151" s="346"/>
      <c r="M151" s="346"/>
      <c r="N151" s="346"/>
      <c r="O151" s="346"/>
      <c r="P151" s="346"/>
      <c r="Q151" s="346"/>
      <c r="R151" s="346"/>
      <c r="S151" s="346"/>
      <c r="T151" s="346"/>
      <c r="U151" s="346"/>
      <c r="V151" s="346"/>
      <c r="W151" s="346"/>
      <c r="X151" s="346"/>
    </row>
    <row r="152" spans="1:24" customFormat="1">
      <c r="A152" s="1"/>
      <c r="B152" s="88" t="s">
        <v>715</v>
      </c>
      <c r="C152" s="88"/>
      <c r="D152" s="88"/>
      <c r="E152" s="88"/>
      <c r="F152" s="88"/>
      <c r="G152" s="88"/>
      <c r="H152" s="88"/>
      <c r="I152" s="88"/>
      <c r="J152" s="88"/>
      <c r="K152" s="87">
        <f>IF(LataProjekcji&lt;=Koniec,ROUND(J149-K150+K151,0),0)</f>
        <v>0</v>
      </c>
      <c r="L152" s="87">
        <f t="shared" ref="L152:X152" si="63">IF(LataProjekcji&lt;=Koniec,ROUND(K152-L150+L151,0),0)</f>
        <v>0</v>
      </c>
      <c r="M152" s="87">
        <f t="shared" si="63"/>
        <v>0</v>
      </c>
      <c r="N152" s="87">
        <f t="shared" si="63"/>
        <v>0</v>
      </c>
      <c r="O152" s="87">
        <f t="shared" si="63"/>
        <v>0</v>
      </c>
      <c r="P152" s="87">
        <f t="shared" si="63"/>
        <v>0</v>
      </c>
      <c r="Q152" s="87">
        <f t="shared" si="63"/>
        <v>0</v>
      </c>
      <c r="R152" s="87">
        <f t="shared" si="63"/>
        <v>0</v>
      </c>
      <c r="S152" s="87">
        <f t="shared" si="63"/>
        <v>0</v>
      </c>
      <c r="T152" s="87">
        <f t="shared" si="63"/>
        <v>0</v>
      </c>
      <c r="U152" s="87">
        <f t="shared" si="63"/>
        <v>0</v>
      </c>
      <c r="V152" s="87">
        <f t="shared" si="63"/>
        <v>0</v>
      </c>
      <c r="W152" s="87">
        <f t="shared" si="63"/>
        <v>0</v>
      </c>
      <c r="X152" s="87">
        <f t="shared" si="63"/>
        <v>0</v>
      </c>
    </row>
    <row r="153" spans="1:24" customForma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customForma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customForma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customForma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customFormat="1">
      <c r="B157" s="29" t="s">
        <v>716</v>
      </c>
      <c r="C157" s="29"/>
      <c r="D157" s="30"/>
      <c r="E157" s="30"/>
      <c r="F157" s="30"/>
      <c r="G157" s="30"/>
      <c r="H157" s="30"/>
      <c r="I157" s="30"/>
      <c r="J157" s="30"/>
      <c r="K157" s="156" t="str">
        <f t="shared" ref="K157:X157" si="64">LataProjekcji</f>
        <v>Uzupełnij dane</v>
      </c>
      <c r="L157" s="156" t="str">
        <f t="shared" si="64"/>
        <v/>
      </c>
      <c r="M157" s="156" t="str">
        <f t="shared" si="64"/>
        <v/>
      </c>
      <c r="N157" s="156" t="str">
        <f t="shared" si="64"/>
        <v/>
      </c>
      <c r="O157" s="156" t="str">
        <f t="shared" si="64"/>
        <v/>
      </c>
      <c r="P157" s="156" t="str">
        <f t="shared" si="64"/>
        <v/>
      </c>
      <c r="Q157" s="156" t="str">
        <f t="shared" si="64"/>
        <v/>
      </c>
      <c r="R157" s="156" t="str">
        <f t="shared" si="64"/>
        <v/>
      </c>
      <c r="S157" s="156" t="str">
        <f t="shared" si="64"/>
        <v/>
      </c>
      <c r="T157" s="156" t="str">
        <f t="shared" si="64"/>
        <v/>
      </c>
      <c r="U157" s="156" t="str">
        <f t="shared" si="64"/>
        <v/>
      </c>
      <c r="V157" s="156" t="str">
        <f t="shared" si="64"/>
        <v/>
      </c>
      <c r="W157" s="156" t="str">
        <f t="shared" si="64"/>
        <v/>
      </c>
      <c r="X157" s="156" t="str">
        <f t="shared" si="64"/>
        <v/>
      </c>
    </row>
    <row r="158" spans="1:24" customFormat="1">
      <c r="B158" s="29" t="s">
        <v>395</v>
      </c>
      <c r="C158" s="29"/>
      <c r="D158" s="30"/>
      <c r="E158" s="30"/>
      <c r="F158" s="30"/>
      <c r="G158" s="30"/>
      <c r="H158" s="30"/>
      <c r="I158" s="30"/>
      <c r="J158" s="30"/>
      <c r="K158" s="31">
        <f ca="1">ROUND(SUM(K159:K162),0)</f>
        <v>0</v>
      </c>
      <c r="L158" s="31">
        <f t="shared" ref="L158:X158" ca="1" si="65">ROUND(SUM(L159:L162),0)</f>
        <v>0</v>
      </c>
      <c r="M158" s="31">
        <f t="shared" ca="1" si="65"/>
        <v>0</v>
      </c>
      <c r="N158" s="31">
        <f t="shared" ca="1" si="65"/>
        <v>0</v>
      </c>
      <c r="O158" s="31">
        <f t="shared" ca="1" si="65"/>
        <v>0</v>
      </c>
      <c r="P158" s="31">
        <f t="shared" ca="1" si="65"/>
        <v>0</v>
      </c>
      <c r="Q158" s="31">
        <f t="shared" ca="1" si="65"/>
        <v>0</v>
      </c>
      <c r="R158" s="31">
        <f t="shared" ca="1" si="65"/>
        <v>0</v>
      </c>
      <c r="S158" s="31">
        <f t="shared" ca="1" si="65"/>
        <v>0</v>
      </c>
      <c r="T158" s="31">
        <f t="shared" ca="1" si="65"/>
        <v>0</v>
      </c>
      <c r="U158" s="31">
        <f t="shared" ca="1" si="65"/>
        <v>0</v>
      </c>
      <c r="V158" s="31">
        <f t="shared" ca="1" si="65"/>
        <v>0</v>
      </c>
      <c r="W158" s="31">
        <f t="shared" ca="1" si="65"/>
        <v>0</v>
      </c>
      <c r="X158" s="31">
        <f t="shared" ca="1" si="65"/>
        <v>0</v>
      </c>
    </row>
    <row r="159" spans="1:24" customFormat="1">
      <c r="B159" s="104" t="s">
        <v>396</v>
      </c>
      <c r="C159" s="440" t="s">
        <v>381</v>
      </c>
      <c r="D159" s="102"/>
      <c r="E159" s="102"/>
      <c r="F159" s="102"/>
      <c r="G159" s="102"/>
      <c r="H159" s="102"/>
      <c r="I159" s="102"/>
      <c r="J159" s="102"/>
      <c r="K159" s="103">
        <f ca="1">ROUND(SUMIF($J$876:$J$930,$C159,K$876:K$930),0)</f>
        <v>0</v>
      </c>
      <c r="L159" s="103">
        <f t="shared" ref="L159:X161" ca="1" si="66">ROUND(SUMIF($J$876:$J$930,$C159,L$876:L$930),0)</f>
        <v>0</v>
      </c>
      <c r="M159" s="103">
        <f t="shared" ca="1" si="66"/>
        <v>0</v>
      </c>
      <c r="N159" s="103">
        <f t="shared" ca="1" si="66"/>
        <v>0</v>
      </c>
      <c r="O159" s="103">
        <f t="shared" ca="1" si="66"/>
        <v>0</v>
      </c>
      <c r="P159" s="103">
        <f t="shared" ca="1" si="66"/>
        <v>0</v>
      </c>
      <c r="Q159" s="103">
        <f t="shared" ca="1" si="66"/>
        <v>0</v>
      </c>
      <c r="R159" s="103">
        <f t="shared" ca="1" si="66"/>
        <v>0</v>
      </c>
      <c r="S159" s="103">
        <f t="shared" ca="1" si="66"/>
        <v>0</v>
      </c>
      <c r="T159" s="103">
        <f t="shared" ca="1" si="66"/>
        <v>0</v>
      </c>
      <c r="U159" s="103">
        <f t="shared" ca="1" si="66"/>
        <v>0</v>
      </c>
      <c r="V159" s="103">
        <f t="shared" ca="1" si="66"/>
        <v>0</v>
      </c>
      <c r="W159" s="103">
        <f t="shared" ca="1" si="66"/>
        <v>0</v>
      </c>
      <c r="X159" s="103">
        <f t="shared" ca="1" si="66"/>
        <v>0</v>
      </c>
    </row>
    <row r="160" spans="1:24" customFormat="1">
      <c r="B160" s="37" t="s">
        <v>397</v>
      </c>
      <c r="C160" s="441" t="s">
        <v>387</v>
      </c>
      <c r="D160" s="52"/>
      <c r="E160" s="52"/>
      <c r="F160" s="52"/>
      <c r="G160" s="52"/>
      <c r="H160" s="52"/>
      <c r="I160" s="52"/>
      <c r="J160" s="52"/>
      <c r="K160" s="33">
        <f ca="1">ROUND(SUMIF($J$876:$J$930,$C160,K$876:K$930),0)</f>
        <v>0</v>
      </c>
      <c r="L160" s="33">
        <f t="shared" ca="1" si="66"/>
        <v>0</v>
      </c>
      <c r="M160" s="33">
        <f t="shared" ca="1" si="66"/>
        <v>0</v>
      </c>
      <c r="N160" s="33">
        <f t="shared" ca="1" si="66"/>
        <v>0</v>
      </c>
      <c r="O160" s="33">
        <f t="shared" ca="1" si="66"/>
        <v>0</v>
      </c>
      <c r="P160" s="33">
        <f t="shared" ca="1" si="66"/>
        <v>0</v>
      </c>
      <c r="Q160" s="33">
        <f t="shared" ca="1" si="66"/>
        <v>0</v>
      </c>
      <c r="R160" s="33">
        <f t="shared" ca="1" si="66"/>
        <v>0</v>
      </c>
      <c r="S160" s="33">
        <f t="shared" ca="1" si="66"/>
        <v>0</v>
      </c>
      <c r="T160" s="33">
        <f t="shared" ca="1" si="66"/>
        <v>0</v>
      </c>
      <c r="U160" s="33">
        <f t="shared" ca="1" si="66"/>
        <v>0</v>
      </c>
      <c r="V160" s="33">
        <f t="shared" ca="1" si="66"/>
        <v>0</v>
      </c>
      <c r="W160" s="33">
        <f t="shared" ca="1" si="66"/>
        <v>0</v>
      </c>
      <c r="X160" s="33">
        <f t="shared" ca="1" si="66"/>
        <v>0</v>
      </c>
    </row>
    <row r="161" spans="2:24" customFormat="1">
      <c r="B161" s="37" t="s">
        <v>398</v>
      </c>
      <c r="C161" s="441" t="s">
        <v>388</v>
      </c>
      <c r="D161" s="52"/>
      <c r="E161" s="52"/>
      <c r="F161" s="52"/>
      <c r="G161" s="52"/>
      <c r="H161" s="52"/>
      <c r="I161" s="52"/>
      <c r="J161" s="52"/>
      <c r="K161" s="33">
        <f ca="1">ROUND(SUMIF($J$876:$J$930,$C161,K$876:K$930),0)</f>
        <v>0</v>
      </c>
      <c r="L161" s="33">
        <f t="shared" ca="1" si="66"/>
        <v>0</v>
      </c>
      <c r="M161" s="33">
        <f t="shared" ca="1" si="66"/>
        <v>0</v>
      </c>
      <c r="N161" s="33">
        <f t="shared" ca="1" si="66"/>
        <v>0</v>
      </c>
      <c r="O161" s="33">
        <f t="shared" ca="1" si="66"/>
        <v>0</v>
      </c>
      <c r="P161" s="33">
        <f t="shared" ca="1" si="66"/>
        <v>0</v>
      </c>
      <c r="Q161" s="33">
        <f t="shared" ca="1" si="66"/>
        <v>0</v>
      </c>
      <c r="R161" s="33">
        <f t="shared" ca="1" si="66"/>
        <v>0</v>
      </c>
      <c r="S161" s="33">
        <f t="shared" ca="1" si="66"/>
        <v>0</v>
      </c>
      <c r="T161" s="33">
        <f t="shared" ca="1" si="66"/>
        <v>0</v>
      </c>
      <c r="U161" s="33">
        <f t="shared" ca="1" si="66"/>
        <v>0</v>
      </c>
      <c r="V161" s="33">
        <f t="shared" ca="1" si="66"/>
        <v>0</v>
      </c>
      <c r="W161" s="33">
        <f t="shared" ca="1" si="66"/>
        <v>0</v>
      </c>
      <c r="X161" s="33">
        <f t="shared" ca="1" si="66"/>
        <v>0</v>
      </c>
    </row>
    <row r="162" spans="2:24" customFormat="1">
      <c r="B162" s="37" t="s">
        <v>726</v>
      </c>
      <c r="C162" s="441"/>
      <c r="D162" s="52"/>
      <c r="E162" s="52"/>
      <c r="F162" s="52"/>
      <c r="G162" s="52"/>
      <c r="H162" s="52"/>
      <c r="I162" s="52"/>
      <c r="J162" s="33">
        <f>ROUND(J143,0)</f>
        <v>0</v>
      </c>
      <c r="K162" s="33">
        <f>ROUND(K146,0)</f>
        <v>0</v>
      </c>
      <c r="L162" s="33">
        <f t="shared" ref="L162:X162" si="67">ROUND(L146,0)</f>
        <v>0</v>
      </c>
      <c r="M162" s="33">
        <f t="shared" si="67"/>
        <v>0</v>
      </c>
      <c r="N162" s="33">
        <f t="shared" si="67"/>
        <v>0</v>
      </c>
      <c r="O162" s="33">
        <f t="shared" si="67"/>
        <v>0</v>
      </c>
      <c r="P162" s="33">
        <f t="shared" si="67"/>
        <v>0</v>
      </c>
      <c r="Q162" s="33">
        <f t="shared" si="67"/>
        <v>0</v>
      </c>
      <c r="R162" s="33">
        <f t="shared" si="67"/>
        <v>0</v>
      </c>
      <c r="S162" s="33">
        <f t="shared" si="67"/>
        <v>0</v>
      </c>
      <c r="T162" s="33">
        <f t="shared" si="67"/>
        <v>0</v>
      </c>
      <c r="U162" s="33">
        <f t="shared" si="67"/>
        <v>0</v>
      </c>
      <c r="V162" s="33">
        <f t="shared" si="67"/>
        <v>0</v>
      </c>
      <c r="W162" s="33">
        <f t="shared" si="67"/>
        <v>0</v>
      </c>
      <c r="X162" s="33">
        <f t="shared" si="67"/>
        <v>0</v>
      </c>
    </row>
    <row r="163" spans="2:24" customFormat="1">
      <c r="B163" s="99" t="s">
        <v>399</v>
      </c>
      <c r="C163" s="442"/>
      <c r="D163" s="97"/>
      <c r="E163" s="97"/>
      <c r="F163" s="97"/>
      <c r="G163" s="97"/>
      <c r="H163" s="97"/>
      <c r="I163" s="97"/>
      <c r="J163" s="97"/>
      <c r="K163" s="98">
        <f ca="1">ROUND(SUM(K164:K169),0)</f>
        <v>0</v>
      </c>
      <c r="L163" s="98">
        <f t="shared" ref="L163:X163" ca="1" si="68">ROUND(SUM(L164:L169),0)</f>
        <v>0</v>
      </c>
      <c r="M163" s="98">
        <f t="shared" ca="1" si="68"/>
        <v>0</v>
      </c>
      <c r="N163" s="98">
        <f t="shared" ca="1" si="68"/>
        <v>0</v>
      </c>
      <c r="O163" s="98">
        <f t="shared" ca="1" si="68"/>
        <v>0</v>
      </c>
      <c r="P163" s="98">
        <f t="shared" ca="1" si="68"/>
        <v>0</v>
      </c>
      <c r="Q163" s="98">
        <f t="shared" ca="1" si="68"/>
        <v>0</v>
      </c>
      <c r="R163" s="98">
        <f t="shared" ca="1" si="68"/>
        <v>0</v>
      </c>
      <c r="S163" s="98">
        <f t="shared" ca="1" si="68"/>
        <v>0</v>
      </c>
      <c r="T163" s="98">
        <f t="shared" ca="1" si="68"/>
        <v>0</v>
      </c>
      <c r="U163" s="98">
        <f t="shared" ca="1" si="68"/>
        <v>0</v>
      </c>
      <c r="V163" s="98">
        <f t="shared" ca="1" si="68"/>
        <v>0</v>
      </c>
      <c r="W163" s="98">
        <f t="shared" ca="1" si="68"/>
        <v>0</v>
      </c>
      <c r="X163" s="98">
        <f t="shared" ca="1" si="68"/>
        <v>0</v>
      </c>
    </row>
    <row r="164" spans="2:24" customFormat="1">
      <c r="B164" s="104" t="s">
        <v>400</v>
      </c>
      <c r="C164" s="440" t="s">
        <v>389</v>
      </c>
      <c r="D164" s="102"/>
      <c r="E164" s="102"/>
      <c r="F164" s="102"/>
      <c r="G164" s="102"/>
      <c r="H164" s="102"/>
      <c r="I164" s="102"/>
      <c r="J164" s="102"/>
      <c r="K164" s="103">
        <f ca="1">ROUND(SUMIF($J$876:$J$930,$C164,K$876:K$930),0)</f>
        <v>0</v>
      </c>
      <c r="L164" s="103">
        <f t="shared" ref="L164:X168" ca="1" si="69">ROUND(SUMIF($J$876:$J$930,$C164,L$876:L$930),0)</f>
        <v>0</v>
      </c>
      <c r="M164" s="103">
        <f t="shared" ca="1" si="69"/>
        <v>0</v>
      </c>
      <c r="N164" s="103">
        <f t="shared" ca="1" si="69"/>
        <v>0</v>
      </c>
      <c r="O164" s="103">
        <f t="shared" ca="1" si="69"/>
        <v>0</v>
      </c>
      <c r="P164" s="103">
        <f t="shared" ca="1" si="69"/>
        <v>0</v>
      </c>
      <c r="Q164" s="103">
        <f t="shared" ca="1" si="69"/>
        <v>0</v>
      </c>
      <c r="R164" s="103">
        <f t="shared" ca="1" si="69"/>
        <v>0</v>
      </c>
      <c r="S164" s="103">
        <f t="shared" ca="1" si="69"/>
        <v>0</v>
      </c>
      <c r="T164" s="103">
        <f t="shared" ca="1" si="69"/>
        <v>0</v>
      </c>
      <c r="U164" s="103">
        <f t="shared" ca="1" si="69"/>
        <v>0</v>
      </c>
      <c r="V164" s="103">
        <f t="shared" ca="1" si="69"/>
        <v>0</v>
      </c>
      <c r="W164" s="103">
        <f t="shared" ca="1" si="69"/>
        <v>0</v>
      </c>
      <c r="X164" s="103">
        <f t="shared" ca="1" si="69"/>
        <v>0</v>
      </c>
    </row>
    <row r="165" spans="2:24" customFormat="1">
      <c r="B165" s="37" t="s">
        <v>401</v>
      </c>
      <c r="C165" s="441" t="s">
        <v>710</v>
      </c>
      <c r="D165" s="52"/>
      <c r="E165" s="52"/>
      <c r="F165" s="52"/>
      <c r="G165" s="52"/>
      <c r="H165" s="52"/>
      <c r="I165" s="52"/>
      <c r="J165" s="52"/>
      <c r="K165" s="33">
        <f ca="1">ROUND(SUMIF($J$876:$J$930,$C165,K$876:K$930),0)</f>
        <v>0</v>
      </c>
      <c r="L165" s="33">
        <f t="shared" ca="1" si="69"/>
        <v>0</v>
      </c>
      <c r="M165" s="33">
        <f t="shared" ca="1" si="69"/>
        <v>0</v>
      </c>
      <c r="N165" s="33">
        <f t="shared" ca="1" si="69"/>
        <v>0</v>
      </c>
      <c r="O165" s="33">
        <f t="shared" ca="1" si="69"/>
        <v>0</v>
      </c>
      <c r="P165" s="33">
        <f t="shared" ca="1" si="69"/>
        <v>0</v>
      </c>
      <c r="Q165" s="33">
        <f t="shared" ca="1" si="69"/>
        <v>0</v>
      </c>
      <c r="R165" s="33">
        <f t="shared" ca="1" si="69"/>
        <v>0</v>
      </c>
      <c r="S165" s="33">
        <f t="shared" ca="1" si="69"/>
        <v>0</v>
      </c>
      <c r="T165" s="33">
        <f t="shared" ca="1" si="69"/>
        <v>0</v>
      </c>
      <c r="U165" s="33">
        <f t="shared" ca="1" si="69"/>
        <v>0</v>
      </c>
      <c r="V165" s="33">
        <f t="shared" ca="1" si="69"/>
        <v>0</v>
      </c>
      <c r="W165" s="33">
        <f t="shared" ca="1" si="69"/>
        <v>0</v>
      </c>
      <c r="X165" s="33">
        <f t="shared" ca="1" si="69"/>
        <v>0</v>
      </c>
    </row>
    <row r="166" spans="2:24" customFormat="1">
      <c r="B166" s="37" t="s">
        <v>402</v>
      </c>
      <c r="C166" s="441" t="s">
        <v>711</v>
      </c>
      <c r="D166" s="52"/>
      <c r="E166" s="52"/>
      <c r="F166" s="52"/>
      <c r="G166" s="52"/>
      <c r="H166" s="52"/>
      <c r="I166" s="52"/>
      <c r="J166" s="52"/>
      <c r="K166" s="33">
        <f ca="1">ROUND(SUMIF($J$876:$J$930,$C166,K$876:K$930),0)</f>
        <v>0</v>
      </c>
      <c r="L166" s="33">
        <f t="shared" ca="1" si="69"/>
        <v>0</v>
      </c>
      <c r="M166" s="33">
        <f t="shared" ca="1" si="69"/>
        <v>0</v>
      </c>
      <c r="N166" s="33">
        <f t="shared" ca="1" si="69"/>
        <v>0</v>
      </c>
      <c r="O166" s="33">
        <f t="shared" ca="1" si="69"/>
        <v>0</v>
      </c>
      <c r="P166" s="33">
        <f t="shared" ca="1" si="69"/>
        <v>0</v>
      </c>
      <c r="Q166" s="33">
        <f t="shared" ca="1" si="69"/>
        <v>0</v>
      </c>
      <c r="R166" s="33">
        <f t="shared" ca="1" si="69"/>
        <v>0</v>
      </c>
      <c r="S166" s="33">
        <f t="shared" ca="1" si="69"/>
        <v>0</v>
      </c>
      <c r="T166" s="33">
        <f t="shared" ca="1" si="69"/>
        <v>0</v>
      </c>
      <c r="U166" s="33">
        <f t="shared" ca="1" si="69"/>
        <v>0</v>
      </c>
      <c r="V166" s="33">
        <f t="shared" ca="1" si="69"/>
        <v>0</v>
      </c>
      <c r="W166" s="33">
        <f t="shared" ca="1" si="69"/>
        <v>0</v>
      </c>
      <c r="X166" s="33">
        <f t="shared" ca="1" si="69"/>
        <v>0</v>
      </c>
    </row>
    <row r="167" spans="2:24" customFormat="1">
      <c r="B167" s="37" t="s">
        <v>403</v>
      </c>
      <c r="C167" s="441" t="s">
        <v>712</v>
      </c>
      <c r="D167" s="52"/>
      <c r="E167" s="52"/>
      <c r="F167" s="52"/>
      <c r="G167" s="52"/>
      <c r="H167" s="52"/>
      <c r="I167" s="52"/>
      <c r="J167" s="52"/>
      <c r="K167" s="33">
        <f ca="1">ROUND(SUMIF($J$876:$J$930,$C167,K$876:K$930),0)</f>
        <v>0</v>
      </c>
      <c r="L167" s="33">
        <f t="shared" ca="1" si="69"/>
        <v>0</v>
      </c>
      <c r="M167" s="33">
        <f t="shared" ca="1" si="69"/>
        <v>0</v>
      </c>
      <c r="N167" s="33">
        <f t="shared" ca="1" si="69"/>
        <v>0</v>
      </c>
      <c r="O167" s="33">
        <f t="shared" ca="1" si="69"/>
        <v>0</v>
      </c>
      <c r="P167" s="33">
        <f t="shared" ca="1" si="69"/>
        <v>0</v>
      </c>
      <c r="Q167" s="33">
        <f t="shared" ca="1" si="69"/>
        <v>0</v>
      </c>
      <c r="R167" s="33">
        <f t="shared" ca="1" si="69"/>
        <v>0</v>
      </c>
      <c r="S167" s="33">
        <f t="shared" ca="1" si="69"/>
        <v>0</v>
      </c>
      <c r="T167" s="33">
        <f t="shared" ca="1" si="69"/>
        <v>0</v>
      </c>
      <c r="U167" s="33">
        <f t="shared" ca="1" si="69"/>
        <v>0</v>
      </c>
      <c r="V167" s="33">
        <f t="shared" ca="1" si="69"/>
        <v>0</v>
      </c>
      <c r="W167" s="33">
        <f t="shared" ca="1" si="69"/>
        <v>0</v>
      </c>
      <c r="X167" s="33">
        <f t="shared" ca="1" si="69"/>
        <v>0</v>
      </c>
    </row>
    <row r="168" spans="2:24" customFormat="1">
      <c r="B168" s="37" t="s">
        <v>404</v>
      </c>
      <c r="C168" s="441" t="s">
        <v>713</v>
      </c>
      <c r="D168" s="52"/>
      <c r="E168" s="52"/>
      <c r="F168" s="52"/>
      <c r="G168" s="52"/>
      <c r="H168" s="52"/>
      <c r="I168" s="52"/>
      <c r="J168" s="52"/>
      <c r="K168" s="33">
        <f ca="1">ROUND(SUMIF($J$876:$J$930,$C168,K$876:K$930),0)</f>
        <v>0</v>
      </c>
      <c r="L168" s="33">
        <f t="shared" ca="1" si="69"/>
        <v>0</v>
      </c>
      <c r="M168" s="33">
        <f t="shared" ca="1" si="69"/>
        <v>0</v>
      </c>
      <c r="N168" s="33">
        <f t="shared" ca="1" si="69"/>
        <v>0</v>
      </c>
      <c r="O168" s="33">
        <f t="shared" ca="1" si="69"/>
        <v>0</v>
      </c>
      <c r="P168" s="33">
        <f t="shared" ca="1" si="69"/>
        <v>0</v>
      </c>
      <c r="Q168" s="33">
        <f t="shared" ca="1" si="69"/>
        <v>0</v>
      </c>
      <c r="R168" s="33">
        <f t="shared" ca="1" si="69"/>
        <v>0</v>
      </c>
      <c r="S168" s="33">
        <f t="shared" ca="1" si="69"/>
        <v>0</v>
      </c>
      <c r="T168" s="33">
        <f t="shared" ca="1" si="69"/>
        <v>0</v>
      </c>
      <c r="U168" s="33">
        <f t="shared" ca="1" si="69"/>
        <v>0</v>
      </c>
      <c r="V168" s="33">
        <f t="shared" ca="1" si="69"/>
        <v>0</v>
      </c>
      <c r="W168" s="33">
        <f t="shared" ca="1" si="69"/>
        <v>0</v>
      </c>
      <c r="X168" s="33">
        <f t="shared" ca="1" si="69"/>
        <v>0</v>
      </c>
    </row>
    <row r="169" spans="2:24" customFormat="1">
      <c r="B169" s="37" t="s">
        <v>714</v>
      </c>
      <c r="C169" s="441"/>
      <c r="D169" s="52"/>
      <c r="E169" s="52"/>
      <c r="F169" s="52"/>
      <c r="G169" s="52"/>
      <c r="H169" s="52"/>
      <c r="I169" s="52"/>
      <c r="J169" s="33">
        <f>ROUND(J149,0)</f>
        <v>0</v>
      </c>
      <c r="K169" s="33">
        <f>ROUND(K152,0)</f>
        <v>0</v>
      </c>
      <c r="L169" s="33">
        <f t="shared" ref="L169:X169" si="70">ROUND(L152,0)</f>
        <v>0</v>
      </c>
      <c r="M169" s="33">
        <f t="shared" si="70"/>
        <v>0</v>
      </c>
      <c r="N169" s="33">
        <f t="shared" si="70"/>
        <v>0</v>
      </c>
      <c r="O169" s="33">
        <f t="shared" si="70"/>
        <v>0</v>
      </c>
      <c r="P169" s="33">
        <f t="shared" si="70"/>
        <v>0</v>
      </c>
      <c r="Q169" s="33">
        <f t="shared" si="70"/>
        <v>0</v>
      </c>
      <c r="R169" s="33">
        <f t="shared" si="70"/>
        <v>0</v>
      </c>
      <c r="S169" s="33">
        <f t="shared" si="70"/>
        <v>0</v>
      </c>
      <c r="T169" s="33">
        <f t="shared" si="70"/>
        <v>0</v>
      </c>
      <c r="U169" s="33">
        <f t="shared" si="70"/>
        <v>0</v>
      </c>
      <c r="V169" s="33">
        <f t="shared" si="70"/>
        <v>0</v>
      </c>
      <c r="W169" s="33">
        <f t="shared" si="70"/>
        <v>0</v>
      </c>
      <c r="X169" s="33">
        <f t="shared" si="70"/>
        <v>0</v>
      </c>
    </row>
    <row r="170" spans="2:24" customFormat="1">
      <c r="B170" s="1"/>
      <c r="C170" s="1"/>
      <c r="D170" s="1"/>
      <c r="E170" s="1"/>
      <c r="F170" s="1"/>
      <c r="G170" s="1"/>
      <c r="H170" s="1"/>
      <c r="I170" s="1"/>
      <c r="J170" s="1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2:24" customFormat="1">
      <c r="B171" s="99" t="s">
        <v>405</v>
      </c>
      <c r="C171" s="99"/>
      <c r="D171" s="99"/>
      <c r="E171" s="99"/>
      <c r="F171" s="99"/>
      <c r="G171" s="99"/>
      <c r="H171" s="99"/>
      <c r="I171" s="99"/>
      <c r="J171" s="99"/>
      <c r="K171" s="98">
        <f ca="1">ROUND(K137,0)</f>
        <v>0</v>
      </c>
      <c r="L171" s="98">
        <f t="shared" ref="L171:X171" ca="1" si="71">ROUND(L137,0)</f>
        <v>0</v>
      </c>
      <c r="M171" s="98">
        <f t="shared" ca="1" si="71"/>
        <v>0</v>
      </c>
      <c r="N171" s="98">
        <f t="shared" ca="1" si="71"/>
        <v>0</v>
      </c>
      <c r="O171" s="98">
        <f t="shared" ca="1" si="71"/>
        <v>0</v>
      </c>
      <c r="P171" s="98">
        <f t="shared" ca="1" si="71"/>
        <v>0</v>
      </c>
      <c r="Q171" s="98">
        <f t="shared" ca="1" si="71"/>
        <v>0</v>
      </c>
      <c r="R171" s="98">
        <f t="shared" ca="1" si="71"/>
        <v>0</v>
      </c>
      <c r="S171" s="98">
        <f t="shared" ca="1" si="71"/>
        <v>0</v>
      </c>
      <c r="T171" s="98">
        <f t="shared" ca="1" si="71"/>
        <v>0</v>
      </c>
      <c r="U171" s="98">
        <f t="shared" ca="1" si="71"/>
        <v>0</v>
      </c>
      <c r="V171" s="98">
        <f t="shared" ca="1" si="71"/>
        <v>0</v>
      </c>
      <c r="W171" s="98">
        <f t="shared" ca="1" si="71"/>
        <v>0</v>
      </c>
      <c r="X171" s="98">
        <f t="shared" ca="1" si="71"/>
        <v>0</v>
      </c>
    </row>
    <row r="172" spans="2:24" customForma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customForma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customFormat="1">
      <c r="B174" s="446" t="s">
        <v>717</v>
      </c>
      <c r="C174" s="234"/>
      <c r="D174" s="234"/>
      <c r="E174" s="234"/>
      <c r="F174" s="234"/>
      <c r="G174" s="234"/>
      <c r="H174" s="234"/>
      <c r="I174" s="234"/>
      <c r="J174" s="437"/>
      <c r="K174" s="235" t="str">
        <f t="shared" ref="K174:X174" si="72">LataProjekcji</f>
        <v>Uzupełnij dane</v>
      </c>
      <c r="L174" s="235" t="str">
        <f t="shared" si="72"/>
        <v/>
      </c>
      <c r="M174" s="235" t="str">
        <f t="shared" si="72"/>
        <v/>
      </c>
      <c r="N174" s="235" t="str">
        <f t="shared" si="72"/>
        <v/>
      </c>
      <c r="O174" s="235" t="str">
        <f t="shared" si="72"/>
        <v/>
      </c>
      <c r="P174" s="235" t="str">
        <f t="shared" si="72"/>
        <v/>
      </c>
      <c r="Q174" s="235" t="str">
        <f t="shared" si="72"/>
        <v/>
      </c>
      <c r="R174" s="235" t="str">
        <f t="shared" si="72"/>
        <v/>
      </c>
      <c r="S174" s="235" t="str">
        <f t="shared" si="72"/>
        <v/>
      </c>
      <c r="T174" s="235" t="str">
        <f t="shared" si="72"/>
        <v/>
      </c>
      <c r="U174" s="235" t="str">
        <f t="shared" si="72"/>
        <v/>
      </c>
      <c r="V174" s="235" t="str">
        <f t="shared" si="72"/>
        <v/>
      </c>
      <c r="W174" s="235" t="str">
        <f t="shared" si="72"/>
        <v/>
      </c>
      <c r="X174" s="235" t="str">
        <f t="shared" si="72"/>
        <v/>
      </c>
    </row>
    <row r="175" spans="2:24" customFormat="1">
      <c r="B175" s="29" t="s">
        <v>395</v>
      </c>
      <c r="C175" s="29"/>
      <c r="D175" s="30"/>
      <c r="E175" s="30"/>
      <c r="F175" s="30"/>
      <c r="G175" s="30"/>
      <c r="H175" s="30"/>
      <c r="I175" s="30"/>
      <c r="J175" s="30"/>
      <c r="K175" s="31">
        <f ca="1">ROUND(SUM(K176:K178),0)</f>
        <v>0</v>
      </c>
      <c r="L175" s="31">
        <f t="shared" ref="L175:X175" ca="1" si="73">ROUND(SUM(L176:L178),0)</f>
        <v>0</v>
      </c>
      <c r="M175" s="31">
        <f t="shared" ca="1" si="73"/>
        <v>0</v>
      </c>
      <c r="N175" s="31">
        <f t="shared" ca="1" si="73"/>
        <v>0</v>
      </c>
      <c r="O175" s="31">
        <f t="shared" ca="1" si="73"/>
        <v>0</v>
      </c>
      <c r="P175" s="31">
        <f t="shared" ca="1" si="73"/>
        <v>0</v>
      </c>
      <c r="Q175" s="31">
        <f t="shared" ca="1" si="73"/>
        <v>0</v>
      </c>
      <c r="R175" s="31">
        <f t="shared" ca="1" si="73"/>
        <v>0</v>
      </c>
      <c r="S175" s="31">
        <f t="shared" ca="1" si="73"/>
        <v>0</v>
      </c>
      <c r="T175" s="31">
        <f t="shared" ca="1" si="73"/>
        <v>0</v>
      </c>
      <c r="U175" s="31">
        <f t="shared" ca="1" si="73"/>
        <v>0</v>
      </c>
      <c r="V175" s="31">
        <f t="shared" ca="1" si="73"/>
        <v>0</v>
      </c>
      <c r="W175" s="31">
        <f t="shared" ca="1" si="73"/>
        <v>0</v>
      </c>
      <c r="X175" s="31">
        <f t="shared" ca="1" si="73"/>
        <v>0</v>
      </c>
    </row>
    <row r="176" spans="2:24" customFormat="1">
      <c r="B176" s="104" t="s">
        <v>396</v>
      </c>
      <c r="C176" s="104"/>
      <c r="D176" s="102"/>
      <c r="E176" s="102"/>
      <c r="F176" s="102"/>
      <c r="G176" s="102"/>
      <c r="H176" s="102"/>
      <c r="I176" s="102"/>
      <c r="J176" s="102"/>
      <c r="K176" s="103">
        <f ca="1">ROUND(K159+K81,0)</f>
        <v>0</v>
      </c>
      <c r="L176" s="103">
        <f t="shared" ref="L176:X176" ca="1" si="74">ROUND(L159+L81,0)</f>
        <v>0</v>
      </c>
      <c r="M176" s="103">
        <f t="shared" ca="1" si="74"/>
        <v>0</v>
      </c>
      <c r="N176" s="103">
        <f t="shared" ca="1" si="74"/>
        <v>0</v>
      </c>
      <c r="O176" s="103">
        <f t="shared" ca="1" si="74"/>
        <v>0</v>
      </c>
      <c r="P176" s="103">
        <f t="shared" ca="1" si="74"/>
        <v>0</v>
      </c>
      <c r="Q176" s="103">
        <f t="shared" ca="1" si="74"/>
        <v>0</v>
      </c>
      <c r="R176" s="103">
        <f t="shared" ca="1" si="74"/>
        <v>0</v>
      </c>
      <c r="S176" s="103">
        <f t="shared" ca="1" si="74"/>
        <v>0</v>
      </c>
      <c r="T176" s="103">
        <f t="shared" ca="1" si="74"/>
        <v>0</v>
      </c>
      <c r="U176" s="103">
        <f t="shared" ca="1" si="74"/>
        <v>0</v>
      </c>
      <c r="V176" s="103">
        <f t="shared" ca="1" si="74"/>
        <v>0</v>
      </c>
      <c r="W176" s="103">
        <f t="shared" ca="1" si="74"/>
        <v>0</v>
      </c>
      <c r="X176" s="103">
        <f t="shared" ca="1" si="74"/>
        <v>0</v>
      </c>
    </row>
    <row r="177" spans="2:24" customFormat="1">
      <c r="B177" s="37" t="s">
        <v>397</v>
      </c>
      <c r="C177" s="37"/>
      <c r="D177" s="52"/>
      <c r="E177" s="52"/>
      <c r="F177" s="52"/>
      <c r="G177" s="52"/>
      <c r="H177" s="52"/>
      <c r="I177" s="52"/>
      <c r="J177" s="52"/>
      <c r="K177" s="33">
        <f ca="1">ROUND(K160+K82,0)</f>
        <v>0</v>
      </c>
      <c r="L177" s="33">
        <f t="shared" ref="L177:X177" ca="1" si="75">ROUND(L160+L82,0)</f>
        <v>0</v>
      </c>
      <c r="M177" s="33">
        <f t="shared" ca="1" si="75"/>
        <v>0</v>
      </c>
      <c r="N177" s="33">
        <f t="shared" ca="1" si="75"/>
        <v>0</v>
      </c>
      <c r="O177" s="33">
        <f t="shared" ca="1" si="75"/>
        <v>0</v>
      </c>
      <c r="P177" s="33">
        <f t="shared" ca="1" si="75"/>
        <v>0</v>
      </c>
      <c r="Q177" s="33">
        <f t="shared" ca="1" si="75"/>
        <v>0</v>
      </c>
      <c r="R177" s="33">
        <f t="shared" ca="1" si="75"/>
        <v>0</v>
      </c>
      <c r="S177" s="33">
        <f t="shared" ca="1" si="75"/>
        <v>0</v>
      </c>
      <c r="T177" s="33">
        <f t="shared" ca="1" si="75"/>
        <v>0</v>
      </c>
      <c r="U177" s="33">
        <f t="shared" ca="1" si="75"/>
        <v>0</v>
      </c>
      <c r="V177" s="33">
        <f t="shared" ca="1" si="75"/>
        <v>0</v>
      </c>
      <c r="W177" s="33">
        <f t="shared" ca="1" si="75"/>
        <v>0</v>
      </c>
      <c r="X177" s="33">
        <f t="shared" ca="1" si="75"/>
        <v>0</v>
      </c>
    </row>
    <row r="178" spans="2:24" customFormat="1">
      <c r="B178" s="37" t="s">
        <v>398</v>
      </c>
      <c r="C178" s="444"/>
      <c r="D178" s="52"/>
      <c r="E178" s="52"/>
      <c r="F178" s="52"/>
      <c r="G178" s="52"/>
      <c r="H178" s="52"/>
      <c r="I178" s="52"/>
      <c r="J178" s="52"/>
      <c r="K178" s="33">
        <f ca="1">ROUND(K161+K83,0)</f>
        <v>0</v>
      </c>
      <c r="L178" s="33">
        <f t="shared" ref="L178:X178" ca="1" si="76">ROUND(L161+L83,0)</f>
        <v>0</v>
      </c>
      <c r="M178" s="33">
        <f t="shared" ca="1" si="76"/>
        <v>0</v>
      </c>
      <c r="N178" s="33">
        <f t="shared" ca="1" si="76"/>
        <v>0</v>
      </c>
      <c r="O178" s="33">
        <f t="shared" ca="1" si="76"/>
        <v>0</v>
      </c>
      <c r="P178" s="33">
        <f t="shared" ca="1" si="76"/>
        <v>0</v>
      </c>
      <c r="Q178" s="33">
        <f t="shared" ca="1" si="76"/>
        <v>0</v>
      </c>
      <c r="R178" s="33">
        <f t="shared" ca="1" si="76"/>
        <v>0</v>
      </c>
      <c r="S178" s="33">
        <f t="shared" ca="1" si="76"/>
        <v>0</v>
      </c>
      <c r="T178" s="33">
        <f t="shared" ca="1" si="76"/>
        <v>0</v>
      </c>
      <c r="U178" s="33">
        <f t="shared" ca="1" si="76"/>
        <v>0</v>
      </c>
      <c r="V178" s="33">
        <f t="shared" ca="1" si="76"/>
        <v>0</v>
      </c>
      <c r="W178" s="33">
        <f t="shared" ca="1" si="76"/>
        <v>0</v>
      </c>
      <c r="X178" s="33">
        <f t="shared" ca="1" si="76"/>
        <v>0</v>
      </c>
    </row>
    <row r="179" spans="2:24" customFormat="1">
      <c r="B179" s="37" t="s">
        <v>726</v>
      </c>
      <c r="C179" s="444"/>
      <c r="D179" s="52"/>
      <c r="E179" s="52"/>
      <c r="F179" s="52"/>
      <c r="G179" s="52"/>
      <c r="H179" s="52"/>
      <c r="I179" s="52"/>
      <c r="J179" s="52"/>
      <c r="K179" s="33">
        <f>ROUND(K162,0)</f>
        <v>0</v>
      </c>
      <c r="L179" s="33">
        <f t="shared" ref="L179:X179" si="77">ROUND(L162,0)</f>
        <v>0</v>
      </c>
      <c r="M179" s="33">
        <f t="shared" si="77"/>
        <v>0</v>
      </c>
      <c r="N179" s="33">
        <f t="shared" si="77"/>
        <v>0</v>
      </c>
      <c r="O179" s="33">
        <f t="shared" si="77"/>
        <v>0</v>
      </c>
      <c r="P179" s="33">
        <f t="shared" si="77"/>
        <v>0</v>
      </c>
      <c r="Q179" s="33">
        <f t="shared" si="77"/>
        <v>0</v>
      </c>
      <c r="R179" s="33">
        <f t="shared" si="77"/>
        <v>0</v>
      </c>
      <c r="S179" s="33">
        <f t="shared" si="77"/>
        <v>0</v>
      </c>
      <c r="T179" s="33">
        <f t="shared" si="77"/>
        <v>0</v>
      </c>
      <c r="U179" s="33">
        <f t="shared" si="77"/>
        <v>0</v>
      </c>
      <c r="V179" s="33">
        <f t="shared" si="77"/>
        <v>0</v>
      </c>
      <c r="W179" s="33">
        <f t="shared" si="77"/>
        <v>0</v>
      </c>
      <c r="X179" s="33">
        <f t="shared" si="77"/>
        <v>0</v>
      </c>
    </row>
    <row r="180" spans="2:24" customFormat="1">
      <c r="B180" s="99" t="s">
        <v>399</v>
      </c>
      <c r="C180" s="99"/>
      <c r="D180" s="97"/>
      <c r="E180" s="97"/>
      <c r="F180" s="97"/>
      <c r="G180" s="97"/>
      <c r="H180" s="97"/>
      <c r="I180" s="97"/>
      <c r="J180" s="97"/>
      <c r="K180" s="98">
        <f ca="1">ROUND(SUM(K181:K186),0)</f>
        <v>0</v>
      </c>
      <c r="L180" s="98">
        <f t="shared" ref="L180:X180" ca="1" si="78">ROUND(SUM(L181:L186),0)</f>
        <v>0</v>
      </c>
      <c r="M180" s="98">
        <f t="shared" ca="1" si="78"/>
        <v>0</v>
      </c>
      <c r="N180" s="98">
        <f t="shared" ca="1" si="78"/>
        <v>0</v>
      </c>
      <c r="O180" s="98">
        <f t="shared" ca="1" si="78"/>
        <v>0</v>
      </c>
      <c r="P180" s="98">
        <f t="shared" ca="1" si="78"/>
        <v>0</v>
      </c>
      <c r="Q180" s="98">
        <f t="shared" ca="1" si="78"/>
        <v>0</v>
      </c>
      <c r="R180" s="98">
        <f t="shared" ca="1" si="78"/>
        <v>0</v>
      </c>
      <c r="S180" s="98">
        <f t="shared" ca="1" si="78"/>
        <v>0</v>
      </c>
      <c r="T180" s="98">
        <f t="shared" ca="1" si="78"/>
        <v>0</v>
      </c>
      <c r="U180" s="98">
        <f t="shared" ca="1" si="78"/>
        <v>0</v>
      </c>
      <c r="V180" s="98">
        <f t="shared" ca="1" si="78"/>
        <v>0</v>
      </c>
      <c r="W180" s="98">
        <f t="shared" ca="1" si="78"/>
        <v>0</v>
      </c>
      <c r="X180" s="98">
        <f t="shared" ca="1" si="78"/>
        <v>0</v>
      </c>
    </row>
    <row r="181" spans="2:24" customFormat="1">
      <c r="B181" s="104" t="s">
        <v>400</v>
      </c>
      <c r="C181" s="104"/>
      <c r="D181" s="102"/>
      <c r="E181" s="102"/>
      <c r="F181" s="102"/>
      <c r="G181" s="102"/>
      <c r="H181" s="102"/>
      <c r="I181" s="102"/>
      <c r="J181" s="102"/>
      <c r="K181" s="103">
        <f ca="1">ROUND(K164+K85,0)</f>
        <v>0</v>
      </c>
      <c r="L181" s="103">
        <f t="shared" ref="L181:X181" ca="1" si="79">ROUND(L164+L85,0)</f>
        <v>0</v>
      </c>
      <c r="M181" s="103">
        <f t="shared" ca="1" si="79"/>
        <v>0</v>
      </c>
      <c r="N181" s="103">
        <f t="shared" ca="1" si="79"/>
        <v>0</v>
      </c>
      <c r="O181" s="103">
        <f t="shared" ca="1" si="79"/>
        <v>0</v>
      </c>
      <c r="P181" s="103">
        <f t="shared" ca="1" si="79"/>
        <v>0</v>
      </c>
      <c r="Q181" s="103">
        <f t="shared" ca="1" si="79"/>
        <v>0</v>
      </c>
      <c r="R181" s="103">
        <f t="shared" ca="1" si="79"/>
        <v>0</v>
      </c>
      <c r="S181" s="103">
        <f t="shared" ca="1" si="79"/>
        <v>0</v>
      </c>
      <c r="T181" s="103">
        <f t="shared" ca="1" si="79"/>
        <v>0</v>
      </c>
      <c r="U181" s="103">
        <f t="shared" ca="1" si="79"/>
        <v>0</v>
      </c>
      <c r="V181" s="103">
        <f t="shared" ca="1" si="79"/>
        <v>0</v>
      </c>
      <c r="W181" s="103">
        <f t="shared" ca="1" si="79"/>
        <v>0</v>
      </c>
      <c r="X181" s="103">
        <f t="shared" ca="1" si="79"/>
        <v>0</v>
      </c>
    </row>
    <row r="182" spans="2:24" customFormat="1">
      <c r="B182" s="37" t="s">
        <v>401</v>
      </c>
      <c r="C182" s="37"/>
      <c r="D182" s="52"/>
      <c r="E182" s="52"/>
      <c r="F182" s="52"/>
      <c r="G182" s="52"/>
      <c r="H182" s="52"/>
      <c r="I182" s="52"/>
      <c r="J182" s="52"/>
      <c r="K182" s="33">
        <f ca="1">ROUND(K165+K86,0)</f>
        <v>0</v>
      </c>
      <c r="L182" s="33">
        <f t="shared" ref="L182:X182" ca="1" si="80">ROUND(L165+L86,0)</f>
        <v>0</v>
      </c>
      <c r="M182" s="33">
        <f t="shared" ca="1" si="80"/>
        <v>0</v>
      </c>
      <c r="N182" s="33">
        <f t="shared" ca="1" si="80"/>
        <v>0</v>
      </c>
      <c r="O182" s="33">
        <f t="shared" ca="1" si="80"/>
        <v>0</v>
      </c>
      <c r="P182" s="33">
        <f t="shared" ca="1" si="80"/>
        <v>0</v>
      </c>
      <c r="Q182" s="33">
        <f t="shared" ca="1" si="80"/>
        <v>0</v>
      </c>
      <c r="R182" s="33">
        <f t="shared" ca="1" si="80"/>
        <v>0</v>
      </c>
      <c r="S182" s="33">
        <f t="shared" ca="1" si="80"/>
        <v>0</v>
      </c>
      <c r="T182" s="33">
        <f t="shared" ca="1" si="80"/>
        <v>0</v>
      </c>
      <c r="U182" s="33">
        <f t="shared" ca="1" si="80"/>
        <v>0</v>
      </c>
      <c r="V182" s="33">
        <f t="shared" ca="1" si="80"/>
        <v>0</v>
      </c>
      <c r="W182" s="33">
        <f t="shared" ca="1" si="80"/>
        <v>0</v>
      </c>
      <c r="X182" s="33">
        <f t="shared" ca="1" si="80"/>
        <v>0</v>
      </c>
    </row>
    <row r="183" spans="2:24" customFormat="1">
      <c r="B183" s="37" t="s">
        <v>402</v>
      </c>
      <c r="C183" s="37"/>
      <c r="D183" s="52"/>
      <c r="E183" s="52"/>
      <c r="F183" s="52"/>
      <c r="G183" s="52"/>
      <c r="H183" s="52"/>
      <c r="I183" s="52"/>
      <c r="J183" s="52"/>
      <c r="K183" s="33">
        <f ca="1">ROUND(K166+K87,0)</f>
        <v>0</v>
      </c>
      <c r="L183" s="33">
        <f t="shared" ref="L183:X183" ca="1" si="81">ROUND(L166+L87,0)</f>
        <v>0</v>
      </c>
      <c r="M183" s="33">
        <f t="shared" ca="1" si="81"/>
        <v>0</v>
      </c>
      <c r="N183" s="33">
        <f t="shared" ca="1" si="81"/>
        <v>0</v>
      </c>
      <c r="O183" s="33">
        <f t="shared" ca="1" si="81"/>
        <v>0</v>
      </c>
      <c r="P183" s="33">
        <f t="shared" ca="1" si="81"/>
        <v>0</v>
      </c>
      <c r="Q183" s="33">
        <f t="shared" ca="1" si="81"/>
        <v>0</v>
      </c>
      <c r="R183" s="33">
        <f t="shared" ca="1" si="81"/>
        <v>0</v>
      </c>
      <c r="S183" s="33">
        <f t="shared" ca="1" si="81"/>
        <v>0</v>
      </c>
      <c r="T183" s="33">
        <f t="shared" ca="1" si="81"/>
        <v>0</v>
      </c>
      <c r="U183" s="33">
        <f t="shared" ca="1" si="81"/>
        <v>0</v>
      </c>
      <c r="V183" s="33">
        <f t="shared" ca="1" si="81"/>
        <v>0</v>
      </c>
      <c r="W183" s="33">
        <f t="shared" ca="1" si="81"/>
        <v>0</v>
      </c>
      <c r="X183" s="33">
        <f t="shared" ca="1" si="81"/>
        <v>0</v>
      </c>
    </row>
    <row r="184" spans="2:24" customFormat="1">
      <c r="B184" s="37" t="s">
        <v>403</v>
      </c>
      <c r="C184" s="37"/>
      <c r="D184" s="52"/>
      <c r="E184" s="52"/>
      <c r="F184" s="52"/>
      <c r="G184" s="52"/>
      <c r="H184" s="52"/>
      <c r="I184" s="52"/>
      <c r="J184" s="52"/>
      <c r="K184" s="33">
        <f ca="1">ROUND(K167+K88,0)</f>
        <v>0</v>
      </c>
      <c r="L184" s="33">
        <f t="shared" ref="L184:X184" ca="1" si="82">ROUND(L167+L88,0)</f>
        <v>0</v>
      </c>
      <c r="M184" s="33">
        <f t="shared" ca="1" si="82"/>
        <v>0</v>
      </c>
      <c r="N184" s="33">
        <f t="shared" ca="1" si="82"/>
        <v>0</v>
      </c>
      <c r="O184" s="33">
        <f t="shared" ca="1" si="82"/>
        <v>0</v>
      </c>
      <c r="P184" s="33">
        <f t="shared" ca="1" si="82"/>
        <v>0</v>
      </c>
      <c r="Q184" s="33">
        <f t="shared" ca="1" si="82"/>
        <v>0</v>
      </c>
      <c r="R184" s="33">
        <f t="shared" ca="1" si="82"/>
        <v>0</v>
      </c>
      <c r="S184" s="33">
        <f t="shared" ca="1" si="82"/>
        <v>0</v>
      </c>
      <c r="T184" s="33">
        <f t="shared" ca="1" si="82"/>
        <v>0</v>
      </c>
      <c r="U184" s="33">
        <f t="shared" ca="1" si="82"/>
        <v>0</v>
      </c>
      <c r="V184" s="33">
        <f t="shared" ca="1" si="82"/>
        <v>0</v>
      </c>
      <c r="W184" s="33">
        <f t="shared" ca="1" si="82"/>
        <v>0</v>
      </c>
      <c r="X184" s="33">
        <f t="shared" ca="1" si="82"/>
        <v>0</v>
      </c>
    </row>
    <row r="185" spans="2:24" customFormat="1">
      <c r="B185" s="37" t="s">
        <v>404</v>
      </c>
      <c r="C185" s="37"/>
      <c r="D185" s="52"/>
      <c r="E185" s="52"/>
      <c r="F185" s="52"/>
      <c r="G185" s="52"/>
      <c r="H185" s="52"/>
      <c r="I185" s="52"/>
      <c r="J185" s="52"/>
      <c r="K185" s="33">
        <f ca="1">ROUND(K168+K89,0)</f>
        <v>0</v>
      </c>
      <c r="L185" s="33">
        <f t="shared" ref="L185:X185" ca="1" si="83">ROUND(L168+L89,0)</f>
        <v>0</v>
      </c>
      <c r="M185" s="33">
        <f t="shared" ca="1" si="83"/>
        <v>0</v>
      </c>
      <c r="N185" s="33">
        <f t="shared" ca="1" si="83"/>
        <v>0</v>
      </c>
      <c r="O185" s="33">
        <f t="shared" ca="1" si="83"/>
        <v>0</v>
      </c>
      <c r="P185" s="33">
        <f t="shared" ca="1" si="83"/>
        <v>0</v>
      </c>
      <c r="Q185" s="33">
        <f t="shared" ca="1" si="83"/>
        <v>0</v>
      </c>
      <c r="R185" s="33">
        <f t="shared" ca="1" si="83"/>
        <v>0</v>
      </c>
      <c r="S185" s="33">
        <f t="shared" ca="1" si="83"/>
        <v>0</v>
      </c>
      <c r="T185" s="33">
        <f t="shared" ca="1" si="83"/>
        <v>0</v>
      </c>
      <c r="U185" s="33">
        <f t="shared" ca="1" si="83"/>
        <v>0</v>
      </c>
      <c r="V185" s="33">
        <f t="shared" ca="1" si="83"/>
        <v>0</v>
      </c>
      <c r="W185" s="33">
        <f t="shared" ca="1" si="83"/>
        <v>0</v>
      </c>
      <c r="X185" s="33">
        <f t="shared" ca="1" si="83"/>
        <v>0</v>
      </c>
    </row>
    <row r="186" spans="2:24" customFormat="1">
      <c r="B186" s="37" t="s">
        <v>714</v>
      </c>
      <c r="C186" s="37"/>
      <c r="D186" s="52"/>
      <c r="E186" s="52"/>
      <c r="F186" s="52"/>
      <c r="G186" s="52"/>
      <c r="H186" s="52"/>
      <c r="I186" s="52"/>
      <c r="J186" s="52"/>
      <c r="K186" s="33">
        <f>ROUND(K169,0)</f>
        <v>0</v>
      </c>
      <c r="L186" s="33">
        <f t="shared" ref="L186:X186" si="84">ROUND(L169,0)</f>
        <v>0</v>
      </c>
      <c r="M186" s="33">
        <f t="shared" si="84"/>
        <v>0</v>
      </c>
      <c r="N186" s="33">
        <f t="shared" si="84"/>
        <v>0</v>
      </c>
      <c r="O186" s="33">
        <f t="shared" si="84"/>
        <v>0</v>
      </c>
      <c r="P186" s="33">
        <f t="shared" si="84"/>
        <v>0</v>
      </c>
      <c r="Q186" s="33">
        <f t="shared" si="84"/>
        <v>0</v>
      </c>
      <c r="R186" s="33">
        <f t="shared" si="84"/>
        <v>0</v>
      </c>
      <c r="S186" s="33">
        <f t="shared" si="84"/>
        <v>0</v>
      </c>
      <c r="T186" s="33">
        <f t="shared" si="84"/>
        <v>0</v>
      </c>
      <c r="U186" s="33">
        <f t="shared" si="84"/>
        <v>0</v>
      </c>
      <c r="V186" s="33">
        <f t="shared" si="84"/>
        <v>0</v>
      </c>
      <c r="W186" s="33">
        <f t="shared" si="84"/>
        <v>0</v>
      </c>
      <c r="X186" s="33">
        <f t="shared" si="84"/>
        <v>0</v>
      </c>
    </row>
    <row r="187" spans="2:24" customFormat="1">
      <c r="B187" s="1"/>
      <c r="C187" s="1"/>
      <c r="D187" s="1"/>
      <c r="E187" s="1"/>
      <c r="F187" s="1"/>
      <c r="G187" s="1"/>
      <c r="H187" s="1"/>
      <c r="I187" s="1"/>
      <c r="J187" s="1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2:24" customFormat="1">
      <c r="B188" s="99" t="s">
        <v>405</v>
      </c>
      <c r="C188" s="99"/>
      <c r="D188" s="99"/>
      <c r="E188" s="99"/>
      <c r="F188" s="99"/>
      <c r="G188" s="99"/>
      <c r="H188" s="99"/>
      <c r="I188" s="99"/>
      <c r="J188" s="99"/>
      <c r="K188" s="98">
        <f ca="1">ROUND(K171+K91,0)</f>
        <v>0</v>
      </c>
      <c r="L188" s="98">
        <f t="shared" ref="L188:X188" ca="1" si="85">ROUND(L171+L91,0)</f>
        <v>0</v>
      </c>
      <c r="M188" s="98">
        <f t="shared" ca="1" si="85"/>
        <v>0</v>
      </c>
      <c r="N188" s="98">
        <f t="shared" ca="1" si="85"/>
        <v>0</v>
      </c>
      <c r="O188" s="98">
        <f t="shared" ca="1" si="85"/>
        <v>0</v>
      </c>
      <c r="P188" s="98">
        <f t="shared" ca="1" si="85"/>
        <v>0</v>
      </c>
      <c r="Q188" s="98">
        <f t="shared" ca="1" si="85"/>
        <v>0</v>
      </c>
      <c r="R188" s="98">
        <f t="shared" ca="1" si="85"/>
        <v>0</v>
      </c>
      <c r="S188" s="98">
        <f t="shared" ca="1" si="85"/>
        <v>0</v>
      </c>
      <c r="T188" s="98">
        <f t="shared" ca="1" si="85"/>
        <v>0</v>
      </c>
      <c r="U188" s="98">
        <f t="shared" ca="1" si="85"/>
        <v>0</v>
      </c>
      <c r="V188" s="98">
        <f t="shared" ca="1" si="85"/>
        <v>0</v>
      </c>
      <c r="W188" s="98">
        <f t="shared" ca="1" si="85"/>
        <v>0</v>
      </c>
      <c r="X188" s="98">
        <f t="shared" ca="1" si="85"/>
        <v>0</v>
      </c>
    </row>
    <row r="189" spans="2:24" customForma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customFormat="1"/>
    <row r="191" spans="2:24" customFormat="1"/>
    <row r="192" spans="2:24" ht="14.4">
      <c r="B192" s="46" t="s">
        <v>294</v>
      </c>
      <c r="C192" s="46"/>
      <c r="D192" s="36"/>
      <c r="E192" s="36"/>
      <c r="F192" s="36"/>
      <c r="G192" s="36"/>
      <c r="H192" s="36"/>
      <c r="I192" s="36"/>
      <c r="J192" s="36"/>
      <c r="K192" s="32" t="str">
        <f t="shared" ref="K192:X192" si="86">K12</f>
        <v>Uzupełnij dane</v>
      </c>
      <c r="L192" s="32" t="str">
        <f t="shared" si="86"/>
        <v/>
      </c>
      <c r="M192" s="32" t="str">
        <f t="shared" si="86"/>
        <v/>
      </c>
      <c r="N192" s="32" t="str">
        <f t="shared" si="86"/>
        <v/>
      </c>
      <c r="O192" s="32" t="str">
        <f t="shared" si="86"/>
        <v/>
      </c>
      <c r="P192" s="32" t="str">
        <f t="shared" si="86"/>
        <v/>
      </c>
      <c r="Q192" s="32" t="str">
        <f t="shared" si="86"/>
        <v/>
      </c>
      <c r="R192" s="32" t="str">
        <f t="shared" si="86"/>
        <v/>
      </c>
      <c r="S192" s="32" t="str">
        <f t="shared" si="86"/>
        <v/>
      </c>
      <c r="T192" s="32" t="str">
        <f t="shared" si="86"/>
        <v/>
      </c>
      <c r="U192" s="32" t="str">
        <f t="shared" si="86"/>
        <v/>
      </c>
      <c r="V192" s="32" t="str">
        <f t="shared" si="86"/>
        <v/>
      </c>
      <c r="W192" s="32" t="str">
        <f t="shared" si="86"/>
        <v/>
      </c>
      <c r="X192" s="32" t="str">
        <f t="shared" si="86"/>
        <v/>
      </c>
    </row>
    <row r="193" spans="2:24"/>
    <row r="194" spans="2:24" ht="20.399999999999999">
      <c r="B194" s="228" t="s">
        <v>381</v>
      </c>
      <c r="C194" s="229" t="s">
        <v>296</v>
      </c>
      <c r="D194" s="230" t="s">
        <v>406</v>
      </c>
      <c r="E194" s="230" t="s">
        <v>407</v>
      </c>
      <c r="F194" s="230" t="s">
        <v>336</v>
      </c>
      <c r="G194" s="230" t="s">
        <v>781</v>
      </c>
      <c r="H194" s="230" t="s">
        <v>408</v>
      </c>
      <c r="I194" s="230" t="s">
        <v>409</v>
      </c>
      <c r="J194" s="230" t="s">
        <v>423</v>
      </c>
      <c r="K194" s="231"/>
      <c r="L194" s="231"/>
      <c r="M194" s="231"/>
      <c r="N194" s="231"/>
      <c r="O194" s="231"/>
      <c r="P194" s="231"/>
      <c r="Q194" s="231"/>
      <c r="R194" s="231"/>
      <c r="S194" s="231"/>
      <c r="T194" s="231"/>
      <c r="U194" s="231"/>
      <c r="V194" s="231"/>
      <c r="W194" s="231"/>
      <c r="X194" s="231"/>
    </row>
    <row r="195" spans="2:24">
      <c r="B195" s="497"/>
      <c r="C195" s="496" t="str">
        <f>IF(Modul_badawczo_rozwojowy=tak,"B+R","")</f>
        <v/>
      </c>
      <c r="D195" s="95">
        <f>MAX('Koszty operacyjne'!K931:X931)-MAX('Koszty operacyjne'!K1172:X1172)</f>
        <v>0</v>
      </c>
      <c r="E195" s="246" t="str">
        <f>IFERROR(IF(Modul_badawczo_rozwojowy=tak,Wdrozenie_KoniecPR,IF(Modul_badawczo_rozwojowy=nie,DATE(Koniec_Projekt,Założenia!$D$18,1),"")),"")</f>
        <v/>
      </c>
      <c r="F195" s="198" t="s">
        <v>118</v>
      </c>
      <c r="G195" s="198" t="s">
        <v>119</v>
      </c>
      <c r="H195" s="415">
        <f>'Rozliczenie dotacji'!E28</f>
        <v>0</v>
      </c>
      <c r="I195" s="103">
        <f>IF(AND(F195="tak",G195="tak"),SUM(K1123:X1123),IF(AND(F195="tak",G195="nie",ISNUMBER(H195)),'Rozliczenie dotacji'!F28,0))</f>
        <v>0</v>
      </c>
      <c r="J195" s="202"/>
      <c r="K195" s="103">
        <f t="shared" ref="K195:X216" si="87">IFERROR(ROUND(IF(AND(YEAR($E195)=LataProjekcji,$D195&gt;0),$D195,0),0),0)</f>
        <v>0</v>
      </c>
      <c r="L195" s="103">
        <f t="shared" si="87"/>
        <v>0</v>
      </c>
      <c r="M195" s="103">
        <f t="shared" si="87"/>
        <v>0</v>
      </c>
      <c r="N195" s="103">
        <f t="shared" si="87"/>
        <v>0</v>
      </c>
      <c r="O195" s="103">
        <f t="shared" si="87"/>
        <v>0</v>
      </c>
      <c r="P195" s="103">
        <f t="shared" si="87"/>
        <v>0</v>
      </c>
      <c r="Q195" s="103">
        <f t="shared" si="87"/>
        <v>0</v>
      </c>
      <c r="R195" s="103">
        <f t="shared" si="87"/>
        <v>0</v>
      </c>
      <c r="S195" s="103">
        <f t="shared" si="87"/>
        <v>0</v>
      </c>
      <c r="T195" s="103">
        <f t="shared" si="87"/>
        <v>0</v>
      </c>
      <c r="U195" s="103">
        <f t="shared" si="87"/>
        <v>0</v>
      </c>
      <c r="V195" s="103">
        <f t="shared" si="87"/>
        <v>0</v>
      </c>
      <c r="W195" s="103">
        <f t="shared" si="87"/>
        <v>0</v>
      </c>
      <c r="X195" s="103">
        <f t="shared" si="87"/>
        <v>0</v>
      </c>
    </row>
    <row r="196" spans="2:24">
      <c r="B196" s="497"/>
      <c r="C196" s="496" t="str">
        <f>IF(Modul_badawczo_rozwojowy=tak,"B+R","")</f>
        <v/>
      </c>
      <c r="D196" s="95">
        <f>MAX('Koszty operacyjne'!K1172:X1172)</f>
        <v>0</v>
      </c>
      <c r="E196" s="246" t="str">
        <f>IFERROR(IF(Modul_badawczo_rozwojowy=tak,Wdrozenie_KoniecPR,IF(Modul_badawczo_rozwojowy=nie,DATE(Koniec_Projekt,Założenia!$D$18,1),"")),"")</f>
        <v/>
      </c>
      <c r="F196" s="198" t="s">
        <v>119</v>
      </c>
      <c r="G196" s="198" t="s">
        <v>119</v>
      </c>
      <c r="H196" s="415">
        <v>0</v>
      </c>
      <c r="I196" s="33">
        <f>IF(AND(F196="tak",G196="tak"),SUM(K1130:X1130),IF(AND(F196="tak",G196="nie",ISNUMBER(H196)),'Rozliczenie dotacji'!F6,0))</f>
        <v>0</v>
      </c>
      <c r="J196" s="203" t="str">
        <f>IF(OR(AND(ISNUMBER(D196),ISBLANK(E196)),AND(ISNUMBER(E196),ISBLANK(D196))),"uzupełnij dane","")</f>
        <v/>
      </c>
      <c r="K196" s="33">
        <f t="shared" si="87"/>
        <v>0</v>
      </c>
      <c r="L196" s="33">
        <f t="shared" si="87"/>
        <v>0</v>
      </c>
      <c r="M196" s="33">
        <f t="shared" si="87"/>
        <v>0</v>
      </c>
      <c r="N196" s="33">
        <f t="shared" si="87"/>
        <v>0</v>
      </c>
      <c r="O196" s="33">
        <f t="shared" si="87"/>
        <v>0</v>
      </c>
      <c r="P196" s="33">
        <f t="shared" si="87"/>
        <v>0</v>
      </c>
      <c r="Q196" s="33">
        <f t="shared" si="87"/>
        <v>0</v>
      </c>
      <c r="R196" s="33">
        <f t="shared" si="87"/>
        <v>0</v>
      </c>
      <c r="S196" s="33">
        <f t="shared" si="87"/>
        <v>0</v>
      </c>
      <c r="T196" s="33">
        <f t="shared" si="87"/>
        <v>0</v>
      </c>
      <c r="U196" s="33">
        <f t="shared" si="87"/>
        <v>0</v>
      </c>
      <c r="V196" s="33">
        <f t="shared" si="87"/>
        <v>0</v>
      </c>
      <c r="W196" s="33">
        <f t="shared" si="87"/>
        <v>0</v>
      </c>
      <c r="X196" s="33">
        <f t="shared" si="87"/>
        <v>0</v>
      </c>
    </row>
    <row r="197" spans="2:24">
      <c r="B197" s="305"/>
      <c r="C197" s="495"/>
      <c r="D197" s="288"/>
      <c r="E197" s="390"/>
      <c r="F197" s="391"/>
      <c r="G197" s="391"/>
      <c r="H197" s="417"/>
      <c r="I197" s="339">
        <f>IF(AND(F197="tak",G197="tak"),SUM(K1137:X1137),IF(AND(F197="tak",G197="nie",ISNUMBER(H197)),'Rozliczenie dotacji'!F30,0))</f>
        <v>0</v>
      </c>
      <c r="J197" s="203" t="str" cm="1">
        <f t="array" ref="J197">IF(SUMPRODUCT(ISBLANK(B197:G197)*1)=6,"wstaw dane",IF(AND(SUMPRODUCT(ISBLANK(B197:G197)*1)&gt;0,SUMPRODUCT(ISBLANK(B197:G197)*1)&lt;6),"uzupełnij dane",IF(OR(AND(F197=nie,ISNUMBER(H197)=TRUE),AND(F197=tak,G197=tak,ISNUMBER(H197)=TRUE)),"usuń % dotacji",IF(AND(F197=nie,G197=tak),"popraw dane",IF(AND(F197=tak,G197=nie,ISBLANK(H197)=TRUE),"wstaw % dotacji","ok")))))</f>
        <v>wstaw dane</v>
      </c>
      <c r="K197" s="33">
        <f t="shared" si="87"/>
        <v>0</v>
      </c>
      <c r="L197" s="33">
        <f t="shared" si="87"/>
        <v>0</v>
      </c>
      <c r="M197" s="33">
        <f t="shared" si="87"/>
        <v>0</v>
      </c>
      <c r="N197" s="33">
        <f t="shared" si="87"/>
        <v>0</v>
      </c>
      <c r="O197" s="33">
        <f t="shared" si="87"/>
        <v>0</v>
      </c>
      <c r="P197" s="33">
        <f t="shared" si="87"/>
        <v>0</v>
      </c>
      <c r="Q197" s="33">
        <f t="shared" si="87"/>
        <v>0</v>
      </c>
      <c r="R197" s="33">
        <f t="shared" si="87"/>
        <v>0</v>
      </c>
      <c r="S197" s="33">
        <f t="shared" si="87"/>
        <v>0</v>
      </c>
      <c r="T197" s="33">
        <f t="shared" si="87"/>
        <v>0</v>
      </c>
      <c r="U197" s="33">
        <f t="shared" si="87"/>
        <v>0</v>
      </c>
      <c r="V197" s="33">
        <f t="shared" si="87"/>
        <v>0</v>
      </c>
      <c r="W197" s="33">
        <f t="shared" si="87"/>
        <v>0</v>
      </c>
      <c r="X197" s="33">
        <f t="shared" si="87"/>
        <v>0</v>
      </c>
    </row>
    <row r="198" spans="2:24">
      <c r="B198" s="305"/>
      <c r="C198" s="495"/>
      <c r="D198" s="288"/>
      <c r="E198" s="390"/>
      <c r="F198" s="391"/>
      <c r="G198" s="391"/>
      <c r="H198" s="417"/>
      <c r="I198" s="339">
        <f>IF(AND(F198="tak",G198="tak"),SUM(K1144:X1144),IF(AND(F198="tak",G198="nie",ISNUMBER(H198)),'Rozliczenie dotacji'!F31,0))</f>
        <v>0</v>
      </c>
      <c r="J198" s="203" t="str" cm="1">
        <f t="array" ref="J198">IF(SUMPRODUCT(ISBLANK(B198:G198)*1)=6,"wstaw dane",IF(AND(SUMPRODUCT(ISBLANK(B198:G198)*1)&gt;0,SUMPRODUCT(ISBLANK(B198:G198)*1)&lt;6),"uzupełnij dane",IF(OR(AND(F198=nie,ISNUMBER(H198)=TRUE),AND(F198=tak,G198=tak,ISNUMBER(H198)=TRUE)),"usuń % dotacji",IF(AND(F198=nie,G198=tak),"popraw dane",IF(AND(F198=tak,G198=nie,ISBLANK(H198)=TRUE),"wstaw % dotacji","ok")))))</f>
        <v>wstaw dane</v>
      </c>
      <c r="K198" s="33">
        <f t="shared" si="87"/>
        <v>0</v>
      </c>
      <c r="L198" s="33">
        <f t="shared" si="87"/>
        <v>0</v>
      </c>
      <c r="M198" s="33">
        <f t="shared" si="87"/>
        <v>0</v>
      </c>
      <c r="N198" s="33">
        <f t="shared" si="87"/>
        <v>0</v>
      </c>
      <c r="O198" s="33">
        <f t="shared" si="87"/>
        <v>0</v>
      </c>
      <c r="P198" s="33">
        <f t="shared" si="87"/>
        <v>0</v>
      </c>
      <c r="Q198" s="33">
        <f t="shared" si="87"/>
        <v>0</v>
      </c>
      <c r="R198" s="33">
        <f t="shared" si="87"/>
        <v>0</v>
      </c>
      <c r="S198" s="33">
        <f t="shared" si="87"/>
        <v>0</v>
      </c>
      <c r="T198" s="33">
        <f t="shared" si="87"/>
        <v>0</v>
      </c>
      <c r="U198" s="33">
        <f t="shared" si="87"/>
        <v>0</v>
      </c>
      <c r="V198" s="33">
        <f t="shared" si="87"/>
        <v>0</v>
      </c>
      <c r="W198" s="33">
        <f t="shared" si="87"/>
        <v>0</v>
      </c>
      <c r="X198" s="33">
        <f t="shared" si="87"/>
        <v>0</v>
      </c>
    </row>
    <row r="199" spans="2:24">
      <c r="B199" s="305"/>
      <c r="C199" s="495"/>
      <c r="D199" s="288"/>
      <c r="E199" s="390"/>
      <c r="F199" s="391"/>
      <c r="G199" s="391"/>
      <c r="H199" s="417"/>
      <c r="I199" s="339">
        <f>IF(AND(F199="tak",G199="tak"),SUM(K1151:X1151),IF(AND(F199="tak",G199="nie",ISNUMBER(H199)),'Rozliczenie dotacji'!F32,0))</f>
        <v>0</v>
      </c>
      <c r="J199" s="203" t="str" cm="1">
        <f t="array" ref="J199">IF(SUMPRODUCT(ISBLANK(B199:G199)*1)=6,"wstaw dane",IF(AND(SUMPRODUCT(ISBLANK(B199:G199)*1)&gt;0,SUMPRODUCT(ISBLANK(B199:G199)*1)&lt;6),"uzupełnij dane",IF(OR(AND(F199=nie,ISNUMBER(H199)=TRUE),AND(F199=tak,G199=tak,ISNUMBER(H199)=TRUE)),"usuń % dotacji",IF(AND(F199=nie,G199=tak),"popraw dane",IF(AND(F199=tak,G199=nie,ISBLANK(H199)=TRUE),"wstaw % dotacji","ok")))))</f>
        <v>wstaw dane</v>
      </c>
      <c r="K199" s="33">
        <f t="shared" si="87"/>
        <v>0</v>
      </c>
      <c r="L199" s="33">
        <f t="shared" si="87"/>
        <v>0</v>
      </c>
      <c r="M199" s="33">
        <f t="shared" si="87"/>
        <v>0</v>
      </c>
      <c r="N199" s="33">
        <f t="shared" si="87"/>
        <v>0</v>
      </c>
      <c r="O199" s="33">
        <f t="shared" si="87"/>
        <v>0</v>
      </c>
      <c r="P199" s="33">
        <f t="shared" si="87"/>
        <v>0</v>
      </c>
      <c r="Q199" s="33">
        <f t="shared" si="87"/>
        <v>0</v>
      </c>
      <c r="R199" s="33">
        <f t="shared" si="87"/>
        <v>0</v>
      </c>
      <c r="S199" s="33">
        <f t="shared" si="87"/>
        <v>0</v>
      </c>
      <c r="T199" s="33">
        <f t="shared" si="87"/>
        <v>0</v>
      </c>
      <c r="U199" s="33">
        <f t="shared" si="87"/>
        <v>0</v>
      </c>
      <c r="V199" s="33">
        <f t="shared" si="87"/>
        <v>0</v>
      </c>
      <c r="W199" s="33">
        <f t="shared" si="87"/>
        <v>0</v>
      </c>
      <c r="X199" s="33">
        <f t="shared" si="87"/>
        <v>0</v>
      </c>
    </row>
    <row r="200" spans="2:24">
      <c r="B200" s="305"/>
      <c r="C200" s="495"/>
      <c r="D200" s="288"/>
      <c r="E200" s="390"/>
      <c r="F200" s="391"/>
      <c r="G200" s="391"/>
      <c r="H200" s="417"/>
      <c r="I200" s="339">
        <f>IF(AND(F200="tak",G200="tak"),SUM(K1158:X1158),IF(AND(F200="tak",G200="nie",ISNUMBER(H200)),'Rozliczenie dotacji'!F33,0))</f>
        <v>0</v>
      </c>
      <c r="J200" s="203" t="str" cm="1">
        <f t="array" ref="J200">IF(SUMPRODUCT(ISBLANK(B200:G200)*1)=6,"wstaw dane",IF(AND(SUMPRODUCT(ISBLANK(B200:G200)*1)&gt;0,SUMPRODUCT(ISBLANK(B200:G200)*1)&lt;6),"uzupełnij dane",IF(OR(AND(F200=nie,ISNUMBER(H200)=TRUE),AND(F200=tak,G200=tak,ISNUMBER(H200)=TRUE)),"usuń % dotacji",IF(AND(F200=nie,G200=tak),"popraw dane",IF(AND(F200=tak,G200=nie,ISBLANK(H200)=TRUE),"wstaw % dotacji","ok")))))</f>
        <v>wstaw dane</v>
      </c>
      <c r="K200" s="33">
        <f t="shared" si="87"/>
        <v>0</v>
      </c>
      <c r="L200" s="33">
        <f t="shared" si="87"/>
        <v>0</v>
      </c>
      <c r="M200" s="33">
        <f t="shared" si="87"/>
        <v>0</v>
      </c>
      <c r="N200" s="33">
        <f t="shared" si="87"/>
        <v>0</v>
      </c>
      <c r="O200" s="33">
        <f t="shared" si="87"/>
        <v>0</v>
      </c>
      <c r="P200" s="33">
        <f t="shared" si="87"/>
        <v>0</v>
      </c>
      <c r="Q200" s="33">
        <f t="shared" si="87"/>
        <v>0</v>
      </c>
      <c r="R200" s="33">
        <f t="shared" si="87"/>
        <v>0</v>
      </c>
      <c r="S200" s="33">
        <f t="shared" si="87"/>
        <v>0</v>
      </c>
      <c r="T200" s="33">
        <f t="shared" si="87"/>
        <v>0</v>
      </c>
      <c r="U200" s="33">
        <f t="shared" si="87"/>
        <v>0</v>
      </c>
      <c r="V200" s="33">
        <f t="shared" si="87"/>
        <v>0</v>
      </c>
      <c r="W200" s="33">
        <f t="shared" si="87"/>
        <v>0</v>
      </c>
      <c r="X200" s="33">
        <f t="shared" si="87"/>
        <v>0</v>
      </c>
    </row>
    <row r="201" spans="2:24">
      <c r="B201" s="305"/>
      <c r="C201" s="495"/>
      <c r="D201" s="288"/>
      <c r="E201" s="390"/>
      <c r="F201" s="391"/>
      <c r="G201" s="391"/>
      <c r="H201" s="417"/>
      <c r="I201" s="339">
        <f>IF(AND(F201="tak",G201="tak"),SUM(K1165:X1165),IF(AND(F201="tak",G201="nie",ISNUMBER(H201)),'Rozliczenie dotacji'!F34,0))</f>
        <v>0</v>
      </c>
      <c r="J201" s="203" t="str" cm="1">
        <f t="array" ref="J201">IF(SUMPRODUCT(ISBLANK(B201:G201)*1)=6,"wstaw dane",IF(AND(SUMPRODUCT(ISBLANK(B201:G201)*1)&gt;0,SUMPRODUCT(ISBLANK(B201:G201)*1)&lt;6),"uzupełnij dane",IF(OR(AND(F201=nie,ISNUMBER(H201)=TRUE),AND(F201=tak,G201=tak,ISNUMBER(H201)=TRUE)),"usuń % dotacji",IF(AND(F201=nie,G201=tak),"popraw dane",IF(AND(F201=tak,G201=nie,ISBLANK(H201)=TRUE),"wstaw % dotacji","ok")))))</f>
        <v>wstaw dane</v>
      </c>
      <c r="K201" s="33">
        <f t="shared" si="87"/>
        <v>0</v>
      </c>
      <c r="L201" s="33">
        <f t="shared" si="87"/>
        <v>0</v>
      </c>
      <c r="M201" s="33">
        <f t="shared" si="87"/>
        <v>0</v>
      </c>
      <c r="N201" s="33">
        <f t="shared" si="87"/>
        <v>0</v>
      </c>
      <c r="O201" s="33">
        <f t="shared" si="87"/>
        <v>0</v>
      </c>
      <c r="P201" s="33">
        <f t="shared" si="87"/>
        <v>0</v>
      </c>
      <c r="Q201" s="33">
        <f t="shared" si="87"/>
        <v>0</v>
      </c>
      <c r="R201" s="33">
        <f t="shared" si="87"/>
        <v>0</v>
      </c>
      <c r="S201" s="33">
        <f t="shared" si="87"/>
        <v>0</v>
      </c>
      <c r="T201" s="33">
        <f t="shared" si="87"/>
        <v>0</v>
      </c>
      <c r="U201" s="33">
        <f t="shared" si="87"/>
        <v>0</v>
      </c>
      <c r="V201" s="33">
        <f t="shared" si="87"/>
        <v>0</v>
      </c>
      <c r="W201" s="33">
        <f t="shared" si="87"/>
        <v>0</v>
      </c>
      <c r="X201" s="33">
        <f t="shared" si="87"/>
        <v>0</v>
      </c>
    </row>
    <row r="202" spans="2:24">
      <c r="B202" s="305"/>
      <c r="C202" s="495"/>
      <c r="D202" s="288"/>
      <c r="E202" s="390"/>
      <c r="F202" s="391"/>
      <c r="G202" s="391"/>
      <c r="H202" s="417"/>
      <c r="I202" s="339">
        <f>IF(AND(F202="tak",G202="tak"),SUM(K1172:X1172),IF(AND(F202="tak",G202="nie",ISNUMBER(H202)),'Rozliczenie dotacji'!F35,0))</f>
        <v>0</v>
      </c>
      <c r="J202" s="203" t="str" cm="1">
        <f t="array" ref="J202">IF(SUMPRODUCT(ISBLANK(B202:G202)*1)=6,"wstaw dane",IF(AND(SUMPRODUCT(ISBLANK(B202:G202)*1)&gt;0,SUMPRODUCT(ISBLANK(B202:G202)*1)&lt;6),"uzupełnij dane",IF(OR(AND(F202=nie,ISNUMBER(H202)=TRUE),AND(F202=tak,G202=tak,ISNUMBER(H202)=TRUE)),"usuń % dotacji",IF(AND(F202=nie,G202=tak),"popraw dane",IF(AND(F202=tak,G202=nie,ISBLANK(H202)=TRUE),"wstaw % dotacji","ok")))))</f>
        <v>wstaw dane</v>
      </c>
      <c r="K202" s="33">
        <f t="shared" si="87"/>
        <v>0</v>
      </c>
      <c r="L202" s="33">
        <f t="shared" si="87"/>
        <v>0</v>
      </c>
      <c r="M202" s="33">
        <f t="shared" si="87"/>
        <v>0</v>
      </c>
      <c r="N202" s="33">
        <f t="shared" si="87"/>
        <v>0</v>
      </c>
      <c r="O202" s="33">
        <f t="shared" si="87"/>
        <v>0</v>
      </c>
      <c r="P202" s="33">
        <f t="shared" si="87"/>
        <v>0</v>
      </c>
      <c r="Q202" s="33">
        <f t="shared" si="87"/>
        <v>0</v>
      </c>
      <c r="R202" s="33">
        <f t="shared" si="87"/>
        <v>0</v>
      </c>
      <c r="S202" s="33">
        <f t="shared" si="87"/>
        <v>0</v>
      </c>
      <c r="T202" s="33">
        <f t="shared" si="87"/>
        <v>0</v>
      </c>
      <c r="U202" s="33">
        <f t="shared" si="87"/>
        <v>0</v>
      </c>
      <c r="V202" s="33">
        <f t="shared" si="87"/>
        <v>0</v>
      </c>
      <c r="W202" s="33">
        <f t="shared" si="87"/>
        <v>0</v>
      </c>
      <c r="X202" s="33">
        <f t="shared" si="87"/>
        <v>0</v>
      </c>
    </row>
    <row r="203" spans="2:24">
      <c r="B203" s="305"/>
      <c r="C203" s="495"/>
      <c r="D203" s="288"/>
      <c r="E203" s="390"/>
      <c r="F203" s="391"/>
      <c r="G203" s="391"/>
      <c r="H203" s="417"/>
      <c r="I203" s="339">
        <f>IF(AND(F203="tak",G203="tak"),SUM(K1179:X1179),IF(AND(F203="tak",G203="nie",ISNUMBER(H203)),'Rozliczenie dotacji'!F36,0))</f>
        <v>0</v>
      </c>
      <c r="J203" s="203" t="str" cm="1">
        <f t="array" ref="J203">IF(SUMPRODUCT(ISBLANK(B203:G203)*1)=6,"wstaw dane",IF(AND(SUMPRODUCT(ISBLANK(B203:G203)*1)&gt;0,SUMPRODUCT(ISBLANK(B203:G203)*1)&lt;6),"uzupełnij dane",IF(OR(AND(F203=nie,ISNUMBER(H203)=TRUE),AND(F203=tak,G203=tak,ISNUMBER(H203)=TRUE)),"usuń % dotacji",IF(AND(F203=nie,G203=tak),"popraw dane",IF(AND(F203=tak,G203=nie,ISBLANK(H203)=TRUE),"wstaw % dotacji","ok")))))</f>
        <v>wstaw dane</v>
      </c>
      <c r="K203" s="33">
        <f t="shared" si="87"/>
        <v>0</v>
      </c>
      <c r="L203" s="33">
        <f t="shared" si="87"/>
        <v>0</v>
      </c>
      <c r="M203" s="33">
        <f t="shared" si="87"/>
        <v>0</v>
      </c>
      <c r="N203" s="33">
        <f t="shared" si="87"/>
        <v>0</v>
      </c>
      <c r="O203" s="33">
        <f t="shared" si="87"/>
        <v>0</v>
      </c>
      <c r="P203" s="33">
        <f t="shared" si="87"/>
        <v>0</v>
      </c>
      <c r="Q203" s="33">
        <f t="shared" si="87"/>
        <v>0</v>
      </c>
      <c r="R203" s="33">
        <f t="shared" si="87"/>
        <v>0</v>
      </c>
      <c r="S203" s="33">
        <f t="shared" si="87"/>
        <v>0</v>
      </c>
      <c r="T203" s="33">
        <f t="shared" si="87"/>
        <v>0</v>
      </c>
      <c r="U203" s="33">
        <f t="shared" si="87"/>
        <v>0</v>
      </c>
      <c r="V203" s="33">
        <f t="shared" si="87"/>
        <v>0</v>
      </c>
      <c r="W203" s="33">
        <f t="shared" si="87"/>
        <v>0</v>
      </c>
      <c r="X203" s="33">
        <f t="shared" si="87"/>
        <v>0</v>
      </c>
    </row>
    <row r="204" spans="2:24">
      <c r="B204" s="305"/>
      <c r="C204" s="495"/>
      <c r="D204" s="288"/>
      <c r="E204" s="390"/>
      <c r="F204" s="391"/>
      <c r="G204" s="391"/>
      <c r="H204" s="417"/>
      <c r="I204" s="339">
        <f>IF(AND(F204="tak",G204="tak"),SUM(K1186:X1186),IF(AND(F204="tak",G204="nie",ISNUMBER(H204)),'Rozliczenie dotacji'!F37,0))</f>
        <v>0</v>
      </c>
      <c r="J204" s="203" t="str" cm="1">
        <f t="array" ref="J204">IF(SUMPRODUCT(ISBLANK(B204:G204)*1)=6,"wstaw dane",IF(AND(SUMPRODUCT(ISBLANK(B204:G204)*1)&gt;0,SUMPRODUCT(ISBLANK(B204:G204)*1)&lt;6),"uzupełnij dane",IF(OR(AND(F204=nie,ISNUMBER(H204)=TRUE),AND(F204=tak,G204=tak,ISNUMBER(H204)=TRUE)),"usuń % dotacji",IF(AND(F204=nie,G204=tak),"popraw dane",IF(AND(F204=tak,G204=nie,ISBLANK(H204)=TRUE),"wstaw % dotacji","ok")))))</f>
        <v>wstaw dane</v>
      </c>
      <c r="K204" s="33">
        <f t="shared" si="87"/>
        <v>0</v>
      </c>
      <c r="L204" s="33">
        <f t="shared" si="87"/>
        <v>0</v>
      </c>
      <c r="M204" s="33">
        <f t="shared" si="87"/>
        <v>0</v>
      </c>
      <c r="N204" s="33">
        <f t="shared" si="87"/>
        <v>0</v>
      </c>
      <c r="O204" s="33">
        <f t="shared" si="87"/>
        <v>0</v>
      </c>
      <c r="P204" s="33">
        <f t="shared" si="87"/>
        <v>0</v>
      </c>
      <c r="Q204" s="33">
        <f t="shared" si="87"/>
        <v>0</v>
      </c>
      <c r="R204" s="33">
        <f t="shared" si="87"/>
        <v>0</v>
      </c>
      <c r="S204" s="33">
        <f t="shared" si="87"/>
        <v>0</v>
      </c>
      <c r="T204" s="33">
        <f t="shared" si="87"/>
        <v>0</v>
      </c>
      <c r="U204" s="33">
        <f t="shared" si="87"/>
        <v>0</v>
      </c>
      <c r="V204" s="33">
        <f t="shared" si="87"/>
        <v>0</v>
      </c>
      <c r="W204" s="33">
        <f t="shared" si="87"/>
        <v>0</v>
      </c>
      <c r="X204" s="33">
        <f t="shared" si="87"/>
        <v>0</v>
      </c>
    </row>
    <row r="205" spans="2:24">
      <c r="B205" s="305"/>
      <c r="C205" s="495"/>
      <c r="D205" s="288"/>
      <c r="E205" s="390"/>
      <c r="F205" s="391"/>
      <c r="G205" s="391"/>
      <c r="H205" s="417"/>
      <c r="I205" s="339">
        <f>IF(AND(F205="tak",G205="tak"),SUM(K1193:X1193),IF(AND(F205="tak",G205="nie",ISNUMBER(H205)),'Rozliczenie dotacji'!F38,0))</f>
        <v>0</v>
      </c>
      <c r="J205" s="203" t="str" cm="1">
        <f t="array" ref="J205">IF(SUMPRODUCT(ISBLANK(B205:G205)*1)=6,"wstaw dane",IF(AND(SUMPRODUCT(ISBLANK(B205:G205)*1)&gt;0,SUMPRODUCT(ISBLANK(B205:G205)*1)&lt;6),"uzupełnij dane",IF(OR(AND(F205=nie,ISNUMBER(H205)=TRUE),AND(F205=tak,G205=tak,ISNUMBER(H205)=TRUE)),"usuń % dotacji",IF(AND(F205=nie,G205=tak),"popraw dane",IF(AND(F205=tak,G205=nie,ISBLANK(H205)=TRUE),"wstaw % dotacji","ok")))))</f>
        <v>wstaw dane</v>
      </c>
      <c r="K205" s="33">
        <f t="shared" si="87"/>
        <v>0</v>
      </c>
      <c r="L205" s="33">
        <f t="shared" si="87"/>
        <v>0</v>
      </c>
      <c r="M205" s="33">
        <f t="shared" si="87"/>
        <v>0</v>
      </c>
      <c r="N205" s="33">
        <f t="shared" si="87"/>
        <v>0</v>
      </c>
      <c r="O205" s="33">
        <f t="shared" si="87"/>
        <v>0</v>
      </c>
      <c r="P205" s="33">
        <f t="shared" si="87"/>
        <v>0</v>
      </c>
      <c r="Q205" s="33">
        <f t="shared" si="87"/>
        <v>0</v>
      </c>
      <c r="R205" s="33">
        <f t="shared" si="87"/>
        <v>0</v>
      </c>
      <c r="S205" s="33">
        <f t="shared" si="87"/>
        <v>0</v>
      </c>
      <c r="T205" s="33">
        <f t="shared" si="87"/>
        <v>0</v>
      </c>
      <c r="U205" s="33">
        <f t="shared" si="87"/>
        <v>0</v>
      </c>
      <c r="V205" s="33">
        <f t="shared" si="87"/>
        <v>0</v>
      </c>
      <c r="W205" s="33">
        <f t="shared" si="87"/>
        <v>0</v>
      </c>
      <c r="X205" s="33">
        <f t="shared" si="87"/>
        <v>0</v>
      </c>
    </row>
    <row r="206" spans="2:24">
      <c r="B206" s="305"/>
      <c r="C206" s="495"/>
      <c r="D206" s="288"/>
      <c r="E206" s="390"/>
      <c r="F206" s="391"/>
      <c r="G206" s="391"/>
      <c r="H206" s="417"/>
      <c r="I206" s="339">
        <f>IF(AND(F206="tak",G206="tak"),SUM(K1200:X1200),IF(AND(F206="tak",G206="nie",ISNUMBER(H206)),'Rozliczenie dotacji'!F39,0))</f>
        <v>0</v>
      </c>
      <c r="J206" s="203" t="str" cm="1">
        <f t="array" ref="J206">IF(SUMPRODUCT(ISBLANK(B206:G206)*1)=6,"wstaw dane",IF(AND(SUMPRODUCT(ISBLANK(B206:G206)*1)&gt;0,SUMPRODUCT(ISBLANK(B206:G206)*1)&lt;6),"uzupełnij dane",IF(OR(AND(F206=nie,ISNUMBER(H206)=TRUE),AND(F206=tak,G206=tak,ISNUMBER(H206)=TRUE)),"usuń % dotacji",IF(AND(F206=nie,G206=tak),"popraw dane",IF(AND(F206=tak,G206=nie,ISBLANK(H206)=TRUE),"wstaw % dotacji","ok")))))</f>
        <v>wstaw dane</v>
      </c>
      <c r="K206" s="33">
        <f t="shared" si="87"/>
        <v>0</v>
      </c>
      <c r="L206" s="33">
        <f t="shared" si="87"/>
        <v>0</v>
      </c>
      <c r="M206" s="33">
        <f t="shared" si="87"/>
        <v>0</v>
      </c>
      <c r="N206" s="33">
        <f t="shared" si="87"/>
        <v>0</v>
      </c>
      <c r="O206" s="33">
        <f t="shared" si="87"/>
        <v>0</v>
      </c>
      <c r="P206" s="33">
        <f t="shared" si="87"/>
        <v>0</v>
      </c>
      <c r="Q206" s="33">
        <f t="shared" si="87"/>
        <v>0</v>
      </c>
      <c r="R206" s="33">
        <f t="shared" si="87"/>
        <v>0</v>
      </c>
      <c r="S206" s="33">
        <f t="shared" si="87"/>
        <v>0</v>
      </c>
      <c r="T206" s="33">
        <f t="shared" si="87"/>
        <v>0</v>
      </c>
      <c r="U206" s="33">
        <f t="shared" si="87"/>
        <v>0</v>
      </c>
      <c r="V206" s="33">
        <f t="shared" si="87"/>
        <v>0</v>
      </c>
      <c r="W206" s="33">
        <f t="shared" si="87"/>
        <v>0</v>
      </c>
      <c r="X206" s="33">
        <f t="shared" si="87"/>
        <v>0</v>
      </c>
    </row>
    <row r="207" spans="2:24">
      <c r="B207" s="305"/>
      <c r="C207" s="495"/>
      <c r="D207" s="288"/>
      <c r="E207" s="390"/>
      <c r="F207" s="391"/>
      <c r="G207" s="391"/>
      <c r="H207" s="417"/>
      <c r="I207" s="339">
        <f>IF(AND(F207="tak",G207="tak"),SUM(K1207:X1207),IF(AND(F207="tak",G207="nie",ISNUMBER(H207)),'Rozliczenie dotacji'!F40,0))</f>
        <v>0</v>
      </c>
      <c r="J207" s="203" t="str" cm="1">
        <f t="array" ref="J207">IF(SUMPRODUCT(ISBLANK(B207:G207)*1)=6,"wstaw dane",IF(AND(SUMPRODUCT(ISBLANK(B207:G207)*1)&gt;0,SUMPRODUCT(ISBLANK(B207:G207)*1)&lt;6),"uzupełnij dane",IF(OR(AND(F207=nie,ISNUMBER(H207)=TRUE),AND(F207=tak,G207=tak,ISNUMBER(H207)=TRUE)),"usuń % dotacji",IF(AND(F207=nie,G207=tak),"popraw dane",IF(AND(F207=tak,G207=nie,ISBLANK(H207)=TRUE),"wstaw % dotacji","ok")))))</f>
        <v>wstaw dane</v>
      </c>
      <c r="K207" s="33">
        <f t="shared" si="87"/>
        <v>0</v>
      </c>
      <c r="L207" s="33">
        <f t="shared" si="87"/>
        <v>0</v>
      </c>
      <c r="M207" s="33">
        <f t="shared" si="87"/>
        <v>0</v>
      </c>
      <c r="N207" s="33">
        <f t="shared" si="87"/>
        <v>0</v>
      </c>
      <c r="O207" s="33">
        <f t="shared" si="87"/>
        <v>0</v>
      </c>
      <c r="P207" s="33">
        <f t="shared" si="87"/>
        <v>0</v>
      </c>
      <c r="Q207" s="33">
        <f t="shared" si="87"/>
        <v>0</v>
      </c>
      <c r="R207" s="33">
        <f t="shared" si="87"/>
        <v>0</v>
      </c>
      <c r="S207" s="33">
        <f t="shared" si="87"/>
        <v>0</v>
      </c>
      <c r="T207" s="33">
        <f t="shared" si="87"/>
        <v>0</v>
      </c>
      <c r="U207" s="33">
        <f t="shared" si="87"/>
        <v>0</v>
      </c>
      <c r="V207" s="33">
        <f t="shared" si="87"/>
        <v>0</v>
      </c>
      <c r="W207" s="33">
        <f t="shared" si="87"/>
        <v>0</v>
      </c>
      <c r="X207" s="33">
        <f t="shared" si="87"/>
        <v>0</v>
      </c>
    </row>
    <row r="208" spans="2:24">
      <c r="B208" s="305"/>
      <c r="C208" s="495"/>
      <c r="D208" s="288"/>
      <c r="E208" s="390"/>
      <c r="F208" s="391"/>
      <c r="G208" s="391"/>
      <c r="H208" s="417"/>
      <c r="I208" s="339">
        <f>IF(AND(F208="tak",G208="tak"),SUM(K1214:X1214),IF(AND(F208="tak",G208="nie",ISNUMBER(H208)),'Rozliczenie dotacji'!F41,0))</f>
        <v>0</v>
      </c>
      <c r="J208" s="203" t="str" cm="1">
        <f t="array" ref="J208">IF(SUMPRODUCT(ISBLANK(B208:G208)*1)=6,"wstaw dane",IF(AND(SUMPRODUCT(ISBLANK(B208:G208)*1)&gt;0,SUMPRODUCT(ISBLANK(B208:G208)*1)&lt;6),"uzupełnij dane",IF(OR(AND(F208=nie,ISNUMBER(H208)=TRUE),AND(F208=tak,G208=tak,ISNUMBER(H208)=TRUE)),"usuń % dotacji",IF(AND(F208=nie,G208=tak),"popraw dane",IF(AND(F208=tak,G208=nie,ISBLANK(H208)=TRUE),"wstaw % dotacji","ok")))))</f>
        <v>wstaw dane</v>
      </c>
      <c r="K208" s="33">
        <f t="shared" si="87"/>
        <v>0</v>
      </c>
      <c r="L208" s="33">
        <f t="shared" si="87"/>
        <v>0</v>
      </c>
      <c r="M208" s="33">
        <f t="shared" si="87"/>
        <v>0</v>
      </c>
      <c r="N208" s="33">
        <f t="shared" si="87"/>
        <v>0</v>
      </c>
      <c r="O208" s="33">
        <f t="shared" si="87"/>
        <v>0</v>
      </c>
      <c r="P208" s="33">
        <f t="shared" si="87"/>
        <v>0</v>
      </c>
      <c r="Q208" s="33">
        <f t="shared" si="87"/>
        <v>0</v>
      </c>
      <c r="R208" s="33">
        <f t="shared" si="87"/>
        <v>0</v>
      </c>
      <c r="S208" s="33">
        <f t="shared" si="87"/>
        <v>0</v>
      </c>
      <c r="T208" s="33">
        <f t="shared" si="87"/>
        <v>0</v>
      </c>
      <c r="U208" s="33">
        <f t="shared" si="87"/>
        <v>0</v>
      </c>
      <c r="V208" s="33">
        <f t="shared" si="87"/>
        <v>0</v>
      </c>
      <c r="W208" s="33">
        <f t="shared" si="87"/>
        <v>0</v>
      </c>
      <c r="X208" s="33">
        <f t="shared" si="87"/>
        <v>0</v>
      </c>
    </row>
    <row r="209" spans="2:24">
      <c r="B209" s="305"/>
      <c r="C209" s="495"/>
      <c r="D209" s="288"/>
      <c r="E209" s="390"/>
      <c r="F209" s="391"/>
      <c r="G209" s="391"/>
      <c r="H209" s="417"/>
      <c r="I209" s="339">
        <f>IF(AND(F209="tak",G209="tak"),SUM(K1221:X1221),IF(AND(F209="tak",G209="nie",ISNUMBER(H209)),'Rozliczenie dotacji'!F42,0))</f>
        <v>0</v>
      </c>
      <c r="J209" s="203" t="str" cm="1">
        <f t="array" ref="J209">IF(SUMPRODUCT(ISBLANK(B209:G209)*1)=6,"wstaw dane",IF(AND(SUMPRODUCT(ISBLANK(B209:G209)*1)&gt;0,SUMPRODUCT(ISBLANK(B209:G209)*1)&lt;6),"uzupełnij dane",IF(OR(AND(F209=nie,ISNUMBER(H209)=TRUE),AND(F209=tak,G209=tak,ISNUMBER(H209)=TRUE)),"usuń % dotacji",IF(AND(F209=nie,G209=tak),"popraw dane",IF(AND(F209=tak,G209=nie,ISBLANK(H209)=TRUE),"wstaw % dotacji","ok")))))</f>
        <v>wstaw dane</v>
      </c>
      <c r="K209" s="33">
        <f t="shared" si="87"/>
        <v>0</v>
      </c>
      <c r="L209" s="33">
        <f t="shared" si="87"/>
        <v>0</v>
      </c>
      <c r="M209" s="33">
        <f t="shared" si="87"/>
        <v>0</v>
      </c>
      <c r="N209" s="33">
        <f t="shared" si="87"/>
        <v>0</v>
      </c>
      <c r="O209" s="33">
        <f t="shared" si="87"/>
        <v>0</v>
      </c>
      <c r="P209" s="33">
        <f t="shared" si="87"/>
        <v>0</v>
      </c>
      <c r="Q209" s="33">
        <f t="shared" si="87"/>
        <v>0</v>
      </c>
      <c r="R209" s="33">
        <f t="shared" si="87"/>
        <v>0</v>
      </c>
      <c r="S209" s="33">
        <f t="shared" si="87"/>
        <v>0</v>
      </c>
      <c r="T209" s="33">
        <f t="shared" si="87"/>
        <v>0</v>
      </c>
      <c r="U209" s="33">
        <f t="shared" si="87"/>
        <v>0</v>
      </c>
      <c r="V209" s="33">
        <f t="shared" si="87"/>
        <v>0</v>
      </c>
      <c r="W209" s="33">
        <f t="shared" si="87"/>
        <v>0</v>
      </c>
      <c r="X209" s="33">
        <f t="shared" si="87"/>
        <v>0</v>
      </c>
    </row>
    <row r="210" spans="2:24">
      <c r="B210" s="305"/>
      <c r="C210" s="495"/>
      <c r="D210" s="288"/>
      <c r="E210" s="390"/>
      <c r="F210" s="391"/>
      <c r="G210" s="391"/>
      <c r="H210" s="417"/>
      <c r="I210" s="339">
        <f>IF(AND(F210="tak",G210="tak"),SUM(K1228:X1228),IF(AND(F210="tak",G210="nie",ISNUMBER(H210)),'Rozliczenie dotacji'!F43,0))</f>
        <v>0</v>
      </c>
      <c r="J210" s="203" t="str" cm="1">
        <f t="array" ref="J210">IF(SUMPRODUCT(ISBLANK(B210:G210)*1)=6,"wstaw dane",IF(AND(SUMPRODUCT(ISBLANK(B210:G210)*1)&gt;0,SUMPRODUCT(ISBLANK(B210:G210)*1)&lt;6),"uzupełnij dane",IF(OR(AND(F210=nie,ISNUMBER(H210)=TRUE),AND(F210=tak,G210=tak,ISNUMBER(H210)=TRUE)),"usuń % dotacji",IF(AND(F210=nie,G210=tak),"popraw dane",IF(AND(F210=tak,G210=nie,ISBLANK(H210)=TRUE),"wstaw % dotacji","ok")))))</f>
        <v>wstaw dane</v>
      </c>
      <c r="K210" s="33">
        <f t="shared" si="87"/>
        <v>0</v>
      </c>
      <c r="L210" s="33">
        <f t="shared" si="87"/>
        <v>0</v>
      </c>
      <c r="M210" s="33">
        <f t="shared" si="87"/>
        <v>0</v>
      </c>
      <c r="N210" s="33">
        <f t="shared" si="87"/>
        <v>0</v>
      </c>
      <c r="O210" s="33">
        <f t="shared" si="87"/>
        <v>0</v>
      </c>
      <c r="P210" s="33">
        <f t="shared" si="87"/>
        <v>0</v>
      </c>
      <c r="Q210" s="33">
        <f t="shared" si="87"/>
        <v>0</v>
      </c>
      <c r="R210" s="33">
        <f t="shared" si="87"/>
        <v>0</v>
      </c>
      <c r="S210" s="33">
        <f t="shared" si="87"/>
        <v>0</v>
      </c>
      <c r="T210" s="33">
        <f t="shared" si="87"/>
        <v>0</v>
      </c>
      <c r="U210" s="33">
        <f t="shared" si="87"/>
        <v>0</v>
      </c>
      <c r="V210" s="33">
        <f t="shared" si="87"/>
        <v>0</v>
      </c>
      <c r="W210" s="33">
        <f t="shared" si="87"/>
        <v>0</v>
      </c>
      <c r="X210" s="33">
        <f t="shared" si="87"/>
        <v>0</v>
      </c>
    </row>
    <row r="211" spans="2:24">
      <c r="B211" s="305"/>
      <c r="C211" s="495"/>
      <c r="D211" s="288"/>
      <c r="E211" s="390"/>
      <c r="F211" s="391"/>
      <c r="G211" s="391"/>
      <c r="H211" s="417"/>
      <c r="I211" s="339">
        <f>IF(AND(F211="tak",G211="tak"),SUM(K1235:X1235),IF(AND(F211="tak",G211="nie",ISNUMBER(H211)),'Rozliczenie dotacji'!F44,0))</f>
        <v>0</v>
      </c>
      <c r="J211" s="203" t="str" cm="1">
        <f t="array" ref="J211">IF(SUMPRODUCT(ISBLANK(B211:G211)*1)=6,"wstaw dane",IF(AND(SUMPRODUCT(ISBLANK(B211:G211)*1)&gt;0,SUMPRODUCT(ISBLANK(B211:G211)*1)&lt;6),"uzupełnij dane",IF(OR(AND(F211=nie,ISNUMBER(H211)=TRUE),AND(F211=tak,G211=tak,ISNUMBER(H211)=TRUE)),"usuń % dotacji",IF(AND(F211=nie,G211=tak),"popraw dane",IF(AND(F211=tak,G211=nie,ISBLANK(H211)=TRUE),"wstaw % dotacji","ok")))))</f>
        <v>wstaw dane</v>
      </c>
      <c r="K211" s="33">
        <f t="shared" si="87"/>
        <v>0</v>
      </c>
      <c r="L211" s="33">
        <f t="shared" si="87"/>
        <v>0</v>
      </c>
      <c r="M211" s="33">
        <f t="shared" si="87"/>
        <v>0</v>
      </c>
      <c r="N211" s="33">
        <f t="shared" si="87"/>
        <v>0</v>
      </c>
      <c r="O211" s="33">
        <f t="shared" si="87"/>
        <v>0</v>
      </c>
      <c r="P211" s="33">
        <f t="shared" si="87"/>
        <v>0</v>
      </c>
      <c r="Q211" s="33">
        <f t="shared" si="87"/>
        <v>0</v>
      </c>
      <c r="R211" s="33">
        <f t="shared" si="87"/>
        <v>0</v>
      </c>
      <c r="S211" s="33">
        <f t="shared" si="87"/>
        <v>0</v>
      </c>
      <c r="T211" s="33">
        <f t="shared" si="87"/>
        <v>0</v>
      </c>
      <c r="U211" s="33">
        <f t="shared" si="87"/>
        <v>0</v>
      </c>
      <c r="V211" s="33">
        <f t="shared" si="87"/>
        <v>0</v>
      </c>
      <c r="W211" s="33">
        <f t="shared" si="87"/>
        <v>0</v>
      </c>
      <c r="X211" s="33">
        <f t="shared" si="87"/>
        <v>0</v>
      </c>
    </row>
    <row r="212" spans="2:24">
      <c r="B212" s="305"/>
      <c r="C212" s="495"/>
      <c r="D212" s="288"/>
      <c r="E212" s="390"/>
      <c r="F212" s="391"/>
      <c r="G212" s="391"/>
      <c r="H212" s="417"/>
      <c r="I212" s="339">
        <f>IF(AND(F212="tak",G212="tak"),SUM(K1242:X1242),IF(AND(F212="tak",G212="nie",ISNUMBER(H212)),'Rozliczenie dotacji'!F45,0))</f>
        <v>0</v>
      </c>
      <c r="J212" s="203" t="str" cm="1">
        <f t="array" ref="J212">IF(SUMPRODUCT(ISBLANK(B212:G212)*1)=6,"wstaw dane",IF(AND(SUMPRODUCT(ISBLANK(B212:G212)*1)&gt;0,SUMPRODUCT(ISBLANK(B212:G212)*1)&lt;6),"uzupełnij dane",IF(OR(AND(F212=nie,ISNUMBER(H212)=TRUE),AND(F212=tak,G212=tak,ISNUMBER(H212)=TRUE)),"usuń % dotacji",IF(AND(F212=nie,G212=tak),"popraw dane",IF(AND(F212=tak,G212=nie,ISBLANK(H212)=TRUE),"wstaw % dotacji","ok")))))</f>
        <v>wstaw dane</v>
      </c>
      <c r="K212" s="33">
        <f t="shared" si="87"/>
        <v>0</v>
      </c>
      <c r="L212" s="33">
        <f t="shared" si="87"/>
        <v>0</v>
      </c>
      <c r="M212" s="33">
        <f t="shared" si="87"/>
        <v>0</v>
      </c>
      <c r="N212" s="33">
        <f t="shared" ref="K212:X215" si="88">IFERROR(ROUND(IF(AND(YEAR($E212)=LataProjekcji,$D212&gt;0),$D212,0),0),0)</f>
        <v>0</v>
      </c>
      <c r="O212" s="33">
        <f t="shared" si="88"/>
        <v>0</v>
      </c>
      <c r="P212" s="33">
        <f t="shared" si="88"/>
        <v>0</v>
      </c>
      <c r="Q212" s="33">
        <f t="shared" si="88"/>
        <v>0</v>
      </c>
      <c r="R212" s="33">
        <f t="shared" si="88"/>
        <v>0</v>
      </c>
      <c r="S212" s="33">
        <f t="shared" si="88"/>
        <v>0</v>
      </c>
      <c r="T212" s="33">
        <f t="shared" si="88"/>
        <v>0</v>
      </c>
      <c r="U212" s="33">
        <f t="shared" si="88"/>
        <v>0</v>
      </c>
      <c r="V212" s="33">
        <f t="shared" si="88"/>
        <v>0</v>
      </c>
      <c r="W212" s="33">
        <f t="shared" si="88"/>
        <v>0</v>
      </c>
      <c r="X212" s="33">
        <f t="shared" si="88"/>
        <v>0</v>
      </c>
    </row>
    <row r="213" spans="2:24">
      <c r="B213" s="305"/>
      <c r="C213" s="495"/>
      <c r="D213" s="288"/>
      <c r="E213" s="390"/>
      <c r="F213" s="391"/>
      <c r="G213" s="391"/>
      <c r="H213" s="417"/>
      <c r="I213" s="339">
        <f>IF(AND(F213="tak",G213="tak"),SUM(K1249:X1249),IF(AND(F213="tak",G213="nie",ISNUMBER(H213)),'Rozliczenie dotacji'!F46,0))</f>
        <v>0</v>
      </c>
      <c r="J213" s="203" t="str" cm="1">
        <f t="array" ref="J213">IF(SUMPRODUCT(ISBLANK(B213:G213)*1)=6,"wstaw dane",IF(AND(SUMPRODUCT(ISBLANK(B213:G213)*1)&gt;0,SUMPRODUCT(ISBLANK(B213:G213)*1)&lt;6),"uzupełnij dane",IF(OR(AND(F213=nie,ISNUMBER(H213)=TRUE),AND(F213=tak,G213=tak,ISNUMBER(H213)=TRUE)),"usuń % dotacji",IF(AND(F213=nie,G213=tak),"popraw dane",IF(AND(F213=tak,G213=nie,ISBLANK(H213)=TRUE),"wstaw % dotacji","ok")))))</f>
        <v>wstaw dane</v>
      </c>
      <c r="K213" s="33">
        <f t="shared" si="88"/>
        <v>0</v>
      </c>
      <c r="L213" s="33">
        <f t="shared" si="88"/>
        <v>0</v>
      </c>
      <c r="M213" s="33">
        <f t="shared" si="88"/>
        <v>0</v>
      </c>
      <c r="N213" s="33">
        <f t="shared" si="88"/>
        <v>0</v>
      </c>
      <c r="O213" s="33">
        <f t="shared" si="88"/>
        <v>0</v>
      </c>
      <c r="P213" s="33">
        <f t="shared" si="88"/>
        <v>0</v>
      </c>
      <c r="Q213" s="33">
        <f t="shared" si="88"/>
        <v>0</v>
      </c>
      <c r="R213" s="33">
        <f t="shared" si="88"/>
        <v>0</v>
      </c>
      <c r="S213" s="33">
        <f t="shared" si="88"/>
        <v>0</v>
      </c>
      <c r="T213" s="33">
        <f t="shared" si="88"/>
        <v>0</v>
      </c>
      <c r="U213" s="33">
        <f t="shared" si="88"/>
        <v>0</v>
      </c>
      <c r="V213" s="33">
        <f t="shared" si="88"/>
        <v>0</v>
      </c>
      <c r="W213" s="33">
        <f t="shared" si="88"/>
        <v>0</v>
      </c>
      <c r="X213" s="33">
        <f t="shared" si="88"/>
        <v>0</v>
      </c>
    </row>
    <row r="214" spans="2:24">
      <c r="B214" s="305"/>
      <c r="C214" s="495"/>
      <c r="D214" s="288"/>
      <c r="E214" s="390"/>
      <c r="F214" s="391"/>
      <c r="G214" s="391"/>
      <c r="H214" s="417"/>
      <c r="I214" s="339">
        <f>IF(AND(F214="tak",G214="tak"),SUM(K1256:X1256),IF(AND(F214="tak",G214="nie",ISNUMBER(H214)),'Rozliczenie dotacji'!F47,0))</f>
        <v>0</v>
      </c>
      <c r="J214" s="203" t="str" cm="1">
        <f t="array" ref="J214">IF(SUMPRODUCT(ISBLANK(B214:G214)*1)=6,"wstaw dane",IF(AND(SUMPRODUCT(ISBLANK(B214:G214)*1)&gt;0,SUMPRODUCT(ISBLANK(B214:G214)*1)&lt;6),"uzupełnij dane",IF(OR(AND(F214=nie,ISNUMBER(H214)=TRUE),AND(F214=tak,G214=tak,ISNUMBER(H214)=TRUE)),"usuń % dotacji",IF(AND(F214=nie,G214=tak),"popraw dane",IF(AND(F214=tak,G214=nie,ISBLANK(H214)=TRUE),"wstaw % dotacji","ok")))))</f>
        <v>wstaw dane</v>
      </c>
      <c r="K214" s="33">
        <f t="shared" si="88"/>
        <v>0</v>
      </c>
      <c r="L214" s="33">
        <f t="shared" si="88"/>
        <v>0</v>
      </c>
      <c r="M214" s="33">
        <f t="shared" si="88"/>
        <v>0</v>
      </c>
      <c r="N214" s="33">
        <f t="shared" si="88"/>
        <v>0</v>
      </c>
      <c r="O214" s="33">
        <f t="shared" si="88"/>
        <v>0</v>
      </c>
      <c r="P214" s="33">
        <f t="shared" si="88"/>
        <v>0</v>
      </c>
      <c r="Q214" s="33">
        <f t="shared" si="88"/>
        <v>0</v>
      </c>
      <c r="R214" s="33">
        <f t="shared" si="88"/>
        <v>0</v>
      </c>
      <c r="S214" s="33">
        <f t="shared" si="88"/>
        <v>0</v>
      </c>
      <c r="T214" s="33">
        <f t="shared" si="88"/>
        <v>0</v>
      </c>
      <c r="U214" s="33">
        <f t="shared" si="88"/>
        <v>0</v>
      </c>
      <c r="V214" s="33">
        <f t="shared" si="88"/>
        <v>0</v>
      </c>
      <c r="W214" s="33">
        <f t="shared" si="88"/>
        <v>0</v>
      </c>
      <c r="X214" s="33">
        <f t="shared" si="88"/>
        <v>0</v>
      </c>
    </row>
    <row r="215" spans="2:24">
      <c r="B215" s="305"/>
      <c r="C215" s="495"/>
      <c r="D215" s="288"/>
      <c r="E215" s="390"/>
      <c r="F215" s="391"/>
      <c r="G215" s="391"/>
      <c r="H215" s="417"/>
      <c r="I215" s="339">
        <f>IF(AND(F215="tak",G215="tak"),SUM(K1263:X1263),IF(AND(F215="tak",G215="nie",ISNUMBER(H215)),'Rozliczenie dotacji'!F48,0))</f>
        <v>0</v>
      </c>
      <c r="J215" s="203" t="str" cm="1">
        <f t="array" ref="J215">IF(SUMPRODUCT(ISBLANK(B215:G215)*1)=6,"wstaw dane",IF(AND(SUMPRODUCT(ISBLANK(B215:G215)*1)&gt;0,SUMPRODUCT(ISBLANK(B215:G215)*1)&lt;6),"uzupełnij dane",IF(OR(AND(F215=nie,ISNUMBER(H215)=TRUE),AND(F215=tak,G215=tak,ISNUMBER(H215)=TRUE)),"usuń % dotacji",IF(AND(F215=nie,G215=tak),"popraw dane",IF(AND(F215=tak,G215=nie,ISBLANK(H215)=TRUE),"wstaw % dotacji","ok")))))</f>
        <v>wstaw dane</v>
      </c>
      <c r="K215" s="33">
        <f t="shared" si="88"/>
        <v>0</v>
      </c>
      <c r="L215" s="33">
        <f t="shared" si="88"/>
        <v>0</v>
      </c>
      <c r="M215" s="33">
        <f t="shared" si="88"/>
        <v>0</v>
      </c>
      <c r="N215" s="33">
        <f t="shared" si="88"/>
        <v>0</v>
      </c>
      <c r="O215" s="33">
        <f t="shared" si="88"/>
        <v>0</v>
      </c>
      <c r="P215" s="33">
        <f t="shared" si="88"/>
        <v>0</v>
      </c>
      <c r="Q215" s="33">
        <f t="shared" si="88"/>
        <v>0</v>
      </c>
      <c r="R215" s="33">
        <f t="shared" si="88"/>
        <v>0</v>
      </c>
      <c r="S215" s="33">
        <f t="shared" si="88"/>
        <v>0</v>
      </c>
      <c r="T215" s="33">
        <f t="shared" si="88"/>
        <v>0</v>
      </c>
      <c r="U215" s="33">
        <f t="shared" si="88"/>
        <v>0</v>
      </c>
      <c r="V215" s="33">
        <f t="shared" si="88"/>
        <v>0</v>
      </c>
      <c r="W215" s="33">
        <f t="shared" si="88"/>
        <v>0</v>
      </c>
      <c r="X215" s="33">
        <f t="shared" si="88"/>
        <v>0</v>
      </c>
    </row>
    <row r="216" spans="2:24">
      <c r="B216" s="305"/>
      <c r="C216" s="495"/>
      <c r="D216" s="288"/>
      <c r="E216" s="390"/>
      <c r="F216" s="391"/>
      <c r="G216" s="391"/>
      <c r="H216" s="417"/>
      <c r="I216" s="339">
        <f>IF(AND(F216="tak",G216="tak"),SUM(K1270:X1270),IF(AND(F216="tak",G216="nie",ISNUMBER(H216)),'Rozliczenie dotacji'!F49,0))</f>
        <v>0</v>
      </c>
      <c r="J216" s="203" t="str" cm="1">
        <f t="array" ref="J216">IF(SUMPRODUCT(ISBLANK(B216:G216)*1)=6,"wstaw dane",IF(AND(SUMPRODUCT(ISBLANK(B216:G216)*1)&gt;0,SUMPRODUCT(ISBLANK(B216:G216)*1)&lt;6),"uzupełnij dane",IF(OR(AND(F216=nie,ISNUMBER(H216)=TRUE),AND(F216=tak,G216=tak,ISNUMBER(H216)=TRUE)),"usuń % dotacji",IF(AND(F216=nie,G216=tak),"popraw dane",IF(AND(F216=tak,G216=nie,ISBLANK(H216)=TRUE),"wstaw % dotacji","ok")))))</f>
        <v>wstaw dane</v>
      </c>
      <c r="K216" s="33">
        <f t="shared" si="87"/>
        <v>0</v>
      </c>
      <c r="L216" s="33">
        <f t="shared" si="87"/>
        <v>0</v>
      </c>
      <c r="M216" s="33">
        <f t="shared" si="87"/>
        <v>0</v>
      </c>
      <c r="N216" s="33">
        <f t="shared" si="87"/>
        <v>0</v>
      </c>
      <c r="O216" s="33">
        <f t="shared" si="87"/>
        <v>0</v>
      </c>
      <c r="P216" s="33">
        <f t="shared" si="87"/>
        <v>0</v>
      </c>
      <c r="Q216" s="33">
        <f t="shared" si="87"/>
        <v>0</v>
      </c>
      <c r="R216" s="33">
        <f t="shared" si="87"/>
        <v>0</v>
      </c>
      <c r="S216" s="33">
        <f t="shared" si="87"/>
        <v>0</v>
      </c>
      <c r="T216" s="33">
        <f t="shared" si="87"/>
        <v>0</v>
      </c>
      <c r="U216" s="33">
        <f t="shared" si="87"/>
        <v>0</v>
      </c>
      <c r="V216" s="33">
        <f t="shared" si="87"/>
        <v>0</v>
      </c>
      <c r="W216" s="33">
        <f t="shared" si="87"/>
        <v>0</v>
      </c>
      <c r="X216" s="33">
        <f t="shared" si="87"/>
        <v>0</v>
      </c>
    </row>
    <row r="217" spans="2:24">
      <c r="B217" s="99" t="s">
        <v>335</v>
      </c>
      <c r="C217" s="99"/>
      <c r="D217" s="98">
        <f>SUM(D195:D216)</f>
        <v>0</v>
      </c>
      <c r="E217" s="200"/>
      <c r="F217" s="97"/>
      <c r="G217" s="98"/>
      <c r="H217" s="97"/>
      <c r="I217" s="98">
        <f>SUM(I195:I216)</f>
        <v>0</v>
      </c>
      <c r="J217" s="97"/>
      <c r="K217" s="98">
        <f t="shared" ref="K217:X217" si="89">SUM(K195:K216)</f>
        <v>0</v>
      </c>
      <c r="L217" s="98">
        <f t="shared" si="89"/>
        <v>0</v>
      </c>
      <c r="M217" s="98">
        <f t="shared" si="89"/>
        <v>0</v>
      </c>
      <c r="N217" s="98">
        <f t="shared" si="89"/>
        <v>0</v>
      </c>
      <c r="O217" s="98">
        <f t="shared" si="89"/>
        <v>0</v>
      </c>
      <c r="P217" s="98">
        <f t="shared" si="89"/>
        <v>0</v>
      </c>
      <c r="Q217" s="98">
        <f t="shared" si="89"/>
        <v>0</v>
      </c>
      <c r="R217" s="98">
        <f t="shared" si="89"/>
        <v>0</v>
      </c>
      <c r="S217" s="98">
        <f t="shared" si="89"/>
        <v>0</v>
      </c>
      <c r="T217" s="98">
        <f t="shared" si="89"/>
        <v>0</v>
      </c>
      <c r="U217" s="98">
        <f t="shared" si="89"/>
        <v>0</v>
      </c>
      <c r="V217" s="98">
        <f t="shared" si="89"/>
        <v>0</v>
      </c>
      <c r="W217" s="98">
        <f t="shared" si="89"/>
        <v>0</v>
      </c>
      <c r="X217" s="98">
        <f t="shared" si="89"/>
        <v>0</v>
      </c>
    </row>
    <row r="218" spans="2:24">
      <c r="B218" s="104" t="s">
        <v>384</v>
      </c>
      <c r="C218" s="104"/>
      <c r="D218" s="102"/>
      <c r="E218" s="102"/>
      <c r="F218" s="102"/>
      <c r="G218" s="102"/>
      <c r="H218" s="102"/>
      <c r="I218" s="102"/>
      <c r="J218" s="102"/>
      <c r="K218" s="103">
        <f t="shared" ref="K218:X218" ca="1" si="90">IF(LataProjekcji&lt;=Koniec,ROUND(K1120+K1127+K1134+K1141+K1267+K1148+K1155+K1162+K1169+K1176+K1183+K1190+K1197+K1204+K1211+K1218+K1225+K1232+K1239+K1246+K1253+K1260,0),0)</f>
        <v>0</v>
      </c>
      <c r="L218" s="103">
        <f t="shared" ca="1" si="90"/>
        <v>0</v>
      </c>
      <c r="M218" s="103">
        <f ca="1">IF(LataProjekcji&lt;=Koniec,ROUND(M1120+M1127+M1134+M1141+M1267+M1148+M1155+M1162+M1169+M1176+M1183+M1190+M1197+M1204+M1211+M1218+M1225+M1232+M1239+M1246+M1253+M1260,0),0)</f>
        <v>0</v>
      </c>
      <c r="N218" s="103">
        <f t="shared" ca="1" si="90"/>
        <v>0</v>
      </c>
      <c r="O218" s="103">
        <f t="shared" ca="1" si="90"/>
        <v>0</v>
      </c>
      <c r="P218" s="103">
        <f t="shared" ca="1" si="90"/>
        <v>0</v>
      </c>
      <c r="Q218" s="103">
        <f t="shared" ca="1" si="90"/>
        <v>0</v>
      </c>
      <c r="R218" s="103">
        <f t="shared" ca="1" si="90"/>
        <v>0</v>
      </c>
      <c r="S218" s="103">
        <f t="shared" ca="1" si="90"/>
        <v>0</v>
      </c>
      <c r="T218" s="103">
        <f t="shared" ca="1" si="90"/>
        <v>0</v>
      </c>
      <c r="U218" s="103">
        <f t="shared" ca="1" si="90"/>
        <v>0</v>
      </c>
      <c r="V218" s="103">
        <f t="shared" ca="1" si="90"/>
        <v>0</v>
      </c>
      <c r="W218" s="103">
        <f t="shared" ca="1" si="90"/>
        <v>0</v>
      </c>
      <c r="X218" s="103">
        <f t="shared" ca="1" si="90"/>
        <v>0</v>
      </c>
    </row>
    <row r="219" spans="2:24">
      <c r="B219" s="37" t="s">
        <v>385</v>
      </c>
      <c r="C219" s="37"/>
      <c r="D219" s="52"/>
      <c r="E219" s="52"/>
      <c r="F219" s="52"/>
      <c r="G219" s="52"/>
      <c r="H219" s="52"/>
      <c r="I219" s="52"/>
      <c r="J219" s="52"/>
      <c r="K219" s="33">
        <f t="shared" ref="K219:X219" ca="1" si="91">IF(LataProjekcji&lt;=Koniec,ROUND(K1121+K1128+K1135+K1142+K1268+K1149+K1156+K1163+K1170+K1177+K1184+K1191+K1198+K1205+K1212+K1219+K1226+K1233+K1240+K1247+K1254+K1261,0),0)</f>
        <v>0</v>
      </c>
      <c r="L219" s="33">
        <f t="shared" ca="1" si="91"/>
        <v>0</v>
      </c>
      <c r="M219" s="33">
        <f t="shared" ca="1" si="91"/>
        <v>0</v>
      </c>
      <c r="N219" s="33">
        <f t="shared" ca="1" si="91"/>
        <v>0</v>
      </c>
      <c r="O219" s="33">
        <f t="shared" ca="1" si="91"/>
        <v>0</v>
      </c>
      <c r="P219" s="33">
        <f t="shared" ca="1" si="91"/>
        <v>0</v>
      </c>
      <c r="Q219" s="33">
        <f t="shared" ca="1" si="91"/>
        <v>0</v>
      </c>
      <c r="R219" s="33">
        <f t="shared" ca="1" si="91"/>
        <v>0</v>
      </c>
      <c r="S219" s="33">
        <f t="shared" ca="1" si="91"/>
        <v>0</v>
      </c>
      <c r="T219" s="33">
        <f t="shared" ca="1" si="91"/>
        <v>0</v>
      </c>
      <c r="U219" s="33">
        <f t="shared" ca="1" si="91"/>
        <v>0</v>
      </c>
      <c r="V219" s="33">
        <f t="shared" ca="1" si="91"/>
        <v>0</v>
      </c>
      <c r="W219" s="33">
        <f t="shared" ca="1" si="91"/>
        <v>0</v>
      </c>
      <c r="X219" s="33">
        <f t="shared" ca="1" si="91"/>
        <v>0</v>
      </c>
    </row>
    <row r="220" spans="2:24">
      <c r="B220" s="201" t="s">
        <v>386</v>
      </c>
      <c r="C220" s="201"/>
      <c r="D220" s="52"/>
      <c r="E220" s="52"/>
      <c r="F220" s="52"/>
      <c r="G220" s="52"/>
      <c r="H220" s="52"/>
      <c r="I220" s="52"/>
      <c r="J220" s="52"/>
      <c r="K220" s="87">
        <f t="shared" ref="K220:X220" ca="1" si="92">IF(LataProjekcji&lt;=Koniec,ROUND(K1122+K1129+K1136+K1143+K1269+K1150+K1157+K1164+K1171+K1178+K1185+K1192+K1199+K1206+K1213+K1220+K1227+K1234+K1241+K1248+K1255+K1262,0),0)</f>
        <v>0</v>
      </c>
      <c r="L220" s="87">
        <f t="shared" ca="1" si="92"/>
        <v>0</v>
      </c>
      <c r="M220" s="87">
        <f t="shared" ca="1" si="92"/>
        <v>0</v>
      </c>
      <c r="N220" s="87">
        <f t="shared" ca="1" si="92"/>
        <v>0</v>
      </c>
      <c r="O220" s="87">
        <f t="shared" ca="1" si="92"/>
        <v>0</v>
      </c>
      <c r="P220" s="87">
        <f t="shared" ca="1" si="92"/>
        <v>0</v>
      </c>
      <c r="Q220" s="87">
        <f t="shared" ca="1" si="92"/>
        <v>0</v>
      </c>
      <c r="R220" s="87">
        <f t="shared" ca="1" si="92"/>
        <v>0</v>
      </c>
      <c r="S220" s="87">
        <f t="shared" ca="1" si="92"/>
        <v>0</v>
      </c>
      <c r="T220" s="87">
        <f t="shared" ca="1" si="92"/>
        <v>0</v>
      </c>
      <c r="U220" s="87">
        <f t="shared" ca="1" si="92"/>
        <v>0</v>
      </c>
      <c r="V220" s="87">
        <f t="shared" ca="1" si="92"/>
        <v>0</v>
      </c>
      <c r="W220" s="87">
        <f t="shared" ca="1" si="92"/>
        <v>0</v>
      </c>
      <c r="X220" s="87">
        <f t="shared" ca="1" si="92"/>
        <v>0</v>
      </c>
    </row>
    <row r="221" spans="2:24"/>
    <row r="222" spans="2:24">
      <c r="B222" s="189" t="s">
        <v>424</v>
      </c>
      <c r="C222" s="396"/>
      <c r="D222" s="190"/>
      <c r="E222" s="191"/>
      <c r="F222" s="191"/>
      <c r="G222" s="191"/>
      <c r="H222" s="191"/>
      <c r="I222" s="191"/>
      <c r="J222" s="191"/>
      <c r="K222" s="555"/>
      <c r="L222" s="556"/>
      <c r="M222" s="556"/>
      <c r="N222" s="556"/>
      <c r="O222" s="556"/>
      <c r="P222" s="556"/>
      <c r="Q222" s="556"/>
      <c r="R222" s="556"/>
      <c r="S222" s="556"/>
      <c r="T222" s="556"/>
      <c r="U222" s="556"/>
      <c r="V222" s="556"/>
      <c r="W222" s="556"/>
      <c r="X222" s="556"/>
    </row>
    <row r="223" spans="2:24">
      <c r="B223" s="63" t="str">
        <f>IF(ISBLANK(B197),"",B197)</f>
        <v/>
      </c>
      <c r="C223" s="63" t="str">
        <f>IF(ISBLANK(C197),"",C197)</f>
        <v/>
      </c>
      <c r="D223" s="394"/>
      <c r="E223" s="394"/>
      <c r="F223" s="394"/>
      <c r="G223" s="394"/>
      <c r="H223" s="394"/>
      <c r="I223" s="394"/>
      <c r="J223" s="202" t="str" cm="1">
        <f t="array" ref="J223">IF(J197="wstaw dane","",IF(OR(ISBLANK(F197)=TRUE,ISBLANK(G197)=TRUE),"uzupełnij dane",IF(OR((AND(F197="nie",SUMPRODUCT(ISNUMBER(K223:X223)*1)&gt;0)),AND(F197=tak,G197=nie,SUMPRODUCT(ISNUMBER(K223:X223)*1)&gt;0)),"usuń % dotacji",IF(AND(F197=tak,G197=tak,SUMPRODUCT(ISNUMBER(K223:X223)*1)=0),"wstaw % dotacji","ok"))))</f>
        <v/>
      </c>
      <c r="K223" s="407"/>
      <c r="L223" s="407"/>
      <c r="M223" s="407"/>
      <c r="N223" s="407"/>
      <c r="O223" s="407"/>
      <c r="P223" s="407"/>
      <c r="Q223" s="407"/>
      <c r="R223" s="407"/>
      <c r="S223" s="407"/>
      <c r="T223" s="407"/>
      <c r="U223" s="407"/>
      <c r="V223" s="407"/>
      <c r="W223" s="407"/>
      <c r="X223" s="407"/>
    </row>
    <row r="224" spans="2:24">
      <c r="B224" s="63" t="str">
        <f t="shared" ref="B224:C224" si="93">IF(ISBLANK(B198),"",B198)</f>
        <v/>
      </c>
      <c r="C224" s="63" t="str">
        <f t="shared" si="93"/>
        <v/>
      </c>
      <c r="D224" s="395"/>
      <c r="E224" s="395"/>
      <c r="F224" s="395"/>
      <c r="G224" s="395"/>
      <c r="H224" s="395"/>
      <c r="I224" s="395"/>
      <c r="J224" s="203" t="str" cm="1">
        <f t="array" ref="J224">IF(J198="wstaw dane","",IF(OR(ISBLANK(F198)=TRUE,ISBLANK(G198)=TRUE),"uzupełnij dane",IF(OR((AND(F198="nie",SUMPRODUCT(ISNUMBER(K224:X224)*1)&gt;0)),AND(F198=tak,G198=nie,SUMPRODUCT(ISNUMBER(K224:X224)*1)&gt;0)),"usuń % dotacji",IF(AND(F198=tak,G198=tak,SUMPRODUCT(ISNUMBER(K224:X224)*1)=0),"wstaw % dotacji","ok"))))</f>
        <v/>
      </c>
      <c r="K224" s="408"/>
      <c r="L224" s="408"/>
      <c r="M224" s="408"/>
      <c r="N224" s="408"/>
      <c r="O224" s="408"/>
      <c r="P224" s="408"/>
      <c r="Q224" s="408"/>
      <c r="R224" s="408"/>
      <c r="S224" s="408"/>
      <c r="T224" s="408"/>
      <c r="U224" s="408"/>
      <c r="V224" s="408"/>
      <c r="W224" s="408"/>
      <c r="X224" s="408"/>
    </row>
    <row r="225" spans="2:24">
      <c r="B225" s="63" t="str">
        <f t="shared" ref="B225:C225" si="94">IF(ISBLANK(B199),"",B199)</f>
        <v/>
      </c>
      <c r="C225" s="63" t="str">
        <f t="shared" si="94"/>
        <v/>
      </c>
      <c r="D225" s="395"/>
      <c r="E225" s="395"/>
      <c r="F225" s="395"/>
      <c r="G225" s="395"/>
      <c r="H225" s="395"/>
      <c r="I225" s="395"/>
      <c r="J225" s="203" t="str" cm="1">
        <f t="array" ref="J225">IF(J199="wstaw dane","",IF(OR(ISBLANK(F199)=TRUE,ISBLANK(G199)=TRUE),"uzupełnij dane",IF(OR((AND(F199="nie",SUMPRODUCT(ISNUMBER(K225:X225)*1)&gt;0)),AND(F199=tak,G199=nie,SUMPRODUCT(ISNUMBER(K225:X225)*1)&gt;0)),"usuń % dotacji",IF(AND(F199=tak,G199=tak,SUMPRODUCT(ISNUMBER(K225:X225)*1)=0),"wstaw % dotacji","ok"))))</f>
        <v/>
      </c>
      <c r="K225" s="408"/>
      <c r="L225" s="408"/>
      <c r="M225" s="408"/>
      <c r="N225" s="408"/>
      <c r="O225" s="408"/>
      <c r="P225" s="408"/>
      <c r="Q225" s="408"/>
      <c r="R225" s="408"/>
      <c r="S225" s="408"/>
      <c r="T225" s="408"/>
      <c r="U225" s="408"/>
      <c r="V225" s="408"/>
      <c r="W225" s="408"/>
      <c r="X225" s="408"/>
    </row>
    <row r="226" spans="2:24">
      <c r="B226" s="63" t="str">
        <f t="shared" ref="B226:C226" si="95">IF(ISBLANK(B200),"",B200)</f>
        <v/>
      </c>
      <c r="C226" s="63" t="str">
        <f t="shared" si="95"/>
        <v/>
      </c>
      <c r="D226" s="395"/>
      <c r="E226" s="395"/>
      <c r="F226" s="395"/>
      <c r="G226" s="395"/>
      <c r="H226" s="395"/>
      <c r="I226" s="395"/>
      <c r="J226" s="203" t="str" cm="1">
        <f t="array" ref="J226">IF(J200="wstaw dane","",IF(OR(ISBLANK(F200)=TRUE,ISBLANK(G200)=TRUE),"uzupełnij dane",IF(OR((AND(F200="nie",SUMPRODUCT(ISNUMBER(K226:X226)*1)&gt;0)),AND(F200=tak,G200=nie,SUMPRODUCT(ISNUMBER(K226:X226)*1)&gt;0)),"usuń % dotacji",IF(AND(F200=tak,G200=tak,SUMPRODUCT(ISNUMBER(K226:X226)*1)=0),"wstaw % dotacji","ok"))))</f>
        <v/>
      </c>
      <c r="K226" s="408"/>
      <c r="L226" s="408"/>
      <c r="M226" s="408"/>
      <c r="N226" s="408"/>
      <c r="O226" s="408"/>
      <c r="P226" s="408"/>
      <c r="Q226" s="408"/>
      <c r="R226" s="408"/>
      <c r="S226" s="408"/>
      <c r="T226" s="408"/>
      <c r="U226" s="408"/>
      <c r="V226" s="408"/>
      <c r="W226" s="408"/>
      <c r="X226" s="408"/>
    </row>
    <row r="227" spans="2:24">
      <c r="B227" s="63" t="str">
        <f t="shared" ref="B227:C227" si="96">IF(ISBLANK(B201),"",B201)</f>
        <v/>
      </c>
      <c r="C227" s="63" t="str">
        <f t="shared" si="96"/>
        <v/>
      </c>
      <c r="D227" s="395"/>
      <c r="E227" s="395"/>
      <c r="F227" s="395"/>
      <c r="G227" s="395"/>
      <c r="H227" s="395"/>
      <c r="I227" s="395"/>
      <c r="J227" s="203" t="str" cm="1">
        <f t="array" ref="J227">IF(J201="wstaw dane","",IF(OR(ISBLANK(F201)=TRUE,ISBLANK(G201)=TRUE),"uzupełnij dane",IF(OR((AND(F201="nie",SUMPRODUCT(ISNUMBER(K227:X227)*1)&gt;0)),AND(F201=tak,G201=nie,SUMPRODUCT(ISNUMBER(K227:X227)*1)&gt;0)),"usuń % dotacji",IF(AND(F201=tak,G201=tak,SUMPRODUCT(ISNUMBER(K227:X227)*1)=0),"wstaw % dotacji","ok"))))</f>
        <v/>
      </c>
      <c r="K227" s="408"/>
      <c r="L227" s="408"/>
      <c r="M227" s="408"/>
      <c r="N227" s="408"/>
      <c r="O227" s="408"/>
      <c r="P227" s="408"/>
      <c r="Q227" s="408"/>
      <c r="R227" s="408"/>
      <c r="S227" s="408"/>
      <c r="T227" s="408"/>
      <c r="U227" s="408"/>
      <c r="V227" s="408"/>
      <c r="W227" s="408"/>
      <c r="X227" s="408"/>
    </row>
    <row r="228" spans="2:24">
      <c r="B228" s="63" t="str">
        <f t="shared" ref="B228:C228" si="97">IF(ISBLANK(B202),"",B202)</f>
        <v/>
      </c>
      <c r="C228" s="63" t="str">
        <f t="shared" si="97"/>
        <v/>
      </c>
      <c r="D228" s="395"/>
      <c r="E228" s="395"/>
      <c r="F228" s="395"/>
      <c r="G228" s="395"/>
      <c r="H228" s="395"/>
      <c r="I228" s="395"/>
      <c r="J228" s="203" t="str" cm="1">
        <f t="array" ref="J228">IF(J202="wstaw dane","",IF(OR(ISBLANK(F202)=TRUE,ISBLANK(G202)=TRUE),"uzupełnij dane",IF(OR((AND(F202="nie",SUMPRODUCT(ISNUMBER(K228:X228)*1)&gt;0)),AND(F202=tak,G202=nie,SUMPRODUCT(ISNUMBER(K228:X228)*1)&gt;0)),"usuń % dotacji",IF(AND(F202=tak,G202=tak,SUMPRODUCT(ISNUMBER(K228:X228)*1)=0),"wstaw % dotacji","ok"))))</f>
        <v/>
      </c>
      <c r="K228" s="408"/>
      <c r="L228" s="408"/>
      <c r="M228" s="408"/>
      <c r="N228" s="408"/>
      <c r="O228" s="408"/>
      <c r="P228" s="408"/>
      <c r="Q228" s="408"/>
      <c r="R228" s="408"/>
      <c r="S228" s="408"/>
      <c r="T228" s="408"/>
      <c r="U228" s="408"/>
      <c r="V228" s="408"/>
      <c r="W228" s="408"/>
      <c r="X228" s="408"/>
    </row>
    <row r="229" spans="2:24">
      <c r="B229" s="63" t="str">
        <f t="shared" ref="B229:C229" si="98">IF(ISBLANK(B203),"",B203)</f>
        <v/>
      </c>
      <c r="C229" s="63" t="str">
        <f t="shared" si="98"/>
        <v/>
      </c>
      <c r="D229" s="395"/>
      <c r="E229" s="395"/>
      <c r="F229" s="395"/>
      <c r="G229" s="395"/>
      <c r="H229" s="395"/>
      <c r="I229" s="395"/>
      <c r="J229" s="203" t="str" cm="1">
        <f t="array" ref="J229">IF(J203="wstaw dane","",IF(OR(ISBLANK(F203)=TRUE,ISBLANK(G203)=TRUE),"uzupełnij dane",IF(OR((AND(F203="nie",SUMPRODUCT(ISNUMBER(K229:X229)*1)&gt;0)),AND(F203=tak,G203=nie,SUMPRODUCT(ISNUMBER(K229:X229)*1)&gt;0)),"usuń % dotacji",IF(AND(F203=tak,G203=tak,SUMPRODUCT(ISNUMBER(K229:X229)*1)=0),"wstaw % dotacji","ok"))))</f>
        <v/>
      </c>
      <c r="K229" s="408"/>
      <c r="L229" s="408"/>
      <c r="M229" s="408"/>
      <c r="N229" s="408"/>
      <c r="O229" s="408"/>
      <c r="P229" s="408"/>
      <c r="Q229" s="408"/>
      <c r="R229" s="408"/>
      <c r="S229" s="408"/>
      <c r="T229" s="408"/>
      <c r="U229" s="408"/>
      <c r="V229" s="408"/>
      <c r="W229" s="408"/>
      <c r="X229" s="408"/>
    </row>
    <row r="230" spans="2:24">
      <c r="B230" s="63" t="str">
        <f t="shared" ref="B230:C230" si="99">IF(ISBLANK(B204),"",B204)</f>
        <v/>
      </c>
      <c r="C230" s="63" t="str">
        <f t="shared" si="99"/>
        <v/>
      </c>
      <c r="D230" s="395"/>
      <c r="E230" s="395"/>
      <c r="F230" s="395"/>
      <c r="G230" s="395"/>
      <c r="H230" s="395"/>
      <c r="I230" s="395"/>
      <c r="J230" s="203" t="str" cm="1">
        <f t="array" ref="J230">IF(J204="wstaw dane","",IF(OR(ISBLANK(F204)=TRUE,ISBLANK(G204)=TRUE),"uzupełnij dane",IF(OR((AND(F204="nie",SUMPRODUCT(ISNUMBER(K230:X230)*1)&gt;0)),AND(F204=tak,G204=nie,SUMPRODUCT(ISNUMBER(K230:X230)*1)&gt;0)),"usuń % dotacji",IF(AND(F204=tak,G204=tak,SUMPRODUCT(ISNUMBER(K230:X230)*1)=0),"wstaw % dotacji","ok"))))</f>
        <v/>
      </c>
      <c r="K230" s="408"/>
      <c r="L230" s="408"/>
      <c r="M230" s="408"/>
      <c r="N230" s="408"/>
      <c r="O230" s="408"/>
      <c r="P230" s="408"/>
      <c r="Q230" s="408"/>
      <c r="R230" s="408"/>
      <c r="S230" s="408"/>
      <c r="T230" s="408"/>
      <c r="U230" s="408"/>
      <c r="V230" s="408"/>
      <c r="W230" s="408"/>
      <c r="X230" s="408"/>
    </row>
    <row r="231" spans="2:24">
      <c r="B231" s="63" t="str">
        <f t="shared" ref="B231:C231" si="100">IF(ISBLANK(B205),"",B205)</f>
        <v/>
      </c>
      <c r="C231" s="63" t="str">
        <f t="shared" si="100"/>
        <v/>
      </c>
      <c r="D231" s="395"/>
      <c r="E231" s="395"/>
      <c r="F231" s="395"/>
      <c r="G231" s="395"/>
      <c r="H231" s="395"/>
      <c r="I231" s="395"/>
      <c r="J231" s="203" t="str" cm="1">
        <f t="array" ref="J231">IF(J205="wstaw dane","",IF(OR(ISBLANK(F205)=TRUE,ISBLANK(G205)=TRUE),"uzupełnij dane",IF(OR((AND(F205="nie",SUMPRODUCT(ISNUMBER(K231:X231)*1)&gt;0)),AND(F205=tak,G205=nie,SUMPRODUCT(ISNUMBER(K231:X231)*1)&gt;0)),"usuń % dotacji",IF(AND(F205=tak,G205=tak,SUMPRODUCT(ISNUMBER(K231:X231)*1)=0),"wstaw % dotacji","ok"))))</f>
        <v/>
      </c>
      <c r="K231" s="408"/>
      <c r="L231" s="408"/>
      <c r="M231" s="408"/>
      <c r="N231" s="408"/>
      <c r="O231" s="408"/>
      <c r="P231" s="408"/>
      <c r="Q231" s="408"/>
      <c r="R231" s="408"/>
      <c r="S231" s="408"/>
      <c r="T231" s="408"/>
      <c r="U231" s="408"/>
      <c r="V231" s="408"/>
      <c r="W231" s="408"/>
      <c r="X231" s="408"/>
    </row>
    <row r="232" spans="2:24">
      <c r="B232" s="63" t="str">
        <f t="shared" ref="B232:C232" si="101">IF(ISBLANK(B206),"",B206)</f>
        <v/>
      </c>
      <c r="C232" s="63" t="str">
        <f t="shared" si="101"/>
        <v/>
      </c>
      <c r="D232" s="395"/>
      <c r="E232" s="395"/>
      <c r="F232" s="395"/>
      <c r="G232" s="395"/>
      <c r="H232" s="395"/>
      <c r="I232" s="395"/>
      <c r="J232" s="203" t="str" cm="1">
        <f t="array" ref="J232">IF(J206="wstaw dane","",IF(OR(ISBLANK(F206)=TRUE,ISBLANK(G206)=TRUE),"uzupełnij dane",IF(OR((AND(F206="nie",SUMPRODUCT(ISNUMBER(K232:X232)*1)&gt;0)),AND(F206=tak,G206=nie,SUMPRODUCT(ISNUMBER(K232:X232)*1)&gt;0)),"usuń % dotacji",IF(AND(F206=tak,G206=tak,SUMPRODUCT(ISNUMBER(K232:X232)*1)=0),"wstaw % dotacji","ok"))))</f>
        <v/>
      </c>
      <c r="K232" s="408"/>
      <c r="L232" s="408"/>
      <c r="M232" s="408"/>
      <c r="N232" s="408"/>
      <c r="O232" s="408"/>
      <c r="P232" s="408"/>
      <c r="Q232" s="408"/>
      <c r="R232" s="408"/>
      <c r="S232" s="408"/>
      <c r="T232" s="408"/>
      <c r="U232" s="408"/>
      <c r="V232" s="408"/>
      <c r="W232" s="408"/>
      <c r="X232" s="408"/>
    </row>
    <row r="233" spans="2:24">
      <c r="B233" s="63" t="str">
        <f t="shared" ref="B233:C233" si="102">IF(ISBLANK(B207),"",B207)</f>
        <v/>
      </c>
      <c r="C233" s="63" t="str">
        <f t="shared" si="102"/>
        <v/>
      </c>
      <c r="D233" s="395"/>
      <c r="E233" s="395"/>
      <c r="F233" s="395"/>
      <c r="G233" s="395"/>
      <c r="H233" s="395"/>
      <c r="I233" s="395"/>
      <c r="J233" s="203" t="str" cm="1">
        <f t="array" ref="J233">IF(J207="wstaw dane","",IF(OR(ISBLANK(F207)=TRUE,ISBLANK(G207)=TRUE),"uzupełnij dane",IF(OR((AND(F207="nie",SUMPRODUCT(ISNUMBER(K233:X233)*1)&gt;0)),AND(F207=tak,G207=nie,SUMPRODUCT(ISNUMBER(K233:X233)*1)&gt;0)),"usuń % dotacji",IF(AND(F207=tak,G207=tak,SUMPRODUCT(ISNUMBER(K233:X233)*1)=0),"wstaw % dotacji","ok"))))</f>
        <v/>
      </c>
      <c r="K233" s="408"/>
      <c r="L233" s="408"/>
      <c r="M233" s="408"/>
      <c r="N233" s="408"/>
      <c r="O233" s="408"/>
      <c r="P233" s="408"/>
      <c r="Q233" s="408"/>
      <c r="R233" s="408"/>
      <c r="S233" s="408"/>
      <c r="T233" s="408"/>
      <c r="U233" s="408"/>
      <c r="V233" s="408"/>
      <c r="W233" s="408"/>
      <c r="X233" s="408"/>
    </row>
    <row r="234" spans="2:24">
      <c r="B234" s="63" t="str">
        <f t="shared" ref="B234:C234" si="103">IF(ISBLANK(B208),"",B208)</f>
        <v/>
      </c>
      <c r="C234" s="63" t="str">
        <f t="shared" si="103"/>
        <v/>
      </c>
      <c r="D234" s="395"/>
      <c r="E234" s="395"/>
      <c r="F234" s="395"/>
      <c r="G234" s="395"/>
      <c r="H234" s="395"/>
      <c r="I234" s="395"/>
      <c r="J234" s="203" t="str" cm="1">
        <f t="array" ref="J234">IF(J208="wstaw dane","",IF(OR(ISBLANK(F208)=TRUE,ISBLANK(G208)=TRUE),"uzupełnij dane",IF(OR((AND(F208="nie",SUMPRODUCT(ISNUMBER(K234:X234)*1)&gt;0)),AND(F208=tak,G208=nie,SUMPRODUCT(ISNUMBER(K234:X234)*1)&gt;0)),"usuń % dotacji",IF(AND(F208=tak,G208=tak,SUMPRODUCT(ISNUMBER(K234:X234)*1)=0),"wstaw % dotacji","ok"))))</f>
        <v/>
      </c>
      <c r="K234" s="408"/>
      <c r="L234" s="408"/>
      <c r="M234" s="408"/>
      <c r="N234" s="408"/>
      <c r="O234" s="408"/>
      <c r="P234" s="408"/>
      <c r="Q234" s="408"/>
      <c r="R234" s="408"/>
      <c r="S234" s="408"/>
      <c r="T234" s="408"/>
      <c r="U234" s="408"/>
      <c r="V234" s="408"/>
      <c r="W234" s="408"/>
      <c r="X234" s="408"/>
    </row>
    <row r="235" spans="2:24">
      <c r="B235" s="63" t="str">
        <f t="shared" ref="B235:C235" si="104">IF(ISBLANK(B209),"",B209)</f>
        <v/>
      </c>
      <c r="C235" s="63" t="str">
        <f t="shared" si="104"/>
        <v/>
      </c>
      <c r="D235" s="395"/>
      <c r="E235" s="395"/>
      <c r="F235" s="395"/>
      <c r="G235" s="395"/>
      <c r="H235" s="395"/>
      <c r="I235" s="395"/>
      <c r="J235" s="203" t="str" cm="1">
        <f t="array" ref="J235">IF(J209="wstaw dane","",IF(OR(ISBLANK(F209)=TRUE,ISBLANK(G209)=TRUE),"uzupełnij dane",IF(OR((AND(F209="nie",SUMPRODUCT(ISNUMBER(K235:X235)*1)&gt;0)),AND(F209=tak,G209=nie,SUMPRODUCT(ISNUMBER(K235:X235)*1)&gt;0)),"usuń % dotacji",IF(AND(F209=tak,G209=tak,SUMPRODUCT(ISNUMBER(K235:X235)*1)=0),"wstaw % dotacji","ok"))))</f>
        <v/>
      </c>
      <c r="K235" s="408"/>
      <c r="L235" s="408"/>
      <c r="M235" s="408"/>
      <c r="N235" s="408"/>
      <c r="O235" s="408"/>
      <c r="P235" s="408"/>
      <c r="Q235" s="408"/>
      <c r="R235" s="408"/>
      <c r="S235" s="408"/>
      <c r="T235" s="408"/>
      <c r="U235" s="408"/>
      <c r="V235" s="408"/>
      <c r="W235" s="408"/>
      <c r="X235" s="408"/>
    </row>
    <row r="236" spans="2:24">
      <c r="B236" s="63" t="str">
        <f t="shared" ref="B236:C236" si="105">IF(ISBLANK(B210),"",B210)</f>
        <v/>
      </c>
      <c r="C236" s="63" t="str">
        <f t="shared" si="105"/>
        <v/>
      </c>
      <c r="D236" s="395"/>
      <c r="E236" s="395"/>
      <c r="F236" s="395"/>
      <c r="G236" s="395"/>
      <c r="H236" s="395"/>
      <c r="I236" s="395"/>
      <c r="J236" s="203" t="str" cm="1">
        <f t="array" ref="J236">IF(J210="wstaw dane","",IF(OR(ISBLANK(F210)=TRUE,ISBLANK(G210)=TRUE),"uzupełnij dane",IF(OR((AND(F210="nie",SUMPRODUCT(ISNUMBER(K236:X236)*1)&gt;0)),AND(F210=tak,G210=nie,SUMPRODUCT(ISNUMBER(K236:X236)*1)&gt;0)),"usuń % dotacji",IF(AND(F210=tak,G210=tak,SUMPRODUCT(ISNUMBER(K236:X236)*1)=0),"wstaw % dotacji","ok"))))</f>
        <v/>
      </c>
      <c r="K236" s="408"/>
      <c r="L236" s="408"/>
      <c r="M236" s="408"/>
      <c r="N236" s="408"/>
      <c r="O236" s="408"/>
      <c r="P236" s="408"/>
      <c r="Q236" s="408"/>
      <c r="R236" s="408"/>
      <c r="S236" s="408"/>
      <c r="T236" s="408"/>
      <c r="U236" s="408"/>
      <c r="V236" s="408"/>
      <c r="W236" s="408"/>
      <c r="X236" s="408"/>
    </row>
    <row r="237" spans="2:24">
      <c r="B237" s="63" t="str">
        <f t="shared" ref="B237:C237" si="106">IF(ISBLANK(B211),"",B211)</f>
        <v/>
      </c>
      <c r="C237" s="63" t="str">
        <f t="shared" si="106"/>
        <v/>
      </c>
      <c r="D237" s="395"/>
      <c r="E237" s="395"/>
      <c r="F237" s="395"/>
      <c r="G237" s="395"/>
      <c r="H237" s="395"/>
      <c r="I237" s="395"/>
      <c r="J237" s="203" t="str" cm="1">
        <f t="array" ref="J237">IF(J211="wstaw dane","",IF(OR(ISBLANK(F211)=TRUE,ISBLANK(G211)=TRUE),"uzupełnij dane",IF(OR((AND(F211="nie",SUMPRODUCT(ISNUMBER(K237:X237)*1)&gt;0)),AND(F211=tak,G211=nie,SUMPRODUCT(ISNUMBER(K237:X237)*1)&gt;0)),"usuń % dotacji",IF(AND(F211=tak,G211=tak,SUMPRODUCT(ISNUMBER(K237:X237)*1)=0),"wstaw % dotacji","ok"))))</f>
        <v/>
      </c>
      <c r="K237" s="408"/>
      <c r="L237" s="408"/>
      <c r="M237" s="408"/>
      <c r="N237" s="408"/>
      <c r="O237" s="408"/>
      <c r="P237" s="408"/>
      <c r="Q237" s="408"/>
      <c r="R237" s="408"/>
      <c r="S237" s="408"/>
      <c r="T237" s="408"/>
      <c r="U237" s="408"/>
      <c r="V237" s="408"/>
      <c r="W237" s="408"/>
      <c r="X237" s="408"/>
    </row>
    <row r="238" spans="2:24">
      <c r="B238" s="63" t="str">
        <f t="shared" ref="B238:C238" si="107">IF(ISBLANK(B212),"",B212)</f>
        <v/>
      </c>
      <c r="C238" s="63" t="str">
        <f t="shared" si="107"/>
        <v/>
      </c>
      <c r="D238" s="395"/>
      <c r="E238" s="395"/>
      <c r="F238" s="395"/>
      <c r="G238" s="395"/>
      <c r="H238" s="395"/>
      <c r="I238" s="395"/>
      <c r="J238" s="203" t="str" cm="1">
        <f t="array" ref="J238">IF(J212="wstaw dane","",IF(OR(ISBLANK(F212)=TRUE,ISBLANK(G212)=TRUE),"uzupełnij dane",IF(OR((AND(F212="nie",SUMPRODUCT(ISNUMBER(K238:X238)*1)&gt;0)),AND(F212=tak,G212=nie,SUMPRODUCT(ISNUMBER(K238:X238)*1)&gt;0)),"usuń % dotacji",IF(AND(F212=tak,G212=tak,SUMPRODUCT(ISNUMBER(K238:X238)*1)=0),"wstaw % dotacji","ok"))))</f>
        <v/>
      </c>
      <c r="K238" s="408"/>
      <c r="L238" s="408"/>
      <c r="M238" s="408"/>
      <c r="N238" s="408"/>
      <c r="O238" s="408"/>
      <c r="P238" s="408"/>
      <c r="Q238" s="408"/>
      <c r="R238" s="408"/>
      <c r="S238" s="408"/>
      <c r="T238" s="408"/>
      <c r="U238" s="408"/>
      <c r="V238" s="408"/>
      <c r="W238" s="408"/>
      <c r="X238" s="408"/>
    </row>
    <row r="239" spans="2:24">
      <c r="B239" s="63" t="str">
        <f t="shared" ref="B239:C239" si="108">IF(ISBLANK(B213),"",B213)</f>
        <v/>
      </c>
      <c r="C239" s="63" t="str">
        <f t="shared" si="108"/>
        <v/>
      </c>
      <c r="D239" s="395"/>
      <c r="E239" s="395"/>
      <c r="F239" s="395"/>
      <c r="G239" s="395"/>
      <c r="H239" s="395"/>
      <c r="I239" s="395"/>
      <c r="J239" s="203" t="str" cm="1">
        <f t="array" ref="J239">IF(J213="wstaw dane","",IF(OR(ISBLANK(F213)=TRUE,ISBLANK(G213)=TRUE),"uzupełnij dane",IF(OR((AND(F213="nie",SUMPRODUCT(ISNUMBER(K239:X239)*1)&gt;0)),AND(F213=tak,G213=nie,SUMPRODUCT(ISNUMBER(K239:X239)*1)&gt;0)),"usuń % dotacji",IF(AND(F213=tak,G213=tak,SUMPRODUCT(ISNUMBER(K239:X239)*1)=0),"wstaw % dotacji","ok"))))</f>
        <v/>
      </c>
      <c r="K239" s="408"/>
      <c r="L239" s="408"/>
      <c r="M239" s="408"/>
      <c r="N239" s="408"/>
      <c r="O239" s="408"/>
      <c r="P239" s="408"/>
      <c r="Q239" s="408"/>
      <c r="R239" s="408"/>
      <c r="S239" s="408"/>
      <c r="T239" s="408"/>
      <c r="U239" s="408"/>
      <c r="V239" s="408"/>
      <c r="W239" s="408"/>
      <c r="X239" s="408"/>
    </row>
    <row r="240" spans="2:24">
      <c r="B240" s="63" t="str">
        <f t="shared" ref="B240:C240" si="109">IF(ISBLANK(B214),"",B214)</f>
        <v/>
      </c>
      <c r="C240" s="63" t="str">
        <f t="shared" si="109"/>
        <v/>
      </c>
      <c r="D240" s="395"/>
      <c r="E240" s="395"/>
      <c r="F240" s="395"/>
      <c r="G240" s="395"/>
      <c r="H240" s="395"/>
      <c r="I240" s="395"/>
      <c r="J240" s="203" t="str" cm="1">
        <f t="array" ref="J240">IF(J214="wstaw dane","",IF(OR(ISBLANK(F214)=TRUE,ISBLANK(G214)=TRUE),"uzupełnij dane",IF(OR((AND(F214="nie",SUMPRODUCT(ISNUMBER(K240:X240)*1)&gt;0)),AND(F214=tak,G214=nie,SUMPRODUCT(ISNUMBER(K240:X240)*1)&gt;0)),"usuń % dotacji",IF(AND(F214=tak,G214=tak,SUMPRODUCT(ISNUMBER(K240:X240)*1)=0),"wstaw % dotacji","ok"))))</f>
        <v/>
      </c>
      <c r="K240" s="408"/>
      <c r="L240" s="408"/>
      <c r="M240" s="408"/>
      <c r="N240" s="408"/>
      <c r="O240" s="408"/>
      <c r="P240" s="408"/>
      <c r="Q240" s="408"/>
      <c r="R240" s="408"/>
      <c r="S240" s="408"/>
      <c r="T240" s="408"/>
      <c r="U240" s="408"/>
      <c r="V240" s="408"/>
      <c r="W240" s="408"/>
      <c r="X240" s="408"/>
    </row>
    <row r="241" spans="2:24">
      <c r="B241" s="63" t="str">
        <f t="shared" ref="B241:C241" si="110">IF(ISBLANK(B215),"",B215)</f>
        <v/>
      </c>
      <c r="C241" s="63" t="str">
        <f t="shared" si="110"/>
        <v/>
      </c>
      <c r="D241" s="395"/>
      <c r="E241" s="395"/>
      <c r="F241" s="395"/>
      <c r="G241" s="395"/>
      <c r="H241" s="395"/>
      <c r="I241" s="395"/>
      <c r="J241" s="203" t="str" cm="1">
        <f t="array" ref="J241">IF(J215="wstaw dane","",IF(OR(ISBLANK(F215)=TRUE,ISBLANK(G215)=TRUE),"uzupełnij dane",IF(OR((AND(F215="nie",SUMPRODUCT(ISNUMBER(K241:X241)*1)&gt;0)),AND(F215=tak,G215=nie,SUMPRODUCT(ISNUMBER(K241:X241)*1)&gt;0)),"usuń % dotacji",IF(AND(F215=tak,G215=tak,SUMPRODUCT(ISNUMBER(K241:X241)*1)=0),"wstaw % dotacji","ok"))))</f>
        <v/>
      </c>
      <c r="K241" s="408"/>
      <c r="L241" s="408"/>
      <c r="M241" s="408"/>
      <c r="N241" s="408"/>
      <c r="O241" s="408"/>
      <c r="P241" s="408"/>
      <c r="Q241" s="408"/>
      <c r="R241" s="408"/>
      <c r="S241" s="408"/>
      <c r="T241" s="408"/>
      <c r="U241" s="408"/>
      <c r="V241" s="408"/>
      <c r="W241" s="408"/>
      <c r="X241" s="408"/>
    </row>
    <row r="242" spans="2:24">
      <c r="B242" s="63" t="str">
        <f t="shared" ref="B242:C242" si="111">IF(ISBLANK(B216),"",B216)</f>
        <v/>
      </c>
      <c r="C242" s="63" t="str">
        <f t="shared" si="111"/>
        <v/>
      </c>
      <c r="D242" s="395"/>
      <c r="E242" s="395"/>
      <c r="F242" s="395"/>
      <c r="G242" s="395"/>
      <c r="H242" s="395"/>
      <c r="I242" s="395"/>
      <c r="J242" s="203" t="str" cm="1">
        <f t="array" ref="J242">IF(J216="wstaw dane","",IF(OR(ISBLANK(F216)=TRUE,ISBLANK(G216)=TRUE),"uzupełnij dane",IF(OR((AND(F216="nie",SUMPRODUCT(ISNUMBER(K242:X242)*1)&gt;0)),AND(F216=tak,G216=nie,SUMPRODUCT(ISNUMBER(K242:X242)*1)&gt;0)),"usuń % dotacji",IF(AND(F216=tak,G216=tak,SUMPRODUCT(ISNUMBER(K242:X242)*1)=0),"wstaw % dotacji","ok"))))</f>
        <v/>
      </c>
      <c r="K242" s="408"/>
      <c r="L242" s="408"/>
      <c r="M242" s="408"/>
      <c r="N242" s="408"/>
      <c r="O242" s="408"/>
      <c r="P242" s="408"/>
      <c r="Q242" s="408"/>
      <c r="R242" s="408"/>
      <c r="S242" s="408"/>
      <c r="T242" s="408"/>
      <c r="U242" s="408"/>
      <c r="V242" s="408"/>
      <c r="W242" s="408"/>
      <c r="X242" s="408"/>
    </row>
    <row r="243" spans="2:24"/>
    <row r="244" spans="2:24">
      <c r="B244" s="189" t="s">
        <v>681</v>
      </c>
      <c r="C244" s="396"/>
      <c r="D244" s="190"/>
      <c r="E244" s="191"/>
      <c r="F244" s="191"/>
      <c r="G244" s="191"/>
      <c r="H244" s="191"/>
      <c r="I244" s="191"/>
      <c r="J244" s="191"/>
      <c r="K244" s="555"/>
      <c r="L244" s="556"/>
      <c r="M244" s="556"/>
      <c r="N244" s="556"/>
      <c r="O244" s="556"/>
      <c r="P244" s="556"/>
      <c r="Q244" s="556"/>
      <c r="R244" s="556"/>
      <c r="S244" s="556"/>
      <c r="T244" s="556"/>
      <c r="U244" s="556"/>
      <c r="V244" s="556"/>
      <c r="W244" s="556"/>
      <c r="X244" s="556"/>
    </row>
    <row r="245" spans="2:24">
      <c r="B245" s="63" t="str">
        <f>B223</f>
        <v/>
      </c>
      <c r="C245" s="63" t="str">
        <f>C223</f>
        <v/>
      </c>
      <c r="D245" s="102"/>
      <c r="E245" s="102"/>
      <c r="F245" s="102"/>
      <c r="G245" s="102"/>
      <c r="H245" s="102"/>
      <c r="I245" s="102"/>
      <c r="J245" s="202" t="str">
        <f>J223</f>
        <v/>
      </c>
      <c r="K245" s="103">
        <f t="shared" ref="K245:X245" si="112">IF(ISBLANK(K223),0,K1137)</f>
        <v>0</v>
      </c>
      <c r="L245" s="103">
        <f t="shared" si="112"/>
        <v>0</v>
      </c>
      <c r="M245" s="103">
        <f t="shared" si="112"/>
        <v>0</v>
      </c>
      <c r="N245" s="103">
        <f t="shared" si="112"/>
        <v>0</v>
      </c>
      <c r="O245" s="103">
        <f t="shared" si="112"/>
        <v>0</v>
      </c>
      <c r="P245" s="103">
        <f t="shared" si="112"/>
        <v>0</v>
      </c>
      <c r="Q245" s="103">
        <f t="shared" si="112"/>
        <v>0</v>
      </c>
      <c r="R245" s="103">
        <f t="shared" si="112"/>
        <v>0</v>
      </c>
      <c r="S245" s="103">
        <f t="shared" si="112"/>
        <v>0</v>
      </c>
      <c r="T245" s="103">
        <f t="shared" si="112"/>
        <v>0</v>
      </c>
      <c r="U245" s="103">
        <f t="shared" si="112"/>
        <v>0</v>
      </c>
      <c r="V245" s="103">
        <f t="shared" si="112"/>
        <v>0</v>
      </c>
      <c r="W245" s="103">
        <f t="shared" si="112"/>
        <v>0</v>
      </c>
      <c r="X245" s="103">
        <f t="shared" si="112"/>
        <v>0</v>
      </c>
    </row>
    <row r="246" spans="2:24">
      <c r="B246" s="63" t="str">
        <f>B224</f>
        <v/>
      </c>
      <c r="C246" s="63" t="str">
        <f>C224</f>
        <v/>
      </c>
      <c r="D246" s="52"/>
      <c r="E246" s="52"/>
      <c r="F246" s="52"/>
      <c r="G246" s="52"/>
      <c r="H246" s="52"/>
      <c r="I246" s="52"/>
      <c r="J246" s="203" t="str">
        <f>J224</f>
        <v/>
      </c>
      <c r="K246" s="33">
        <f t="shared" ref="K246:X246" si="113">IF(ISBLANK(K224),0,K1144)</f>
        <v>0</v>
      </c>
      <c r="L246" s="33">
        <f t="shared" si="113"/>
        <v>0</v>
      </c>
      <c r="M246" s="33">
        <f t="shared" si="113"/>
        <v>0</v>
      </c>
      <c r="N246" s="33">
        <f t="shared" si="113"/>
        <v>0</v>
      </c>
      <c r="O246" s="33">
        <f t="shared" si="113"/>
        <v>0</v>
      </c>
      <c r="P246" s="33">
        <f t="shared" si="113"/>
        <v>0</v>
      </c>
      <c r="Q246" s="33">
        <f t="shared" si="113"/>
        <v>0</v>
      </c>
      <c r="R246" s="33">
        <f t="shared" si="113"/>
        <v>0</v>
      </c>
      <c r="S246" s="33">
        <f t="shared" si="113"/>
        <v>0</v>
      </c>
      <c r="T246" s="33">
        <f t="shared" si="113"/>
        <v>0</v>
      </c>
      <c r="U246" s="33">
        <f t="shared" si="113"/>
        <v>0</v>
      </c>
      <c r="V246" s="33">
        <f t="shared" si="113"/>
        <v>0</v>
      </c>
      <c r="W246" s="33">
        <f t="shared" si="113"/>
        <v>0</v>
      </c>
      <c r="X246" s="33">
        <f t="shared" si="113"/>
        <v>0</v>
      </c>
    </row>
    <row r="247" spans="2:24">
      <c r="B247" s="63" t="str">
        <f t="shared" ref="B247:C247" si="114">B225</f>
        <v/>
      </c>
      <c r="C247" s="63" t="str">
        <f t="shared" si="114"/>
        <v/>
      </c>
      <c r="D247" s="52"/>
      <c r="E247" s="52"/>
      <c r="F247" s="52"/>
      <c r="G247" s="52"/>
      <c r="H247" s="52"/>
      <c r="I247" s="52"/>
      <c r="J247" s="203" t="str">
        <f t="shared" ref="J247:J263" si="115">J225</f>
        <v/>
      </c>
      <c r="K247" s="33">
        <f t="shared" ref="K247:X247" si="116">IF(ISBLANK(K225),0,K1151)</f>
        <v>0</v>
      </c>
      <c r="L247" s="33">
        <f t="shared" si="116"/>
        <v>0</v>
      </c>
      <c r="M247" s="33">
        <f t="shared" si="116"/>
        <v>0</v>
      </c>
      <c r="N247" s="33">
        <f t="shared" si="116"/>
        <v>0</v>
      </c>
      <c r="O247" s="33">
        <f t="shared" si="116"/>
        <v>0</v>
      </c>
      <c r="P247" s="33">
        <f t="shared" si="116"/>
        <v>0</v>
      </c>
      <c r="Q247" s="33">
        <f t="shared" si="116"/>
        <v>0</v>
      </c>
      <c r="R247" s="33">
        <f t="shared" si="116"/>
        <v>0</v>
      </c>
      <c r="S247" s="33">
        <f t="shared" si="116"/>
        <v>0</v>
      </c>
      <c r="T247" s="33">
        <f t="shared" si="116"/>
        <v>0</v>
      </c>
      <c r="U247" s="33">
        <f t="shared" si="116"/>
        <v>0</v>
      </c>
      <c r="V247" s="33">
        <f t="shared" si="116"/>
        <v>0</v>
      </c>
      <c r="W247" s="33">
        <f t="shared" si="116"/>
        <v>0</v>
      </c>
      <c r="X247" s="33">
        <f t="shared" si="116"/>
        <v>0</v>
      </c>
    </row>
    <row r="248" spans="2:24">
      <c r="B248" s="63" t="str">
        <f t="shared" ref="B248:C248" si="117">B226</f>
        <v/>
      </c>
      <c r="C248" s="63" t="str">
        <f t="shared" si="117"/>
        <v/>
      </c>
      <c r="D248" s="52"/>
      <c r="E248" s="52"/>
      <c r="F248" s="52"/>
      <c r="G248" s="52"/>
      <c r="H248" s="52"/>
      <c r="I248" s="52"/>
      <c r="J248" s="203" t="str">
        <f t="shared" si="115"/>
        <v/>
      </c>
      <c r="K248" s="33">
        <f t="shared" ref="K248:X248" si="118">IF(ISBLANK(K226),0,K1158)</f>
        <v>0</v>
      </c>
      <c r="L248" s="33">
        <f t="shared" si="118"/>
        <v>0</v>
      </c>
      <c r="M248" s="33">
        <f t="shared" si="118"/>
        <v>0</v>
      </c>
      <c r="N248" s="33">
        <f t="shared" si="118"/>
        <v>0</v>
      </c>
      <c r="O248" s="33">
        <f t="shared" si="118"/>
        <v>0</v>
      </c>
      <c r="P248" s="33">
        <f t="shared" si="118"/>
        <v>0</v>
      </c>
      <c r="Q248" s="33">
        <f t="shared" si="118"/>
        <v>0</v>
      </c>
      <c r="R248" s="33">
        <f t="shared" si="118"/>
        <v>0</v>
      </c>
      <c r="S248" s="33">
        <f t="shared" si="118"/>
        <v>0</v>
      </c>
      <c r="T248" s="33">
        <f t="shared" si="118"/>
        <v>0</v>
      </c>
      <c r="U248" s="33">
        <f t="shared" si="118"/>
        <v>0</v>
      </c>
      <c r="V248" s="33">
        <f t="shared" si="118"/>
        <v>0</v>
      </c>
      <c r="W248" s="33">
        <f t="shared" si="118"/>
        <v>0</v>
      </c>
      <c r="X248" s="33">
        <f t="shared" si="118"/>
        <v>0</v>
      </c>
    </row>
    <row r="249" spans="2:24">
      <c r="B249" s="63" t="str">
        <f t="shared" ref="B249:C249" si="119">B227</f>
        <v/>
      </c>
      <c r="C249" s="63" t="str">
        <f t="shared" si="119"/>
        <v/>
      </c>
      <c r="D249" s="52"/>
      <c r="E249" s="52"/>
      <c r="F249" s="52"/>
      <c r="G249" s="52"/>
      <c r="H249" s="52"/>
      <c r="I249" s="52"/>
      <c r="J249" s="203" t="str">
        <f t="shared" si="115"/>
        <v/>
      </c>
      <c r="K249" s="33">
        <f t="shared" ref="K249:X249" si="120">IF(ISBLANK(K227),0,K1165)</f>
        <v>0</v>
      </c>
      <c r="L249" s="33">
        <f t="shared" si="120"/>
        <v>0</v>
      </c>
      <c r="M249" s="33">
        <f t="shared" si="120"/>
        <v>0</v>
      </c>
      <c r="N249" s="33">
        <f t="shared" si="120"/>
        <v>0</v>
      </c>
      <c r="O249" s="33">
        <f t="shared" si="120"/>
        <v>0</v>
      </c>
      <c r="P249" s="33">
        <f t="shared" si="120"/>
        <v>0</v>
      </c>
      <c r="Q249" s="33">
        <f t="shared" si="120"/>
        <v>0</v>
      </c>
      <c r="R249" s="33">
        <f t="shared" si="120"/>
        <v>0</v>
      </c>
      <c r="S249" s="33">
        <f t="shared" si="120"/>
        <v>0</v>
      </c>
      <c r="T249" s="33">
        <f t="shared" si="120"/>
        <v>0</v>
      </c>
      <c r="U249" s="33">
        <f t="shared" si="120"/>
        <v>0</v>
      </c>
      <c r="V249" s="33">
        <f t="shared" si="120"/>
        <v>0</v>
      </c>
      <c r="W249" s="33">
        <f t="shared" si="120"/>
        <v>0</v>
      </c>
      <c r="X249" s="33">
        <f t="shared" si="120"/>
        <v>0</v>
      </c>
    </row>
    <row r="250" spans="2:24">
      <c r="B250" s="63" t="str">
        <f t="shared" ref="B250:C250" si="121">B228</f>
        <v/>
      </c>
      <c r="C250" s="63" t="str">
        <f t="shared" si="121"/>
        <v/>
      </c>
      <c r="D250" s="52"/>
      <c r="E250" s="52"/>
      <c r="F250" s="52"/>
      <c r="G250" s="52"/>
      <c r="H250" s="52"/>
      <c r="I250" s="52"/>
      <c r="J250" s="203" t="str">
        <f t="shared" si="115"/>
        <v/>
      </c>
      <c r="K250" s="33">
        <f t="shared" ref="K250:X250" si="122">IF(ISBLANK(K228),0,K1172)</f>
        <v>0</v>
      </c>
      <c r="L250" s="33">
        <f t="shared" si="122"/>
        <v>0</v>
      </c>
      <c r="M250" s="33">
        <f t="shared" si="122"/>
        <v>0</v>
      </c>
      <c r="N250" s="33">
        <f t="shared" si="122"/>
        <v>0</v>
      </c>
      <c r="O250" s="33">
        <f t="shared" si="122"/>
        <v>0</v>
      </c>
      <c r="P250" s="33">
        <f t="shared" si="122"/>
        <v>0</v>
      </c>
      <c r="Q250" s="33">
        <f t="shared" si="122"/>
        <v>0</v>
      </c>
      <c r="R250" s="33">
        <f t="shared" si="122"/>
        <v>0</v>
      </c>
      <c r="S250" s="33">
        <f t="shared" si="122"/>
        <v>0</v>
      </c>
      <c r="T250" s="33">
        <f t="shared" si="122"/>
        <v>0</v>
      </c>
      <c r="U250" s="33">
        <f t="shared" si="122"/>
        <v>0</v>
      </c>
      <c r="V250" s="33">
        <f t="shared" si="122"/>
        <v>0</v>
      </c>
      <c r="W250" s="33">
        <f t="shared" si="122"/>
        <v>0</v>
      </c>
      <c r="X250" s="33">
        <f t="shared" si="122"/>
        <v>0</v>
      </c>
    </row>
    <row r="251" spans="2:24">
      <c r="B251" s="63" t="str">
        <f t="shared" ref="B251:C251" si="123">B229</f>
        <v/>
      </c>
      <c r="C251" s="63" t="str">
        <f t="shared" si="123"/>
        <v/>
      </c>
      <c r="D251" s="52"/>
      <c r="E251" s="52"/>
      <c r="F251" s="52"/>
      <c r="G251" s="52"/>
      <c r="H251" s="52"/>
      <c r="I251" s="52"/>
      <c r="J251" s="203" t="str">
        <f t="shared" si="115"/>
        <v/>
      </c>
      <c r="K251" s="33">
        <f t="shared" ref="K251:X251" si="124">IF(ISBLANK(K229),0,K1179)</f>
        <v>0</v>
      </c>
      <c r="L251" s="33">
        <f t="shared" si="124"/>
        <v>0</v>
      </c>
      <c r="M251" s="33">
        <f t="shared" si="124"/>
        <v>0</v>
      </c>
      <c r="N251" s="33">
        <f t="shared" si="124"/>
        <v>0</v>
      </c>
      <c r="O251" s="33">
        <f t="shared" si="124"/>
        <v>0</v>
      </c>
      <c r="P251" s="33">
        <f t="shared" si="124"/>
        <v>0</v>
      </c>
      <c r="Q251" s="33">
        <f t="shared" si="124"/>
        <v>0</v>
      </c>
      <c r="R251" s="33">
        <f t="shared" si="124"/>
        <v>0</v>
      </c>
      <c r="S251" s="33">
        <f t="shared" si="124"/>
        <v>0</v>
      </c>
      <c r="T251" s="33">
        <f t="shared" si="124"/>
        <v>0</v>
      </c>
      <c r="U251" s="33">
        <f t="shared" si="124"/>
        <v>0</v>
      </c>
      <c r="V251" s="33">
        <f t="shared" si="124"/>
        <v>0</v>
      </c>
      <c r="W251" s="33">
        <f t="shared" si="124"/>
        <v>0</v>
      </c>
      <c r="X251" s="33">
        <f t="shared" si="124"/>
        <v>0</v>
      </c>
    </row>
    <row r="252" spans="2:24">
      <c r="B252" s="63" t="str">
        <f t="shared" ref="B252:C252" si="125">B230</f>
        <v/>
      </c>
      <c r="C252" s="63" t="str">
        <f t="shared" si="125"/>
        <v/>
      </c>
      <c r="D252" s="52"/>
      <c r="E252" s="52"/>
      <c r="F252" s="52"/>
      <c r="G252" s="52"/>
      <c r="H252" s="52"/>
      <c r="I252" s="52"/>
      <c r="J252" s="203" t="str">
        <f t="shared" si="115"/>
        <v/>
      </c>
      <c r="K252" s="33">
        <f t="shared" ref="K252:X252" si="126">IF(ISBLANK(K230),0,K1186)</f>
        <v>0</v>
      </c>
      <c r="L252" s="33">
        <f t="shared" si="126"/>
        <v>0</v>
      </c>
      <c r="M252" s="33">
        <f t="shared" si="126"/>
        <v>0</v>
      </c>
      <c r="N252" s="33">
        <f t="shared" si="126"/>
        <v>0</v>
      </c>
      <c r="O252" s="33">
        <f t="shared" si="126"/>
        <v>0</v>
      </c>
      <c r="P252" s="33">
        <f t="shared" si="126"/>
        <v>0</v>
      </c>
      <c r="Q252" s="33">
        <f t="shared" si="126"/>
        <v>0</v>
      </c>
      <c r="R252" s="33">
        <f t="shared" si="126"/>
        <v>0</v>
      </c>
      <c r="S252" s="33">
        <f t="shared" si="126"/>
        <v>0</v>
      </c>
      <c r="T252" s="33">
        <f t="shared" si="126"/>
        <v>0</v>
      </c>
      <c r="U252" s="33">
        <f t="shared" si="126"/>
        <v>0</v>
      </c>
      <c r="V252" s="33">
        <f t="shared" si="126"/>
        <v>0</v>
      </c>
      <c r="W252" s="33">
        <f t="shared" si="126"/>
        <v>0</v>
      </c>
      <c r="X252" s="33">
        <f t="shared" si="126"/>
        <v>0</v>
      </c>
    </row>
    <row r="253" spans="2:24">
      <c r="B253" s="63" t="str">
        <f t="shared" ref="B253:C253" si="127">B231</f>
        <v/>
      </c>
      <c r="C253" s="63" t="str">
        <f t="shared" si="127"/>
        <v/>
      </c>
      <c r="D253" s="52"/>
      <c r="E253" s="52"/>
      <c r="F253" s="52"/>
      <c r="G253" s="52"/>
      <c r="H253" s="52"/>
      <c r="I253" s="52"/>
      <c r="J253" s="203" t="str">
        <f t="shared" si="115"/>
        <v/>
      </c>
      <c r="K253" s="33">
        <f t="shared" ref="K253:X253" si="128">IF(ISBLANK(K231),0,K1193)</f>
        <v>0</v>
      </c>
      <c r="L253" s="33">
        <f t="shared" si="128"/>
        <v>0</v>
      </c>
      <c r="M253" s="33">
        <f t="shared" si="128"/>
        <v>0</v>
      </c>
      <c r="N253" s="33">
        <f t="shared" si="128"/>
        <v>0</v>
      </c>
      <c r="O253" s="33">
        <f t="shared" si="128"/>
        <v>0</v>
      </c>
      <c r="P253" s="33">
        <f t="shared" si="128"/>
        <v>0</v>
      </c>
      <c r="Q253" s="33">
        <f t="shared" si="128"/>
        <v>0</v>
      </c>
      <c r="R253" s="33">
        <f t="shared" si="128"/>
        <v>0</v>
      </c>
      <c r="S253" s="33">
        <f t="shared" si="128"/>
        <v>0</v>
      </c>
      <c r="T253" s="33">
        <f t="shared" si="128"/>
        <v>0</v>
      </c>
      <c r="U253" s="33">
        <f t="shared" si="128"/>
        <v>0</v>
      </c>
      <c r="V253" s="33">
        <f t="shared" si="128"/>
        <v>0</v>
      </c>
      <c r="W253" s="33">
        <f t="shared" si="128"/>
        <v>0</v>
      </c>
      <c r="X253" s="33">
        <f t="shared" si="128"/>
        <v>0</v>
      </c>
    </row>
    <row r="254" spans="2:24">
      <c r="B254" s="63" t="str">
        <f t="shared" ref="B254:C254" si="129">B232</f>
        <v/>
      </c>
      <c r="C254" s="63" t="str">
        <f t="shared" si="129"/>
        <v/>
      </c>
      <c r="D254" s="52"/>
      <c r="E254" s="52"/>
      <c r="F254" s="52"/>
      <c r="G254" s="52"/>
      <c r="H254" s="52"/>
      <c r="I254" s="52"/>
      <c r="J254" s="203" t="str">
        <f t="shared" si="115"/>
        <v/>
      </c>
      <c r="K254" s="33">
        <f t="shared" ref="K254:X254" si="130">IF(ISBLANK(K232),0,K1200)</f>
        <v>0</v>
      </c>
      <c r="L254" s="33">
        <f t="shared" si="130"/>
        <v>0</v>
      </c>
      <c r="M254" s="33">
        <f t="shared" si="130"/>
        <v>0</v>
      </c>
      <c r="N254" s="33">
        <f t="shared" si="130"/>
        <v>0</v>
      </c>
      <c r="O254" s="33">
        <f t="shared" si="130"/>
        <v>0</v>
      </c>
      <c r="P254" s="33">
        <f t="shared" si="130"/>
        <v>0</v>
      </c>
      <c r="Q254" s="33">
        <f t="shared" si="130"/>
        <v>0</v>
      </c>
      <c r="R254" s="33">
        <f t="shared" si="130"/>
        <v>0</v>
      </c>
      <c r="S254" s="33">
        <f t="shared" si="130"/>
        <v>0</v>
      </c>
      <c r="T254" s="33">
        <f t="shared" si="130"/>
        <v>0</v>
      </c>
      <c r="U254" s="33">
        <f t="shared" si="130"/>
        <v>0</v>
      </c>
      <c r="V254" s="33">
        <f t="shared" si="130"/>
        <v>0</v>
      </c>
      <c r="W254" s="33">
        <f t="shared" si="130"/>
        <v>0</v>
      </c>
      <c r="X254" s="33">
        <f t="shared" si="130"/>
        <v>0</v>
      </c>
    </row>
    <row r="255" spans="2:24">
      <c r="B255" s="63" t="str">
        <f t="shared" ref="B255:C255" si="131">B233</f>
        <v/>
      </c>
      <c r="C255" s="63" t="str">
        <f t="shared" si="131"/>
        <v/>
      </c>
      <c r="D255" s="52"/>
      <c r="E255" s="52"/>
      <c r="F255" s="52"/>
      <c r="G255" s="52"/>
      <c r="H255" s="52"/>
      <c r="I255" s="52"/>
      <c r="J255" s="203" t="str">
        <f t="shared" si="115"/>
        <v/>
      </c>
      <c r="K255" s="33">
        <f t="shared" ref="K255:X255" si="132">IF(ISBLANK(K233),0,K1207)</f>
        <v>0</v>
      </c>
      <c r="L255" s="33">
        <f t="shared" si="132"/>
        <v>0</v>
      </c>
      <c r="M255" s="33">
        <f t="shared" si="132"/>
        <v>0</v>
      </c>
      <c r="N255" s="33">
        <f t="shared" si="132"/>
        <v>0</v>
      </c>
      <c r="O255" s="33">
        <f t="shared" si="132"/>
        <v>0</v>
      </c>
      <c r="P255" s="33">
        <f t="shared" si="132"/>
        <v>0</v>
      </c>
      <c r="Q255" s="33">
        <f t="shared" si="132"/>
        <v>0</v>
      </c>
      <c r="R255" s="33">
        <f t="shared" si="132"/>
        <v>0</v>
      </c>
      <c r="S255" s="33">
        <f t="shared" si="132"/>
        <v>0</v>
      </c>
      <c r="T255" s="33">
        <f t="shared" si="132"/>
        <v>0</v>
      </c>
      <c r="U255" s="33">
        <f t="shared" si="132"/>
        <v>0</v>
      </c>
      <c r="V255" s="33">
        <f t="shared" si="132"/>
        <v>0</v>
      </c>
      <c r="W255" s="33">
        <f t="shared" si="132"/>
        <v>0</v>
      </c>
      <c r="X255" s="33">
        <f t="shared" si="132"/>
        <v>0</v>
      </c>
    </row>
    <row r="256" spans="2:24">
      <c r="B256" s="63" t="str">
        <f t="shared" ref="B256:C256" si="133">B234</f>
        <v/>
      </c>
      <c r="C256" s="63" t="str">
        <f t="shared" si="133"/>
        <v/>
      </c>
      <c r="D256" s="52"/>
      <c r="E256" s="52"/>
      <c r="F256" s="52"/>
      <c r="G256" s="52"/>
      <c r="H256" s="52"/>
      <c r="I256" s="52"/>
      <c r="J256" s="203" t="str">
        <f t="shared" si="115"/>
        <v/>
      </c>
      <c r="K256" s="33">
        <f t="shared" ref="K256:X256" si="134">IF(ISBLANK(K234),0,K1214)</f>
        <v>0</v>
      </c>
      <c r="L256" s="33">
        <f t="shared" si="134"/>
        <v>0</v>
      </c>
      <c r="M256" s="33">
        <f t="shared" si="134"/>
        <v>0</v>
      </c>
      <c r="N256" s="33">
        <f t="shared" si="134"/>
        <v>0</v>
      </c>
      <c r="O256" s="33">
        <f t="shared" si="134"/>
        <v>0</v>
      </c>
      <c r="P256" s="33">
        <f t="shared" si="134"/>
        <v>0</v>
      </c>
      <c r="Q256" s="33">
        <f t="shared" si="134"/>
        <v>0</v>
      </c>
      <c r="R256" s="33">
        <f t="shared" si="134"/>
        <v>0</v>
      </c>
      <c r="S256" s="33">
        <f t="shared" si="134"/>
        <v>0</v>
      </c>
      <c r="T256" s="33">
        <f t="shared" si="134"/>
        <v>0</v>
      </c>
      <c r="U256" s="33">
        <f t="shared" si="134"/>
        <v>0</v>
      </c>
      <c r="V256" s="33">
        <f t="shared" si="134"/>
        <v>0</v>
      </c>
      <c r="W256" s="33">
        <f t="shared" si="134"/>
        <v>0</v>
      </c>
      <c r="X256" s="33">
        <f t="shared" si="134"/>
        <v>0</v>
      </c>
    </row>
    <row r="257" spans="2:24">
      <c r="B257" s="63" t="str">
        <f t="shared" ref="B257:C257" si="135">B235</f>
        <v/>
      </c>
      <c r="C257" s="63" t="str">
        <f t="shared" si="135"/>
        <v/>
      </c>
      <c r="D257" s="52"/>
      <c r="E257" s="52"/>
      <c r="F257" s="52"/>
      <c r="G257" s="52"/>
      <c r="H257" s="52"/>
      <c r="I257" s="52"/>
      <c r="J257" s="203" t="str">
        <f t="shared" si="115"/>
        <v/>
      </c>
      <c r="K257" s="33">
        <f t="shared" ref="K257:X257" si="136">IF(ISBLANK(K235),0,K1221)</f>
        <v>0</v>
      </c>
      <c r="L257" s="33">
        <f t="shared" si="136"/>
        <v>0</v>
      </c>
      <c r="M257" s="33">
        <f t="shared" si="136"/>
        <v>0</v>
      </c>
      <c r="N257" s="33">
        <f t="shared" si="136"/>
        <v>0</v>
      </c>
      <c r="O257" s="33">
        <f t="shared" si="136"/>
        <v>0</v>
      </c>
      <c r="P257" s="33">
        <f t="shared" si="136"/>
        <v>0</v>
      </c>
      <c r="Q257" s="33">
        <f t="shared" si="136"/>
        <v>0</v>
      </c>
      <c r="R257" s="33">
        <f t="shared" si="136"/>
        <v>0</v>
      </c>
      <c r="S257" s="33">
        <f t="shared" si="136"/>
        <v>0</v>
      </c>
      <c r="T257" s="33">
        <f t="shared" si="136"/>
        <v>0</v>
      </c>
      <c r="U257" s="33">
        <f t="shared" si="136"/>
        <v>0</v>
      </c>
      <c r="V257" s="33">
        <f t="shared" si="136"/>
        <v>0</v>
      </c>
      <c r="W257" s="33">
        <f t="shared" si="136"/>
        <v>0</v>
      </c>
      <c r="X257" s="33">
        <f t="shared" si="136"/>
        <v>0</v>
      </c>
    </row>
    <row r="258" spans="2:24">
      <c r="B258" s="63" t="str">
        <f t="shared" ref="B258:C258" si="137">B236</f>
        <v/>
      </c>
      <c r="C258" s="63" t="str">
        <f t="shared" si="137"/>
        <v/>
      </c>
      <c r="D258" s="52"/>
      <c r="E258" s="52"/>
      <c r="F258" s="52"/>
      <c r="G258" s="52"/>
      <c r="H258" s="52"/>
      <c r="I258" s="52"/>
      <c r="J258" s="203" t="str">
        <f t="shared" si="115"/>
        <v/>
      </c>
      <c r="K258" s="33">
        <f t="shared" ref="K258:X258" si="138">IF(ISBLANK(K236),0,K1228)</f>
        <v>0</v>
      </c>
      <c r="L258" s="33">
        <f t="shared" si="138"/>
        <v>0</v>
      </c>
      <c r="M258" s="33">
        <f t="shared" si="138"/>
        <v>0</v>
      </c>
      <c r="N258" s="33">
        <f t="shared" si="138"/>
        <v>0</v>
      </c>
      <c r="O258" s="33">
        <f t="shared" si="138"/>
        <v>0</v>
      </c>
      <c r="P258" s="33">
        <f t="shared" si="138"/>
        <v>0</v>
      </c>
      <c r="Q258" s="33">
        <f t="shared" si="138"/>
        <v>0</v>
      </c>
      <c r="R258" s="33">
        <f t="shared" si="138"/>
        <v>0</v>
      </c>
      <c r="S258" s="33">
        <f t="shared" si="138"/>
        <v>0</v>
      </c>
      <c r="T258" s="33">
        <f t="shared" si="138"/>
        <v>0</v>
      </c>
      <c r="U258" s="33">
        <f t="shared" si="138"/>
        <v>0</v>
      </c>
      <c r="V258" s="33">
        <f t="shared" si="138"/>
        <v>0</v>
      </c>
      <c r="W258" s="33">
        <f t="shared" si="138"/>
        <v>0</v>
      </c>
      <c r="X258" s="33">
        <f t="shared" si="138"/>
        <v>0</v>
      </c>
    </row>
    <row r="259" spans="2:24">
      <c r="B259" s="63" t="str">
        <f t="shared" ref="B259:C259" si="139">B237</f>
        <v/>
      </c>
      <c r="C259" s="63" t="str">
        <f t="shared" si="139"/>
        <v/>
      </c>
      <c r="D259" s="52"/>
      <c r="E259" s="52"/>
      <c r="F259" s="52"/>
      <c r="G259" s="52"/>
      <c r="H259" s="52"/>
      <c r="I259" s="52"/>
      <c r="J259" s="203" t="str">
        <f t="shared" si="115"/>
        <v/>
      </c>
      <c r="K259" s="33">
        <f t="shared" ref="K259:X259" si="140">IF(ISBLANK(K237),0,K1235)</f>
        <v>0</v>
      </c>
      <c r="L259" s="33">
        <f t="shared" si="140"/>
        <v>0</v>
      </c>
      <c r="M259" s="33">
        <f t="shared" si="140"/>
        <v>0</v>
      </c>
      <c r="N259" s="33">
        <f t="shared" si="140"/>
        <v>0</v>
      </c>
      <c r="O259" s="33">
        <f t="shared" si="140"/>
        <v>0</v>
      </c>
      <c r="P259" s="33">
        <f t="shared" si="140"/>
        <v>0</v>
      </c>
      <c r="Q259" s="33">
        <f t="shared" si="140"/>
        <v>0</v>
      </c>
      <c r="R259" s="33">
        <f t="shared" si="140"/>
        <v>0</v>
      </c>
      <c r="S259" s="33">
        <f t="shared" si="140"/>
        <v>0</v>
      </c>
      <c r="T259" s="33">
        <f t="shared" si="140"/>
        <v>0</v>
      </c>
      <c r="U259" s="33">
        <f t="shared" si="140"/>
        <v>0</v>
      </c>
      <c r="V259" s="33">
        <f t="shared" si="140"/>
        <v>0</v>
      </c>
      <c r="W259" s="33">
        <f t="shared" si="140"/>
        <v>0</v>
      </c>
      <c r="X259" s="33">
        <f t="shared" si="140"/>
        <v>0</v>
      </c>
    </row>
    <row r="260" spans="2:24">
      <c r="B260" s="63" t="str">
        <f t="shared" ref="B260:C260" si="141">B238</f>
        <v/>
      </c>
      <c r="C260" s="63" t="str">
        <f t="shared" si="141"/>
        <v/>
      </c>
      <c r="D260" s="52"/>
      <c r="E260" s="52"/>
      <c r="F260" s="52"/>
      <c r="G260" s="52"/>
      <c r="H260" s="52"/>
      <c r="I260" s="52"/>
      <c r="J260" s="203" t="str">
        <f t="shared" si="115"/>
        <v/>
      </c>
      <c r="K260" s="33">
        <f t="shared" ref="K260:X260" si="142">IF(ISBLANK(K238),0,K1242)</f>
        <v>0</v>
      </c>
      <c r="L260" s="33">
        <f t="shared" si="142"/>
        <v>0</v>
      </c>
      <c r="M260" s="33">
        <f t="shared" si="142"/>
        <v>0</v>
      </c>
      <c r="N260" s="33">
        <f t="shared" si="142"/>
        <v>0</v>
      </c>
      <c r="O260" s="33">
        <f t="shared" si="142"/>
        <v>0</v>
      </c>
      <c r="P260" s="33">
        <f t="shared" si="142"/>
        <v>0</v>
      </c>
      <c r="Q260" s="33">
        <f t="shared" si="142"/>
        <v>0</v>
      </c>
      <c r="R260" s="33">
        <f t="shared" si="142"/>
        <v>0</v>
      </c>
      <c r="S260" s="33">
        <f t="shared" si="142"/>
        <v>0</v>
      </c>
      <c r="T260" s="33">
        <f t="shared" si="142"/>
        <v>0</v>
      </c>
      <c r="U260" s="33">
        <f t="shared" si="142"/>
        <v>0</v>
      </c>
      <c r="V260" s="33">
        <f t="shared" si="142"/>
        <v>0</v>
      </c>
      <c r="W260" s="33">
        <f t="shared" si="142"/>
        <v>0</v>
      </c>
      <c r="X260" s="33">
        <f t="shared" si="142"/>
        <v>0</v>
      </c>
    </row>
    <row r="261" spans="2:24">
      <c r="B261" s="63" t="str">
        <f t="shared" ref="B261:C261" si="143">B239</f>
        <v/>
      </c>
      <c r="C261" s="63" t="str">
        <f t="shared" si="143"/>
        <v/>
      </c>
      <c r="D261" s="52"/>
      <c r="E261" s="52"/>
      <c r="F261" s="52"/>
      <c r="G261" s="52"/>
      <c r="H261" s="52"/>
      <c r="I261" s="52"/>
      <c r="J261" s="203" t="str">
        <f t="shared" si="115"/>
        <v/>
      </c>
      <c r="K261" s="33">
        <f t="shared" ref="K261:X261" si="144">IF(ISBLANK(K239),0,K1249)</f>
        <v>0</v>
      </c>
      <c r="L261" s="33">
        <f t="shared" si="144"/>
        <v>0</v>
      </c>
      <c r="M261" s="33">
        <f t="shared" si="144"/>
        <v>0</v>
      </c>
      <c r="N261" s="33">
        <f t="shared" si="144"/>
        <v>0</v>
      </c>
      <c r="O261" s="33">
        <f t="shared" si="144"/>
        <v>0</v>
      </c>
      <c r="P261" s="33">
        <f t="shared" si="144"/>
        <v>0</v>
      </c>
      <c r="Q261" s="33">
        <f t="shared" si="144"/>
        <v>0</v>
      </c>
      <c r="R261" s="33">
        <f t="shared" si="144"/>
        <v>0</v>
      </c>
      <c r="S261" s="33">
        <f t="shared" si="144"/>
        <v>0</v>
      </c>
      <c r="T261" s="33">
        <f t="shared" si="144"/>
        <v>0</v>
      </c>
      <c r="U261" s="33">
        <f t="shared" si="144"/>
        <v>0</v>
      </c>
      <c r="V261" s="33">
        <f t="shared" si="144"/>
        <v>0</v>
      </c>
      <c r="W261" s="33">
        <f t="shared" si="144"/>
        <v>0</v>
      </c>
      <c r="X261" s="33">
        <f t="shared" si="144"/>
        <v>0</v>
      </c>
    </row>
    <row r="262" spans="2:24">
      <c r="B262" s="63" t="str">
        <f t="shared" ref="B262:C262" si="145">B240</f>
        <v/>
      </c>
      <c r="C262" s="63" t="str">
        <f t="shared" si="145"/>
        <v/>
      </c>
      <c r="D262" s="52"/>
      <c r="E262" s="52"/>
      <c r="F262" s="52"/>
      <c r="G262" s="52"/>
      <c r="H262" s="52"/>
      <c r="I262" s="52"/>
      <c r="J262" s="203" t="str">
        <f t="shared" si="115"/>
        <v/>
      </c>
      <c r="K262" s="33">
        <f t="shared" ref="K262:X262" si="146">IF(ISBLANK(K240),0,K1256)</f>
        <v>0</v>
      </c>
      <c r="L262" s="33">
        <f t="shared" si="146"/>
        <v>0</v>
      </c>
      <c r="M262" s="33">
        <f t="shared" si="146"/>
        <v>0</v>
      </c>
      <c r="N262" s="33">
        <f t="shared" si="146"/>
        <v>0</v>
      </c>
      <c r="O262" s="33">
        <f t="shared" si="146"/>
        <v>0</v>
      </c>
      <c r="P262" s="33">
        <f t="shared" si="146"/>
        <v>0</v>
      </c>
      <c r="Q262" s="33">
        <f t="shared" si="146"/>
        <v>0</v>
      </c>
      <c r="R262" s="33">
        <f t="shared" si="146"/>
        <v>0</v>
      </c>
      <c r="S262" s="33">
        <f t="shared" si="146"/>
        <v>0</v>
      </c>
      <c r="T262" s="33">
        <f t="shared" si="146"/>
        <v>0</v>
      </c>
      <c r="U262" s="33">
        <f t="shared" si="146"/>
        <v>0</v>
      </c>
      <c r="V262" s="33">
        <f t="shared" si="146"/>
        <v>0</v>
      </c>
      <c r="W262" s="33">
        <f t="shared" si="146"/>
        <v>0</v>
      </c>
      <c r="X262" s="33">
        <f t="shared" si="146"/>
        <v>0</v>
      </c>
    </row>
    <row r="263" spans="2:24">
      <c r="B263" s="63" t="str">
        <f t="shared" ref="B263:C263" si="147">B241</f>
        <v/>
      </c>
      <c r="C263" s="63" t="str">
        <f t="shared" si="147"/>
        <v/>
      </c>
      <c r="D263" s="52"/>
      <c r="E263" s="52"/>
      <c r="F263" s="52"/>
      <c r="G263" s="52"/>
      <c r="H263" s="52"/>
      <c r="I263" s="52"/>
      <c r="J263" s="203" t="str">
        <f t="shared" si="115"/>
        <v/>
      </c>
      <c r="K263" s="33">
        <f t="shared" ref="K263:X263" si="148">IF(ISBLANK(K241),0,K1263)</f>
        <v>0</v>
      </c>
      <c r="L263" s="33">
        <f t="shared" si="148"/>
        <v>0</v>
      </c>
      <c r="M263" s="33">
        <f t="shared" si="148"/>
        <v>0</v>
      </c>
      <c r="N263" s="33">
        <f t="shared" si="148"/>
        <v>0</v>
      </c>
      <c r="O263" s="33">
        <f t="shared" si="148"/>
        <v>0</v>
      </c>
      <c r="P263" s="33">
        <f t="shared" si="148"/>
        <v>0</v>
      </c>
      <c r="Q263" s="33">
        <f t="shared" si="148"/>
        <v>0</v>
      </c>
      <c r="R263" s="33">
        <f t="shared" si="148"/>
        <v>0</v>
      </c>
      <c r="S263" s="33">
        <f t="shared" si="148"/>
        <v>0</v>
      </c>
      <c r="T263" s="33">
        <f t="shared" si="148"/>
        <v>0</v>
      </c>
      <c r="U263" s="33">
        <f t="shared" si="148"/>
        <v>0</v>
      </c>
      <c r="V263" s="33">
        <f t="shared" si="148"/>
        <v>0</v>
      </c>
      <c r="W263" s="33">
        <f t="shared" si="148"/>
        <v>0</v>
      </c>
      <c r="X263" s="33">
        <f t="shared" si="148"/>
        <v>0</v>
      </c>
    </row>
    <row r="264" spans="2:24">
      <c r="B264" s="63" t="str">
        <f t="shared" ref="B264:C264" si="149">B242</f>
        <v/>
      </c>
      <c r="C264" s="63" t="str">
        <f t="shared" si="149"/>
        <v/>
      </c>
      <c r="D264" s="52"/>
      <c r="E264" s="52"/>
      <c r="F264" s="52"/>
      <c r="G264" s="52"/>
      <c r="H264" s="52"/>
      <c r="I264" s="52"/>
      <c r="J264" s="203" t="str">
        <f>J242</f>
        <v/>
      </c>
      <c r="K264" s="33">
        <f t="shared" ref="K264:X264" si="150">IF(ISBLANK(K242),0,K1270)</f>
        <v>0</v>
      </c>
      <c r="L264" s="33">
        <f t="shared" si="150"/>
        <v>0</v>
      </c>
      <c r="M264" s="33">
        <f t="shared" si="150"/>
        <v>0</v>
      </c>
      <c r="N264" s="33">
        <f t="shared" si="150"/>
        <v>0</v>
      </c>
      <c r="O264" s="33">
        <f t="shared" si="150"/>
        <v>0</v>
      </c>
      <c r="P264" s="33">
        <f t="shared" si="150"/>
        <v>0</v>
      </c>
      <c r="Q264" s="33">
        <f t="shared" si="150"/>
        <v>0</v>
      </c>
      <c r="R264" s="33">
        <f t="shared" si="150"/>
        <v>0</v>
      </c>
      <c r="S264" s="33">
        <f t="shared" si="150"/>
        <v>0</v>
      </c>
      <c r="T264" s="33">
        <f t="shared" si="150"/>
        <v>0</v>
      </c>
      <c r="U264" s="33">
        <f t="shared" si="150"/>
        <v>0</v>
      </c>
      <c r="V264" s="33">
        <f t="shared" si="150"/>
        <v>0</v>
      </c>
      <c r="W264" s="33">
        <f t="shared" si="150"/>
        <v>0</v>
      </c>
      <c r="X264" s="33">
        <f t="shared" si="150"/>
        <v>0</v>
      </c>
    </row>
    <row r="265" spans="2:24">
      <c r="B265" s="99" t="s">
        <v>335</v>
      </c>
      <c r="C265" s="99"/>
      <c r="D265" s="98"/>
      <c r="E265" s="200"/>
      <c r="F265" s="97"/>
      <c r="G265" s="98"/>
      <c r="H265" s="97"/>
      <c r="I265" s="97"/>
      <c r="J265" s="97"/>
      <c r="K265" s="98">
        <f t="shared" ref="K265:X265" si="151">SUM(K245:K264)</f>
        <v>0</v>
      </c>
      <c r="L265" s="98">
        <f t="shared" si="151"/>
        <v>0</v>
      </c>
      <c r="M265" s="98">
        <f t="shared" si="151"/>
        <v>0</v>
      </c>
      <c r="N265" s="98">
        <f t="shared" si="151"/>
        <v>0</v>
      </c>
      <c r="O265" s="98">
        <f t="shared" si="151"/>
        <v>0</v>
      </c>
      <c r="P265" s="98">
        <f t="shared" si="151"/>
        <v>0</v>
      </c>
      <c r="Q265" s="98">
        <f t="shared" si="151"/>
        <v>0</v>
      </c>
      <c r="R265" s="98">
        <f t="shared" si="151"/>
        <v>0</v>
      </c>
      <c r="S265" s="98">
        <f t="shared" si="151"/>
        <v>0</v>
      </c>
      <c r="T265" s="98">
        <f t="shared" si="151"/>
        <v>0</v>
      </c>
      <c r="U265" s="98">
        <f t="shared" si="151"/>
        <v>0</v>
      </c>
      <c r="V265" s="98">
        <f t="shared" si="151"/>
        <v>0</v>
      </c>
      <c r="W265" s="98">
        <f t="shared" si="151"/>
        <v>0</v>
      </c>
      <c r="X265" s="98">
        <f t="shared" si="151"/>
        <v>0</v>
      </c>
    </row>
    <row r="266" spans="2:24"/>
    <row r="267" spans="2:24"/>
    <row r="268" spans="2:24" ht="20.399999999999999">
      <c r="B268" s="228" t="s">
        <v>388</v>
      </c>
      <c r="C268" s="229" t="s">
        <v>296</v>
      </c>
      <c r="D268" s="230" t="s">
        <v>406</v>
      </c>
      <c r="E268" s="230" t="s">
        <v>421</v>
      </c>
      <c r="F268" s="230" t="s">
        <v>336</v>
      </c>
      <c r="G268" s="230" t="s">
        <v>781</v>
      </c>
      <c r="H268" s="230" t="s">
        <v>408</v>
      </c>
      <c r="I268" s="230" t="s">
        <v>409</v>
      </c>
      <c r="J268" s="230" t="s">
        <v>423</v>
      </c>
      <c r="K268" s="232" t="str">
        <f t="shared" ref="K268:X268" si="152">LataProjekcji</f>
        <v>Uzupełnij dane</v>
      </c>
      <c r="L268" s="232" t="str">
        <f t="shared" si="152"/>
        <v/>
      </c>
      <c r="M268" s="232" t="str">
        <f t="shared" si="152"/>
        <v/>
      </c>
      <c r="N268" s="232" t="str">
        <f t="shared" si="152"/>
        <v/>
      </c>
      <c r="O268" s="232" t="str">
        <f t="shared" si="152"/>
        <v/>
      </c>
      <c r="P268" s="232" t="str">
        <f t="shared" si="152"/>
        <v/>
      </c>
      <c r="Q268" s="232" t="str">
        <f t="shared" si="152"/>
        <v/>
      </c>
      <c r="R268" s="232" t="str">
        <f t="shared" si="152"/>
        <v/>
      </c>
      <c r="S268" s="232" t="str">
        <f t="shared" si="152"/>
        <v/>
      </c>
      <c r="T268" s="232" t="str">
        <f t="shared" si="152"/>
        <v/>
      </c>
      <c r="U268" s="232" t="str">
        <f t="shared" si="152"/>
        <v/>
      </c>
      <c r="V268" s="232" t="str">
        <f t="shared" si="152"/>
        <v/>
      </c>
      <c r="W268" s="232" t="str">
        <f t="shared" si="152"/>
        <v/>
      </c>
      <c r="X268" s="232" t="str">
        <f t="shared" si="152"/>
        <v/>
      </c>
    </row>
    <row r="269" spans="2:24">
      <c r="B269" s="305"/>
      <c r="C269" s="305"/>
      <c r="D269" s="288"/>
      <c r="E269" s="390"/>
      <c r="F269" s="399"/>
      <c r="G269" s="399"/>
      <c r="H269" s="416"/>
      <c r="I269" s="341">
        <f>IF(AND(F269="tak",G269="tak"),SUM(K307:X307),IF(AND(F269="tak",G269="nie",ISNUMBER(H269)),'Rozliczenie dotacji'!F58,0))</f>
        <v>0</v>
      </c>
      <c r="J269" s="202" t="str" cm="1">
        <f t="array" ref="J269">IF(SUMPRODUCT(ISBLANK(B269:G269)*1)=6,"wstaw dane",IF(AND(SUMPRODUCT(ISBLANK(B269:G269)*1)&gt;0,SUMPRODUCT(ISBLANK(B269:G269)*1)&lt;6),"uzupełnij dane",IF(OR(AND(F269=nie,ISNUMBER(H269)=TRUE),AND(F269=tak,G269=tak,ISNUMBER(H269)=TRUE)),"usuń % dotacji",IF(AND(F269=nie,G269=tak),"popraw dane",IF(AND(F269=tak,G269=nie,ISBLANK(H269)=TRUE),"wstaw % dotacji","ok")))))</f>
        <v>wstaw dane</v>
      </c>
      <c r="K269" s="103">
        <f t="shared" ref="K269:X283" si="153">ROUND(IF(AND(YEAR($E269)=LataProjekcji,$D269&gt;0,$J269="ok"),$D269,0),0)</f>
        <v>0</v>
      </c>
      <c r="L269" s="103">
        <f t="shared" si="153"/>
        <v>0</v>
      </c>
      <c r="M269" s="103">
        <f t="shared" si="153"/>
        <v>0</v>
      </c>
      <c r="N269" s="103">
        <f t="shared" si="153"/>
        <v>0</v>
      </c>
      <c r="O269" s="103">
        <f t="shared" si="153"/>
        <v>0</v>
      </c>
      <c r="P269" s="103">
        <f t="shared" si="153"/>
        <v>0</v>
      </c>
      <c r="Q269" s="103">
        <f t="shared" si="153"/>
        <v>0</v>
      </c>
      <c r="R269" s="103">
        <f t="shared" si="153"/>
        <v>0</v>
      </c>
      <c r="S269" s="103">
        <f t="shared" si="153"/>
        <v>0</v>
      </c>
      <c r="T269" s="103">
        <f t="shared" si="153"/>
        <v>0</v>
      </c>
      <c r="U269" s="103">
        <f t="shared" si="153"/>
        <v>0</v>
      </c>
      <c r="V269" s="103">
        <f t="shared" si="153"/>
        <v>0</v>
      </c>
      <c r="W269" s="103">
        <f t="shared" si="153"/>
        <v>0</v>
      </c>
      <c r="X269" s="103">
        <f t="shared" si="153"/>
        <v>0</v>
      </c>
    </row>
    <row r="270" spans="2:24">
      <c r="B270" s="305"/>
      <c r="C270" s="305"/>
      <c r="D270" s="288"/>
      <c r="E270" s="390"/>
      <c r="F270" s="391"/>
      <c r="G270" s="391"/>
      <c r="H270" s="417"/>
      <c r="I270" s="339">
        <f>IF(AND(F270="tak",G270="tak"),SUM(K308:X308),IF(AND(F270="tak",G270="nie",ISNUMBER(H270)),'Rozliczenie dotacji'!F59,0))</f>
        <v>0</v>
      </c>
      <c r="J270" s="203" t="str" cm="1">
        <f t="array" ref="J270">IF(SUMPRODUCT(ISBLANK(B270:G270)*1)=6,"wstaw dane",IF(AND(SUMPRODUCT(ISBLANK(B270:G270)*1)&gt;0,SUMPRODUCT(ISBLANK(B270:G270)*1)&lt;6),"uzupełnij dane",IF(OR(AND(F270=nie,ISNUMBER(H270)=TRUE),AND(F270=tak,G270=tak,ISNUMBER(H270)=TRUE)),"usuń % dotacji",IF(AND(F270=nie,G270=tak),"popraw dane",IF(AND(F270=tak,G270=nie,ISBLANK(H270)=TRUE),"wstaw % dotacji","ok")))))</f>
        <v>wstaw dane</v>
      </c>
      <c r="K270" s="33">
        <f t="shared" si="153"/>
        <v>0</v>
      </c>
      <c r="L270" s="33">
        <f t="shared" si="153"/>
        <v>0</v>
      </c>
      <c r="M270" s="33">
        <f t="shared" si="153"/>
        <v>0</v>
      </c>
      <c r="N270" s="33">
        <f t="shared" si="153"/>
        <v>0</v>
      </c>
      <c r="O270" s="33">
        <f t="shared" si="153"/>
        <v>0</v>
      </c>
      <c r="P270" s="33">
        <f t="shared" si="153"/>
        <v>0</v>
      </c>
      <c r="Q270" s="33">
        <f t="shared" si="153"/>
        <v>0</v>
      </c>
      <c r="R270" s="33">
        <f t="shared" si="153"/>
        <v>0</v>
      </c>
      <c r="S270" s="33">
        <f t="shared" si="153"/>
        <v>0</v>
      </c>
      <c r="T270" s="33">
        <f t="shared" si="153"/>
        <v>0</v>
      </c>
      <c r="U270" s="33">
        <f t="shared" si="153"/>
        <v>0</v>
      </c>
      <c r="V270" s="33">
        <f t="shared" si="153"/>
        <v>0</v>
      </c>
      <c r="W270" s="33">
        <f t="shared" si="153"/>
        <v>0</v>
      </c>
      <c r="X270" s="33">
        <f t="shared" si="153"/>
        <v>0</v>
      </c>
    </row>
    <row r="271" spans="2:24">
      <c r="B271" s="305"/>
      <c r="C271" s="305"/>
      <c r="D271" s="288"/>
      <c r="E271" s="390"/>
      <c r="F271" s="391"/>
      <c r="G271" s="391"/>
      <c r="H271" s="417"/>
      <c r="I271" s="339">
        <f>IF(AND(F271="tak",G271="tak"),SUM(K309:X309),IF(AND(F271="tak",G271="nie",ISNUMBER(H271)),'Rozliczenie dotacji'!F60,0))</f>
        <v>0</v>
      </c>
      <c r="J271" s="203" t="str" cm="1">
        <f t="array" ref="J271">IF(SUMPRODUCT(ISBLANK(B271:G271)*1)=6,"wstaw dane",IF(AND(SUMPRODUCT(ISBLANK(B271:G271)*1)&gt;0,SUMPRODUCT(ISBLANK(B271:G271)*1)&lt;6),"uzupełnij dane",IF(OR(AND(F271=nie,ISNUMBER(H271)=TRUE),AND(F271=tak,G271=tak,ISNUMBER(H271)=TRUE)),"usuń % dotacji",IF(AND(F271=nie,G271=tak),"popraw dane",IF(AND(F271=tak,G271=nie,ISBLANK(H271)=TRUE),"wstaw % dotacji","ok")))))</f>
        <v>wstaw dane</v>
      </c>
      <c r="K271" s="33">
        <f t="shared" si="153"/>
        <v>0</v>
      </c>
      <c r="L271" s="33">
        <f t="shared" si="153"/>
        <v>0</v>
      </c>
      <c r="M271" s="33">
        <f t="shared" si="153"/>
        <v>0</v>
      </c>
      <c r="N271" s="33">
        <f t="shared" si="153"/>
        <v>0</v>
      </c>
      <c r="O271" s="33">
        <f t="shared" si="153"/>
        <v>0</v>
      </c>
      <c r="P271" s="33">
        <f t="shared" si="153"/>
        <v>0</v>
      </c>
      <c r="Q271" s="33">
        <f t="shared" si="153"/>
        <v>0</v>
      </c>
      <c r="R271" s="33">
        <f t="shared" si="153"/>
        <v>0</v>
      </c>
      <c r="S271" s="33">
        <f t="shared" si="153"/>
        <v>0</v>
      </c>
      <c r="T271" s="33">
        <f t="shared" si="153"/>
        <v>0</v>
      </c>
      <c r="U271" s="33">
        <f t="shared" si="153"/>
        <v>0</v>
      </c>
      <c r="V271" s="33">
        <f t="shared" si="153"/>
        <v>0</v>
      </c>
      <c r="W271" s="33">
        <f t="shared" si="153"/>
        <v>0</v>
      </c>
      <c r="X271" s="33">
        <f t="shared" si="153"/>
        <v>0</v>
      </c>
    </row>
    <row r="272" spans="2:24">
      <c r="B272" s="305"/>
      <c r="C272" s="305"/>
      <c r="D272" s="288"/>
      <c r="E272" s="390"/>
      <c r="F272" s="391"/>
      <c r="G272" s="391"/>
      <c r="H272" s="417"/>
      <c r="I272" s="339">
        <f>IF(AND(F272="tak",G272="tak"),SUM(K310:X310),IF(AND(F272="tak",G272="nie",ISNUMBER(H272)),'Rozliczenie dotacji'!F61,0))</f>
        <v>0</v>
      </c>
      <c r="J272" s="203" t="str" cm="1">
        <f t="array" ref="J272">IF(SUMPRODUCT(ISBLANK(B272:G272)*1)=6,"wstaw dane",IF(AND(SUMPRODUCT(ISBLANK(B272:G272)*1)&gt;0,SUMPRODUCT(ISBLANK(B272:G272)*1)&lt;6),"uzupełnij dane",IF(OR(AND(F272=nie,ISNUMBER(H272)=TRUE),AND(F272=tak,G272=tak,ISNUMBER(H272)=TRUE)),"usuń % dotacji",IF(AND(F272=nie,G272=tak),"popraw dane",IF(AND(F272=tak,G272=nie,ISBLANK(H272)=TRUE),"wstaw % dotacji","ok")))))</f>
        <v>wstaw dane</v>
      </c>
      <c r="K272" s="33">
        <f t="shared" si="153"/>
        <v>0</v>
      </c>
      <c r="L272" s="33">
        <f t="shared" si="153"/>
        <v>0</v>
      </c>
      <c r="M272" s="33">
        <f t="shared" si="153"/>
        <v>0</v>
      </c>
      <c r="N272" s="33">
        <f t="shared" si="153"/>
        <v>0</v>
      </c>
      <c r="O272" s="33">
        <f t="shared" si="153"/>
        <v>0</v>
      </c>
      <c r="P272" s="33">
        <f t="shared" si="153"/>
        <v>0</v>
      </c>
      <c r="Q272" s="33">
        <f t="shared" si="153"/>
        <v>0</v>
      </c>
      <c r="R272" s="33">
        <f t="shared" si="153"/>
        <v>0</v>
      </c>
      <c r="S272" s="33">
        <f t="shared" si="153"/>
        <v>0</v>
      </c>
      <c r="T272" s="33">
        <f t="shared" si="153"/>
        <v>0</v>
      </c>
      <c r="U272" s="33">
        <f t="shared" si="153"/>
        <v>0</v>
      </c>
      <c r="V272" s="33">
        <f t="shared" si="153"/>
        <v>0</v>
      </c>
      <c r="W272" s="33">
        <f t="shared" si="153"/>
        <v>0</v>
      </c>
      <c r="X272" s="33">
        <f t="shared" si="153"/>
        <v>0</v>
      </c>
    </row>
    <row r="273" spans="2:24">
      <c r="B273" s="305"/>
      <c r="C273" s="305"/>
      <c r="D273" s="288"/>
      <c r="E273" s="390"/>
      <c r="F273" s="391"/>
      <c r="G273" s="391"/>
      <c r="H273" s="417"/>
      <c r="I273" s="339">
        <f>IF(AND(F273="tak",G273="tak"),SUM(K311:X311),IF(AND(F273="tak",G273="nie",ISNUMBER(H273)),'Rozliczenie dotacji'!F62,0))</f>
        <v>0</v>
      </c>
      <c r="J273" s="203" t="str" cm="1">
        <f t="array" ref="J273">IF(SUMPRODUCT(ISBLANK(B273:G273)*1)=6,"wstaw dane",IF(AND(SUMPRODUCT(ISBLANK(B273:G273)*1)&gt;0,SUMPRODUCT(ISBLANK(B273:G273)*1)&lt;6),"uzupełnij dane",IF(OR(AND(F273=nie,ISNUMBER(H273)=TRUE),AND(F273=tak,G273=tak,ISNUMBER(H273)=TRUE)),"usuń % dotacji",IF(AND(F273=nie,G273=tak),"popraw dane",IF(AND(F273=tak,G273=nie,ISBLANK(H273)=TRUE),"wstaw % dotacji","ok")))))</f>
        <v>wstaw dane</v>
      </c>
      <c r="K273" s="33">
        <f t="shared" si="153"/>
        <v>0</v>
      </c>
      <c r="L273" s="33">
        <f t="shared" si="153"/>
        <v>0</v>
      </c>
      <c r="M273" s="33">
        <f t="shared" si="153"/>
        <v>0</v>
      </c>
      <c r="N273" s="33">
        <f t="shared" si="153"/>
        <v>0</v>
      </c>
      <c r="O273" s="33">
        <f t="shared" si="153"/>
        <v>0</v>
      </c>
      <c r="P273" s="33">
        <f t="shared" si="153"/>
        <v>0</v>
      </c>
      <c r="Q273" s="33">
        <f t="shared" si="153"/>
        <v>0</v>
      </c>
      <c r="R273" s="33">
        <f t="shared" si="153"/>
        <v>0</v>
      </c>
      <c r="S273" s="33">
        <f t="shared" si="153"/>
        <v>0</v>
      </c>
      <c r="T273" s="33">
        <f t="shared" si="153"/>
        <v>0</v>
      </c>
      <c r="U273" s="33">
        <f t="shared" si="153"/>
        <v>0</v>
      </c>
      <c r="V273" s="33">
        <f t="shared" si="153"/>
        <v>0</v>
      </c>
      <c r="W273" s="33">
        <f t="shared" si="153"/>
        <v>0</v>
      </c>
      <c r="X273" s="33">
        <f t="shared" si="153"/>
        <v>0</v>
      </c>
    </row>
    <row r="274" spans="2:24">
      <c r="B274" s="305"/>
      <c r="C274" s="305"/>
      <c r="D274" s="288"/>
      <c r="E274" s="390"/>
      <c r="F274" s="391"/>
      <c r="G274" s="391"/>
      <c r="H274" s="417"/>
      <c r="I274" s="339">
        <f>IF(AND(F274="tak",G274="tak"),SUM(K312:X312),IF(AND(F274="tak",G274="nie",ISNUMBER(H274)),'Rozliczenie dotacji'!F63,0))</f>
        <v>0</v>
      </c>
      <c r="J274" s="203" t="str" cm="1">
        <f t="array" ref="J274">IF(SUMPRODUCT(ISBLANK(B274:G274)*1)=6,"wstaw dane",IF(AND(SUMPRODUCT(ISBLANK(B274:G274)*1)&gt;0,SUMPRODUCT(ISBLANK(B274:G274)*1)&lt;6),"uzupełnij dane",IF(OR(AND(F274=nie,ISNUMBER(H274)=TRUE),AND(F274=tak,G274=tak,ISNUMBER(H274)=TRUE)),"usuń % dotacji",IF(AND(F274=nie,G274=tak),"popraw dane",IF(AND(F274=tak,G274=nie,ISBLANK(H274)=TRUE),"wstaw % dotacji","ok")))))</f>
        <v>wstaw dane</v>
      </c>
      <c r="K274" s="33">
        <f t="shared" si="153"/>
        <v>0</v>
      </c>
      <c r="L274" s="33">
        <f t="shared" si="153"/>
        <v>0</v>
      </c>
      <c r="M274" s="33">
        <f t="shared" si="153"/>
        <v>0</v>
      </c>
      <c r="N274" s="33">
        <f t="shared" si="153"/>
        <v>0</v>
      </c>
      <c r="O274" s="33">
        <f t="shared" si="153"/>
        <v>0</v>
      </c>
      <c r="P274" s="33">
        <f t="shared" si="153"/>
        <v>0</v>
      </c>
      <c r="Q274" s="33">
        <f t="shared" si="153"/>
        <v>0</v>
      </c>
      <c r="R274" s="33">
        <f t="shared" si="153"/>
        <v>0</v>
      </c>
      <c r="S274" s="33">
        <f t="shared" si="153"/>
        <v>0</v>
      </c>
      <c r="T274" s="33">
        <f t="shared" si="153"/>
        <v>0</v>
      </c>
      <c r="U274" s="33">
        <f t="shared" si="153"/>
        <v>0</v>
      </c>
      <c r="V274" s="33">
        <f t="shared" si="153"/>
        <v>0</v>
      </c>
      <c r="W274" s="33">
        <f t="shared" si="153"/>
        <v>0</v>
      </c>
      <c r="X274" s="33">
        <f t="shared" si="153"/>
        <v>0</v>
      </c>
    </row>
    <row r="275" spans="2:24">
      <c r="B275" s="305"/>
      <c r="C275" s="305"/>
      <c r="D275" s="288"/>
      <c r="E275" s="390"/>
      <c r="F275" s="391"/>
      <c r="G275" s="391"/>
      <c r="H275" s="417"/>
      <c r="I275" s="339">
        <f>IF(AND(F275="tak",G275="tak"),SUM(K313:X313),IF(AND(F275="tak",G275="nie",ISNUMBER(H275)),'Rozliczenie dotacji'!F64,0))</f>
        <v>0</v>
      </c>
      <c r="J275" s="203" t="str" cm="1">
        <f t="array" ref="J275">IF(SUMPRODUCT(ISBLANK(B275:G275)*1)=6,"wstaw dane",IF(AND(SUMPRODUCT(ISBLANK(B275:G275)*1)&gt;0,SUMPRODUCT(ISBLANK(B275:G275)*1)&lt;6),"uzupełnij dane",IF(OR(AND(F275=nie,ISNUMBER(H275)=TRUE),AND(F275=tak,G275=tak,ISNUMBER(H275)=TRUE)),"usuń % dotacji",IF(AND(F275=nie,G275=tak),"popraw dane",IF(AND(F275=tak,G275=nie,ISBLANK(H275)=TRUE),"wstaw % dotacji","ok")))))</f>
        <v>wstaw dane</v>
      </c>
      <c r="K275" s="33">
        <f t="shared" si="153"/>
        <v>0</v>
      </c>
      <c r="L275" s="33">
        <f t="shared" si="153"/>
        <v>0</v>
      </c>
      <c r="M275" s="33">
        <f t="shared" si="153"/>
        <v>0</v>
      </c>
      <c r="N275" s="33">
        <f t="shared" si="153"/>
        <v>0</v>
      </c>
      <c r="O275" s="33">
        <f t="shared" si="153"/>
        <v>0</v>
      </c>
      <c r="P275" s="33">
        <f t="shared" si="153"/>
        <v>0</v>
      </c>
      <c r="Q275" s="33">
        <f t="shared" si="153"/>
        <v>0</v>
      </c>
      <c r="R275" s="33">
        <f t="shared" si="153"/>
        <v>0</v>
      </c>
      <c r="S275" s="33">
        <f t="shared" si="153"/>
        <v>0</v>
      </c>
      <c r="T275" s="33">
        <f t="shared" si="153"/>
        <v>0</v>
      </c>
      <c r="U275" s="33">
        <f t="shared" si="153"/>
        <v>0</v>
      </c>
      <c r="V275" s="33">
        <f t="shared" si="153"/>
        <v>0</v>
      </c>
      <c r="W275" s="33">
        <f t="shared" si="153"/>
        <v>0</v>
      </c>
      <c r="X275" s="33">
        <f t="shared" si="153"/>
        <v>0</v>
      </c>
    </row>
    <row r="276" spans="2:24">
      <c r="B276" s="305"/>
      <c r="C276" s="305"/>
      <c r="D276" s="288"/>
      <c r="E276" s="390"/>
      <c r="F276" s="391"/>
      <c r="G276" s="391"/>
      <c r="H276" s="417"/>
      <c r="I276" s="339">
        <f>IF(AND(F276="tak",G276="tak"),SUM(K314:X314),IF(AND(F276="tak",G276="nie",ISNUMBER(H276)),'Rozliczenie dotacji'!F65,0))</f>
        <v>0</v>
      </c>
      <c r="J276" s="203" t="str" cm="1">
        <f t="array" ref="J276">IF(SUMPRODUCT(ISBLANK(B276:G276)*1)=6,"wstaw dane",IF(AND(SUMPRODUCT(ISBLANK(B276:G276)*1)&gt;0,SUMPRODUCT(ISBLANK(B276:G276)*1)&lt;6),"uzupełnij dane",IF(OR(AND(F276=nie,ISNUMBER(H276)=TRUE),AND(F276=tak,G276=tak,ISNUMBER(H276)=TRUE)),"usuń % dotacji",IF(AND(F276=nie,G276=tak),"popraw dane",IF(AND(F276=tak,G276=nie,ISBLANK(H276)=TRUE),"wstaw % dotacji","ok")))))</f>
        <v>wstaw dane</v>
      </c>
      <c r="K276" s="33">
        <f t="shared" si="153"/>
        <v>0</v>
      </c>
      <c r="L276" s="33">
        <f t="shared" si="153"/>
        <v>0</v>
      </c>
      <c r="M276" s="33">
        <f t="shared" si="153"/>
        <v>0</v>
      </c>
      <c r="N276" s="33">
        <f t="shared" si="153"/>
        <v>0</v>
      </c>
      <c r="O276" s="33">
        <f t="shared" si="153"/>
        <v>0</v>
      </c>
      <c r="P276" s="33">
        <f t="shared" si="153"/>
        <v>0</v>
      </c>
      <c r="Q276" s="33">
        <f t="shared" si="153"/>
        <v>0</v>
      </c>
      <c r="R276" s="33">
        <f t="shared" si="153"/>
        <v>0</v>
      </c>
      <c r="S276" s="33">
        <f t="shared" si="153"/>
        <v>0</v>
      </c>
      <c r="T276" s="33">
        <f t="shared" si="153"/>
        <v>0</v>
      </c>
      <c r="U276" s="33">
        <f t="shared" si="153"/>
        <v>0</v>
      </c>
      <c r="V276" s="33">
        <f t="shared" si="153"/>
        <v>0</v>
      </c>
      <c r="W276" s="33">
        <f t="shared" si="153"/>
        <v>0</v>
      </c>
      <c r="X276" s="33">
        <f t="shared" si="153"/>
        <v>0</v>
      </c>
    </row>
    <row r="277" spans="2:24">
      <c r="B277" s="305"/>
      <c r="C277" s="305"/>
      <c r="D277" s="288"/>
      <c r="E277" s="390"/>
      <c r="F277" s="391"/>
      <c r="G277" s="391"/>
      <c r="H277" s="417"/>
      <c r="I277" s="339">
        <f>IF(AND(F277="tak",G277="tak"),SUM(K315:X315),IF(AND(F277="tak",G277="nie",ISNUMBER(H277)),'Rozliczenie dotacji'!F66,0))</f>
        <v>0</v>
      </c>
      <c r="J277" s="203" t="str" cm="1">
        <f t="array" ref="J277">IF(SUMPRODUCT(ISBLANK(B277:G277)*1)=6,"wstaw dane",IF(AND(SUMPRODUCT(ISBLANK(B277:G277)*1)&gt;0,SUMPRODUCT(ISBLANK(B277:G277)*1)&lt;6),"uzupełnij dane",IF(OR(AND(F277=nie,ISNUMBER(H277)=TRUE),AND(F277=tak,G277=tak,ISNUMBER(H277)=TRUE)),"usuń % dotacji",IF(AND(F277=nie,G277=tak),"popraw dane",IF(AND(F277=tak,G277=nie,ISBLANK(H277)=TRUE),"wstaw % dotacji","ok")))))</f>
        <v>wstaw dane</v>
      </c>
      <c r="K277" s="33">
        <f t="shared" si="153"/>
        <v>0</v>
      </c>
      <c r="L277" s="33">
        <f t="shared" si="153"/>
        <v>0</v>
      </c>
      <c r="M277" s="33">
        <f t="shared" si="153"/>
        <v>0</v>
      </c>
      <c r="N277" s="33">
        <f t="shared" si="153"/>
        <v>0</v>
      </c>
      <c r="O277" s="33">
        <f t="shared" si="153"/>
        <v>0</v>
      </c>
      <c r="P277" s="33">
        <f t="shared" si="153"/>
        <v>0</v>
      </c>
      <c r="Q277" s="33">
        <f t="shared" si="153"/>
        <v>0</v>
      </c>
      <c r="R277" s="33">
        <f t="shared" si="153"/>
        <v>0</v>
      </c>
      <c r="S277" s="33">
        <f t="shared" si="153"/>
        <v>0</v>
      </c>
      <c r="T277" s="33">
        <f t="shared" si="153"/>
        <v>0</v>
      </c>
      <c r="U277" s="33">
        <f t="shared" si="153"/>
        <v>0</v>
      </c>
      <c r="V277" s="33">
        <f t="shared" si="153"/>
        <v>0</v>
      </c>
      <c r="W277" s="33">
        <f t="shared" si="153"/>
        <v>0</v>
      </c>
      <c r="X277" s="33">
        <f t="shared" si="153"/>
        <v>0</v>
      </c>
    </row>
    <row r="278" spans="2:24">
      <c r="B278" s="305"/>
      <c r="C278" s="305"/>
      <c r="D278" s="288"/>
      <c r="E278" s="390"/>
      <c r="F278" s="391"/>
      <c r="G278" s="391"/>
      <c r="H278" s="417"/>
      <c r="I278" s="339">
        <f>IF(AND(F278="tak",G278="tak"),SUM(K316:X316),IF(AND(F278="tak",G278="nie",ISNUMBER(H278)),'Rozliczenie dotacji'!F67,0))</f>
        <v>0</v>
      </c>
      <c r="J278" s="203" t="str" cm="1">
        <f t="array" ref="J278">IF(SUMPRODUCT(ISBLANK(B278:G278)*1)=6,"wstaw dane",IF(AND(SUMPRODUCT(ISBLANK(B278:G278)*1)&gt;0,SUMPRODUCT(ISBLANK(B278:G278)*1)&lt;6),"uzupełnij dane",IF(OR(AND(F278=nie,ISNUMBER(H278)=TRUE),AND(F278=tak,G278=tak,ISNUMBER(H278)=TRUE)),"usuń % dotacji",IF(AND(F278=nie,G278=tak),"popraw dane",IF(AND(F278=tak,G278=nie,ISBLANK(H278)=TRUE),"wstaw % dotacji","ok")))))</f>
        <v>wstaw dane</v>
      </c>
      <c r="K278" s="33">
        <f t="shared" si="153"/>
        <v>0</v>
      </c>
      <c r="L278" s="33">
        <f t="shared" si="153"/>
        <v>0</v>
      </c>
      <c r="M278" s="33">
        <f t="shared" si="153"/>
        <v>0</v>
      </c>
      <c r="N278" s="33">
        <f t="shared" si="153"/>
        <v>0</v>
      </c>
      <c r="O278" s="33">
        <f t="shared" si="153"/>
        <v>0</v>
      </c>
      <c r="P278" s="33">
        <f t="shared" si="153"/>
        <v>0</v>
      </c>
      <c r="Q278" s="33">
        <f t="shared" si="153"/>
        <v>0</v>
      </c>
      <c r="R278" s="33">
        <f t="shared" si="153"/>
        <v>0</v>
      </c>
      <c r="S278" s="33">
        <f t="shared" si="153"/>
        <v>0</v>
      </c>
      <c r="T278" s="33">
        <f t="shared" si="153"/>
        <v>0</v>
      </c>
      <c r="U278" s="33">
        <f t="shared" si="153"/>
        <v>0</v>
      </c>
      <c r="V278" s="33">
        <f t="shared" si="153"/>
        <v>0</v>
      </c>
      <c r="W278" s="33">
        <f t="shared" si="153"/>
        <v>0</v>
      </c>
      <c r="X278" s="33">
        <f t="shared" si="153"/>
        <v>0</v>
      </c>
    </row>
    <row r="279" spans="2:24">
      <c r="B279" s="305"/>
      <c r="C279" s="305"/>
      <c r="D279" s="288"/>
      <c r="E279" s="390"/>
      <c r="F279" s="391"/>
      <c r="G279" s="391"/>
      <c r="H279" s="417"/>
      <c r="I279" s="339">
        <f>IF(AND(F279="tak",G279="tak"),SUM(K317:X317),IF(AND(F279="tak",G279="nie",ISNUMBER(H279)),'Rozliczenie dotacji'!F68,0))</f>
        <v>0</v>
      </c>
      <c r="J279" s="203" t="str" cm="1">
        <f t="array" ref="J279">IF(SUMPRODUCT(ISBLANK(B279:G279)*1)=6,"wstaw dane",IF(AND(SUMPRODUCT(ISBLANK(B279:G279)*1)&gt;0,SUMPRODUCT(ISBLANK(B279:G279)*1)&lt;6),"uzupełnij dane",IF(OR(AND(F279=nie,ISNUMBER(H279)=TRUE),AND(F279=tak,G279=tak,ISNUMBER(H279)=TRUE)),"usuń % dotacji",IF(AND(F279=nie,G279=tak),"popraw dane",IF(AND(F279=tak,G279=nie,ISBLANK(H279)=TRUE),"wstaw % dotacji","ok")))))</f>
        <v>wstaw dane</v>
      </c>
      <c r="K279" s="33">
        <f t="shared" si="153"/>
        <v>0</v>
      </c>
      <c r="L279" s="33">
        <f t="shared" si="153"/>
        <v>0</v>
      </c>
      <c r="M279" s="33">
        <f t="shared" si="153"/>
        <v>0</v>
      </c>
      <c r="N279" s="33">
        <f t="shared" si="153"/>
        <v>0</v>
      </c>
      <c r="O279" s="33">
        <f t="shared" si="153"/>
        <v>0</v>
      </c>
      <c r="P279" s="33">
        <f t="shared" si="153"/>
        <v>0</v>
      </c>
      <c r="Q279" s="33">
        <f t="shared" si="153"/>
        <v>0</v>
      </c>
      <c r="R279" s="33">
        <f t="shared" si="153"/>
        <v>0</v>
      </c>
      <c r="S279" s="33">
        <f t="shared" si="153"/>
        <v>0</v>
      </c>
      <c r="T279" s="33">
        <f t="shared" si="153"/>
        <v>0</v>
      </c>
      <c r="U279" s="33">
        <f t="shared" si="153"/>
        <v>0</v>
      </c>
      <c r="V279" s="33">
        <f t="shared" si="153"/>
        <v>0</v>
      </c>
      <c r="W279" s="33">
        <f t="shared" si="153"/>
        <v>0</v>
      </c>
      <c r="X279" s="33">
        <f t="shared" si="153"/>
        <v>0</v>
      </c>
    </row>
    <row r="280" spans="2:24">
      <c r="B280" s="305"/>
      <c r="C280" s="305"/>
      <c r="D280" s="288"/>
      <c r="E280" s="390"/>
      <c r="F280" s="391"/>
      <c r="G280" s="391"/>
      <c r="H280" s="417"/>
      <c r="I280" s="339">
        <f>IF(AND(F280="tak",G280="tak"),SUM(K318:X318),IF(AND(F280="tak",G280="nie",ISNUMBER(H280)),'Rozliczenie dotacji'!F69,0))</f>
        <v>0</v>
      </c>
      <c r="J280" s="203" t="str" cm="1">
        <f t="array" ref="J280">IF(SUMPRODUCT(ISBLANK(B280:G280)*1)=6,"wstaw dane",IF(AND(SUMPRODUCT(ISBLANK(B280:G280)*1)&gt;0,SUMPRODUCT(ISBLANK(B280:G280)*1)&lt;6),"uzupełnij dane",IF(OR(AND(F280=nie,ISNUMBER(H280)=TRUE),AND(F280=tak,G280=tak,ISNUMBER(H280)=TRUE)),"usuń % dotacji",IF(AND(F280=nie,G280=tak),"popraw dane",IF(AND(F280=tak,G280=nie,ISBLANK(H280)=TRUE),"wstaw % dotacji","ok")))))</f>
        <v>wstaw dane</v>
      </c>
      <c r="K280" s="33">
        <f t="shared" si="153"/>
        <v>0</v>
      </c>
      <c r="L280" s="33">
        <f t="shared" si="153"/>
        <v>0</v>
      </c>
      <c r="M280" s="33">
        <f t="shared" si="153"/>
        <v>0</v>
      </c>
      <c r="N280" s="33">
        <f t="shared" si="153"/>
        <v>0</v>
      </c>
      <c r="O280" s="33">
        <f t="shared" si="153"/>
        <v>0</v>
      </c>
      <c r="P280" s="33">
        <f t="shared" si="153"/>
        <v>0</v>
      </c>
      <c r="Q280" s="33">
        <f t="shared" si="153"/>
        <v>0</v>
      </c>
      <c r="R280" s="33">
        <f t="shared" si="153"/>
        <v>0</v>
      </c>
      <c r="S280" s="33">
        <f t="shared" si="153"/>
        <v>0</v>
      </c>
      <c r="T280" s="33">
        <f t="shared" si="153"/>
        <v>0</v>
      </c>
      <c r="U280" s="33">
        <f t="shared" si="153"/>
        <v>0</v>
      </c>
      <c r="V280" s="33">
        <f t="shared" si="153"/>
        <v>0</v>
      </c>
      <c r="W280" s="33">
        <f t="shared" si="153"/>
        <v>0</v>
      </c>
      <c r="X280" s="33">
        <f t="shared" si="153"/>
        <v>0</v>
      </c>
    </row>
    <row r="281" spans="2:24">
      <c r="B281" s="305"/>
      <c r="C281" s="305"/>
      <c r="D281" s="288"/>
      <c r="E281" s="390"/>
      <c r="F281" s="391"/>
      <c r="G281" s="391"/>
      <c r="H281" s="417"/>
      <c r="I281" s="339">
        <f>IF(AND(F281="tak",G281="tak"),SUM(K319:X319),IF(AND(F281="tak",G281="nie",ISNUMBER(H281)),'Rozliczenie dotacji'!F70,0))</f>
        <v>0</v>
      </c>
      <c r="J281" s="203" t="str" cm="1">
        <f t="array" ref="J281">IF(SUMPRODUCT(ISBLANK(B281:G281)*1)=6,"wstaw dane",IF(AND(SUMPRODUCT(ISBLANK(B281:G281)*1)&gt;0,SUMPRODUCT(ISBLANK(B281:G281)*1)&lt;6),"uzupełnij dane",IF(OR(AND(F281=nie,ISNUMBER(H281)=TRUE),AND(F281=tak,G281=tak,ISNUMBER(H281)=TRUE)),"usuń % dotacji",IF(AND(F281=nie,G281=tak),"popraw dane",IF(AND(F281=tak,G281=nie,ISBLANK(H281)=TRUE),"wstaw % dotacji","ok")))))</f>
        <v>wstaw dane</v>
      </c>
      <c r="K281" s="33">
        <f t="shared" si="153"/>
        <v>0</v>
      </c>
      <c r="L281" s="33">
        <f t="shared" si="153"/>
        <v>0</v>
      </c>
      <c r="M281" s="33">
        <f t="shared" si="153"/>
        <v>0</v>
      </c>
      <c r="N281" s="33">
        <f t="shared" si="153"/>
        <v>0</v>
      </c>
      <c r="O281" s="33">
        <f t="shared" si="153"/>
        <v>0</v>
      </c>
      <c r="P281" s="33">
        <f t="shared" si="153"/>
        <v>0</v>
      </c>
      <c r="Q281" s="33">
        <f t="shared" si="153"/>
        <v>0</v>
      </c>
      <c r="R281" s="33">
        <f t="shared" si="153"/>
        <v>0</v>
      </c>
      <c r="S281" s="33">
        <f t="shared" si="153"/>
        <v>0</v>
      </c>
      <c r="T281" s="33">
        <f t="shared" si="153"/>
        <v>0</v>
      </c>
      <c r="U281" s="33">
        <f t="shared" si="153"/>
        <v>0</v>
      </c>
      <c r="V281" s="33">
        <f t="shared" si="153"/>
        <v>0</v>
      </c>
      <c r="W281" s="33">
        <f t="shared" si="153"/>
        <v>0</v>
      </c>
      <c r="X281" s="33">
        <f t="shared" si="153"/>
        <v>0</v>
      </c>
    </row>
    <row r="282" spans="2:24">
      <c r="B282" s="305"/>
      <c r="C282" s="305"/>
      <c r="D282" s="288"/>
      <c r="E282" s="390"/>
      <c r="F282" s="391"/>
      <c r="G282" s="391"/>
      <c r="H282" s="417"/>
      <c r="I282" s="339">
        <f>IF(AND(F282="tak",G282="tak"),SUM(K320:X320),IF(AND(F282="tak",G282="nie",ISNUMBER(H282)),'Rozliczenie dotacji'!F71,0))</f>
        <v>0</v>
      </c>
      <c r="J282" s="203" t="str" cm="1">
        <f t="array" ref="J282">IF(SUMPRODUCT(ISBLANK(B282:G282)*1)=6,"wstaw dane",IF(AND(SUMPRODUCT(ISBLANK(B282:G282)*1)&gt;0,SUMPRODUCT(ISBLANK(B282:G282)*1)&lt;6),"uzupełnij dane",IF(OR(AND(F282=nie,ISNUMBER(H282)=TRUE),AND(F282=tak,G282=tak,ISNUMBER(H282)=TRUE)),"usuń % dotacji",IF(AND(F282=nie,G282=tak),"popraw dane",IF(AND(F282=tak,G282=nie,ISBLANK(H282)=TRUE),"wstaw % dotacji","ok")))))</f>
        <v>wstaw dane</v>
      </c>
      <c r="K282" s="33">
        <f t="shared" si="153"/>
        <v>0</v>
      </c>
      <c r="L282" s="33">
        <f t="shared" si="153"/>
        <v>0</v>
      </c>
      <c r="M282" s="33">
        <f t="shared" si="153"/>
        <v>0</v>
      </c>
      <c r="N282" s="33">
        <f t="shared" si="153"/>
        <v>0</v>
      </c>
      <c r="O282" s="33">
        <f t="shared" si="153"/>
        <v>0</v>
      </c>
      <c r="P282" s="33">
        <f t="shared" si="153"/>
        <v>0</v>
      </c>
      <c r="Q282" s="33">
        <f t="shared" si="153"/>
        <v>0</v>
      </c>
      <c r="R282" s="33">
        <f t="shared" si="153"/>
        <v>0</v>
      </c>
      <c r="S282" s="33">
        <f t="shared" si="153"/>
        <v>0</v>
      </c>
      <c r="T282" s="33">
        <f t="shared" si="153"/>
        <v>0</v>
      </c>
      <c r="U282" s="33">
        <f t="shared" si="153"/>
        <v>0</v>
      </c>
      <c r="V282" s="33">
        <f t="shared" si="153"/>
        <v>0</v>
      </c>
      <c r="W282" s="33">
        <f t="shared" si="153"/>
        <v>0</v>
      </c>
      <c r="X282" s="33">
        <f t="shared" si="153"/>
        <v>0</v>
      </c>
    </row>
    <row r="283" spans="2:24">
      <c r="B283" s="305"/>
      <c r="C283" s="305"/>
      <c r="D283" s="288"/>
      <c r="E283" s="390"/>
      <c r="F283" s="391"/>
      <c r="G283" s="391"/>
      <c r="H283" s="417"/>
      <c r="I283" s="339">
        <f>IF(AND(F283="tak",G283="tak"),SUM(K321:X321),IF(AND(F283="tak",G283="nie",ISNUMBER(H283)),'Rozliczenie dotacji'!F72,0))</f>
        <v>0</v>
      </c>
      <c r="J283" s="380" t="str" cm="1">
        <f t="array" ref="J283">IF(SUMPRODUCT(ISBLANK(B283:G283)*1)=6,"wstaw dane",IF(AND(SUMPRODUCT(ISBLANK(B283:G283)*1)&gt;0,SUMPRODUCT(ISBLANK(B283:G283)*1)&lt;6),"uzupełnij dane",IF(OR(AND(F283=nie,ISNUMBER(H283)=TRUE),AND(F283=tak,G283=tak,ISNUMBER(H283)=TRUE)),"usuń % dotacji",IF(AND(F283=nie,G283=tak),"popraw dane",IF(AND(F283=tak,G283=nie,ISBLANK(H283)=TRUE),"wstaw % dotacji","ok")))))</f>
        <v>wstaw dane</v>
      </c>
      <c r="K283" s="33">
        <f t="shared" si="153"/>
        <v>0</v>
      </c>
      <c r="L283" s="33">
        <f t="shared" si="153"/>
        <v>0</v>
      </c>
      <c r="M283" s="33">
        <f t="shared" si="153"/>
        <v>0</v>
      </c>
      <c r="N283" s="33">
        <f t="shared" si="153"/>
        <v>0</v>
      </c>
      <c r="O283" s="33">
        <f t="shared" si="153"/>
        <v>0</v>
      </c>
      <c r="P283" s="33">
        <f t="shared" si="153"/>
        <v>0</v>
      </c>
      <c r="Q283" s="33">
        <f t="shared" si="153"/>
        <v>0</v>
      </c>
      <c r="R283" s="33">
        <f t="shared" si="153"/>
        <v>0</v>
      </c>
      <c r="S283" s="33">
        <f t="shared" si="153"/>
        <v>0</v>
      </c>
      <c r="T283" s="33">
        <f t="shared" si="153"/>
        <v>0</v>
      </c>
      <c r="U283" s="33">
        <f t="shared" si="153"/>
        <v>0</v>
      </c>
      <c r="V283" s="33">
        <f t="shared" si="153"/>
        <v>0</v>
      </c>
      <c r="W283" s="33">
        <f t="shared" si="153"/>
        <v>0</v>
      </c>
      <c r="X283" s="33">
        <f t="shared" si="153"/>
        <v>0</v>
      </c>
    </row>
    <row r="284" spans="2:24">
      <c r="B284" s="99" t="s">
        <v>335</v>
      </c>
      <c r="C284" s="99"/>
      <c r="D284" s="98">
        <f>SUM(D269:D283)</f>
        <v>0</v>
      </c>
      <c r="E284" s="200"/>
      <c r="F284" s="97"/>
      <c r="G284" s="98"/>
      <c r="H284" s="97"/>
      <c r="I284" s="98">
        <f>SUM(I269:I283)</f>
        <v>0</v>
      </c>
      <c r="J284" s="97"/>
      <c r="K284" s="98">
        <f t="shared" ref="K284:X284" si="154">SUM(K269:K283)</f>
        <v>0</v>
      </c>
      <c r="L284" s="98">
        <f t="shared" si="154"/>
        <v>0</v>
      </c>
      <c r="M284" s="98">
        <f t="shared" si="154"/>
        <v>0</v>
      </c>
      <c r="N284" s="98">
        <f t="shared" si="154"/>
        <v>0</v>
      </c>
      <c r="O284" s="98">
        <f t="shared" si="154"/>
        <v>0</v>
      </c>
      <c r="P284" s="98">
        <f t="shared" si="154"/>
        <v>0</v>
      </c>
      <c r="Q284" s="98">
        <f t="shared" si="154"/>
        <v>0</v>
      </c>
      <c r="R284" s="98">
        <f t="shared" si="154"/>
        <v>0</v>
      </c>
      <c r="S284" s="98">
        <f t="shared" si="154"/>
        <v>0</v>
      </c>
      <c r="T284" s="98">
        <f t="shared" si="154"/>
        <v>0</v>
      </c>
      <c r="U284" s="98">
        <f t="shared" si="154"/>
        <v>0</v>
      </c>
      <c r="V284" s="98">
        <f t="shared" si="154"/>
        <v>0</v>
      </c>
      <c r="W284" s="98">
        <f t="shared" si="154"/>
        <v>0</v>
      </c>
      <c r="X284" s="98">
        <f t="shared" si="154"/>
        <v>0</v>
      </c>
    </row>
    <row r="285" spans="2:24">
      <c r="B285" s="104" t="s">
        <v>384</v>
      </c>
      <c r="C285" s="104"/>
      <c r="D285" s="102"/>
      <c r="E285" s="102"/>
      <c r="F285" s="102"/>
      <c r="G285" s="102"/>
      <c r="H285" s="102"/>
      <c r="I285" s="102"/>
      <c r="J285" s="102"/>
      <c r="K285" s="103">
        <f t="shared" ref="K285:X285" ca="1" si="155">K1280+K1287+K1294+K1301+K1378+K1308+K1315+K1322+K1329+K1336+K1343+K1350+K1357+K1364+K1371</f>
        <v>0</v>
      </c>
      <c r="L285" s="103">
        <f t="shared" ca="1" si="155"/>
        <v>0</v>
      </c>
      <c r="M285" s="103">
        <f t="shared" ca="1" si="155"/>
        <v>0</v>
      </c>
      <c r="N285" s="103">
        <f t="shared" ca="1" si="155"/>
        <v>0</v>
      </c>
      <c r="O285" s="103">
        <f t="shared" ca="1" si="155"/>
        <v>0</v>
      </c>
      <c r="P285" s="103">
        <f t="shared" ca="1" si="155"/>
        <v>0</v>
      </c>
      <c r="Q285" s="103">
        <f t="shared" ca="1" si="155"/>
        <v>0</v>
      </c>
      <c r="R285" s="103">
        <f t="shared" ca="1" si="155"/>
        <v>0</v>
      </c>
      <c r="S285" s="103">
        <f t="shared" ca="1" si="155"/>
        <v>0</v>
      </c>
      <c r="T285" s="103">
        <f t="shared" ca="1" si="155"/>
        <v>0</v>
      </c>
      <c r="U285" s="103">
        <f t="shared" ca="1" si="155"/>
        <v>0</v>
      </c>
      <c r="V285" s="103">
        <f t="shared" ca="1" si="155"/>
        <v>0</v>
      </c>
      <c r="W285" s="103">
        <f t="shared" ca="1" si="155"/>
        <v>0</v>
      </c>
      <c r="X285" s="103">
        <f t="shared" ca="1" si="155"/>
        <v>0</v>
      </c>
    </row>
    <row r="286" spans="2:24">
      <c r="B286" s="37" t="s">
        <v>385</v>
      </c>
      <c r="C286" s="37"/>
      <c r="D286" s="52"/>
      <c r="E286" s="52"/>
      <c r="F286" s="52"/>
      <c r="G286" s="52"/>
      <c r="H286" s="52"/>
      <c r="I286" s="52"/>
      <c r="J286" s="52"/>
      <c r="K286" s="33">
        <f t="shared" ref="K286:X286" ca="1" si="156">K1281+K1288+K1295+K1302+K1379+K1309+K1316+K1323+K1330+K1337+K1344+K1351+K1358+K1365+K1372</f>
        <v>0</v>
      </c>
      <c r="L286" s="33">
        <f t="shared" ca="1" si="156"/>
        <v>0</v>
      </c>
      <c r="M286" s="33">
        <f t="shared" ca="1" si="156"/>
        <v>0</v>
      </c>
      <c r="N286" s="33">
        <f t="shared" ca="1" si="156"/>
        <v>0</v>
      </c>
      <c r="O286" s="33">
        <f t="shared" ca="1" si="156"/>
        <v>0</v>
      </c>
      <c r="P286" s="33">
        <f t="shared" ca="1" si="156"/>
        <v>0</v>
      </c>
      <c r="Q286" s="33">
        <f t="shared" ca="1" si="156"/>
        <v>0</v>
      </c>
      <c r="R286" s="33">
        <f t="shared" ca="1" si="156"/>
        <v>0</v>
      </c>
      <c r="S286" s="33">
        <f t="shared" ca="1" si="156"/>
        <v>0</v>
      </c>
      <c r="T286" s="33">
        <f t="shared" ca="1" si="156"/>
        <v>0</v>
      </c>
      <c r="U286" s="33">
        <f t="shared" ca="1" si="156"/>
        <v>0</v>
      </c>
      <c r="V286" s="33">
        <f t="shared" ca="1" si="156"/>
        <v>0</v>
      </c>
      <c r="W286" s="33">
        <f t="shared" ca="1" si="156"/>
        <v>0</v>
      </c>
      <c r="X286" s="33">
        <f t="shared" ca="1" si="156"/>
        <v>0</v>
      </c>
    </row>
    <row r="287" spans="2:24">
      <c r="B287" s="201" t="s">
        <v>386</v>
      </c>
      <c r="C287" s="201"/>
      <c r="D287" s="52"/>
      <c r="E287" s="52"/>
      <c r="F287" s="52"/>
      <c r="G287" s="52"/>
      <c r="H287" s="52"/>
      <c r="I287" s="52"/>
      <c r="J287" s="52"/>
      <c r="K287" s="87">
        <f t="shared" ref="K287:X287" ca="1" si="157">K1282+K1289+K1296+K1303+K1380+K1310+K1317+K1324+K1331+K1338+K1345+K1352+K1359+K1366+K1373</f>
        <v>0</v>
      </c>
      <c r="L287" s="87">
        <f t="shared" ca="1" si="157"/>
        <v>0</v>
      </c>
      <c r="M287" s="87">
        <f t="shared" ca="1" si="157"/>
        <v>0</v>
      </c>
      <c r="N287" s="87">
        <f t="shared" ca="1" si="157"/>
        <v>0</v>
      </c>
      <c r="O287" s="87">
        <f t="shared" ca="1" si="157"/>
        <v>0</v>
      </c>
      <c r="P287" s="87">
        <f t="shared" ca="1" si="157"/>
        <v>0</v>
      </c>
      <c r="Q287" s="87">
        <f t="shared" ca="1" si="157"/>
        <v>0</v>
      </c>
      <c r="R287" s="87">
        <f t="shared" ca="1" si="157"/>
        <v>0</v>
      </c>
      <c r="S287" s="87">
        <f t="shared" ca="1" si="157"/>
        <v>0</v>
      </c>
      <c r="T287" s="87">
        <f t="shared" ca="1" si="157"/>
        <v>0</v>
      </c>
      <c r="U287" s="87">
        <f t="shared" ca="1" si="157"/>
        <v>0</v>
      </c>
      <c r="V287" s="87">
        <f t="shared" ca="1" si="157"/>
        <v>0</v>
      </c>
      <c r="W287" s="87">
        <f t="shared" ca="1" si="157"/>
        <v>0</v>
      </c>
      <c r="X287" s="87">
        <f t="shared" ca="1" si="157"/>
        <v>0</v>
      </c>
    </row>
    <row r="288" spans="2:24"/>
    <row r="289" spans="2:24">
      <c r="B289" s="189" t="s">
        <v>424</v>
      </c>
      <c r="C289" s="396"/>
      <c r="D289" s="190"/>
      <c r="E289" s="191"/>
      <c r="F289" s="191"/>
      <c r="G289" s="191"/>
      <c r="H289" s="191"/>
      <c r="I289" s="191"/>
      <c r="J289" s="191"/>
      <c r="K289" s="555"/>
      <c r="L289" s="556"/>
      <c r="M289" s="556"/>
      <c r="N289" s="556"/>
      <c r="O289" s="556"/>
      <c r="P289" s="556"/>
      <c r="Q289" s="556"/>
      <c r="R289" s="556"/>
      <c r="S289" s="556"/>
      <c r="T289" s="556"/>
      <c r="U289" s="556"/>
      <c r="V289" s="556"/>
      <c r="W289" s="556"/>
      <c r="X289" s="556"/>
    </row>
    <row r="290" spans="2:24">
      <c r="B290" s="63" t="str">
        <f t="shared" ref="B290:C304" si="158">IF(ISBLANK(B269),"",B269)</f>
        <v/>
      </c>
      <c r="C290" s="63" t="str">
        <f t="shared" si="158"/>
        <v/>
      </c>
      <c r="D290" s="102"/>
      <c r="E290" s="102"/>
      <c r="F290" s="102"/>
      <c r="G290" s="102"/>
      <c r="H290" s="102"/>
      <c r="I290" s="102"/>
      <c r="J290" s="202" t="str" cm="1">
        <f t="array" ref="J290">IF(J269="wstaw dane","",IF(OR(ISBLANK(F269)=TRUE,ISBLANK(G269)=TRUE),"uzupełnij dane",IF(OR((AND(F269="nie",SUMPRODUCT(ISNUMBER(K290:X290)*1)&gt;0)),AND(F269=tak,G269=nie,SUMPRODUCT(ISNUMBER(K290:X290)*1)&gt;0)),"usuń % dotacji",IF(AND(F269=tak,G269=tak,SUMPRODUCT(ISNUMBER(K290:X290)*1)=0),"wstaw % dotacji","ok"))))</f>
        <v/>
      </c>
      <c r="K290" s="407"/>
      <c r="L290" s="407"/>
      <c r="M290" s="407"/>
      <c r="N290" s="407"/>
      <c r="O290" s="407"/>
      <c r="P290" s="407"/>
      <c r="Q290" s="407"/>
      <c r="R290" s="407"/>
      <c r="S290" s="407"/>
      <c r="T290" s="407"/>
      <c r="U290" s="407"/>
      <c r="V290" s="407"/>
      <c r="W290" s="407"/>
      <c r="X290" s="407"/>
    </row>
    <row r="291" spans="2:24">
      <c r="B291" s="63" t="str">
        <f t="shared" si="158"/>
        <v/>
      </c>
      <c r="C291" s="63" t="str">
        <f t="shared" si="158"/>
        <v/>
      </c>
      <c r="D291" s="52"/>
      <c r="E291" s="52"/>
      <c r="F291" s="52"/>
      <c r="G291" s="52"/>
      <c r="H291" s="52"/>
      <c r="I291" s="52"/>
      <c r="J291" s="203" t="str" cm="1">
        <f t="array" ref="J291">IF(J270="wstaw dane","",IF(OR(ISBLANK(F270)=TRUE,ISBLANK(G270)=TRUE),"uzupełnij dane",IF(OR((AND(F270="nie",SUMPRODUCT(ISNUMBER(K291:X291)*1)&gt;0)),AND(F270=tak,G270=nie,SUMPRODUCT(ISNUMBER(K291:X291)*1)&gt;0)),"usuń % dotacji",IF(AND(F270=tak,G270=tak,SUMPRODUCT(ISNUMBER(K291:X291)*1)=0),"wstaw % dotacji","ok"))))</f>
        <v/>
      </c>
      <c r="K291" s="408"/>
      <c r="L291" s="408"/>
      <c r="M291" s="408"/>
      <c r="N291" s="408"/>
      <c r="O291" s="408"/>
      <c r="P291" s="408"/>
      <c r="Q291" s="408"/>
      <c r="R291" s="408"/>
      <c r="S291" s="408"/>
      <c r="T291" s="408"/>
      <c r="U291" s="408"/>
      <c r="V291" s="408"/>
      <c r="W291" s="408"/>
      <c r="X291" s="408"/>
    </row>
    <row r="292" spans="2:24">
      <c r="B292" s="63" t="str">
        <f t="shared" si="158"/>
        <v/>
      </c>
      <c r="C292" s="63" t="str">
        <f t="shared" si="158"/>
        <v/>
      </c>
      <c r="D292" s="52"/>
      <c r="E292" s="52"/>
      <c r="F292" s="52"/>
      <c r="G292" s="52"/>
      <c r="H292" s="52"/>
      <c r="I292" s="52"/>
      <c r="J292" s="203" t="str" cm="1">
        <f t="array" ref="J292">IF(J271="wstaw dane","",IF(OR(ISBLANK(F271)=TRUE,ISBLANK(G271)=TRUE),"uzupełnij dane",IF(OR((AND(F271="nie",SUMPRODUCT(ISNUMBER(K292:X292)*1)&gt;0)),AND(F271=tak,G271=nie,SUMPRODUCT(ISNUMBER(K292:X292)*1)&gt;0)),"usuń % dotacji",IF(AND(F271=tak,G271=tak,SUMPRODUCT(ISNUMBER(K292:X292)*1)=0),"wstaw % dotacji","ok"))))</f>
        <v/>
      </c>
      <c r="K292" s="408"/>
      <c r="L292" s="408"/>
      <c r="M292" s="408"/>
      <c r="N292" s="408"/>
      <c r="O292" s="408"/>
      <c r="P292" s="408"/>
      <c r="Q292" s="408"/>
      <c r="R292" s="408"/>
      <c r="S292" s="408"/>
      <c r="T292" s="408"/>
      <c r="U292" s="408"/>
      <c r="V292" s="408"/>
      <c r="W292" s="408"/>
      <c r="X292" s="408"/>
    </row>
    <row r="293" spans="2:24">
      <c r="B293" s="63" t="str">
        <f t="shared" si="158"/>
        <v/>
      </c>
      <c r="C293" s="63" t="str">
        <f t="shared" si="158"/>
        <v/>
      </c>
      <c r="D293" s="52"/>
      <c r="E293" s="52"/>
      <c r="F293" s="52"/>
      <c r="G293" s="52"/>
      <c r="H293" s="52"/>
      <c r="I293" s="52"/>
      <c r="J293" s="203" t="str" cm="1">
        <f t="array" ref="J293">IF(J272="wstaw dane","",IF(OR(ISBLANK(F272)=TRUE,ISBLANK(G272)=TRUE),"uzupełnij dane",IF(OR((AND(F272="nie",SUMPRODUCT(ISNUMBER(K293:X293)*1)&gt;0)),AND(F272=tak,G272=nie,SUMPRODUCT(ISNUMBER(K293:X293)*1)&gt;0)),"usuń % dotacji",IF(AND(F272=tak,G272=tak,SUMPRODUCT(ISNUMBER(K293:X293)*1)=0),"wstaw % dotacji","ok"))))</f>
        <v/>
      </c>
      <c r="K293" s="408"/>
      <c r="L293" s="408"/>
      <c r="M293" s="408"/>
      <c r="N293" s="408"/>
      <c r="O293" s="408"/>
      <c r="P293" s="408"/>
      <c r="Q293" s="408"/>
      <c r="R293" s="408"/>
      <c r="S293" s="408"/>
      <c r="T293" s="408"/>
      <c r="U293" s="408"/>
      <c r="V293" s="408"/>
      <c r="W293" s="408"/>
      <c r="X293" s="408"/>
    </row>
    <row r="294" spans="2:24">
      <c r="B294" s="63" t="str">
        <f t="shared" si="158"/>
        <v/>
      </c>
      <c r="C294" s="63" t="str">
        <f t="shared" si="158"/>
        <v/>
      </c>
      <c r="D294" s="52"/>
      <c r="E294" s="52"/>
      <c r="F294" s="52"/>
      <c r="G294" s="52"/>
      <c r="H294" s="52"/>
      <c r="I294" s="52"/>
      <c r="J294" s="203" t="str" cm="1">
        <f t="array" ref="J294">IF(J273="wstaw dane","",IF(OR(ISBLANK(F273)=TRUE,ISBLANK(G273)=TRUE),"uzupełnij dane",IF(OR((AND(F273="nie",SUMPRODUCT(ISNUMBER(K294:X294)*1)&gt;0)),AND(F273=tak,G273=nie,SUMPRODUCT(ISNUMBER(K294:X294)*1)&gt;0)),"usuń % dotacji",IF(AND(F273=tak,G273=tak,SUMPRODUCT(ISNUMBER(K294:X294)*1)=0),"wstaw % dotacji","ok"))))</f>
        <v/>
      </c>
      <c r="K294" s="408"/>
      <c r="L294" s="408"/>
      <c r="M294" s="408"/>
      <c r="N294" s="408"/>
      <c r="O294" s="408"/>
      <c r="P294" s="408"/>
      <c r="Q294" s="408"/>
      <c r="R294" s="408"/>
      <c r="S294" s="408"/>
      <c r="T294" s="408"/>
      <c r="U294" s="408"/>
      <c r="V294" s="408"/>
      <c r="W294" s="408"/>
      <c r="X294" s="408"/>
    </row>
    <row r="295" spans="2:24">
      <c r="B295" s="63" t="str">
        <f t="shared" si="158"/>
        <v/>
      </c>
      <c r="C295" s="63" t="str">
        <f t="shared" si="158"/>
        <v/>
      </c>
      <c r="D295" s="52"/>
      <c r="E295" s="52"/>
      <c r="F295" s="52"/>
      <c r="G295" s="52"/>
      <c r="H295" s="52"/>
      <c r="I295" s="52"/>
      <c r="J295" s="203" t="str" cm="1">
        <f t="array" ref="J295">IF(J274="wstaw dane","",IF(OR(ISBLANK(F274)=TRUE,ISBLANK(G274)=TRUE),"uzupełnij dane",IF(OR((AND(F274="nie",SUMPRODUCT(ISNUMBER(K295:X295)*1)&gt;0)),AND(F274=tak,G274=nie,SUMPRODUCT(ISNUMBER(K295:X295)*1)&gt;0)),"usuń % dotacji",IF(AND(F274=tak,G274=tak,SUMPRODUCT(ISNUMBER(K295:X295)*1)=0),"wstaw % dotacji","ok"))))</f>
        <v/>
      </c>
      <c r="K295" s="408"/>
      <c r="L295" s="408"/>
      <c r="M295" s="408"/>
      <c r="N295" s="408"/>
      <c r="O295" s="408"/>
      <c r="P295" s="408"/>
      <c r="Q295" s="408"/>
      <c r="R295" s="408"/>
      <c r="S295" s="408"/>
      <c r="T295" s="408"/>
      <c r="U295" s="408"/>
      <c r="V295" s="408"/>
      <c r="W295" s="408"/>
      <c r="X295" s="408"/>
    </row>
    <row r="296" spans="2:24">
      <c r="B296" s="63" t="str">
        <f t="shared" si="158"/>
        <v/>
      </c>
      <c r="C296" s="63" t="str">
        <f t="shared" si="158"/>
        <v/>
      </c>
      <c r="D296" s="52"/>
      <c r="E296" s="52"/>
      <c r="F296" s="52"/>
      <c r="G296" s="52"/>
      <c r="H296" s="52"/>
      <c r="I296" s="52"/>
      <c r="J296" s="203" t="str" cm="1">
        <f t="array" ref="J296">IF(J275="wstaw dane","",IF(OR(ISBLANK(F275)=TRUE,ISBLANK(G275)=TRUE),"uzupełnij dane",IF(OR((AND(F275="nie",SUMPRODUCT(ISNUMBER(K296:X296)*1)&gt;0)),AND(F275=tak,G275=nie,SUMPRODUCT(ISNUMBER(K296:X296)*1)&gt;0)),"usuń % dotacji",IF(AND(F275=tak,G275=tak,SUMPRODUCT(ISNUMBER(K296:X296)*1)=0),"wstaw % dotacji","ok"))))</f>
        <v/>
      </c>
      <c r="K296" s="408"/>
      <c r="L296" s="408"/>
      <c r="M296" s="408"/>
      <c r="N296" s="408"/>
      <c r="O296" s="408"/>
      <c r="P296" s="408"/>
      <c r="Q296" s="408"/>
      <c r="R296" s="408"/>
      <c r="S296" s="408"/>
      <c r="T296" s="408"/>
      <c r="U296" s="408"/>
      <c r="V296" s="408"/>
      <c r="W296" s="408"/>
      <c r="X296" s="408"/>
    </row>
    <row r="297" spans="2:24">
      <c r="B297" s="63" t="str">
        <f t="shared" si="158"/>
        <v/>
      </c>
      <c r="C297" s="63" t="str">
        <f t="shared" si="158"/>
        <v/>
      </c>
      <c r="D297" s="52"/>
      <c r="E297" s="52"/>
      <c r="F297" s="52"/>
      <c r="G297" s="52"/>
      <c r="H297" s="52"/>
      <c r="I297" s="52"/>
      <c r="J297" s="203" t="str" cm="1">
        <f t="array" ref="J297">IF(J276="wstaw dane","",IF(OR(ISBLANK(F276)=TRUE,ISBLANK(G276)=TRUE),"uzupełnij dane",IF(OR((AND(F276="nie",SUMPRODUCT(ISNUMBER(K297:X297)*1)&gt;0)),AND(F276=tak,G276=nie,SUMPRODUCT(ISNUMBER(K297:X297)*1)&gt;0)),"usuń % dotacji",IF(AND(F276=tak,G276=tak,SUMPRODUCT(ISNUMBER(K297:X297)*1)=0),"wstaw % dotacji","ok"))))</f>
        <v/>
      </c>
      <c r="K297" s="408"/>
      <c r="L297" s="408"/>
      <c r="M297" s="408"/>
      <c r="N297" s="408"/>
      <c r="O297" s="408"/>
      <c r="P297" s="408"/>
      <c r="Q297" s="408"/>
      <c r="R297" s="408"/>
      <c r="S297" s="408"/>
      <c r="T297" s="408"/>
      <c r="U297" s="408"/>
      <c r="V297" s="408"/>
      <c r="W297" s="408"/>
      <c r="X297" s="408"/>
    </row>
    <row r="298" spans="2:24">
      <c r="B298" s="63" t="str">
        <f t="shared" si="158"/>
        <v/>
      </c>
      <c r="C298" s="63" t="str">
        <f t="shared" si="158"/>
        <v/>
      </c>
      <c r="D298" s="52"/>
      <c r="E298" s="52"/>
      <c r="F298" s="52"/>
      <c r="G298" s="52"/>
      <c r="H298" s="52"/>
      <c r="I298" s="52"/>
      <c r="J298" s="203" t="str" cm="1">
        <f t="array" ref="J298">IF(J277="wstaw dane","",IF(OR(ISBLANK(F277)=TRUE,ISBLANK(G277)=TRUE),"uzupełnij dane",IF(OR((AND(F277="nie",SUMPRODUCT(ISNUMBER(K298:X298)*1)&gt;0)),AND(F277=tak,G277=nie,SUMPRODUCT(ISNUMBER(K298:X298)*1)&gt;0)),"usuń % dotacji",IF(AND(F277=tak,G277=tak,SUMPRODUCT(ISNUMBER(K298:X298)*1)=0),"wstaw % dotacji","ok"))))</f>
        <v/>
      </c>
      <c r="K298" s="408"/>
      <c r="L298" s="408"/>
      <c r="M298" s="408"/>
      <c r="N298" s="408"/>
      <c r="O298" s="408"/>
      <c r="P298" s="408"/>
      <c r="Q298" s="408"/>
      <c r="R298" s="408"/>
      <c r="S298" s="408"/>
      <c r="T298" s="408"/>
      <c r="U298" s="408"/>
      <c r="V298" s="408"/>
      <c r="W298" s="408"/>
      <c r="X298" s="408"/>
    </row>
    <row r="299" spans="2:24">
      <c r="B299" s="63" t="str">
        <f t="shared" si="158"/>
        <v/>
      </c>
      <c r="C299" s="63" t="str">
        <f t="shared" si="158"/>
        <v/>
      </c>
      <c r="D299" s="52"/>
      <c r="E299" s="52"/>
      <c r="F299" s="52"/>
      <c r="G299" s="52"/>
      <c r="H299" s="52"/>
      <c r="I299" s="52"/>
      <c r="J299" s="203" t="str" cm="1">
        <f t="array" ref="J299">IF(J278="wstaw dane","",IF(OR(ISBLANK(F278)=TRUE,ISBLANK(G278)=TRUE),"uzupełnij dane",IF(OR((AND(F278="nie",SUMPRODUCT(ISNUMBER(K299:X299)*1)&gt;0)),AND(F278=tak,G278=nie,SUMPRODUCT(ISNUMBER(K299:X299)*1)&gt;0)),"usuń % dotacji",IF(AND(F278=tak,G278=tak,SUMPRODUCT(ISNUMBER(K299:X299)*1)=0),"wstaw % dotacji","ok"))))</f>
        <v/>
      </c>
      <c r="K299" s="408"/>
      <c r="L299" s="408"/>
      <c r="M299" s="408"/>
      <c r="N299" s="408"/>
      <c r="O299" s="408"/>
      <c r="P299" s="408"/>
      <c r="Q299" s="408"/>
      <c r="R299" s="408"/>
      <c r="S299" s="408"/>
      <c r="T299" s="408"/>
      <c r="U299" s="408"/>
      <c r="V299" s="408"/>
      <c r="W299" s="408"/>
      <c r="X299" s="408"/>
    </row>
    <row r="300" spans="2:24">
      <c r="B300" s="63" t="str">
        <f t="shared" si="158"/>
        <v/>
      </c>
      <c r="C300" s="63" t="str">
        <f t="shared" si="158"/>
        <v/>
      </c>
      <c r="D300" s="52"/>
      <c r="E300" s="52"/>
      <c r="F300" s="52"/>
      <c r="G300" s="52"/>
      <c r="H300" s="52"/>
      <c r="I300" s="52"/>
      <c r="J300" s="203" t="str" cm="1">
        <f t="array" ref="J300">IF(J279="wstaw dane","",IF(OR(ISBLANK(F279)=TRUE,ISBLANK(G279)=TRUE),"uzupełnij dane",IF(OR((AND(F279="nie",SUMPRODUCT(ISNUMBER(K300:X300)*1)&gt;0)),AND(F279=tak,G279=nie,SUMPRODUCT(ISNUMBER(K300:X300)*1)&gt;0)),"usuń % dotacji",IF(AND(F279=tak,G279=tak,SUMPRODUCT(ISNUMBER(K300:X300)*1)=0),"wstaw % dotacji","ok"))))</f>
        <v/>
      </c>
      <c r="K300" s="408"/>
      <c r="L300" s="408"/>
      <c r="M300" s="408"/>
      <c r="N300" s="408"/>
      <c r="O300" s="408"/>
      <c r="P300" s="408"/>
      <c r="Q300" s="408"/>
      <c r="R300" s="408"/>
      <c r="S300" s="408"/>
      <c r="T300" s="408"/>
      <c r="U300" s="408"/>
      <c r="V300" s="408"/>
      <c r="W300" s="408"/>
      <c r="X300" s="408"/>
    </row>
    <row r="301" spans="2:24">
      <c r="B301" s="63" t="str">
        <f t="shared" si="158"/>
        <v/>
      </c>
      <c r="C301" s="63" t="str">
        <f t="shared" si="158"/>
        <v/>
      </c>
      <c r="D301" s="52"/>
      <c r="E301" s="52"/>
      <c r="F301" s="52"/>
      <c r="G301" s="52"/>
      <c r="H301" s="52"/>
      <c r="I301" s="52"/>
      <c r="J301" s="203" t="str" cm="1">
        <f t="array" ref="J301">IF(J280="wstaw dane","",IF(OR(ISBLANK(F280)=TRUE,ISBLANK(G280)=TRUE),"uzupełnij dane",IF(OR((AND(F280="nie",SUMPRODUCT(ISNUMBER(K301:X301)*1)&gt;0)),AND(F280=tak,G280=nie,SUMPRODUCT(ISNUMBER(K301:X301)*1)&gt;0)),"usuń % dotacji",IF(AND(F280=tak,G280=tak,SUMPRODUCT(ISNUMBER(K301:X301)*1)=0),"wstaw % dotacji","ok"))))</f>
        <v/>
      </c>
      <c r="K301" s="408"/>
      <c r="L301" s="408"/>
      <c r="M301" s="408"/>
      <c r="N301" s="408"/>
      <c r="O301" s="408"/>
      <c r="P301" s="408"/>
      <c r="Q301" s="408"/>
      <c r="R301" s="408"/>
      <c r="S301" s="408"/>
      <c r="T301" s="408"/>
      <c r="U301" s="408"/>
      <c r="V301" s="408"/>
      <c r="W301" s="408"/>
      <c r="X301" s="408"/>
    </row>
    <row r="302" spans="2:24">
      <c r="B302" s="63" t="str">
        <f t="shared" si="158"/>
        <v/>
      </c>
      <c r="C302" s="63" t="str">
        <f t="shared" si="158"/>
        <v/>
      </c>
      <c r="D302" s="52"/>
      <c r="E302" s="52"/>
      <c r="F302" s="52"/>
      <c r="G302" s="52"/>
      <c r="H302" s="52"/>
      <c r="I302" s="52"/>
      <c r="J302" s="203" t="str" cm="1">
        <f t="array" ref="J302">IF(J281="wstaw dane","",IF(OR(ISBLANK(F281)=TRUE,ISBLANK(G281)=TRUE),"uzupełnij dane",IF(OR((AND(F281="nie",SUMPRODUCT(ISNUMBER(K302:X302)*1)&gt;0)),AND(F281=tak,G281=nie,SUMPRODUCT(ISNUMBER(K302:X302)*1)&gt;0)),"usuń % dotacji",IF(AND(F281=tak,G281=tak,SUMPRODUCT(ISNUMBER(K302:X302)*1)=0),"wstaw % dotacji","ok"))))</f>
        <v/>
      </c>
      <c r="K302" s="408"/>
      <c r="L302" s="408"/>
      <c r="M302" s="408"/>
      <c r="N302" s="408"/>
      <c r="O302" s="408"/>
      <c r="P302" s="408"/>
      <c r="Q302" s="408"/>
      <c r="R302" s="408"/>
      <c r="S302" s="408"/>
      <c r="T302" s="408"/>
      <c r="U302" s="408"/>
      <c r="V302" s="408"/>
      <c r="W302" s="408"/>
      <c r="X302" s="408"/>
    </row>
    <row r="303" spans="2:24">
      <c r="B303" s="63" t="str">
        <f t="shared" si="158"/>
        <v/>
      </c>
      <c r="C303" s="63" t="str">
        <f t="shared" si="158"/>
        <v/>
      </c>
      <c r="D303" s="52"/>
      <c r="E303" s="52"/>
      <c r="F303" s="52"/>
      <c r="G303" s="52"/>
      <c r="H303" s="52"/>
      <c r="I303" s="52"/>
      <c r="J303" s="203" t="str" cm="1">
        <f t="array" ref="J303">IF(J282="wstaw dane","",IF(OR(ISBLANK(F282)=TRUE,ISBLANK(G282)=TRUE),"uzupełnij dane",IF(OR((AND(F282="nie",SUMPRODUCT(ISNUMBER(K303:X303)*1)&gt;0)),AND(F282=tak,G282=nie,SUMPRODUCT(ISNUMBER(K303:X303)*1)&gt;0)),"usuń % dotacji",IF(AND(F282=tak,G282=tak,SUMPRODUCT(ISNUMBER(K303:X303)*1)=0),"wstaw % dotacji","ok"))))</f>
        <v/>
      </c>
      <c r="K303" s="408"/>
      <c r="L303" s="408"/>
      <c r="M303" s="408"/>
      <c r="N303" s="408"/>
      <c r="O303" s="408"/>
      <c r="P303" s="408"/>
      <c r="Q303" s="408"/>
      <c r="R303" s="408"/>
      <c r="S303" s="408"/>
      <c r="T303" s="408"/>
      <c r="U303" s="408"/>
      <c r="V303" s="408"/>
      <c r="W303" s="408"/>
      <c r="X303" s="408"/>
    </row>
    <row r="304" spans="2:24">
      <c r="B304" s="63" t="str">
        <f t="shared" si="158"/>
        <v/>
      </c>
      <c r="C304" s="63" t="str">
        <f t="shared" si="158"/>
        <v/>
      </c>
      <c r="D304" s="52"/>
      <c r="E304" s="52"/>
      <c r="F304" s="52"/>
      <c r="G304" s="52"/>
      <c r="H304" s="52"/>
      <c r="I304" s="52"/>
      <c r="J304" s="203" t="str" cm="1">
        <f t="array" ref="J304">IF(J283="wstaw dane","",IF(OR(ISBLANK(F283)=TRUE,ISBLANK(G283)=TRUE),"uzupełnij dane",IF(OR((AND(F283="nie",SUMPRODUCT(ISNUMBER(K304:X304)*1)&gt;0)),AND(F283=tak,G283=nie,SUMPRODUCT(ISNUMBER(K304:X304)*1)&gt;0)),"usuń % dotacji",IF(AND(F283=tak,G283=tak,SUMPRODUCT(ISNUMBER(K304:X304)*1)=0),"wstaw % dotacji","ok"))))</f>
        <v/>
      </c>
      <c r="K304" s="408"/>
      <c r="L304" s="408"/>
      <c r="M304" s="408"/>
      <c r="N304" s="408"/>
      <c r="O304" s="408"/>
      <c r="P304" s="408"/>
      <c r="Q304" s="408"/>
      <c r="R304" s="408"/>
      <c r="S304" s="408"/>
      <c r="T304" s="408"/>
      <c r="U304" s="408"/>
      <c r="V304" s="408"/>
      <c r="W304" s="408"/>
      <c r="X304" s="408"/>
    </row>
    <row r="305" spans="2:24"/>
    <row r="306" spans="2:24">
      <c r="B306" s="189" t="s">
        <v>681</v>
      </c>
      <c r="C306" s="396"/>
      <c r="D306" s="190"/>
      <c r="E306" s="191"/>
      <c r="F306" s="191"/>
      <c r="G306" s="191"/>
      <c r="H306" s="191"/>
      <c r="I306" s="191"/>
      <c r="J306" s="191"/>
      <c r="K306" s="555"/>
      <c r="L306" s="556"/>
      <c r="M306" s="556"/>
      <c r="N306" s="556"/>
      <c r="O306" s="556"/>
      <c r="P306" s="556"/>
      <c r="Q306" s="556"/>
      <c r="R306" s="556"/>
      <c r="S306" s="556"/>
      <c r="T306" s="556"/>
      <c r="U306" s="556"/>
      <c r="V306" s="556"/>
      <c r="W306" s="556"/>
      <c r="X306" s="556"/>
    </row>
    <row r="307" spans="2:24">
      <c r="B307" s="63" t="str">
        <f t="shared" ref="B307:C321" si="159">B290</f>
        <v/>
      </c>
      <c r="C307" s="63" t="str">
        <f t="shared" si="159"/>
        <v/>
      </c>
      <c r="D307" s="102"/>
      <c r="E307" s="102"/>
      <c r="F307" s="102"/>
      <c r="G307" s="102"/>
      <c r="H307" s="102"/>
      <c r="I307" s="102"/>
      <c r="J307" s="202" t="str">
        <f>J290</f>
        <v/>
      </c>
      <c r="K307" s="103">
        <f t="shared" ref="K307:X307" si="160">IF(ISBLANK(K290),0,K1283)</f>
        <v>0</v>
      </c>
      <c r="L307" s="103">
        <f t="shared" si="160"/>
        <v>0</v>
      </c>
      <c r="M307" s="103">
        <f t="shared" si="160"/>
        <v>0</v>
      </c>
      <c r="N307" s="103">
        <f t="shared" si="160"/>
        <v>0</v>
      </c>
      <c r="O307" s="103">
        <f t="shared" si="160"/>
        <v>0</v>
      </c>
      <c r="P307" s="103">
        <f t="shared" si="160"/>
        <v>0</v>
      </c>
      <c r="Q307" s="103">
        <f t="shared" si="160"/>
        <v>0</v>
      </c>
      <c r="R307" s="103">
        <f t="shared" si="160"/>
        <v>0</v>
      </c>
      <c r="S307" s="103">
        <f t="shared" si="160"/>
        <v>0</v>
      </c>
      <c r="T307" s="103">
        <f t="shared" si="160"/>
        <v>0</v>
      </c>
      <c r="U307" s="103">
        <f t="shared" si="160"/>
        <v>0</v>
      </c>
      <c r="V307" s="103">
        <f t="shared" si="160"/>
        <v>0</v>
      </c>
      <c r="W307" s="103">
        <f t="shared" si="160"/>
        <v>0</v>
      </c>
      <c r="X307" s="103">
        <f t="shared" si="160"/>
        <v>0</v>
      </c>
    </row>
    <row r="308" spans="2:24">
      <c r="B308" s="63" t="str">
        <f t="shared" si="159"/>
        <v/>
      </c>
      <c r="C308" s="63" t="str">
        <f t="shared" si="159"/>
        <v/>
      </c>
      <c r="D308" s="52"/>
      <c r="E308" s="52"/>
      <c r="F308" s="52"/>
      <c r="G308" s="52"/>
      <c r="H308" s="52"/>
      <c r="I308" s="52"/>
      <c r="J308" s="203" t="str">
        <f t="shared" ref="J308:J321" si="161">J291</f>
        <v/>
      </c>
      <c r="K308" s="33">
        <f t="shared" ref="K308:X308" si="162">IF(ISBLANK(K291),0,K1290)</f>
        <v>0</v>
      </c>
      <c r="L308" s="33">
        <f t="shared" si="162"/>
        <v>0</v>
      </c>
      <c r="M308" s="33">
        <f t="shared" si="162"/>
        <v>0</v>
      </c>
      <c r="N308" s="33">
        <f t="shared" si="162"/>
        <v>0</v>
      </c>
      <c r="O308" s="33">
        <f t="shared" si="162"/>
        <v>0</v>
      </c>
      <c r="P308" s="33">
        <f t="shared" si="162"/>
        <v>0</v>
      </c>
      <c r="Q308" s="33">
        <f t="shared" si="162"/>
        <v>0</v>
      </c>
      <c r="R308" s="33">
        <f t="shared" si="162"/>
        <v>0</v>
      </c>
      <c r="S308" s="33">
        <f t="shared" si="162"/>
        <v>0</v>
      </c>
      <c r="T308" s="33">
        <f t="shared" si="162"/>
        <v>0</v>
      </c>
      <c r="U308" s="33">
        <f t="shared" si="162"/>
        <v>0</v>
      </c>
      <c r="V308" s="33">
        <f t="shared" si="162"/>
        <v>0</v>
      </c>
      <c r="W308" s="33">
        <f t="shared" si="162"/>
        <v>0</v>
      </c>
      <c r="X308" s="33">
        <f t="shared" si="162"/>
        <v>0</v>
      </c>
    </row>
    <row r="309" spans="2:24">
      <c r="B309" s="63" t="str">
        <f t="shared" si="159"/>
        <v/>
      </c>
      <c r="C309" s="63" t="str">
        <f t="shared" si="159"/>
        <v/>
      </c>
      <c r="D309" s="52"/>
      <c r="E309" s="52"/>
      <c r="F309" s="52"/>
      <c r="G309" s="52"/>
      <c r="H309" s="52"/>
      <c r="I309" s="52"/>
      <c r="J309" s="203" t="str">
        <f t="shared" si="161"/>
        <v/>
      </c>
      <c r="K309" s="33">
        <f t="shared" ref="K309:X309" si="163">IF(ISBLANK(K292),0,K1297)</f>
        <v>0</v>
      </c>
      <c r="L309" s="33">
        <f t="shared" si="163"/>
        <v>0</v>
      </c>
      <c r="M309" s="33">
        <f t="shared" si="163"/>
        <v>0</v>
      </c>
      <c r="N309" s="33">
        <f t="shared" si="163"/>
        <v>0</v>
      </c>
      <c r="O309" s="33">
        <f t="shared" si="163"/>
        <v>0</v>
      </c>
      <c r="P309" s="33">
        <f t="shared" si="163"/>
        <v>0</v>
      </c>
      <c r="Q309" s="33">
        <f t="shared" si="163"/>
        <v>0</v>
      </c>
      <c r="R309" s="33">
        <f t="shared" si="163"/>
        <v>0</v>
      </c>
      <c r="S309" s="33">
        <f t="shared" si="163"/>
        <v>0</v>
      </c>
      <c r="T309" s="33">
        <f t="shared" si="163"/>
        <v>0</v>
      </c>
      <c r="U309" s="33">
        <f t="shared" si="163"/>
        <v>0</v>
      </c>
      <c r="V309" s="33">
        <f t="shared" si="163"/>
        <v>0</v>
      </c>
      <c r="W309" s="33">
        <f t="shared" si="163"/>
        <v>0</v>
      </c>
      <c r="X309" s="33">
        <f t="shared" si="163"/>
        <v>0</v>
      </c>
    </row>
    <row r="310" spans="2:24">
      <c r="B310" s="63" t="str">
        <f t="shared" si="159"/>
        <v/>
      </c>
      <c r="C310" s="63" t="str">
        <f t="shared" si="159"/>
        <v/>
      </c>
      <c r="D310" s="52"/>
      <c r="E310" s="52"/>
      <c r="F310" s="52"/>
      <c r="G310" s="52"/>
      <c r="H310" s="52"/>
      <c r="I310" s="52"/>
      <c r="J310" s="203" t="str">
        <f t="shared" si="161"/>
        <v/>
      </c>
      <c r="K310" s="33">
        <f t="shared" ref="K310:X310" si="164">IF(ISBLANK(K293),0,K1304)</f>
        <v>0</v>
      </c>
      <c r="L310" s="33">
        <f t="shared" si="164"/>
        <v>0</v>
      </c>
      <c r="M310" s="33">
        <f t="shared" si="164"/>
        <v>0</v>
      </c>
      <c r="N310" s="33">
        <f t="shared" si="164"/>
        <v>0</v>
      </c>
      <c r="O310" s="33">
        <f t="shared" si="164"/>
        <v>0</v>
      </c>
      <c r="P310" s="33">
        <f t="shared" si="164"/>
        <v>0</v>
      </c>
      <c r="Q310" s="33">
        <f t="shared" si="164"/>
        <v>0</v>
      </c>
      <c r="R310" s="33">
        <f t="shared" si="164"/>
        <v>0</v>
      </c>
      <c r="S310" s="33">
        <f t="shared" si="164"/>
        <v>0</v>
      </c>
      <c r="T310" s="33">
        <f t="shared" si="164"/>
        <v>0</v>
      </c>
      <c r="U310" s="33">
        <f t="shared" si="164"/>
        <v>0</v>
      </c>
      <c r="V310" s="33">
        <f t="shared" si="164"/>
        <v>0</v>
      </c>
      <c r="W310" s="33">
        <f t="shared" si="164"/>
        <v>0</v>
      </c>
      <c r="X310" s="33">
        <f t="shared" si="164"/>
        <v>0</v>
      </c>
    </row>
    <row r="311" spans="2:24">
      <c r="B311" s="63" t="str">
        <f t="shared" si="159"/>
        <v/>
      </c>
      <c r="C311" s="63" t="str">
        <f t="shared" si="159"/>
        <v/>
      </c>
      <c r="D311" s="52"/>
      <c r="E311" s="52"/>
      <c r="F311" s="52"/>
      <c r="G311" s="52"/>
      <c r="H311" s="52"/>
      <c r="I311" s="52"/>
      <c r="J311" s="203" t="str">
        <f t="shared" si="161"/>
        <v/>
      </c>
      <c r="K311" s="33">
        <f t="shared" ref="K311:X311" si="165">IF(ISBLANK(K294),0,K1311)</f>
        <v>0</v>
      </c>
      <c r="L311" s="33">
        <f t="shared" si="165"/>
        <v>0</v>
      </c>
      <c r="M311" s="33">
        <f t="shared" si="165"/>
        <v>0</v>
      </c>
      <c r="N311" s="33">
        <f t="shared" si="165"/>
        <v>0</v>
      </c>
      <c r="O311" s="33">
        <f t="shared" si="165"/>
        <v>0</v>
      </c>
      <c r="P311" s="33">
        <f t="shared" si="165"/>
        <v>0</v>
      </c>
      <c r="Q311" s="33">
        <f t="shared" si="165"/>
        <v>0</v>
      </c>
      <c r="R311" s="33">
        <f t="shared" si="165"/>
        <v>0</v>
      </c>
      <c r="S311" s="33">
        <f t="shared" si="165"/>
        <v>0</v>
      </c>
      <c r="T311" s="33">
        <f t="shared" si="165"/>
        <v>0</v>
      </c>
      <c r="U311" s="33">
        <f t="shared" si="165"/>
        <v>0</v>
      </c>
      <c r="V311" s="33">
        <f t="shared" si="165"/>
        <v>0</v>
      </c>
      <c r="W311" s="33">
        <f t="shared" si="165"/>
        <v>0</v>
      </c>
      <c r="X311" s="33">
        <f t="shared" si="165"/>
        <v>0</v>
      </c>
    </row>
    <row r="312" spans="2:24">
      <c r="B312" s="63" t="str">
        <f t="shared" si="159"/>
        <v/>
      </c>
      <c r="C312" s="63" t="str">
        <f t="shared" si="159"/>
        <v/>
      </c>
      <c r="D312" s="52"/>
      <c r="E312" s="52"/>
      <c r="F312" s="52"/>
      <c r="G312" s="52"/>
      <c r="H312" s="52"/>
      <c r="I312" s="52"/>
      <c r="J312" s="203" t="str">
        <f t="shared" si="161"/>
        <v/>
      </c>
      <c r="K312" s="33">
        <f t="shared" ref="K312:X312" si="166">IF(ISBLANK(K295),0,K1318)</f>
        <v>0</v>
      </c>
      <c r="L312" s="33">
        <f t="shared" si="166"/>
        <v>0</v>
      </c>
      <c r="M312" s="33">
        <f t="shared" si="166"/>
        <v>0</v>
      </c>
      <c r="N312" s="33">
        <f t="shared" si="166"/>
        <v>0</v>
      </c>
      <c r="O312" s="33">
        <f t="shared" si="166"/>
        <v>0</v>
      </c>
      <c r="P312" s="33">
        <f t="shared" si="166"/>
        <v>0</v>
      </c>
      <c r="Q312" s="33">
        <f t="shared" si="166"/>
        <v>0</v>
      </c>
      <c r="R312" s="33">
        <f t="shared" si="166"/>
        <v>0</v>
      </c>
      <c r="S312" s="33">
        <f t="shared" si="166"/>
        <v>0</v>
      </c>
      <c r="T312" s="33">
        <f t="shared" si="166"/>
        <v>0</v>
      </c>
      <c r="U312" s="33">
        <f t="shared" si="166"/>
        <v>0</v>
      </c>
      <c r="V312" s="33">
        <f t="shared" si="166"/>
        <v>0</v>
      </c>
      <c r="W312" s="33">
        <f t="shared" si="166"/>
        <v>0</v>
      </c>
      <c r="X312" s="33">
        <f t="shared" si="166"/>
        <v>0</v>
      </c>
    </row>
    <row r="313" spans="2:24">
      <c r="B313" s="63" t="str">
        <f t="shared" si="159"/>
        <v/>
      </c>
      <c r="C313" s="63" t="str">
        <f t="shared" si="159"/>
        <v/>
      </c>
      <c r="D313" s="52"/>
      <c r="E313" s="52"/>
      <c r="F313" s="52"/>
      <c r="G313" s="52"/>
      <c r="H313" s="52"/>
      <c r="I313" s="52"/>
      <c r="J313" s="203" t="str">
        <f t="shared" si="161"/>
        <v/>
      </c>
      <c r="K313" s="33">
        <f t="shared" ref="K313:X313" si="167">IF(ISBLANK(K296),0,K1325)</f>
        <v>0</v>
      </c>
      <c r="L313" s="33">
        <f t="shared" si="167"/>
        <v>0</v>
      </c>
      <c r="M313" s="33">
        <f t="shared" si="167"/>
        <v>0</v>
      </c>
      <c r="N313" s="33">
        <f t="shared" si="167"/>
        <v>0</v>
      </c>
      <c r="O313" s="33">
        <f t="shared" si="167"/>
        <v>0</v>
      </c>
      <c r="P313" s="33">
        <f t="shared" si="167"/>
        <v>0</v>
      </c>
      <c r="Q313" s="33">
        <f t="shared" si="167"/>
        <v>0</v>
      </c>
      <c r="R313" s="33">
        <f t="shared" si="167"/>
        <v>0</v>
      </c>
      <c r="S313" s="33">
        <f t="shared" si="167"/>
        <v>0</v>
      </c>
      <c r="T313" s="33">
        <f t="shared" si="167"/>
        <v>0</v>
      </c>
      <c r="U313" s="33">
        <f t="shared" si="167"/>
        <v>0</v>
      </c>
      <c r="V313" s="33">
        <f t="shared" si="167"/>
        <v>0</v>
      </c>
      <c r="W313" s="33">
        <f t="shared" si="167"/>
        <v>0</v>
      </c>
      <c r="X313" s="33">
        <f t="shared" si="167"/>
        <v>0</v>
      </c>
    </row>
    <row r="314" spans="2:24">
      <c r="B314" s="63" t="str">
        <f t="shared" si="159"/>
        <v/>
      </c>
      <c r="C314" s="63" t="str">
        <f t="shared" si="159"/>
        <v/>
      </c>
      <c r="D314" s="52"/>
      <c r="E314" s="52"/>
      <c r="F314" s="52"/>
      <c r="G314" s="52"/>
      <c r="H314" s="52"/>
      <c r="I314" s="52"/>
      <c r="J314" s="203" t="str">
        <f t="shared" si="161"/>
        <v/>
      </c>
      <c r="K314" s="33">
        <f t="shared" ref="K314:X314" si="168">IF(ISBLANK(K297),0,K1332)</f>
        <v>0</v>
      </c>
      <c r="L314" s="33">
        <f t="shared" si="168"/>
        <v>0</v>
      </c>
      <c r="M314" s="33">
        <f t="shared" si="168"/>
        <v>0</v>
      </c>
      <c r="N314" s="33">
        <f t="shared" si="168"/>
        <v>0</v>
      </c>
      <c r="O314" s="33">
        <f t="shared" si="168"/>
        <v>0</v>
      </c>
      <c r="P314" s="33">
        <f t="shared" si="168"/>
        <v>0</v>
      </c>
      <c r="Q314" s="33">
        <f t="shared" si="168"/>
        <v>0</v>
      </c>
      <c r="R314" s="33">
        <f t="shared" si="168"/>
        <v>0</v>
      </c>
      <c r="S314" s="33">
        <f t="shared" si="168"/>
        <v>0</v>
      </c>
      <c r="T314" s="33">
        <f t="shared" si="168"/>
        <v>0</v>
      </c>
      <c r="U314" s="33">
        <f t="shared" si="168"/>
        <v>0</v>
      </c>
      <c r="V314" s="33">
        <f t="shared" si="168"/>
        <v>0</v>
      </c>
      <c r="W314" s="33">
        <f t="shared" si="168"/>
        <v>0</v>
      </c>
      <c r="X314" s="33">
        <f t="shared" si="168"/>
        <v>0</v>
      </c>
    </row>
    <row r="315" spans="2:24">
      <c r="B315" s="63" t="str">
        <f t="shared" si="159"/>
        <v/>
      </c>
      <c r="C315" s="63" t="str">
        <f t="shared" si="159"/>
        <v/>
      </c>
      <c r="D315" s="52"/>
      <c r="E315" s="52"/>
      <c r="F315" s="52"/>
      <c r="G315" s="52"/>
      <c r="H315" s="52"/>
      <c r="I315" s="52"/>
      <c r="J315" s="203" t="str">
        <f t="shared" si="161"/>
        <v/>
      </c>
      <c r="K315" s="33">
        <f t="shared" ref="K315:X315" si="169">IF(ISBLANK(K298),0,K1339)</f>
        <v>0</v>
      </c>
      <c r="L315" s="33">
        <f t="shared" si="169"/>
        <v>0</v>
      </c>
      <c r="M315" s="33">
        <f t="shared" si="169"/>
        <v>0</v>
      </c>
      <c r="N315" s="33">
        <f t="shared" si="169"/>
        <v>0</v>
      </c>
      <c r="O315" s="33">
        <f t="shared" si="169"/>
        <v>0</v>
      </c>
      <c r="P315" s="33">
        <f t="shared" si="169"/>
        <v>0</v>
      </c>
      <c r="Q315" s="33">
        <f t="shared" si="169"/>
        <v>0</v>
      </c>
      <c r="R315" s="33">
        <f t="shared" si="169"/>
        <v>0</v>
      </c>
      <c r="S315" s="33">
        <f t="shared" si="169"/>
        <v>0</v>
      </c>
      <c r="T315" s="33">
        <f t="shared" si="169"/>
        <v>0</v>
      </c>
      <c r="U315" s="33">
        <f t="shared" si="169"/>
        <v>0</v>
      </c>
      <c r="V315" s="33">
        <f t="shared" si="169"/>
        <v>0</v>
      </c>
      <c r="W315" s="33">
        <f t="shared" si="169"/>
        <v>0</v>
      </c>
      <c r="X315" s="33">
        <f t="shared" si="169"/>
        <v>0</v>
      </c>
    </row>
    <row r="316" spans="2:24">
      <c r="B316" s="63" t="str">
        <f t="shared" si="159"/>
        <v/>
      </c>
      <c r="C316" s="63" t="str">
        <f t="shared" si="159"/>
        <v/>
      </c>
      <c r="D316" s="52"/>
      <c r="E316" s="52"/>
      <c r="F316" s="52"/>
      <c r="G316" s="52"/>
      <c r="H316" s="52"/>
      <c r="I316" s="52"/>
      <c r="J316" s="203" t="str">
        <f t="shared" si="161"/>
        <v/>
      </c>
      <c r="K316" s="33">
        <f t="shared" ref="K316:X316" si="170">IF(ISBLANK(K299),0,K1346)</f>
        <v>0</v>
      </c>
      <c r="L316" s="33">
        <f t="shared" si="170"/>
        <v>0</v>
      </c>
      <c r="M316" s="33">
        <f t="shared" si="170"/>
        <v>0</v>
      </c>
      <c r="N316" s="33">
        <f t="shared" si="170"/>
        <v>0</v>
      </c>
      <c r="O316" s="33">
        <f t="shared" si="170"/>
        <v>0</v>
      </c>
      <c r="P316" s="33">
        <f t="shared" si="170"/>
        <v>0</v>
      </c>
      <c r="Q316" s="33">
        <f t="shared" si="170"/>
        <v>0</v>
      </c>
      <c r="R316" s="33">
        <f t="shared" si="170"/>
        <v>0</v>
      </c>
      <c r="S316" s="33">
        <f t="shared" si="170"/>
        <v>0</v>
      </c>
      <c r="T316" s="33">
        <f t="shared" si="170"/>
        <v>0</v>
      </c>
      <c r="U316" s="33">
        <f t="shared" si="170"/>
        <v>0</v>
      </c>
      <c r="V316" s="33">
        <f t="shared" si="170"/>
        <v>0</v>
      </c>
      <c r="W316" s="33">
        <f t="shared" si="170"/>
        <v>0</v>
      </c>
      <c r="X316" s="33">
        <f t="shared" si="170"/>
        <v>0</v>
      </c>
    </row>
    <row r="317" spans="2:24">
      <c r="B317" s="63" t="str">
        <f t="shared" si="159"/>
        <v/>
      </c>
      <c r="C317" s="63" t="str">
        <f t="shared" si="159"/>
        <v/>
      </c>
      <c r="D317" s="52"/>
      <c r="E317" s="52"/>
      <c r="F317" s="52"/>
      <c r="G317" s="52"/>
      <c r="H317" s="52"/>
      <c r="I317" s="52"/>
      <c r="J317" s="203" t="str">
        <f t="shared" si="161"/>
        <v/>
      </c>
      <c r="K317" s="33">
        <f t="shared" ref="K317:X317" si="171">IF(ISBLANK(K300),0,K1353)</f>
        <v>0</v>
      </c>
      <c r="L317" s="33">
        <f t="shared" si="171"/>
        <v>0</v>
      </c>
      <c r="M317" s="33">
        <f t="shared" si="171"/>
        <v>0</v>
      </c>
      <c r="N317" s="33">
        <f t="shared" si="171"/>
        <v>0</v>
      </c>
      <c r="O317" s="33">
        <f t="shared" si="171"/>
        <v>0</v>
      </c>
      <c r="P317" s="33">
        <f t="shared" si="171"/>
        <v>0</v>
      </c>
      <c r="Q317" s="33">
        <f t="shared" si="171"/>
        <v>0</v>
      </c>
      <c r="R317" s="33">
        <f t="shared" si="171"/>
        <v>0</v>
      </c>
      <c r="S317" s="33">
        <f t="shared" si="171"/>
        <v>0</v>
      </c>
      <c r="T317" s="33">
        <f t="shared" si="171"/>
        <v>0</v>
      </c>
      <c r="U317" s="33">
        <f t="shared" si="171"/>
        <v>0</v>
      </c>
      <c r="V317" s="33">
        <f t="shared" si="171"/>
        <v>0</v>
      </c>
      <c r="W317" s="33">
        <f t="shared" si="171"/>
        <v>0</v>
      </c>
      <c r="X317" s="33">
        <f t="shared" si="171"/>
        <v>0</v>
      </c>
    </row>
    <row r="318" spans="2:24">
      <c r="B318" s="63" t="str">
        <f t="shared" si="159"/>
        <v/>
      </c>
      <c r="C318" s="63" t="str">
        <f t="shared" si="159"/>
        <v/>
      </c>
      <c r="D318" s="52"/>
      <c r="E318" s="52"/>
      <c r="F318" s="52"/>
      <c r="G318" s="52"/>
      <c r="H318" s="52"/>
      <c r="I318" s="52"/>
      <c r="J318" s="203" t="str">
        <f t="shared" si="161"/>
        <v/>
      </c>
      <c r="K318" s="33">
        <f t="shared" ref="K318:X318" si="172">IF(ISBLANK(K301),0,K1360)</f>
        <v>0</v>
      </c>
      <c r="L318" s="33">
        <f t="shared" si="172"/>
        <v>0</v>
      </c>
      <c r="M318" s="33">
        <f t="shared" si="172"/>
        <v>0</v>
      </c>
      <c r="N318" s="33">
        <f t="shared" si="172"/>
        <v>0</v>
      </c>
      <c r="O318" s="33">
        <f t="shared" si="172"/>
        <v>0</v>
      </c>
      <c r="P318" s="33">
        <f t="shared" si="172"/>
        <v>0</v>
      </c>
      <c r="Q318" s="33">
        <f t="shared" si="172"/>
        <v>0</v>
      </c>
      <c r="R318" s="33">
        <f t="shared" si="172"/>
        <v>0</v>
      </c>
      <c r="S318" s="33">
        <f t="shared" si="172"/>
        <v>0</v>
      </c>
      <c r="T318" s="33">
        <f t="shared" si="172"/>
        <v>0</v>
      </c>
      <c r="U318" s="33">
        <f t="shared" si="172"/>
        <v>0</v>
      </c>
      <c r="V318" s="33">
        <f t="shared" si="172"/>
        <v>0</v>
      </c>
      <c r="W318" s="33">
        <f t="shared" si="172"/>
        <v>0</v>
      </c>
      <c r="X318" s="33">
        <f t="shared" si="172"/>
        <v>0</v>
      </c>
    </row>
    <row r="319" spans="2:24">
      <c r="B319" s="63" t="str">
        <f t="shared" si="159"/>
        <v/>
      </c>
      <c r="C319" s="63" t="str">
        <f t="shared" si="159"/>
        <v/>
      </c>
      <c r="D319" s="52"/>
      <c r="E319" s="52"/>
      <c r="F319" s="52"/>
      <c r="G319" s="52"/>
      <c r="H319" s="52"/>
      <c r="I319" s="52"/>
      <c r="J319" s="203" t="str">
        <f t="shared" si="161"/>
        <v/>
      </c>
      <c r="K319" s="33">
        <f t="shared" ref="K319:X319" si="173">IF(ISBLANK(K302),0,K1367)</f>
        <v>0</v>
      </c>
      <c r="L319" s="33">
        <f t="shared" si="173"/>
        <v>0</v>
      </c>
      <c r="M319" s="33">
        <f t="shared" si="173"/>
        <v>0</v>
      </c>
      <c r="N319" s="33">
        <f t="shared" si="173"/>
        <v>0</v>
      </c>
      <c r="O319" s="33">
        <f t="shared" si="173"/>
        <v>0</v>
      </c>
      <c r="P319" s="33">
        <f t="shared" si="173"/>
        <v>0</v>
      </c>
      <c r="Q319" s="33">
        <f t="shared" si="173"/>
        <v>0</v>
      </c>
      <c r="R319" s="33">
        <f t="shared" si="173"/>
        <v>0</v>
      </c>
      <c r="S319" s="33">
        <f t="shared" si="173"/>
        <v>0</v>
      </c>
      <c r="T319" s="33">
        <f t="shared" si="173"/>
        <v>0</v>
      </c>
      <c r="U319" s="33">
        <f t="shared" si="173"/>
        <v>0</v>
      </c>
      <c r="V319" s="33">
        <f t="shared" si="173"/>
        <v>0</v>
      </c>
      <c r="W319" s="33">
        <f t="shared" si="173"/>
        <v>0</v>
      </c>
      <c r="X319" s="33">
        <f t="shared" si="173"/>
        <v>0</v>
      </c>
    </row>
    <row r="320" spans="2:24">
      <c r="B320" s="63" t="str">
        <f t="shared" si="159"/>
        <v/>
      </c>
      <c r="C320" s="63" t="str">
        <f t="shared" si="159"/>
        <v/>
      </c>
      <c r="D320" s="52"/>
      <c r="E320" s="52"/>
      <c r="F320" s="52"/>
      <c r="G320" s="52"/>
      <c r="H320" s="52"/>
      <c r="I320" s="52"/>
      <c r="J320" s="203" t="str">
        <f t="shared" si="161"/>
        <v/>
      </c>
      <c r="K320" s="33">
        <f t="shared" ref="K320:X320" si="174">IF(ISBLANK(K303),0,K1374)</f>
        <v>0</v>
      </c>
      <c r="L320" s="33">
        <f t="shared" si="174"/>
        <v>0</v>
      </c>
      <c r="M320" s="33">
        <f t="shared" si="174"/>
        <v>0</v>
      </c>
      <c r="N320" s="33">
        <f t="shared" si="174"/>
        <v>0</v>
      </c>
      <c r="O320" s="33">
        <f t="shared" si="174"/>
        <v>0</v>
      </c>
      <c r="P320" s="33">
        <f t="shared" si="174"/>
        <v>0</v>
      </c>
      <c r="Q320" s="33">
        <f t="shared" si="174"/>
        <v>0</v>
      </c>
      <c r="R320" s="33">
        <f t="shared" si="174"/>
        <v>0</v>
      </c>
      <c r="S320" s="33">
        <f t="shared" si="174"/>
        <v>0</v>
      </c>
      <c r="T320" s="33">
        <f t="shared" si="174"/>
        <v>0</v>
      </c>
      <c r="U320" s="33">
        <f t="shared" si="174"/>
        <v>0</v>
      </c>
      <c r="V320" s="33">
        <f t="shared" si="174"/>
        <v>0</v>
      </c>
      <c r="W320" s="33">
        <f t="shared" si="174"/>
        <v>0</v>
      </c>
      <c r="X320" s="33">
        <f t="shared" si="174"/>
        <v>0</v>
      </c>
    </row>
    <row r="321" spans="2:24">
      <c r="B321" s="63" t="str">
        <f t="shared" si="159"/>
        <v/>
      </c>
      <c r="C321" s="63" t="str">
        <f t="shared" si="159"/>
        <v/>
      </c>
      <c r="D321" s="52"/>
      <c r="E321" s="52"/>
      <c r="F321" s="52"/>
      <c r="G321" s="52"/>
      <c r="H321" s="52"/>
      <c r="I321" s="52"/>
      <c r="J321" s="203" t="str">
        <f t="shared" si="161"/>
        <v/>
      </c>
      <c r="K321" s="33">
        <f t="shared" ref="K321:X321" si="175">IF(ISBLANK(K304),0,K1381)</f>
        <v>0</v>
      </c>
      <c r="L321" s="33">
        <f t="shared" si="175"/>
        <v>0</v>
      </c>
      <c r="M321" s="33">
        <f t="shared" si="175"/>
        <v>0</v>
      </c>
      <c r="N321" s="33">
        <f t="shared" si="175"/>
        <v>0</v>
      </c>
      <c r="O321" s="33">
        <f t="shared" si="175"/>
        <v>0</v>
      </c>
      <c r="P321" s="33">
        <f t="shared" si="175"/>
        <v>0</v>
      </c>
      <c r="Q321" s="33">
        <f t="shared" si="175"/>
        <v>0</v>
      </c>
      <c r="R321" s="33">
        <f t="shared" si="175"/>
        <v>0</v>
      </c>
      <c r="S321" s="33">
        <f t="shared" si="175"/>
        <v>0</v>
      </c>
      <c r="T321" s="33">
        <f t="shared" si="175"/>
        <v>0</v>
      </c>
      <c r="U321" s="33">
        <f t="shared" si="175"/>
        <v>0</v>
      </c>
      <c r="V321" s="33">
        <f t="shared" si="175"/>
        <v>0</v>
      </c>
      <c r="W321" s="33">
        <f t="shared" si="175"/>
        <v>0</v>
      </c>
      <c r="X321" s="33">
        <f t="shared" si="175"/>
        <v>0</v>
      </c>
    </row>
    <row r="322" spans="2:24">
      <c r="B322" s="99" t="s">
        <v>335</v>
      </c>
      <c r="C322" s="99"/>
      <c r="D322" s="98"/>
      <c r="E322" s="200"/>
      <c r="F322" s="97"/>
      <c r="G322" s="98"/>
      <c r="H322" s="97"/>
      <c r="I322" s="97"/>
      <c r="J322" s="97"/>
      <c r="K322" s="98">
        <f t="shared" ref="K322:X322" si="176">SUM(K307:K321)</f>
        <v>0</v>
      </c>
      <c r="L322" s="98">
        <f t="shared" si="176"/>
        <v>0</v>
      </c>
      <c r="M322" s="98">
        <f t="shared" si="176"/>
        <v>0</v>
      </c>
      <c r="N322" s="98">
        <f t="shared" si="176"/>
        <v>0</v>
      </c>
      <c r="O322" s="98">
        <f t="shared" si="176"/>
        <v>0</v>
      </c>
      <c r="P322" s="98">
        <f t="shared" si="176"/>
        <v>0</v>
      </c>
      <c r="Q322" s="98">
        <f t="shared" si="176"/>
        <v>0</v>
      </c>
      <c r="R322" s="98">
        <f t="shared" si="176"/>
        <v>0</v>
      </c>
      <c r="S322" s="98">
        <f t="shared" si="176"/>
        <v>0</v>
      </c>
      <c r="T322" s="98">
        <f t="shared" si="176"/>
        <v>0</v>
      </c>
      <c r="U322" s="98">
        <f t="shared" si="176"/>
        <v>0</v>
      </c>
      <c r="V322" s="98">
        <f t="shared" si="176"/>
        <v>0</v>
      </c>
      <c r="W322" s="98">
        <f t="shared" si="176"/>
        <v>0</v>
      </c>
      <c r="X322" s="98">
        <f t="shared" si="176"/>
        <v>0</v>
      </c>
    </row>
    <row r="323" spans="2:24"/>
    <row r="324" spans="2:24"/>
    <row r="325" spans="2:24" ht="20.399999999999999">
      <c r="B325" s="228" t="s">
        <v>389</v>
      </c>
      <c r="C325" s="229" t="s">
        <v>296</v>
      </c>
      <c r="D325" s="230" t="s">
        <v>406</v>
      </c>
      <c r="E325" s="230" t="s">
        <v>421</v>
      </c>
      <c r="F325" s="230" t="s">
        <v>336</v>
      </c>
      <c r="G325" s="230" t="s">
        <v>781</v>
      </c>
      <c r="H325" s="230" t="s">
        <v>408</v>
      </c>
      <c r="I325" s="230" t="s">
        <v>409</v>
      </c>
      <c r="J325" s="230" t="s">
        <v>423</v>
      </c>
      <c r="K325" s="232" t="str">
        <f t="shared" ref="K325:X325" si="177">LataProjekcji</f>
        <v>Uzupełnij dane</v>
      </c>
      <c r="L325" s="232" t="str">
        <f t="shared" si="177"/>
        <v/>
      </c>
      <c r="M325" s="232" t="str">
        <f t="shared" si="177"/>
        <v/>
      </c>
      <c r="N325" s="232" t="str">
        <f t="shared" si="177"/>
        <v/>
      </c>
      <c r="O325" s="232" t="str">
        <f t="shared" si="177"/>
        <v/>
      </c>
      <c r="P325" s="232" t="str">
        <f t="shared" si="177"/>
        <v/>
      </c>
      <c r="Q325" s="232" t="str">
        <f t="shared" si="177"/>
        <v/>
      </c>
      <c r="R325" s="232" t="str">
        <f t="shared" si="177"/>
        <v/>
      </c>
      <c r="S325" s="232" t="str">
        <f t="shared" si="177"/>
        <v/>
      </c>
      <c r="T325" s="232" t="str">
        <f t="shared" si="177"/>
        <v/>
      </c>
      <c r="U325" s="232" t="str">
        <f t="shared" si="177"/>
        <v/>
      </c>
      <c r="V325" s="232" t="str">
        <f t="shared" si="177"/>
        <v/>
      </c>
      <c r="W325" s="232" t="str">
        <f t="shared" si="177"/>
        <v/>
      </c>
      <c r="X325" s="232" t="str">
        <f t="shared" si="177"/>
        <v/>
      </c>
    </row>
    <row r="326" spans="2:24">
      <c r="B326" s="397"/>
      <c r="C326" s="397"/>
      <c r="D326" s="392"/>
      <c r="E326" s="398"/>
      <c r="F326" s="399"/>
      <c r="G326" s="399"/>
      <c r="H326" s="416"/>
      <c r="I326" s="341">
        <f>IF(AND(F326="tak",G326="tak"),SUM(K344:X344),IF(AND(F326="tak",G326="nie",ISNUMBER(H326)),'Rozliczenie dotacji'!F81,0))</f>
        <v>0</v>
      </c>
      <c r="J326" s="202" t="str" cm="1">
        <f t="array" ref="J326">IF(SUMPRODUCT(ISBLANK(B326:G326)*1)=6,"wstaw dane",IF(AND(SUMPRODUCT(ISBLANK(B326:G326)*1)&gt;0,SUMPRODUCT(ISBLANK(B326:G326)*1)&lt;6),"uzupełnij dane",IF(OR(AND(F326=nie,ISNUMBER(H326)=TRUE),AND(F326=tak,G326=tak,ISNUMBER(H326)=TRUE)),"usuń % dotacji",IF(AND(F326=nie,G326=tak),"popraw dane",IF(AND(F326=tak,G326=nie,ISBLANK(H326)=TRUE),"wstaw % dotacji","ok")))))</f>
        <v>wstaw dane</v>
      </c>
      <c r="K326" s="103">
        <f t="shared" ref="K326:X330" si="178">ROUND(IF(AND(YEAR($E326)=LataProjekcji,$D326&gt;0,$J326="ok"),$D326,0),0)</f>
        <v>0</v>
      </c>
      <c r="L326" s="103">
        <f t="shared" si="178"/>
        <v>0</v>
      </c>
      <c r="M326" s="103">
        <f t="shared" si="178"/>
        <v>0</v>
      </c>
      <c r="N326" s="103">
        <f t="shared" si="178"/>
        <v>0</v>
      </c>
      <c r="O326" s="103">
        <f t="shared" si="178"/>
        <v>0</v>
      </c>
      <c r="P326" s="103">
        <f t="shared" si="178"/>
        <v>0</v>
      </c>
      <c r="Q326" s="103">
        <f t="shared" si="178"/>
        <v>0</v>
      </c>
      <c r="R326" s="103">
        <f t="shared" si="178"/>
        <v>0</v>
      </c>
      <c r="S326" s="103">
        <f t="shared" si="178"/>
        <v>0</v>
      </c>
      <c r="T326" s="103">
        <f t="shared" si="178"/>
        <v>0</v>
      </c>
      <c r="U326" s="103">
        <f t="shared" si="178"/>
        <v>0</v>
      </c>
      <c r="V326" s="103">
        <f t="shared" si="178"/>
        <v>0</v>
      </c>
      <c r="W326" s="103">
        <f t="shared" si="178"/>
        <v>0</v>
      </c>
      <c r="X326" s="103">
        <f t="shared" si="178"/>
        <v>0</v>
      </c>
    </row>
    <row r="327" spans="2:24">
      <c r="B327" s="305"/>
      <c r="C327" s="305"/>
      <c r="D327" s="288"/>
      <c r="E327" s="390"/>
      <c r="F327" s="391"/>
      <c r="G327" s="391"/>
      <c r="H327" s="417"/>
      <c r="I327" s="339">
        <f>IF(AND(F327="tak",G327="tak"),SUM(K345:X345),IF(AND(F327="tak",G327="nie",ISNUMBER(H327)),'Rozliczenie dotacji'!F82,0))</f>
        <v>0</v>
      </c>
      <c r="J327" s="203" t="str" cm="1">
        <f t="array" ref="J327">IF(SUMPRODUCT(ISBLANK(B327:G327)*1)=6,"wstaw dane",IF(AND(SUMPRODUCT(ISBLANK(B327:G327)*1)&gt;0,SUMPRODUCT(ISBLANK(B327:G327)*1)&lt;6),"uzupełnij dane",IF(OR(AND(F327=nie,ISNUMBER(H327)=TRUE),AND(F327=tak,G327=tak,ISNUMBER(H327)=TRUE)),"usuń % dotacji",IF(AND(F327=nie,G327=tak),"popraw dane",IF(AND(F327=tak,G327=nie,ISBLANK(H327)=TRUE),"wstaw % dotacji","ok")))))</f>
        <v>wstaw dane</v>
      </c>
      <c r="K327" s="33">
        <f t="shared" si="178"/>
        <v>0</v>
      </c>
      <c r="L327" s="33">
        <f t="shared" si="178"/>
        <v>0</v>
      </c>
      <c r="M327" s="33">
        <f t="shared" si="178"/>
        <v>0</v>
      </c>
      <c r="N327" s="33">
        <f t="shared" si="178"/>
        <v>0</v>
      </c>
      <c r="O327" s="33">
        <f t="shared" si="178"/>
        <v>0</v>
      </c>
      <c r="P327" s="33">
        <f t="shared" si="178"/>
        <v>0</v>
      </c>
      <c r="Q327" s="33">
        <f t="shared" si="178"/>
        <v>0</v>
      </c>
      <c r="R327" s="33">
        <f t="shared" si="178"/>
        <v>0</v>
      </c>
      <c r="S327" s="33">
        <f t="shared" si="178"/>
        <v>0</v>
      </c>
      <c r="T327" s="33">
        <f t="shared" si="178"/>
        <v>0</v>
      </c>
      <c r="U327" s="33">
        <f t="shared" si="178"/>
        <v>0</v>
      </c>
      <c r="V327" s="33">
        <f t="shared" si="178"/>
        <v>0</v>
      </c>
      <c r="W327" s="33">
        <f t="shared" si="178"/>
        <v>0</v>
      </c>
      <c r="X327" s="33">
        <f t="shared" si="178"/>
        <v>0</v>
      </c>
    </row>
    <row r="328" spans="2:24">
      <c r="B328" s="305"/>
      <c r="C328" s="305"/>
      <c r="D328" s="288"/>
      <c r="E328" s="390"/>
      <c r="F328" s="391"/>
      <c r="G328" s="391"/>
      <c r="H328" s="417"/>
      <c r="I328" s="339">
        <f>IF(AND(F328="tak",G328="tak"),SUM(K346:X346),IF(AND(F328="tak",G328="nie",ISNUMBER(H328)),'Rozliczenie dotacji'!F83,0))</f>
        <v>0</v>
      </c>
      <c r="J328" s="203" t="str" cm="1">
        <f t="array" ref="J328">IF(SUMPRODUCT(ISBLANK(B328:G328)*1)=6,"wstaw dane",IF(AND(SUMPRODUCT(ISBLANK(B328:G328)*1)&gt;0,SUMPRODUCT(ISBLANK(B328:G328)*1)&lt;6),"uzupełnij dane",IF(OR(AND(F328=nie,ISNUMBER(H328)=TRUE),AND(F328=tak,G328=tak,ISNUMBER(H328)=TRUE)),"usuń % dotacji",IF(AND(F328=nie,G328=tak),"popraw dane",IF(AND(F328=tak,G328=nie,ISBLANK(H328)=TRUE),"wstaw % dotacji","ok")))))</f>
        <v>wstaw dane</v>
      </c>
      <c r="K328" s="33">
        <f t="shared" si="178"/>
        <v>0</v>
      </c>
      <c r="L328" s="33">
        <f t="shared" si="178"/>
        <v>0</v>
      </c>
      <c r="M328" s="33">
        <f t="shared" si="178"/>
        <v>0</v>
      </c>
      <c r="N328" s="33">
        <f t="shared" si="178"/>
        <v>0</v>
      </c>
      <c r="O328" s="33">
        <f t="shared" si="178"/>
        <v>0</v>
      </c>
      <c r="P328" s="33">
        <f t="shared" si="178"/>
        <v>0</v>
      </c>
      <c r="Q328" s="33">
        <f t="shared" si="178"/>
        <v>0</v>
      </c>
      <c r="R328" s="33">
        <f t="shared" si="178"/>
        <v>0</v>
      </c>
      <c r="S328" s="33">
        <f t="shared" si="178"/>
        <v>0</v>
      </c>
      <c r="T328" s="33">
        <f t="shared" si="178"/>
        <v>0</v>
      </c>
      <c r="U328" s="33">
        <f t="shared" si="178"/>
        <v>0</v>
      </c>
      <c r="V328" s="33">
        <f t="shared" si="178"/>
        <v>0</v>
      </c>
      <c r="W328" s="33">
        <f t="shared" si="178"/>
        <v>0</v>
      </c>
      <c r="X328" s="33">
        <f t="shared" si="178"/>
        <v>0</v>
      </c>
    </row>
    <row r="329" spans="2:24">
      <c r="B329" s="305"/>
      <c r="C329" s="305"/>
      <c r="D329" s="288"/>
      <c r="E329" s="390"/>
      <c r="F329" s="391"/>
      <c r="G329" s="391"/>
      <c r="H329" s="417"/>
      <c r="I329" s="339">
        <f>IF(AND(F329="tak",G329="tak"),SUM(K347:X347),IF(AND(F329="tak",G329="nie",ISNUMBER(H329)),'Rozliczenie dotacji'!F84,0))</f>
        <v>0</v>
      </c>
      <c r="J329" s="203" t="str" cm="1">
        <f t="array" ref="J329">IF(SUMPRODUCT(ISBLANK(B329:G329)*1)=6,"wstaw dane",IF(AND(SUMPRODUCT(ISBLANK(B329:G329)*1)&gt;0,SUMPRODUCT(ISBLANK(B329:G329)*1)&lt;6),"uzupełnij dane",IF(OR(AND(F329=nie,ISNUMBER(H329)=TRUE),AND(F329=tak,G329=tak,ISNUMBER(H329)=TRUE)),"usuń % dotacji",IF(AND(F329=nie,G329=tak),"popraw dane",IF(AND(F329=tak,G329=nie,ISBLANK(H329)=TRUE),"wstaw % dotacji","ok")))))</f>
        <v>wstaw dane</v>
      </c>
      <c r="K329" s="33">
        <f t="shared" si="178"/>
        <v>0</v>
      </c>
      <c r="L329" s="33">
        <f t="shared" si="178"/>
        <v>0</v>
      </c>
      <c r="M329" s="33">
        <f t="shared" si="178"/>
        <v>0</v>
      </c>
      <c r="N329" s="33">
        <f t="shared" si="178"/>
        <v>0</v>
      </c>
      <c r="O329" s="33">
        <f t="shared" si="178"/>
        <v>0</v>
      </c>
      <c r="P329" s="33">
        <f t="shared" si="178"/>
        <v>0</v>
      </c>
      <c r="Q329" s="33">
        <f t="shared" si="178"/>
        <v>0</v>
      </c>
      <c r="R329" s="33">
        <f t="shared" si="178"/>
        <v>0</v>
      </c>
      <c r="S329" s="33">
        <f t="shared" si="178"/>
        <v>0</v>
      </c>
      <c r="T329" s="33">
        <f t="shared" si="178"/>
        <v>0</v>
      </c>
      <c r="U329" s="33">
        <f t="shared" si="178"/>
        <v>0</v>
      </c>
      <c r="V329" s="33">
        <f t="shared" si="178"/>
        <v>0</v>
      </c>
      <c r="W329" s="33">
        <f t="shared" si="178"/>
        <v>0</v>
      </c>
      <c r="X329" s="33">
        <f t="shared" si="178"/>
        <v>0</v>
      </c>
    </row>
    <row r="330" spans="2:24">
      <c r="B330" s="305"/>
      <c r="C330" s="400"/>
      <c r="D330" s="288"/>
      <c r="E330" s="401"/>
      <c r="F330" s="402"/>
      <c r="G330" s="402"/>
      <c r="H330" s="417"/>
      <c r="I330" s="339">
        <f>IF(AND(F330="tak",G330="tak"),SUM(K348:X348),IF(AND(F330="tak",G330="nie",ISNUMBER(H330)),'Rozliczenie dotacji'!F85,0))</f>
        <v>0</v>
      </c>
      <c r="J330" s="380" t="str" cm="1">
        <f t="array" ref="J330">IF(SUMPRODUCT(ISBLANK(B330:G330)*1)=6,"wstaw dane",IF(AND(SUMPRODUCT(ISBLANK(B330:G330)*1)&gt;0,SUMPRODUCT(ISBLANK(B330:G330)*1)&lt;6),"uzupełnij dane",IF(OR(AND(F330=nie,ISNUMBER(H330)=TRUE),AND(F330=tak,G330=tak,ISNUMBER(H330)=TRUE)),"usuń % dotacji",IF(AND(F330=nie,G330=tak),"popraw dane",IF(AND(F330=tak,G330=nie,ISBLANK(H330)=TRUE),"wstaw % dotacji","ok")))))</f>
        <v>wstaw dane</v>
      </c>
      <c r="K330" s="33">
        <f t="shared" si="178"/>
        <v>0</v>
      </c>
      <c r="L330" s="33">
        <f t="shared" si="178"/>
        <v>0</v>
      </c>
      <c r="M330" s="33">
        <f t="shared" si="178"/>
        <v>0</v>
      </c>
      <c r="N330" s="33">
        <f t="shared" si="178"/>
        <v>0</v>
      </c>
      <c r="O330" s="33">
        <f t="shared" si="178"/>
        <v>0</v>
      </c>
      <c r="P330" s="33">
        <f t="shared" si="178"/>
        <v>0</v>
      </c>
      <c r="Q330" s="33">
        <f t="shared" si="178"/>
        <v>0</v>
      </c>
      <c r="R330" s="33">
        <f t="shared" si="178"/>
        <v>0</v>
      </c>
      <c r="S330" s="33">
        <f t="shared" si="178"/>
        <v>0</v>
      </c>
      <c r="T330" s="33">
        <f t="shared" si="178"/>
        <v>0</v>
      </c>
      <c r="U330" s="33">
        <f t="shared" si="178"/>
        <v>0</v>
      </c>
      <c r="V330" s="33">
        <f t="shared" si="178"/>
        <v>0</v>
      </c>
      <c r="W330" s="33">
        <f t="shared" si="178"/>
        <v>0</v>
      </c>
      <c r="X330" s="33">
        <f t="shared" si="178"/>
        <v>0</v>
      </c>
    </row>
    <row r="331" spans="2:24">
      <c r="B331" s="99" t="s">
        <v>335</v>
      </c>
      <c r="C331" s="99"/>
      <c r="D331" s="98">
        <f>SUM(D326:D330)</f>
        <v>0</v>
      </c>
      <c r="E331" s="200"/>
      <c r="F331" s="97"/>
      <c r="G331" s="98"/>
      <c r="H331" s="97"/>
      <c r="I331" s="98">
        <f>SUM(I326:I330)</f>
        <v>0</v>
      </c>
      <c r="J331" s="97"/>
      <c r="K331" s="98">
        <f>SUM(K326:K330)</f>
        <v>0</v>
      </c>
      <c r="L331" s="98">
        <f t="shared" ref="L331:X331" si="179">SUM(L326:L330)</f>
        <v>0</v>
      </c>
      <c r="M331" s="98">
        <f t="shared" si="179"/>
        <v>0</v>
      </c>
      <c r="N331" s="98">
        <f t="shared" si="179"/>
        <v>0</v>
      </c>
      <c r="O331" s="98">
        <f t="shared" si="179"/>
        <v>0</v>
      </c>
      <c r="P331" s="98">
        <f t="shared" si="179"/>
        <v>0</v>
      </c>
      <c r="Q331" s="98">
        <f t="shared" si="179"/>
        <v>0</v>
      </c>
      <c r="R331" s="98">
        <f t="shared" si="179"/>
        <v>0</v>
      </c>
      <c r="S331" s="98">
        <f t="shared" si="179"/>
        <v>0</v>
      </c>
      <c r="T331" s="98">
        <f t="shared" si="179"/>
        <v>0</v>
      </c>
      <c r="U331" s="98">
        <f t="shared" si="179"/>
        <v>0</v>
      </c>
      <c r="V331" s="98">
        <f t="shared" si="179"/>
        <v>0</v>
      </c>
      <c r="W331" s="98">
        <f t="shared" si="179"/>
        <v>0</v>
      </c>
      <c r="X331" s="98">
        <f t="shared" si="179"/>
        <v>0</v>
      </c>
    </row>
    <row r="332" spans="2:24">
      <c r="B332" s="104" t="s">
        <v>384</v>
      </c>
      <c r="C332" s="104"/>
      <c r="D332" s="102"/>
      <c r="E332" s="102"/>
      <c r="F332" s="102"/>
      <c r="G332" s="102"/>
      <c r="H332" s="102"/>
      <c r="I332" s="102"/>
      <c r="J332" s="102"/>
      <c r="K332" s="103">
        <f t="shared" ref="K332:X332" ca="1" si="180">K1391+K1398+K1405+K1412+K1419</f>
        <v>0</v>
      </c>
      <c r="L332" s="103">
        <f t="shared" ca="1" si="180"/>
        <v>0</v>
      </c>
      <c r="M332" s="103">
        <f t="shared" ca="1" si="180"/>
        <v>0</v>
      </c>
      <c r="N332" s="103">
        <f t="shared" ca="1" si="180"/>
        <v>0</v>
      </c>
      <c r="O332" s="103">
        <f t="shared" ca="1" si="180"/>
        <v>0</v>
      </c>
      <c r="P332" s="103">
        <f t="shared" ca="1" si="180"/>
        <v>0</v>
      </c>
      <c r="Q332" s="103">
        <f t="shared" ca="1" si="180"/>
        <v>0</v>
      </c>
      <c r="R332" s="103">
        <f t="shared" ca="1" si="180"/>
        <v>0</v>
      </c>
      <c r="S332" s="103">
        <f t="shared" ca="1" si="180"/>
        <v>0</v>
      </c>
      <c r="T332" s="103">
        <f t="shared" ca="1" si="180"/>
        <v>0</v>
      </c>
      <c r="U332" s="103">
        <f t="shared" ca="1" si="180"/>
        <v>0</v>
      </c>
      <c r="V332" s="103">
        <f t="shared" ca="1" si="180"/>
        <v>0</v>
      </c>
      <c r="W332" s="103">
        <f t="shared" ca="1" si="180"/>
        <v>0</v>
      </c>
      <c r="X332" s="103">
        <f t="shared" ca="1" si="180"/>
        <v>0</v>
      </c>
    </row>
    <row r="333" spans="2:24">
      <c r="B333" s="37" t="s">
        <v>385</v>
      </c>
      <c r="C333" s="37"/>
      <c r="D333" s="52"/>
      <c r="E333" s="52"/>
      <c r="F333" s="52"/>
      <c r="G333" s="52"/>
      <c r="H333" s="52"/>
      <c r="I333" s="52"/>
      <c r="J333" s="52"/>
      <c r="K333" s="33">
        <f t="shared" ref="K333:X333" ca="1" si="181">K1392+K1399+K1406+K1413+K1420</f>
        <v>0</v>
      </c>
      <c r="L333" s="33">
        <f t="shared" ca="1" si="181"/>
        <v>0</v>
      </c>
      <c r="M333" s="33">
        <f t="shared" ca="1" si="181"/>
        <v>0</v>
      </c>
      <c r="N333" s="33">
        <f t="shared" ca="1" si="181"/>
        <v>0</v>
      </c>
      <c r="O333" s="33">
        <f t="shared" ca="1" si="181"/>
        <v>0</v>
      </c>
      <c r="P333" s="33">
        <f t="shared" ca="1" si="181"/>
        <v>0</v>
      </c>
      <c r="Q333" s="33">
        <f t="shared" ca="1" si="181"/>
        <v>0</v>
      </c>
      <c r="R333" s="33">
        <f t="shared" ca="1" si="181"/>
        <v>0</v>
      </c>
      <c r="S333" s="33">
        <f t="shared" ca="1" si="181"/>
        <v>0</v>
      </c>
      <c r="T333" s="33">
        <f t="shared" ca="1" si="181"/>
        <v>0</v>
      </c>
      <c r="U333" s="33">
        <f t="shared" ca="1" si="181"/>
        <v>0</v>
      </c>
      <c r="V333" s="33">
        <f t="shared" ca="1" si="181"/>
        <v>0</v>
      </c>
      <c r="W333" s="33">
        <f t="shared" ca="1" si="181"/>
        <v>0</v>
      </c>
      <c r="X333" s="33">
        <f t="shared" ca="1" si="181"/>
        <v>0</v>
      </c>
    </row>
    <row r="334" spans="2:24">
      <c r="B334" s="201" t="s">
        <v>386</v>
      </c>
      <c r="C334" s="201"/>
      <c r="D334" s="52"/>
      <c r="E334" s="52"/>
      <c r="F334" s="52"/>
      <c r="G334" s="52"/>
      <c r="H334" s="52"/>
      <c r="I334" s="52"/>
      <c r="J334" s="52"/>
      <c r="K334" s="87">
        <f t="shared" ref="K334:X334" ca="1" si="182">K1393+K1400+K1407+K1414+K1421</f>
        <v>0</v>
      </c>
      <c r="L334" s="87">
        <f t="shared" ca="1" si="182"/>
        <v>0</v>
      </c>
      <c r="M334" s="87">
        <f t="shared" ca="1" si="182"/>
        <v>0</v>
      </c>
      <c r="N334" s="87">
        <f t="shared" ca="1" si="182"/>
        <v>0</v>
      </c>
      <c r="O334" s="87">
        <f t="shared" ca="1" si="182"/>
        <v>0</v>
      </c>
      <c r="P334" s="87">
        <f t="shared" ca="1" si="182"/>
        <v>0</v>
      </c>
      <c r="Q334" s="87">
        <f t="shared" ca="1" si="182"/>
        <v>0</v>
      </c>
      <c r="R334" s="87">
        <f t="shared" ca="1" si="182"/>
        <v>0</v>
      </c>
      <c r="S334" s="87">
        <f t="shared" ca="1" si="182"/>
        <v>0</v>
      </c>
      <c r="T334" s="87">
        <f t="shared" ca="1" si="182"/>
        <v>0</v>
      </c>
      <c r="U334" s="87">
        <f t="shared" ca="1" si="182"/>
        <v>0</v>
      </c>
      <c r="V334" s="87">
        <f t="shared" ca="1" si="182"/>
        <v>0</v>
      </c>
      <c r="W334" s="87">
        <f t="shared" ca="1" si="182"/>
        <v>0</v>
      </c>
      <c r="X334" s="87">
        <f t="shared" ca="1" si="182"/>
        <v>0</v>
      </c>
    </row>
    <row r="335" spans="2:24"/>
    <row r="336" spans="2:24">
      <c r="B336" s="189" t="s">
        <v>424</v>
      </c>
      <c r="C336" s="396"/>
      <c r="D336" s="190"/>
      <c r="E336" s="191"/>
      <c r="F336" s="191"/>
      <c r="G336" s="191"/>
      <c r="H336" s="191"/>
      <c r="I336" s="191"/>
      <c r="J336" s="191"/>
      <c r="K336" s="555"/>
      <c r="L336" s="556"/>
      <c r="M336" s="556"/>
      <c r="N336" s="556"/>
      <c r="O336" s="556"/>
      <c r="P336" s="556"/>
      <c r="Q336" s="556"/>
      <c r="R336" s="556"/>
      <c r="S336" s="556"/>
      <c r="T336" s="556"/>
      <c r="U336" s="556"/>
      <c r="V336" s="556"/>
      <c r="W336" s="556"/>
      <c r="X336" s="556"/>
    </row>
    <row r="337" spans="2:38">
      <c r="B337" s="63" t="str">
        <f t="shared" ref="B337:C341" si="183">IF(ISBLANK(B326),"",B326)</f>
        <v/>
      </c>
      <c r="C337" s="63" t="str">
        <f t="shared" si="183"/>
        <v/>
      </c>
      <c r="D337" s="102"/>
      <c r="E337" s="102"/>
      <c r="F337" s="102"/>
      <c r="G337" s="102"/>
      <c r="H337" s="102"/>
      <c r="I337" s="102"/>
      <c r="J337" s="202" t="str" cm="1">
        <f t="array" ref="J337">IF(J326="wstaw dane","",IF(OR(ISBLANK(F326)=TRUE,ISBLANK(G326)=TRUE),"uzupełnij dane",IF(OR((AND(F326="nie",SUMPRODUCT(ISNUMBER(K337:X337)*1)&gt;0)),AND(F326=tak,G326=nie,SUMPRODUCT(ISNUMBER(K337:X337)*1)&gt;0)),"usuń % dotacji",IF(AND(F326=tak,G326=tak,SUMPRODUCT(ISNUMBER(K337:X337)*1)=0),"wstaw % dotacji","ok"))))</f>
        <v/>
      </c>
      <c r="K337" s="407"/>
      <c r="L337" s="407"/>
      <c r="M337" s="407"/>
      <c r="N337" s="407"/>
      <c r="O337" s="407"/>
      <c r="P337" s="407"/>
      <c r="Q337" s="407"/>
      <c r="R337" s="407"/>
      <c r="S337" s="407"/>
      <c r="T337" s="407"/>
      <c r="U337" s="407"/>
      <c r="V337" s="407"/>
      <c r="W337" s="407"/>
      <c r="X337" s="407"/>
    </row>
    <row r="338" spans="2:38">
      <c r="B338" s="63" t="str">
        <f t="shared" si="183"/>
        <v/>
      </c>
      <c r="C338" s="63" t="str">
        <f t="shared" si="183"/>
        <v/>
      </c>
      <c r="D338" s="52"/>
      <c r="E338" s="52"/>
      <c r="F338" s="52"/>
      <c r="G338" s="52"/>
      <c r="H338" s="52"/>
      <c r="I338" s="52"/>
      <c r="J338" s="203" t="str" cm="1">
        <f t="array" ref="J338">IF(J327="wstaw dane","",IF(OR(ISBLANK(F327)=TRUE,ISBLANK(G327)=TRUE),"uzupełnij dane",IF(OR((AND(F327="nie",SUMPRODUCT(ISNUMBER(K338:X338)*1)&gt;0)),AND(F327=tak,G327=nie,SUMPRODUCT(ISNUMBER(K338:X338)*1)&gt;0)),"usuń % dotacji",IF(AND(F327=tak,G327=tak,SUMPRODUCT(ISNUMBER(K338:X338)*1)=0),"wstaw % dotacji","ok"))))</f>
        <v/>
      </c>
      <c r="K338" s="408"/>
      <c r="L338" s="408"/>
      <c r="M338" s="408"/>
      <c r="N338" s="408"/>
      <c r="O338" s="408"/>
      <c r="P338" s="408"/>
      <c r="Q338" s="408"/>
      <c r="R338" s="408"/>
      <c r="S338" s="408"/>
      <c r="T338" s="408"/>
      <c r="U338" s="408"/>
      <c r="V338" s="408"/>
      <c r="W338" s="408"/>
      <c r="X338" s="408"/>
    </row>
    <row r="339" spans="2:38">
      <c r="B339" s="63" t="str">
        <f t="shared" si="183"/>
        <v/>
      </c>
      <c r="C339" s="63" t="str">
        <f t="shared" si="183"/>
        <v/>
      </c>
      <c r="D339" s="52"/>
      <c r="E339" s="52"/>
      <c r="F339" s="52"/>
      <c r="G339" s="52"/>
      <c r="H339" s="52"/>
      <c r="I339" s="52"/>
      <c r="J339" s="203" t="str" cm="1">
        <f t="array" ref="J339">IF(J328="wstaw dane","",IF(OR(ISBLANK(F328)=TRUE,ISBLANK(G328)=TRUE),"uzupełnij dane",IF(OR((AND(F328="nie",SUMPRODUCT(ISNUMBER(K339:X339)*1)&gt;0)),AND(F328=tak,G328=nie,SUMPRODUCT(ISNUMBER(K339:X339)*1)&gt;0)),"usuń % dotacji",IF(AND(F328=tak,G328=tak,SUMPRODUCT(ISNUMBER(K339:X339)*1)=0),"wstaw % dotacji","ok"))))</f>
        <v/>
      </c>
      <c r="K339" s="408"/>
      <c r="L339" s="408"/>
      <c r="M339" s="408"/>
      <c r="N339" s="408"/>
      <c r="O339" s="408"/>
      <c r="P339" s="408"/>
      <c r="Q339" s="408"/>
      <c r="R339" s="408"/>
      <c r="S339" s="408"/>
      <c r="T339" s="408"/>
      <c r="U339" s="408"/>
      <c r="V339" s="408"/>
      <c r="W339" s="408"/>
      <c r="X339" s="408"/>
    </row>
    <row r="340" spans="2:38">
      <c r="B340" s="63" t="str">
        <f t="shared" si="183"/>
        <v/>
      </c>
      <c r="C340" s="63" t="str">
        <f t="shared" si="183"/>
        <v/>
      </c>
      <c r="D340" s="52"/>
      <c r="E340" s="52"/>
      <c r="F340" s="52"/>
      <c r="G340" s="52"/>
      <c r="H340" s="52"/>
      <c r="I340" s="52"/>
      <c r="J340" s="203" t="str" cm="1">
        <f t="array" ref="J340">IF(J329="wstaw dane","",IF(OR(ISBLANK(F329)=TRUE,ISBLANK(G329)=TRUE),"uzupełnij dane",IF(OR((AND(F329="nie",SUMPRODUCT(ISNUMBER(K340:X340)*1)&gt;0)),AND(F329=tak,G329=nie,SUMPRODUCT(ISNUMBER(K340:X340)*1)&gt;0)),"usuń % dotacji",IF(AND(F329=tak,G329=tak,SUMPRODUCT(ISNUMBER(K340:X340)*1)=0),"wstaw % dotacji","ok"))))</f>
        <v/>
      </c>
      <c r="K340" s="408"/>
      <c r="L340" s="408"/>
      <c r="M340" s="408"/>
      <c r="N340" s="408"/>
      <c r="O340" s="408"/>
      <c r="P340" s="408"/>
      <c r="Q340" s="408"/>
      <c r="R340" s="408"/>
      <c r="S340" s="408"/>
      <c r="T340" s="408"/>
      <c r="U340" s="408"/>
      <c r="V340" s="408"/>
      <c r="W340" s="408"/>
      <c r="X340" s="408"/>
    </row>
    <row r="341" spans="2:38">
      <c r="B341" s="63" t="str">
        <f t="shared" si="183"/>
        <v/>
      </c>
      <c r="C341" s="63" t="str">
        <f t="shared" si="183"/>
        <v/>
      </c>
      <c r="D341" s="52"/>
      <c r="E341" s="52"/>
      <c r="F341" s="52"/>
      <c r="G341" s="52"/>
      <c r="H341" s="52"/>
      <c r="I341" s="52"/>
      <c r="J341" s="203" t="str" cm="1">
        <f t="array" ref="J341">IF(J330="wstaw dane","",IF(OR(ISBLANK(F330)=TRUE,ISBLANK(G330)=TRUE),"uzupełnij dane",IF(OR((AND(F330="nie",SUMPRODUCT(ISNUMBER(K341:X341)*1)&gt;0)),AND(F330=tak,G330=nie,SUMPRODUCT(ISNUMBER(K341:X341)*1)&gt;0)),"usuń % dotacji",IF(AND(F330=tak,G330=tak,SUMPRODUCT(ISNUMBER(K341:X341)*1)=0),"wstaw % dotacji","ok"))))</f>
        <v/>
      </c>
      <c r="K341" s="408"/>
      <c r="L341" s="408"/>
      <c r="M341" s="408"/>
      <c r="N341" s="408"/>
      <c r="O341" s="408"/>
      <c r="P341" s="408"/>
      <c r="Q341" s="408"/>
      <c r="R341" s="408"/>
      <c r="S341" s="408"/>
      <c r="T341" s="408"/>
      <c r="U341" s="408"/>
      <c r="V341" s="408"/>
      <c r="W341" s="408"/>
      <c r="X341" s="408"/>
    </row>
    <row r="342" spans="2:38"/>
    <row r="343" spans="2:38">
      <c r="B343" s="189" t="s">
        <v>681</v>
      </c>
      <c r="C343" s="396"/>
      <c r="D343" s="190"/>
      <c r="E343" s="191"/>
      <c r="F343" s="191"/>
      <c r="G343" s="191"/>
      <c r="H343" s="191"/>
      <c r="I343" s="191"/>
      <c r="J343" s="191"/>
      <c r="K343" s="555"/>
      <c r="L343" s="556"/>
      <c r="M343" s="556"/>
      <c r="N343" s="556"/>
      <c r="O343" s="556"/>
      <c r="P343" s="556"/>
      <c r="Q343" s="556"/>
      <c r="R343" s="556"/>
      <c r="S343" s="556"/>
      <c r="T343" s="556"/>
      <c r="U343" s="556"/>
      <c r="V343" s="556"/>
      <c r="W343" s="556"/>
      <c r="X343" s="556"/>
    </row>
    <row r="344" spans="2:38">
      <c r="B344" s="63" t="str">
        <f>IF(ISBLANK(B337),"",B337)</f>
        <v/>
      </c>
      <c r="C344" s="63" t="str">
        <f>IF(ISBLANK(C337),"",C337)</f>
        <v/>
      </c>
      <c r="D344" s="102"/>
      <c r="E344" s="102"/>
      <c r="F344" s="102"/>
      <c r="G344" s="102"/>
      <c r="H344" s="102"/>
      <c r="I344" s="102"/>
      <c r="J344" s="202" t="str">
        <f>J337</f>
        <v/>
      </c>
      <c r="K344" s="103">
        <f t="shared" ref="K344:X344" si="184">IF(ISBLANK(K337),0,K1394)</f>
        <v>0</v>
      </c>
      <c r="L344" s="103">
        <f t="shared" si="184"/>
        <v>0</v>
      </c>
      <c r="M344" s="103">
        <f t="shared" si="184"/>
        <v>0</v>
      </c>
      <c r="N344" s="103">
        <f t="shared" si="184"/>
        <v>0</v>
      </c>
      <c r="O344" s="103">
        <f t="shared" si="184"/>
        <v>0</v>
      </c>
      <c r="P344" s="103">
        <f t="shared" si="184"/>
        <v>0</v>
      </c>
      <c r="Q344" s="103">
        <f t="shared" si="184"/>
        <v>0</v>
      </c>
      <c r="R344" s="103">
        <f t="shared" si="184"/>
        <v>0</v>
      </c>
      <c r="S344" s="103">
        <f t="shared" si="184"/>
        <v>0</v>
      </c>
      <c r="T344" s="103">
        <f t="shared" si="184"/>
        <v>0</v>
      </c>
      <c r="U344" s="103">
        <f t="shared" si="184"/>
        <v>0</v>
      </c>
      <c r="V344" s="103">
        <f t="shared" si="184"/>
        <v>0</v>
      </c>
      <c r="W344" s="103">
        <f t="shared" si="184"/>
        <v>0</v>
      </c>
      <c r="X344" s="103">
        <f t="shared" si="184"/>
        <v>0</v>
      </c>
    </row>
    <row r="345" spans="2:38">
      <c r="B345" s="63" t="str">
        <f t="shared" ref="B345:C345" si="185">IF(ISBLANK(B338),"",B338)</f>
        <v/>
      </c>
      <c r="C345" s="63" t="str">
        <f t="shared" si="185"/>
        <v/>
      </c>
      <c r="D345" s="52"/>
      <c r="E345" s="52"/>
      <c r="F345" s="52"/>
      <c r="G345" s="52"/>
      <c r="H345" s="52"/>
      <c r="I345" s="52"/>
      <c r="J345" s="203" t="str">
        <f>J338</f>
        <v/>
      </c>
      <c r="K345" s="33">
        <f t="shared" ref="K345:X345" si="186">IF(ISBLANK(K338),0,K1401)</f>
        <v>0</v>
      </c>
      <c r="L345" s="33">
        <f t="shared" si="186"/>
        <v>0</v>
      </c>
      <c r="M345" s="33">
        <f t="shared" si="186"/>
        <v>0</v>
      </c>
      <c r="N345" s="33">
        <f t="shared" si="186"/>
        <v>0</v>
      </c>
      <c r="O345" s="33">
        <f t="shared" si="186"/>
        <v>0</v>
      </c>
      <c r="P345" s="33">
        <f t="shared" si="186"/>
        <v>0</v>
      </c>
      <c r="Q345" s="33">
        <f t="shared" si="186"/>
        <v>0</v>
      </c>
      <c r="R345" s="33">
        <f t="shared" si="186"/>
        <v>0</v>
      </c>
      <c r="S345" s="33">
        <f t="shared" si="186"/>
        <v>0</v>
      </c>
      <c r="T345" s="33">
        <f t="shared" si="186"/>
        <v>0</v>
      </c>
      <c r="U345" s="33">
        <f t="shared" si="186"/>
        <v>0</v>
      </c>
      <c r="V345" s="33">
        <f t="shared" si="186"/>
        <v>0</v>
      </c>
      <c r="W345" s="33">
        <f t="shared" si="186"/>
        <v>0</v>
      </c>
      <c r="X345" s="33">
        <f t="shared" si="186"/>
        <v>0</v>
      </c>
    </row>
    <row r="346" spans="2:38">
      <c r="B346" s="63" t="str">
        <f t="shared" ref="B346:C346" si="187">IF(ISBLANK(B339),"",B339)</f>
        <v/>
      </c>
      <c r="C346" s="63" t="str">
        <f t="shared" si="187"/>
        <v/>
      </c>
      <c r="D346" s="52"/>
      <c r="E346" s="52"/>
      <c r="F346" s="52"/>
      <c r="G346" s="52"/>
      <c r="H346" s="52"/>
      <c r="I346" s="52"/>
      <c r="J346" s="203" t="str">
        <f>J339</f>
        <v/>
      </c>
      <c r="K346" s="33">
        <f t="shared" ref="K346:X346" si="188">IF(ISBLANK(K339),0,K1408)</f>
        <v>0</v>
      </c>
      <c r="L346" s="33">
        <f t="shared" si="188"/>
        <v>0</v>
      </c>
      <c r="M346" s="33">
        <f t="shared" si="188"/>
        <v>0</v>
      </c>
      <c r="N346" s="33">
        <f t="shared" si="188"/>
        <v>0</v>
      </c>
      <c r="O346" s="33">
        <f t="shared" si="188"/>
        <v>0</v>
      </c>
      <c r="P346" s="33">
        <f t="shared" si="188"/>
        <v>0</v>
      </c>
      <c r="Q346" s="33">
        <f t="shared" si="188"/>
        <v>0</v>
      </c>
      <c r="R346" s="33">
        <f t="shared" si="188"/>
        <v>0</v>
      </c>
      <c r="S346" s="33">
        <f t="shared" si="188"/>
        <v>0</v>
      </c>
      <c r="T346" s="33">
        <f t="shared" si="188"/>
        <v>0</v>
      </c>
      <c r="U346" s="33">
        <f t="shared" si="188"/>
        <v>0</v>
      </c>
      <c r="V346" s="33">
        <f t="shared" si="188"/>
        <v>0</v>
      </c>
      <c r="W346" s="33">
        <f t="shared" si="188"/>
        <v>0</v>
      </c>
      <c r="X346" s="33">
        <f t="shared" si="188"/>
        <v>0</v>
      </c>
    </row>
    <row r="347" spans="2:38">
      <c r="B347" s="63" t="str">
        <f t="shared" ref="B347:C347" si="189">IF(ISBLANK(B340),"",B340)</f>
        <v/>
      </c>
      <c r="C347" s="63" t="str">
        <f t="shared" si="189"/>
        <v/>
      </c>
      <c r="D347" s="52"/>
      <c r="E347" s="52"/>
      <c r="F347" s="52"/>
      <c r="G347" s="52"/>
      <c r="H347" s="52"/>
      <c r="I347" s="52"/>
      <c r="J347" s="203" t="str">
        <f>J340</f>
        <v/>
      </c>
      <c r="K347" s="33">
        <f t="shared" ref="K347:X347" si="190">IF(ISBLANK(K340),0,K1415)</f>
        <v>0</v>
      </c>
      <c r="L347" s="33">
        <f t="shared" si="190"/>
        <v>0</v>
      </c>
      <c r="M347" s="33">
        <f t="shared" si="190"/>
        <v>0</v>
      </c>
      <c r="N347" s="33">
        <f t="shared" si="190"/>
        <v>0</v>
      </c>
      <c r="O347" s="33">
        <f t="shared" si="190"/>
        <v>0</v>
      </c>
      <c r="P347" s="33">
        <f t="shared" si="190"/>
        <v>0</v>
      </c>
      <c r="Q347" s="33">
        <f t="shared" si="190"/>
        <v>0</v>
      </c>
      <c r="R347" s="33">
        <f t="shared" si="190"/>
        <v>0</v>
      </c>
      <c r="S347" s="33">
        <f t="shared" si="190"/>
        <v>0</v>
      </c>
      <c r="T347" s="33">
        <f t="shared" si="190"/>
        <v>0</v>
      </c>
      <c r="U347" s="33">
        <f t="shared" si="190"/>
        <v>0</v>
      </c>
      <c r="V347" s="33">
        <f t="shared" si="190"/>
        <v>0</v>
      </c>
      <c r="W347" s="33">
        <f t="shared" si="190"/>
        <v>0</v>
      </c>
      <c r="X347" s="33">
        <f t="shared" si="190"/>
        <v>0</v>
      </c>
    </row>
    <row r="348" spans="2:38">
      <c r="B348" s="63" t="str">
        <f t="shared" ref="B348:C348" si="191">IF(ISBLANK(B341),"",B341)</f>
        <v/>
      </c>
      <c r="C348" s="63" t="str">
        <f t="shared" si="191"/>
        <v/>
      </c>
      <c r="D348" s="52"/>
      <c r="E348" s="52"/>
      <c r="F348" s="52"/>
      <c r="G348" s="52"/>
      <c r="H348" s="52"/>
      <c r="I348" s="52"/>
      <c r="J348" s="203" t="str">
        <f>J341</f>
        <v/>
      </c>
      <c r="K348" s="33">
        <f t="shared" ref="K348:X348" si="192">IF(ISBLANK(K341),0,K1422)</f>
        <v>0</v>
      </c>
      <c r="L348" s="33">
        <f t="shared" si="192"/>
        <v>0</v>
      </c>
      <c r="M348" s="33">
        <f t="shared" si="192"/>
        <v>0</v>
      </c>
      <c r="N348" s="33">
        <f t="shared" si="192"/>
        <v>0</v>
      </c>
      <c r="O348" s="33">
        <f t="shared" si="192"/>
        <v>0</v>
      </c>
      <c r="P348" s="33">
        <f t="shared" si="192"/>
        <v>0</v>
      </c>
      <c r="Q348" s="33">
        <f t="shared" si="192"/>
        <v>0</v>
      </c>
      <c r="R348" s="33">
        <f t="shared" si="192"/>
        <v>0</v>
      </c>
      <c r="S348" s="33">
        <f t="shared" si="192"/>
        <v>0</v>
      </c>
      <c r="T348" s="33">
        <f t="shared" si="192"/>
        <v>0</v>
      </c>
      <c r="U348" s="33">
        <f t="shared" si="192"/>
        <v>0</v>
      </c>
      <c r="V348" s="33">
        <f t="shared" si="192"/>
        <v>0</v>
      </c>
      <c r="W348" s="33">
        <f t="shared" si="192"/>
        <v>0</v>
      </c>
      <c r="X348" s="33">
        <f t="shared" si="192"/>
        <v>0</v>
      </c>
    </row>
    <row r="349" spans="2:38">
      <c r="B349" s="99" t="s">
        <v>335</v>
      </c>
      <c r="C349" s="99"/>
      <c r="D349" s="98"/>
      <c r="E349" s="200"/>
      <c r="F349" s="97"/>
      <c r="G349" s="98"/>
      <c r="H349" s="97"/>
      <c r="I349" s="97"/>
      <c r="J349" s="97"/>
      <c r="K349" s="98">
        <f>SUM(K344:K348)</f>
        <v>0</v>
      </c>
      <c r="L349" s="98">
        <f t="shared" ref="L349:X349" si="193">SUM(L344:L348)</f>
        <v>0</v>
      </c>
      <c r="M349" s="98">
        <f t="shared" si="193"/>
        <v>0</v>
      </c>
      <c r="N349" s="98">
        <f t="shared" si="193"/>
        <v>0</v>
      </c>
      <c r="O349" s="98">
        <f t="shared" si="193"/>
        <v>0</v>
      </c>
      <c r="P349" s="98">
        <f t="shared" si="193"/>
        <v>0</v>
      </c>
      <c r="Q349" s="98">
        <f t="shared" si="193"/>
        <v>0</v>
      </c>
      <c r="R349" s="98">
        <f t="shared" si="193"/>
        <v>0</v>
      </c>
      <c r="S349" s="98">
        <f t="shared" si="193"/>
        <v>0</v>
      </c>
      <c r="T349" s="98">
        <f t="shared" si="193"/>
        <v>0</v>
      </c>
      <c r="U349" s="98">
        <f t="shared" si="193"/>
        <v>0</v>
      </c>
      <c r="V349" s="98">
        <f t="shared" si="193"/>
        <v>0</v>
      </c>
      <c r="W349" s="98">
        <f t="shared" si="193"/>
        <v>0</v>
      </c>
      <c r="X349" s="98">
        <f t="shared" si="193"/>
        <v>0</v>
      </c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2:38"/>
    <row r="351" spans="2:38"/>
    <row r="352" spans="2:38" ht="20.399999999999999">
      <c r="B352" s="228" t="s">
        <v>390</v>
      </c>
      <c r="C352" s="229" t="s">
        <v>296</v>
      </c>
      <c r="D352" s="230" t="s">
        <v>406</v>
      </c>
      <c r="E352" s="230" t="s">
        <v>421</v>
      </c>
      <c r="F352" s="230" t="s">
        <v>336</v>
      </c>
      <c r="G352" s="230" t="s">
        <v>781</v>
      </c>
      <c r="H352" s="230" t="s">
        <v>408</v>
      </c>
      <c r="I352" s="230" t="s">
        <v>409</v>
      </c>
      <c r="J352" s="230" t="s">
        <v>423</v>
      </c>
      <c r="K352" s="232" t="str">
        <f t="shared" ref="K352:X352" si="194">LataProjekcji</f>
        <v>Uzupełnij dane</v>
      </c>
      <c r="L352" s="232" t="str">
        <f t="shared" si="194"/>
        <v/>
      </c>
      <c r="M352" s="232" t="str">
        <f t="shared" si="194"/>
        <v/>
      </c>
      <c r="N352" s="232" t="str">
        <f t="shared" si="194"/>
        <v/>
      </c>
      <c r="O352" s="232" t="str">
        <f t="shared" si="194"/>
        <v/>
      </c>
      <c r="P352" s="232" t="str">
        <f t="shared" si="194"/>
        <v/>
      </c>
      <c r="Q352" s="232" t="str">
        <f t="shared" si="194"/>
        <v/>
      </c>
      <c r="R352" s="232" t="str">
        <f t="shared" si="194"/>
        <v/>
      </c>
      <c r="S352" s="232" t="str">
        <f t="shared" si="194"/>
        <v/>
      </c>
      <c r="T352" s="232" t="str">
        <f t="shared" si="194"/>
        <v/>
      </c>
      <c r="U352" s="232" t="str">
        <f t="shared" si="194"/>
        <v/>
      </c>
      <c r="V352" s="232" t="str">
        <f t="shared" si="194"/>
        <v/>
      </c>
      <c r="W352" s="232" t="str">
        <f t="shared" si="194"/>
        <v/>
      </c>
      <c r="X352" s="232" t="str">
        <f t="shared" si="194"/>
        <v/>
      </c>
    </row>
    <row r="353" spans="2:24">
      <c r="B353" s="305"/>
      <c r="C353" s="305"/>
      <c r="D353" s="392"/>
      <c r="E353" s="398"/>
      <c r="F353" s="399"/>
      <c r="G353" s="399"/>
      <c r="H353" s="416"/>
      <c r="I353" s="341">
        <f>IF(AND(F353="tak",G353="tak"),SUM(K391:X391),IF(AND(F353="tak",G353="nie",ISNUMBER(H353)),'Rozliczenie dotacji'!F94,0))</f>
        <v>0</v>
      </c>
      <c r="J353" s="202" t="str" cm="1">
        <f t="array" ref="J353">IF(SUMPRODUCT(ISBLANK(B353:G353)*1)=6,"wstaw dane",IF(AND(SUMPRODUCT(ISBLANK(B353:G353)*1)&gt;0,SUMPRODUCT(ISBLANK(B353:G353)*1)&lt;6),"uzupełnij dane",IF(OR(AND(F353=nie,ISNUMBER(H353)=TRUE),AND(F353=tak,G353=tak,ISNUMBER(H353)=TRUE)),"usuń % dotacji",IF(AND(F353=nie,G353=tak),"popraw dane",IF(AND(F353=tak,G353=nie,ISBLANK(H353)=TRUE),"wstaw % dotacji","ok")))))</f>
        <v>wstaw dane</v>
      </c>
      <c r="K353" s="103">
        <f t="shared" ref="K353:X362" si="195">ROUND(IF(AND(YEAR($E353)=LataProjekcji,$D353&gt;0,$J353="ok"),$D353,0),0)</f>
        <v>0</v>
      </c>
      <c r="L353" s="103">
        <f t="shared" si="195"/>
        <v>0</v>
      </c>
      <c r="M353" s="103">
        <f t="shared" si="195"/>
        <v>0</v>
      </c>
      <c r="N353" s="103">
        <f t="shared" si="195"/>
        <v>0</v>
      </c>
      <c r="O353" s="103">
        <f t="shared" si="195"/>
        <v>0</v>
      </c>
      <c r="P353" s="103">
        <f t="shared" si="195"/>
        <v>0</v>
      </c>
      <c r="Q353" s="103">
        <f t="shared" si="195"/>
        <v>0</v>
      </c>
      <c r="R353" s="103">
        <f t="shared" si="195"/>
        <v>0</v>
      </c>
      <c r="S353" s="103">
        <f t="shared" si="195"/>
        <v>0</v>
      </c>
      <c r="T353" s="103">
        <f t="shared" si="195"/>
        <v>0</v>
      </c>
      <c r="U353" s="103">
        <f t="shared" si="195"/>
        <v>0</v>
      </c>
      <c r="V353" s="103">
        <f t="shared" si="195"/>
        <v>0</v>
      </c>
      <c r="W353" s="103">
        <f t="shared" si="195"/>
        <v>0</v>
      </c>
      <c r="X353" s="103">
        <f t="shared" si="195"/>
        <v>0</v>
      </c>
    </row>
    <row r="354" spans="2:24">
      <c r="B354" s="305"/>
      <c r="C354" s="305"/>
      <c r="D354" s="288"/>
      <c r="E354" s="390"/>
      <c r="F354" s="391"/>
      <c r="G354" s="391"/>
      <c r="H354" s="417"/>
      <c r="I354" s="33">
        <f>IF(AND(F354="tak",G354="tak"),SUM(K392:X392),IF(AND(F354="tak",G354="nie",ISNUMBER(H354)),'Rozliczenie dotacji'!F95,0))</f>
        <v>0</v>
      </c>
      <c r="J354" s="203" t="str" cm="1">
        <f t="array" ref="J354">IF(SUMPRODUCT(ISBLANK(B354:G354)*1)=6,"wstaw dane",IF(AND(SUMPRODUCT(ISBLANK(B354:G354)*1)&gt;0,SUMPRODUCT(ISBLANK(B354:G354)*1)&lt;6),"uzupełnij dane",IF(OR(AND(F354=nie,ISNUMBER(H354)=TRUE),AND(F354=tak,G354=tak,ISNUMBER(H354)=TRUE)),"usuń % dotacji",IF(AND(F354=nie,G354=tak),"popraw dane",IF(AND(F354=tak,G354=nie,ISBLANK(H354)=TRUE),"wstaw % dotacji","ok")))))</f>
        <v>wstaw dane</v>
      </c>
      <c r="K354" s="33">
        <f t="shared" si="195"/>
        <v>0</v>
      </c>
      <c r="L354" s="33">
        <f t="shared" si="195"/>
        <v>0</v>
      </c>
      <c r="M354" s="33">
        <f t="shared" si="195"/>
        <v>0</v>
      </c>
      <c r="N354" s="33">
        <f t="shared" si="195"/>
        <v>0</v>
      </c>
      <c r="O354" s="33">
        <f t="shared" si="195"/>
        <v>0</v>
      </c>
      <c r="P354" s="33">
        <f t="shared" si="195"/>
        <v>0</v>
      </c>
      <c r="Q354" s="33">
        <f t="shared" si="195"/>
        <v>0</v>
      </c>
      <c r="R354" s="33">
        <f t="shared" si="195"/>
        <v>0</v>
      </c>
      <c r="S354" s="33">
        <f t="shared" si="195"/>
        <v>0</v>
      </c>
      <c r="T354" s="33">
        <f t="shared" si="195"/>
        <v>0</v>
      </c>
      <c r="U354" s="33">
        <f t="shared" si="195"/>
        <v>0</v>
      </c>
      <c r="V354" s="33">
        <f t="shared" si="195"/>
        <v>0</v>
      </c>
      <c r="W354" s="33">
        <f t="shared" si="195"/>
        <v>0</v>
      </c>
      <c r="X354" s="33">
        <f t="shared" si="195"/>
        <v>0</v>
      </c>
    </row>
    <row r="355" spans="2:24">
      <c r="B355" s="305"/>
      <c r="C355" s="305"/>
      <c r="D355" s="288"/>
      <c r="E355" s="390"/>
      <c r="F355" s="391"/>
      <c r="G355" s="391"/>
      <c r="H355" s="417"/>
      <c r="I355" s="33">
        <f>IF(AND(F355="tak",G355="tak"),SUM(K393:X393),IF(AND(F355="tak",G355="nie",ISNUMBER(H355)),'Rozliczenie dotacji'!F96,0))</f>
        <v>0</v>
      </c>
      <c r="J355" s="203" t="str" cm="1">
        <f t="array" ref="J355">IF(SUMPRODUCT(ISBLANK(B355:G355)*1)=6,"wstaw dane",IF(AND(SUMPRODUCT(ISBLANK(B355:G355)*1)&gt;0,SUMPRODUCT(ISBLANK(B355:G355)*1)&lt;6),"uzupełnij dane",IF(OR(AND(F355=nie,ISNUMBER(H355)=TRUE),AND(F355=tak,G355=tak,ISNUMBER(H355)=TRUE)),"usuń % dotacji",IF(AND(F355=nie,G355=tak),"popraw dane",IF(AND(F355=tak,G355=nie,ISBLANK(H355)=TRUE),"wstaw % dotacji","ok")))))</f>
        <v>wstaw dane</v>
      </c>
      <c r="K355" s="33">
        <f t="shared" si="195"/>
        <v>0</v>
      </c>
      <c r="L355" s="33">
        <f t="shared" si="195"/>
        <v>0</v>
      </c>
      <c r="M355" s="33">
        <f t="shared" si="195"/>
        <v>0</v>
      </c>
      <c r="N355" s="33">
        <f t="shared" si="195"/>
        <v>0</v>
      </c>
      <c r="O355" s="33">
        <f t="shared" si="195"/>
        <v>0</v>
      </c>
      <c r="P355" s="33">
        <f t="shared" si="195"/>
        <v>0</v>
      </c>
      <c r="Q355" s="33">
        <f t="shared" si="195"/>
        <v>0</v>
      </c>
      <c r="R355" s="33">
        <f t="shared" si="195"/>
        <v>0</v>
      </c>
      <c r="S355" s="33">
        <f t="shared" si="195"/>
        <v>0</v>
      </c>
      <c r="T355" s="33">
        <f t="shared" si="195"/>
        <v>0</v>
      </c>
      <c r="U355" s="33">
        <f t="shared" si="195"/>
        <v>0</v>
      </c>
      <c r="V355" s="33">
        <f t="shared" si="195"/>
        <v>0</v>
      </c>
      <c r="W355" s="33">
        <f t="shared" si="195"/>
        <v>0</v>
      </c>
      <c r="X355" s="33">
        <f t="shared" si="195"/>
        <v>0</v>
      </c>
    </row>
    <row r="356" spans="2:24">
      <c r="B356" s="305"/>
      <c r="C356" s="305"/>
      <c r="D356" s="288"/>
      <c r="E356" s="390"/>
      <c r="F356" s="391"/>
      <c r="G356" s="391"/>
      <c r="H356" s="417"/>
      <c r="I356" s="33">
        <f>IF(AND(F356="tak",G356="tak"),SUM(K394:X394),IF(AND(F356="tak",G356="nie",ISNUMBER(H356)),'Rozliczenie dotacji'!F97,0))</f>
        <v>0</v>
      </c>
      <c r="J356" s="203" t="str" cm="1">
        <f t="array" ref="J356">IF(SUMPRODUCT(ISBLANK(B356:G356)*1)=6,"wstaw dane",IF(AND(SUMPRODUCT(ISBLANK(B356:G356)*1)&gt;0,SUMPRODUCT(ISBLANK(B356:G356)*1)&lt;6),"uzupełnij dane",IF(OR(AND(F356=nie,ISNUMBER(H356)=TRUE),AND(F356=tak,G356=tak,ISNUMBER(H356)=TRUE)),"usuń % dotacji",IF(AND(F356=nie,G356=tak),"popraw dane",IF(AND(F356=tak,G356=nie,ISBLANK(H356)=TRUE),"wstaw % dotacji","ok")))))</f>
        <v>wstaw dane</v>
      </c>
      <c r="K356" s="33">
        <f t="shared" si="195"/>
        <v>0</v>
      </c>
      <c r="L356" s="33">
        <f t="shared" si="195"/>
        <v>0</v>
      </c>
      <c r="M356" s="33">
        <f t="shared" si="195"/>
        <v>0</v>
      </c>
      <c r="N356" s="33">
        <f t="shared" si="195"/>
        <v>0</v>
      </c>
      <c r="O356" s="33">
        <f t="shared" si="195"/>
        <v>0</v>
      </c>
      <c r="P356" s="33">
        <f t="shared" si="195"/>
        <v>0</v>
      </c>
      <c r="Q356" s="33">
        <f t="shared" si="195"/>
        <v>0</v>
      </c>
      <c r="R356" s="33">
        <f t="shared" si="195"/>
        <v>0</v>
      </c>
      <c r="S356" s="33">
        <f t="shared" si="195"/>
        <v>0</v>
      </c>
      <c r="T356" s="33">
        <f t="shared" si="195"/>
        <v>0</v>
      </c>
      <c r="U356" s="33">
        <f t="shared" si="195"/>
        <v>0</v>
      </c>
      <c r="V356" s="33">
        <f t="shared" si="195"/>
        <v>0</v>
      </c>
      <c r="W356" s="33">
        <f t="shared" si="195"/>
        <v>0</v>
      </c>
      <c r="X356" s="33">
        <f t="shared" si="195"/>
        <v>0</v>
      </c>
    </row>
    <row r="357" spans="2:24">
      <c r="B357" s="305"/>
      <c r="C357" s="305"/>
      <c r="D357" s="288"/>
      <c r="E357" s="390"/>
      <c r="F357" s="391"/>
      <c r="G357" s="391"/>
      <c r="H357" s="417"/>
      <c r="I357" s="33">
        <f>IF(AND(F357="tak",G357="tak"),SUM(K395:X395),IF(AND(F357="tak",G357="nie",ISNUMBER(H357)),'Rozliczenie dotacji'!F98,0))</f>
        <v>0</v>
      </c>
      <c r="J357" s="203" t="str" cm="1">
        <f t="array" ref="J357">IF(SUMPRODUCT(ISBLANK(B357:G357)*1)=6,"wstaw dane",IF(AND(SUMPRODUCT(ISBLANK(B357:G357)*1)&gt;0,SUMPRODUCT(ISBLANK(B357:G357)*1)&lt;6),"uzupełnij dane",IF(OR(AND(F357=nie,ISNUMBER(H357)=TRUE),AND(F357=tak,G357=tak,ISNUMBER(H357)=TRUE)),"usuń % dotacji",IF(AND(F357=nie,G357=tak),"popraw dane",IF(AND(F357=tak,G357=nie,ISBLANK(H357)=TRUE),"wstaw % dotacji","ok")))))</f>
        <v>wstaw dane</v>
      </c>
      <c r="K357" s="33">
        <f t="shared" si="195"/>
        <v>0</v>
      </c>
      <c r="L357" s="33">
        <f t="shared" si="195"/>
        <v>0</v>
      </c>
      <c r="M357" s="33">
        <f t="shared" si="195"/>
        <v>0</v>
      </c>
      <c r="N357" s="33">
        <f t="shared" si="195"/>
        <v>0</v>
      </c>
      <c r="O357" s="33">
        <f t="shared" si="195"/>
        <v>0</v>
      </c>
      <c r="P357" s="33">
        <f t="shared" si="195"/>
        <v>0</v>
      </c>
      <c r="Q357" s="33">
        <f t="shared" si="195"/>
        <v>0</v>
      </c>
      <c r="R357" s="33">
        <f t="shared" si="195"/>
        <v>0</v>
      </c>
      <c r="S357" s="33">
        <f t="shared" si="195"/>
        <v>0</v>
      </c>
      <c r="T357" s="33">
        <f t="shared" si="195"/>
        <v>0</v>
      </c>
      <c r="U357" s="33">
        <f t="shared" si="195"/>
        <v>0</v>
      </c>
      <c r="V357" s="33">
        <f t="shared" si="195"/>
        <v>0</v>
      </c>
      <c r="W357" s="33">
        <f t="shared" si="195"/>
        <v>0</v>
      </c>
      <c r="X357" s="33">
        <f t="shared" si="195"/>
        <v>0</v>
      </c>
    </row>
    <row r="358" spans="2:24">
      <c r="B358" s="305"/>
      <c r="C358" s="305"/>
      <c r="D358" s="288"/>
      <c r="E358" s="390"/>
      <c r="F358" s="391"/>
      <c r="G358" s="391"/>
      <c r="H358" s="417"/>
      <c r="I358" s="33">
        <f>IF(AND(F358="tak",G358="tak"),SUM(K396:X396),IF(AND(F358="tak",G358="nie",ISNUMBER(H358)),'Rozliczenie dotacji'!F99,0))</f>
        <v>0</v>
      </c>
      <c r="J358" s="203" t="str" cm="1">
        <f t="array" ref="J358">IF(SUMPRODUCT(ISBLANK(B358:G358)*1)=6,"wstaw dane",IF(AND(SUMPRODUCT(ISBLANK(B358:G358)*1)&gt;0,SUMPRODUCT(ISBLANK(B358:G358)*1)&lt;6),"uzupełnij dane",IF(OR(AND(F358=nie,ISNUMBER(H358)=TRUE),AND(F358=tak,G358=tak,ISNUMBER(H358)=TRUE)),"usuń % dotacji",IF(AND(F358=nie,G358=tak),"popraw dane",IF(AND(F358=tak,G358=nie,ISBLANK(H358)=TRUE),"wstaw % dotacji","ok")))))</f>
        <v>wstaw dane</v>
      </c>
      <c r="K358" s="33">
        <f t="shared" si="195"/>
        <v>0</v>
      </c>
      <c r="L358" s="33">
        <f t="shared" si="195"/>
        <v>0</v>
      </c>
      <c r="M358" s="33">
        <f t="shared" si="195"/>
        <v>0</v>
      </c>
      <c r="N358" s="33">
        <f t="shared" si="195"/>
        <v>0</v>
      </c>
      <c r="O358" s="33">
        <f t="shared" si="195"/>
        <v>0</v>
      </c>
      <c r="P358" s="33">
        <f t="shared" si="195"/>
        <v>0</v>
      </c>
      <c r="Q358" s="33">
        <f t="shared" si="195"/>
        <v>0</v>
      </c>
      <c r="R358" s="33">
        <f t="shared" si="195"/>
        <v>0</v>
      </c>
      <c r="S358" s="33">
        <f t="shared" si="195"/>
        <v>0</v>
      </c>
      <c r="T358" s="33">
        <f t="shared" si="195"/>
        <v>0</v>
      </c>
      <c r="U358" s="33">
        <f t="shared" si="195"/>
        <v>0</v>
      </c>
      <c r="V358" s="33">
        <f t="shared" si="195"/>
        <v>0</v>
      </c>
      <c r="W358" s="33">
        <f t="shared" si="195"/>
        <v>0</v>
      </c>
      <c r="X358" s="33">
        <f t="shared" si="195"/>
        <v>0</v>
      </c>
    </row>
    <row r="359" spans="2:24">
      <c r="B359" s="305"/>
      <c r="C359" s="305"/>
      <c r="D359" s="288"/>
      <c r="E359" s="390"/>
      <c r="F359" s="391"/>
      <c r="G359" s="391"/>
      <c r="H359" s="417"/>
      <c r="I359" s="33">
        <f>IF(AND(F359="tak",G359="tak"),SUM(K397:X397),IF(AND(F359="tak",G359="nie",ISNUMBER(H359)),'Rozliczenie dotacji'!F100,0))</f>
        <v>0</v>
      </c>
      <c r="J359" s="203" t="str" cm="1">
        <f t="array" ref="J359">IF(SUMPRODUCT(ISBLANK(B359:G359)*1)=6,"wstaw dane",IF(AND(SUMPRODUCT(ISBLANK(B359:G359)*1)&gt;0,SUMPRODUCT(ISBLANK(B359:G359)*1)&lt;6),"uzupełnij dane",IF(OR(AND(F359=nie,ISNUMBER(H359)=TRUE),AND(F359=tak,G359=tak,ISNUMBER(H359)=TRUE)),"usuń % dotacji",IF(AND(F359=nie,G359=tak),"popraw dane",IF(AND(F359=tak,G359=nie,ISBLANK(H359)=TRUE),"wstaw % dotacji","ok")))))</f>
        <v>wstaw dane</v>
      </c>
      <c r="K359" s="33">
        <f t="shared" si="195"/>
        <v>0</v>
      </c>
      <c r="L359" s="33">
        <f t="shared" si="195"/>
        <v>0</v>
      </c>
      <c r="M359" s="33">
        <f t="shared" si="195"/>
        <v>0</v>
      </c>
      <c r="N359" s="33">
        <f t="shared" si="195"/>
        <v>0</v>
      </c>
      <c r="O359" s="33">
        <f t="shared" si="195"/>
        <v>0</v>
      </c>
      <c r="P359" s="33">
        <f t="shared" si="195"/>
        <v>0</v>
      </c>
      <c r="Q359" s="33">
        <f t="shared" si="195"/>
        <v>0</v>
      </c>
      <c r="R359" s="33">
        <f t="shared" si="195"/>
        <v>0</v>
      </c>
      <c r="S359" s="33">
        <f t="shared" si="195"/>
        <v>0</v>
      </c>
      <c r="T359" s="33">
        <f t="shared" si="195"/>
        <v>0</v>
      </c>
      <c r="U359" s="33">
        <f t="shared" si="195"/>
        <v>0</v>
      </c>
      <c r="V359" s="33">
        <f t="shared" si="195"/>
        <v>0</v>
      </c>
      <c r="W359" s="33">
        <f t="shared" si="195"/>
        <v>0</v>
      </c>
      <c r="X359" s="33">
        <f t="shared" si="195"/>
        <v>0</v>
      </c>
    </row>
    <row r="360" spans="2:24">
      <c r="B360" s="305"/>
      <c r="C360" s="305"/>
      <c r="D360" s="288"/>
      <c r="E360" s="390"/>
      <c r="F360" s="391"/>
      <c r="G360" s="391"/>
      <c r="H360" s="417"/>
      <c r="I360" s="33">
        <f>IF(AND(F360="tak",G360="tak"),SUM(K398:X398),IF(AND(F360="tak",G360="nie",ISNUMBER(H360)),'Rozliczenie dotacji'!F101,0))</f>
        <v>0</v>
      </c>
      <c r="J360" s="203" t="str" cm="1">
        <f t="array" ref="J360">IF(SUMPRODUCT(ISBLANK(B360:G360)*1)=6,"wstaw dane",IF(AND(SUMPRODUCT(ISBLANK(B360:G360)*1)&gt;0,SUMPRODUCT(ISBLANK(B360:G360)*1)&lt;6),"uzupełnij dane",IF(OR(AND(F360=nie,ISNUMBER(H360)=TRUE),AND(F360=tak,G360=tak,ISNUMBER(H360)=TRUE)),"usuń % dotacji",IF(AND(F360=nie,G360=tak),"popraw dane",IF(AND(F360=tak,G360=nie,ISBLANK(H360)=TRUE),"wstaw % dotacji","ok")))))</f>
        <v>wstaw dane</v>
      </c>
      <c r="K360" s="33">
        <f t="shared" si="195"/>
        <v>0</v>
      </c>
      <c r="L360" s="33">
        <f t="shared" si="195"/>
        <v>0</v>
      </c>
      <c r="M360" s="33">
        <f t="shared" si="195"/>
        <v>0</v>
      </c>
      <c r="N360" s="33">
        <f t="shared" si="195"/>
        <v>0</v>
      </c>
      <c r="O360" s="33">
        <f t="shared" si="195"/>
        <v>0</v>
      </c>
      <c r="P360" s="33">
        <f t="shared" si="195"/>
        <v>0</v>
      </c>
      <c r="Q360" s="33">
        <f t="shared" si="195"/>
        <v>0</v>
      </c>
      <c r="R360" s="33">
        <f t="shared" si="195"/>
        <v>0</v>
      </c>
      <c r="S360" s="33">
        <f t="shared" si="195"/>
        <v>0</v>
      </c>
      <c r="T360" s="33">
        <f t="shared" si="195"/>
        <v>0</v>
      </c>
      <c r="U360" s="33">
        <f t="shared" si="195"/>
        <v>0</v>
      </c>
      <c r="V360" s="33">
        <f t="shared" si="195"/>
        <v>0</v>
      </c>
      <c r="W360" s="33">
        <f t="shared" si="195"/>
        <v>0</v>
      </c>
      <c r="X360" s="33">
        <f t="shared" si="195"/>
        <v>0</v>
      </c>
    </row>
    <row r="361" spans="2:24">
      <c r="B361" s="305"/>
      <c r="C361" s="305"/>
      <c r="D361" s="288"/>
      <c r="E361" s="390"/>
      <c r="F361" s="391"/>
      <c r="G361" s="391"/>
      <c r="H361" s="417"/>
      <c r="I361" s="33">
        <f>IF(AND(F361="tak",G361="tak"),SUM(K399:X399),IF(AND(F361="tak",G361="nie",ISNUMBER(H361)),'Rozliczenie dotacji'!F102,0))</f>
        <v>0</v>
      </c>
      <c r="J361" s="203" t="str" cm="1">
        <f t="array" ref="J361">IF(SUMPRODUCT(ISBLANK(B361:G361)*1)=6,"wstaw dane",IF(AND(SUMPRODUCT(ISBLANK(B361:G361)*1)&gt;0,SUMPRODUCT(ISBLANK(B361:G361)*1)&lt;6),"uzupełnij dane",IF(OR(AND(F361=nie,ISNUMBER(H361)=TRUE),AND(F361=tak,G361=tak,ISNUMBER(H361)=TRUE)),"usuń % dotacji",IF(AND(F361=nie,G361=tak),"popraw dane",IF(AND(F361=tak,G361=nie,ISBLANK(H361)=TRUE),"wstaw % dotacji","ok")))))</f>
        <v>wstaw dane</v>
      </c>
      <c r="K361" s="33">
        <f t="shared" si="195"/>
        <v>0</v>
      </c>
      <c r="L361" s="33">
        <f t="shared" si="195"/>
        <v>0</v>
      </c>
      <c r="M361" s="33">
        <f t="shared" si="195"/>
        <v>0</v>
      </c>
      <c r="N361" s="33">
        <f t="shared" si="195"/>
        <v>0</v>
      </c>
      <c r="O361" s="33">
        <f t="shared" si="195"/>
        <v>0</v>
      </c>
      <c r="P361" s="33">
        <f t="shared" si="195"/>
        <v>0</v>
      </c>
      <c r="Q361" s="33">
        <f t="shared" si="195"/>
        <v>0</v>
      </c>
      <c r="R361" s="33">
        <f t="shared" si="195"/>
        <v>0</v>
      </c>
      <c r="S361" s="33">
        <f t="shared" si="195"/>
        <v>0</v>
      </c>
      <c r="T361" s="33">
        <f t="shared" si="195"/>
        <v>0</v>
      </c>
      <c r="U361" s="33">
        <f t="shared" si="195"/>
        <v>0</v>
      </c>
      <c r="V361" s="33">
        <f t="shared" si="195"/>
        <v>0</v>
      </c>
      <c r="W361" s="33">
        <f t="shared" si="195"/>
        <v>0</v>
      </c>
      <c r="X361" s="33">
        <f t="shared" si="195"/>
        <v>0</v>
      </c>
    </row>
    <row r="362" spans="2:24">
      <c r="B362" s="305"/>
      <c r="C362" s="305"/>
      <c r="D362" s="288"/>
      <c r="E362" s="390"/>
      <c r="F362" s="391"/>
      <c r="G362" s="391"/>
      <c r="H362" s="417"/>
      <c r="I362" s="33">
        <f>IF(AND(F362="tak",G362="tak"),SUM(K400:X400),IF(AND(F362="tak",G362="nie",ISNUMBER(H362)),'Rozliczenie dotacji'!F103,0))</f>
        <v>0</v>
      </c>
      <c r="J362" s="203" t="str" cm="1">
        <f t="array" ref="J362">IF(SUMPRODUCT(ISBLANK(B362:G362)*1)=6,"wstaw dane",IF(AND(SUMPRODUCT(ISBLANK(B362:G362)*1)&gt;0,SUMPRODUCT(ISBLANK(B362:G362)*1)&lt;6),"uzupełnij dane",IF(OR(AND(F362=nie,ISNUMBER(H362)=TRUE),AND(F362=tak,G362=tak,ISNUMBER(H362)=TRUE)),"usuń % dotacji",IF(AND(F362=nie,G362=tak),"popraw dane",IF(AND(F362=tak,G362=nie,ISBLANK(H362)=TRUE),"wstaw % dotacji","ok")))))</f>
        <v>wstaw dane</v>
      </c>
      <c r="K362" s="33">
        <f t="shared" si="195"/>
        <v>0</v>
      </c>
      <c r="L362" s="33">
        <f t="shared" si="195"/>
        <v>0</v>
      </c>
      <c r="M362" s="33">
        <f t="shared" si="195"/>
        <v>0</v>
      </c>
      <c r="N362" s="33">
        <f t="shared" si="195"/>
        <v>0</v>
      </c>
      <c r="O362" s="33">
        <f t="shared" si="195"/>
        <v>0</v>
      </c>
      <c r="P362" s="33">
        <f t="shared" si="195"/>
        <v>0</v>
      </c>
      <c r="Q362" s="33">
        <f t="shared" si="195"/>
        <v>0</v>
      </c>
      <c r="R362" s="33">
        <f t="shared" si="195"/>
        <v>0</v>
      </c>
      <c r="S362" s="33">
        <f t="shared" si="195"/>
        <v>0</v>
      </c>
      <c r="T362" s="33">
        <f t="shared" si="195"/>
        <v>0</v>
      </c>
      <c r="U362" s="33">
        <f t="shared" si="195"/>
        <v>0</v>
      </c>
      <c r="V362" s="33">
        <f t="shared" si="195"/>
        <v>0</v>
      </c>
      <c r="W362" s="33">
        <f t="shared" si="195"/>
        <v>0</v>
      </c>
      <c r="X362" s="33">
        <f t="shared" si="195"/>
        <v>0</v>
      </c>
    </row>
    <row r="363" spans="2:24">
      <c r="B363" s="94" t="str">
        <f>B1500</f>
        <v/>
      </c>
      <c r="C363" s="37" t="str">
        <f>IF(ISBLANK(C409),"",C409)</f>
        <v/>
      </c>
      <c r="D363" s="95">
        <f t="shared" ref="D363:E367" ca="1" si="196">D1500</f>
        <v>0</v>
      </c>
      <c r="E363" s="384" t="str">
        <f t="shared" si="196"/>
        <v/>
      </c>
      <c r="F363" s="419" t="str">
        <f>IF(ISBLANK(F409),"",F409)</f>
        <v/>
      </c>
      <c r="G363" s="419" t="str">
        <f>IF(ISBLANK(G409),"",G409)</f>
        <v/>
      </c>
      <c r="H363" s="79" t="str">
        <f>IF(ISBLANK(H409),"",H409)</f>
        <v/>
      </c>
      <c r="I363" s="33">
        <f>IF(AND(F363="tak",G363="tak"),SUM(K401:X401),IF(AND(F363="tak",G363="nie",ISNUMBER(H363)),'Rozliczenie dotacji'!F104,0))</f>
        <v>0</v>
      </c>
      <c r="J363" s="203" t="str">
        <f>J409</f>
        <v>wstaw dane</v>
      </c>
      <c r="K363" s="33">
        <f t="shared" ref="K363:X363" si="197">IF($J409="ok",K1500,0)</f>
        <v>0</v>
      </c>
      <c r="L363" s="33">
        <f t="shared" si="197"/>
        <v>0</v>
      </c>
      <c r="M363" s="33">
        <f t="shared" si="197"/>
        <v>0</v>
      </c>
      <c r="N363" s="33">
        <f t="shared" si="197"/>
        <v>0</v>
      </c>
      <c r="O363" s="33">
        <f t="shared" si="197"/>
        <v>0</v>
      </c>
      <c r="P363" s="33">
        <f t="shared" si="197"/>
        <v>0</v>
      </c>
      <c r="Q363" s="33">
        <f t="shared" si="197"/>
        <v>0</v>
      </c>
      <c r="R363" s="33">
        <f t="shared" si="197"/>
        <v>0</v>
      </c>
      <c r="S363" s="33">
        <f t="shared" si="197"/>
        <v>0</v>
      </c>
      <c r="T363" s="33">
        <f t="shared" si="197"/>
        <v>0</v>
      </c>
      <c r="U363" s="33">
        <f t="shared" si="197"/>
        <v>0</v>
      </c>
      <c r="V363" s="33">
        <f t="shared" si="197"/>
        <v>0</v>
      </c>
      <c r="W363" s="33">
        <f t="shared" si="197"/>
        <v>0</v>
      </c>
      <c r="X363" s="33">
        <f t="shared" si="197"/>
        <v>0</v>
      </c>
    </row>
    <row r="364" spans="2:24">
      <c r="B364" s="94" t="str">
        <f>B1501</f>
        <v/>
      </c>
      <c r="C364" s="37" t="str">
        <f t="shared" ref="C364:C367" si="198">IF(ISBLANK(C410),"",C410)</f>
        <v/>
      </c>
      <c r="D364" s="95">
        <f t="shared" ca="1" si="196"/>
        <v>0</v>
      </c>
      <c r="E364" s="384" t="str">
        <f t="shared" si="196"/>
        <v/>
      </c>
      <c r="F364" s="419" t="str">
        <f t="shared" ref="F364:G367" si="199">IF(ISBLANK(F410),"",F410)</f>
        <v/>
      </c>
      <c r="G364" s="419" t="str">
        <f t="shared" si="199"/>
        <v/>
      </c>
      <c r="H364" s="79" t="str">
        <f>IF(ISBLANK(H410),"",H410)</f>
        <v/>
      </c>
      <c r="I364" s="33">
        <f>IF(AND(F364="tak",G364="tak"),SUM(K402:X402),IF(AND(F364="tak",G364="nie",ISNUMBER(H364)),'Rozliczenie dotacji'!F105,0))</f>
        <v>0</v>
      </c>
      <c r="J364" s="203" t="str">
        <f>J410</f>
        <v>wstaw dane</v>
      </c>
      <c r="K364" s="33">
        <f t="shared" ref="K364:X364" si="200">IF($J410="ok",K1501,0)</f>
        <v>0</v>
      </c>
      <c r="L364" s="33">
        <f t="shared" si="200"/>
        <v>0</v>
      </c>
      <c r="M364" s="33">
        <f t="shared" si="200"/>
        <v>0</v>
      </c>
      <c r="N364" s="33">
        <f t="shared" si="200"/>
        <v>0</v>
      </c>
      <c r="O364" s="33">
        <f t="shared" si="200"/>
        <v>0</v>
      </c>
      <c r="P364" s="33">
        <f t="shared" si="200"/>
        <v>0</v>
      </c>
      <c r="Q364" s="33">
        <f t="shared" si="200"/>
        <v>0</v>
      </c>
      <c r="R364" s="33">
        <f t="shared" si="200"/>
        <v>0</v>
      </c>
      <c r="S364" s="33">
        <f t="shared" si="200"/>
        <v>0</v>
      </c>
      <c r="T364" s="33">
        <f t="shared" si="200"/>
        <v>0</v>
      </c>
      <c r="U364" s="33">
        <f t="shared" si="200"/>
        <v>0</v>
      </c>
      <c r="V364" s="33">
        <f t="shared" si="200"/>
        <v>0</v>
      </c>
      <c r="W364" s="33">
        <f t="shared" si="200"/>
        <v>0</v>
      </c>
      <c r="X364" s="33">
        <f t="shared" si="200"/>
        <v>0</v>
      </c>
    </row>
    <row r="365" spans="2:24">
      <c r="B365" s="94" t="str">
        <f>B1502</f>
        <v/>
      </c>
      <c r="C365" s="37" t="str">
        <f t="shared" si="198"/>
        <v/>
      </c>
      <c r="D365" s="95">
        <f t="shared" ca="1" si="196"/>
        <v>0</v>
      </c>
      <c r="E365" s="384" t="str">
        <f t="shared" si="196"/>
        <v/>
      </c>
      <c r="F365" s="419" t="str">
        <f t="shared" si="199"/>
        <v/>
      </c>
      <c r="G365" s="419" t="str">
        <f t="shared" si="199"/>
        <v/>
      </c>
      <c r="H365" s="79" t="str">
        <f>IF(ISBLANK(H411),"",H411)</f>
        <v/>
      </c>
      <c r="I365" s="33">
        <f>IF(AND(F365="tak",G365="tak"),SUM(K403:X403),IF(AND(F365="tak",G365="nie",ISNUMBER(H365)),'Rozliczenie dotacji'!F106,0))</f>
        <v>0</v>
      </c>
      <c r="J365" s="203" t="str">
        <f>J411</f>
        <v>wstaw dane</v>
      </c>
      <c r="K365" s="33">
        <f t="shared" ref="K365:X365" si="201">IF($J411="ok",K1502,0)</f>
        <v>0</v>
      </c>
      <c r="L365" s="33">
        <f t="shared" si="201"/>
        <v>0</v>
      </c>
      <c r="M365" s="33">
        <f t="shared" si="201"/>
        <v>0</v>
      </c>
      <c r="N365" s="33">
        <f t="shared" si="201"/>
        <v>0</v>
      </c>
      <c r="O365" s="33">
        <f t="shared" si="201"/>
        <v>0</v>
      </c>
      <c r="P365" s="33">
        <f t="shared" si="201"/>
        <v>0</v>
      </c>
      <c r="Q365" s="33">
        <f t="shared" si="201"/>
        <v>0</v>
      </c>
      <c r="R365" s="33">
        <f t="shared" si="201"/>
        <v>0</v>
      </c>
      <c r="S365" s="33">
        <f t="shared" si="201"/>
        <v>0</v>
      </c>
      <c r="T365" s="33">
        <f t="shared" si="201"/>
        <v>0</v>
      </c>
      <c r="U365" s="33">
        <f t="shared" si="201"/>
        <v>0</v>
      </c>
      <c r="V365" s="33">
        <f t="shared" si="201"/>
        <v>0</v>
      </c>
      <c r="W365" s="33">
        <f t="shared" si="201"/>
        <v>0</v>
      </c>
      <c r="X365" s="33">
        <f t="shared" si="201"/>
        <v>0</v>
      </c>
    </row>
    <row r="366" spans="2:24">
      <c r="B366" s="94" t="str">
        <f>B1503</f>
        <v/>
      </c>
      <c r="C366" s="37" t="str">
        <f t="shared" si="198"/>
        <v/>
      </c>
      <c r="D366" s="95">
        <f t="shared" ca="1" si="196"/>
        <v>0</v>
      </c>
      <c r="E366" s="384" t="str">
        <f t="shared" si="196"/>
        <v/>
      </c>
      <c r="F366" s="419" t="str">
        <f t="shared" si="199"/>
        <v/>
      </c>
      <c r="G366" s="419" t="str">
        <f t="shared" si="199"/>
        <v/>
      </c>
      <c r="H366" s="79" t="str">
        <f>IF(ISBLANK(H412),"",H412)</f>
        <v/>
      </c>
      <c r="I366" s="33">
        <f>IF(AND(F366="tak",G366="tak"),SUM(K404:X404),IF(AND(F366="tak",G366="nie",ISNUMBER(H366)),'Rozliczenie dotacji'!F107,0))</f>
        <v>0</v>
      </c>
      <c r="J366" s="203" t="str">
        <f>J412</f>
        <v>wstaw dane</v>
      </c>
      <c r="K366" s="33">
        <f t="shared" ref="K366:X366" si="202">IF($J412="ok",K1503,0)</f>
        <v>0</v>
      </c>
      <c r="L366" s="33">
        <f t="shared" si="202"/>
        <v>0</v>
      </c>
      <c r="M366" s="33">
        <f t="shared" si="202"/>
        <v>0</v>
      </c>
      <c r="N366" s="33">
        <f t="shared" si="202"/>
        <v>0</v>
      </c>
      <c r="O366" s="33">
        <f t="shared" si="202"/>
        <v>0</v>
      </c>
      <c r="P366" s="33">
        <f t="shared" si="202"/>
        <v>0</v>
      </c>
      <c r="Q366" s="33">
        <f t="shared" si="202"/>
        <v>0</v>
      </c>
      <c r="R366" s="33">
        <f t="shared" si="202"/>
        <v>0</v>
      </c>
      <c r="S366" s="33">
        <f t="shared" si="202"/>
        <v>0</v>
      </c>
      <c r="T366" s="33">
        <f t="shared" si="202"/>
        <v>0</v>
      </c>
      <c r="U366" s="33">
        <f t="shared" si="202"/>
        <v>0</v>
      </c>
      <c r="V366" s="33">
        <f t="shared" si="202"/>
        <v>0</v>
      </c>
      <c r="W366" s="33">
        <f t="shared" si="202"/>
        <v>0</v>
      </c>
      <c r="X366" s="33">
        <f t="shared" si="202"/>
        <v>0</v>
      </c>
    </row>
    <row r="367" spans="2:24">
      <c r="B367" s="94" t="str">
        <f>B1504</f>
        <v/>
      </c>
      <c r="C367" s="37" t="str">
        <f t="shared" si="198"/>
        <v/>
      </c>
      <c r="D367" s="95">
        <f t="shared" ca="1" si="196"/>
        <v>0</v>
      </c>
      <c r="E367" s="384" t="str">
        <f t="shared" si="196"/>
        <v/>
      </c>
      <c r="F367" s="419" t="str">
        <f t="shared" si="199"/>
        <v/>
      </c>
      <c r="G367" s="419" t="str">
        <f t="shared" si="199"/>
        <v/>
      </c>
      <c r="H367" s="79" t="str">
        <f>IF(ISBLANK(H413),"",H413)</f>
        <v/>
      </c>
      <c r="I367" s="33">
        <f>IF(AND(F367="tak",G367="tak"),SUM(K405:X405),IF(AND(F367="tak",G367="nie",ISNUMBER(H367)),'Rozliczenie dotacji'!F108,0))</f>
        <v>0</v>
      </c>
      <c r="J367" s="203" t="str">
        <f>J413</f>
        <v>wstaw dane</v>
      </c>
      <c r="K367" s="33">
        <f t="shared" ref="K367:X367" si="203">IF($J413="ok",K1504,0)</f>
        <v>0</v>
      </c>
      <c r="L367" s="33">
        <f t="shared" si="203"/>
        <v>0</v>
      </c>
      <c r="M367" s="33">
        <f t="shared" si="203"/>
        <v>0</v>
      </c>
      <c r="N367" s="33">
        <f t="shared" si="203"/>
        <v>0</v>
      </c>
      <c r="O367" s="33">
        <f t="shared" si="203"/>
        <v>0</v>
      </c>
      <c r="P367" s="33">
        <f t="shared" si="203"/>
        <v>0</v>
      </c>
      <c r="Q367" s="33">
        <f t="shared" si="203"/>
        <v>0</v>
      </c>
      <c r="R367" s="33">
        <f t="shared" si="203"/>
        <v>0</v>
      </c>
      <c r="S367" s="33">
        <f t="shared" si="203"/>
        <v>0</v>
      </c>
      <c r="T367" s="33">
        <f t="shared" si="203"/>
        <v>0</v>
      </c>
      <c r="U367" s="33">
        <f t="shared" si="203"/>
        <v>0</v>
      </c>
      <c r="V367" s="33">
        <f t="shared" si="203"/>
        <v>0</v>
      </c>
      <c r="W367" s="33">
        <f t="shared" si="203"/>
        <v>0</v>
      </c>
      <c r="X367" s="33">
        <f t="shared" si="203"/>
        <v>0</v>
      </c>
    </row>
    <row r="368" spans="2:24">
      <c r="B368" s="99" t="s">
        <v>335</v>
      </c>
      <c r="C368" s="99"/>
      <c r="D368" s="98">
        <f ca="1">SUM(D353:D367)</f>
        <v>0</v>
      </c>
      <c r="E368" s="200"/>
      <c r="F368" s="97"/>
      <c r="G368" s="98"/>
      <c r="H368" s="97"/>
      <c r="I368" s="98">
        <f>SUM(I353:I367)</f>
        <v>0</v>
      </c>
      <c r="J368" s="97"/>
      <c r="K368" s="98">
        <f t="shared" ref="K368:X368" si="204">SUM(K353:K367)</f>
        <v>0</v>
      </c>
      <c r="L368" s="98">
        <f t="shared" si="204"/>
        <v>0</v>
      </c>
      <c r="M368" s="98">
        <f t="shared" si="204"/>
        <v>0</v>
      </c>
      <c r="N368" s="98">
        <f t="shared" si="204"/>
        <v>0</v>
      </c>
      <c r="O368" s="98">
        <f t="shared" si="204"/>
        <v>0</v>
      </c>
      <c r="P368" s="98">
        <f t="shared" si="204"/>
        <v>0</v>
      </c>
      <c r="Q368" s="98">
        <f t="shared" si="204"/>
        <v>0</v>
      </c>
      <c r="R368" s="98">
        <f t="shared" si="204"/>
        <v>0</v>
      </c>
      <c r="S368" s="98">
        <f t="shared" si="204"/>
        <v>0</v>
      </c>
      <c r="T368" s="98">
        <f t="shared" si="204"/>
        <v>0</v>
      </c>
      <c r="U368" s="98">
        <f t="shared" si="204"/>
        <v>0</v>
      </c>
      <c r="V368" s="98">
        <f t="shared" si="204"/>
        <v>0</v>
      </c>
      <c r="W368" s="98">
        <f t="shared" si="204"/>
        <v>0</v>
      </c>
      <c r="X368" s="98">
        <f t="shared" si="204"/>
        <v>0</v>
      </c>
    </row>
    <row r="369" spans="2:24">
      <c r="B369" s="104" t="s">
        <v>384</v>
      </c>
      <c r="C369" s="104"/>
      <c r="D369" s="102"/>
      <c r="E369" s="102"/>
      <c r="F369" s="102"/>
      <c r="G369" s="102"/>
      <c r="H369" s="102"/>
      <c r="I369" s="102"/>
      <c r="J369" s="102"/>
      <c r="K369" s="103">
        <f t="shared" ref="K369:X369" ca="1" si="205">K1431+K1438+K1445+K1452+K1494+K1506+K1459+K1466+K1473+K1480+K1487</f>
        <v>0</v>
      </c>
      <c r="L369" s="103">
        <f t="shared" ca="1" si="205"/>
        <v>0</v>
      </c>
      <c r="M369" s="103">
        <f t="shared" ca="1" si="205"/>
        <v>0</v>
      </c>
      <c r="N369" s="103">
        <f t="shared" ca="1" si="205"/>
        <v>0</v>
      </c>
      <c r="O369" s="103">
        <f t="shared" ca="1" si="205"/>
        <v>0</v>
      </c>
      <c r="P369" s="103">
        <f t="shared" ca="1" si="205"/>
        <v>0</v>
      </c>
      <c r="Q369" s="103">
        <f t="shared" ca="1" si="205"/>
        <v>0</v>
      </c>
      <c r="R369" s="103">
        <f t="shared" ca="1" si="205"/>
        <v>0</v>
      </c>
      <c r="S369" s="103">
        <f t="shared" ca="1" si="205"/>
        <v>0</v>
      </c>
      <c r="T369" s="103">
        <f t="shared" ca="1" si="205"/>
        <v>0</v>
      </c>
      <c r="U369" s="103">
        <f t="shared" ca="1" si="205"/>
        <v>0</v>
      </c>
      <c r="V369" s="103">
        <f t="shared" ca="1" si="205"/>
        <v>0</v>
      </c>
      <c r="W369" s="103">
        <f t="shared" ca="1" si="205"/>
        <v>0</v>
      </c>
      <c r="X369" s="103">
        <f t="shared" ca="1" si="205"/>
        <v>0</v>
      </c>
    </row>
    <row r="370" spans="2:24">
      <c r="B370" s="37" t="s">
        <v>385</v>
      </c>
      <c r="C370" s="37"/>
      <c r="D370" s="52"/>
      <c r="E370" s="52"/>
      <c r="F370" s="52"/>
      <c r="G370" s="52"/>
      <c r="H370" s="52"/>
      <c r="I370" s="52"/>
      <c r="J370" s="52"/>
      <c r="K370" s="33">
        <f t="shared" ref="K370:X370" ca="1" si="206">K1432+K1439+K1446+K1453+K1495+K1507+K1460+K1467+K1474+K1481+K1488</f>
        <v>0</v>
      </c>
      <c r="L370" s="33">
        <f t="shared" ca="1" si="206"/>
        <v>0</v>
      </c>
      <c r="M370" s="33">
        <f t="shared" ca="1" si="206"/>
        <v>0</v>
      </c>
      <c r="N370" s="33">
        <f t="shared" ca="1" si="206"/>
        <v>0</v>
      </c>
      <c r="O370" s="33">
        <f t="shared" ca="1" si="206"/>
        <v>0</v>
      </c>
      <c r="P370" s="33">
        <f t="shared" ca="1" si="206"/>
        <v>0</v>
      </c>
      <c r="Q370" s="33">
        <f t="shared" ca="1" si="206"/>
        <v>0</v>
      </c>
      <c r="R370" s="33">
        <f t="shared" ca="1" si="206"/>
        <v>0</v>
      </c>
      <c r="S370" s="33">
        <f t="shared" ca="1" si="206"/>
        <v>0</v>
      </c>
      <c r="T370" s="33">
        <f t="shared" ca="1" si="206"/>
        <v>0</v>
      </c>
      <c r="U370" s="33">
        <f t="shared" ca="1" si="206"/>
        <v>0</v>
      </c>
      <c r="V370" s="33">
        <f t="shared" ca="1" si="206"/>
        <v>0</v>
      </c>
      <c r="W370" s="33">
        <f t="shared" ca="1" si="206"/>
        <v>0</v>
      </c>
      <c r="X370" s="33">
        <f t="shared" ca="1" si="206"/>
        <v>0</v>
      </c>
    </row>
    <row r="371" spans="2:24">
      <c r="B371" s="201" t="s">
        <v>386</v>
      </c>
      <c r="C371" s="201"/>
      <c r="D371" s="52"/>
      <c r="E371" s="52"/>
      <c r="F371" s="52"/>
      <c r="G371" s="52"/>
      <c r="H371" s="52"/>
      <c r="I371" s="52"/>
      <c r="J371" s="52"/>
      <c r="K371" s="87">
        <f t="shared" ref="K371:X371" ca="1" si="207">K1433+K1440+K1447+K1454+K1496+K1508+K1461+K1468+K1475+K1482+K1489</f>
        <v>0</v>
      </c>
      <c r="L371" s="87">
        <f t="shared" ca="1" si="207"/>
        <v>0</v>
      </c>
      <c r="M371" s="87">
        <f t="shared" ca="1" si="207"/>
        <v>0</v>
      </c>
      <c r="N371" s="87">
        <f t="shared" ca="1" si="207"/>
        <v>0</v>
      </c>
      <c r="O371" s="87">
        <f t="shared" ca="1" si="207"/>
        <v>0</v>
      </c>
      <c r="P371" s="87">
        <f t="shared" ca="1" si="207"/>
        <v>0</v>
      </c>
      <c r="Q371" s="87">
        <f t="shared" ca="1" si="207"/>
        <v>0</v>
      </c>
      <c r="R371" s="87">
        <f t="shared" ca="1" si="207"/>
        <v>0</v>
      </c>
      <c r="S371" s="87">
        <f t="shared" ca="1" si="207"/>
        <v>0</v>
      </c>
      <c r="T371" s="87">
        <f t="shared" ca="1" si="207"/>
        <v>0</v>
      </c>
      <c r="U371" s="87">
        <f t="shared" ca="1" si="207"/>
        <v>0</v>
      </c>
      <c r="V371" s="87">
        <f t="shared" ca="1" si="207"/>
        <v>0</v>
      </c>
      <c r="W371" s="87">
        <f t="shared" ca="1" si="207"/>
        <v>0</v>
      </c>
      <c r="X371" s="87">
        <f t="shared" ca="1" si="207"/>
        <v>0</v>
      </c>
    </row>
    <row r="372" spans="2:24"/>
    <row r="373" spans="2:24">
      <c r="B373" s="189" t="s">
        <v>424</v>
      </c>
      <c r="C373" s="396"/>
      <c r="D373" s="190"/>
      <c r="E373" s="191"/>
      <c r="F373" s="191"/>
      <c r="G373" s="191"/>
      <c r="H373" s="191"/>
      <c r="I373" s="191"/>
      <c r="J373" s="191"/>
      <c r="K373" s="555"/>
      <c r="L373" s="556"/>
      <c r="M373" s="556"/>
      <c r="N373" s="556"/>
      <c r="O373" s="556"/>
      <c r="P373" s="556"/>
      <c r="Q373" s="556"/>
      <c r="R373" s="556"/>
      <c r="S373" s="556"/>
      <c r="T373" s="556"/>
      <c r="U373" s="556"/>
      <c r="V373" s="556"/>
      <c r="W373" s="556"/>
      <c r="X373" s="556"/>
    </row>
    <row r="374" spans="2:24">
      <c r="B374" s="63" t="str">
        <f t="shared" ref="B374:C388" si="208">IF(ISBLANK(B353),"",B353)</f>
        <v/>
      </c>
      <c r="C374" s="63" t="str">
        <f t="shared" si="208"/>
        <v/>
      </c>
      <c r="D374" s="102"/>
      <c r="E374" s="102"/>
      <c r="F374" s="102"/>
      <c r="G374" s="102"/>
      <c r="H374" s="102"/>
      <c r="I374" s="102"/>
      <c r="J374" s="202" t="str" cm="1">
        <f t="array" ref="J374">IF(J353="wstaw dane","",IF(OR(ISBLANK(F353)=TRUE,ISBLANK(G353)=TRUE),"uzupełnij dane",IF(OR((AND(F353="nie",SUMPRODUCT(ISNUMBER(K374:X374)*1)&gt;0)),AND(F353=tak,G353=nie,SUMPRODUCT(ISNUMBER(K374:X374)*1)&gt;0)),"usuń % dotacji",IF(AND(F353=tak,G353=tak,SUMPRODUCT(ISNUMBER(K374:X374)*1)=0),"wstaw % dotacji","ok"))))</f>
        <v/>
      </c>
      <c r="K374" s="407"/>
      <c r="L374" s="407"/>
      <c r="M374" s="407"/>
      <c r="N374" s="407"/>
      <c r="O374" s="407"/>
      <c r="P374" s="407"/>
      <c r="Q374" s="407"/>
      <c r="R374" s="407"/>
      <c r="S374" s="407"/>
      <c r="T374" s="407"/>
      <c r="U374" s="407"/>
      <c r="V374" s="407"/>
      <c r="W374" s="407"/>
      <c r="X374" s="407"/>
    </row>
    <row r="375" spans="2:24">
      <c r="B375" s="63" t="str">
        <f t="shared" si="208"/>
        <v/>
      </c>
      <c r="C375" s="63" t="str">
        <f t="shared" si="208"/>
        <v/>
      </c>
      <c r="D375" s="52"/>
      <c r="E375" s="52"/>
      <c r="F375" s="52"/>
      <c r="G375" s="52"/>
      <c r="H375" s="52"/>
      <c r="I375" s="52"/>
      <c r="J375" s="203" t="str" cm="1">
        <f t="array" ref="J375">IF(J354="wstaw dane","",IF(OR(ISBLANK(F354)=TRUE,ISBLANK(G354)=TRUE),"uzupełnij dane",IF(OR((AND(F354="nie",SUMPRODUCT(ISNUMBER(K375:X375)*1)&gt;0)),AND(F354=tak,G354=nie,SUMPRODUCT(ISNUMBER(K375:X375)*1)&gt;0)),"usuń % dotacji",IF(AND(F354=tak,G354=tak,SUMPRODUCT(ISNUMBER(K375:X375)*1)=0),"wstaw % dotacji","ok"))))</f>
        <v/>
      </c>
      <c r="K375" s="408"/>
      <c r="L375" s="408"/>
      <c r="M375" s="408"/>
      <c r="N375" s="408"/>
      <c r="O375" s="408"/>
      <c r="P375" s="408"/>
      <c r="Q375" s="408"/>
      <c r="R375" s="408"/>
      <c r="S375" s="408"/>
      <c r="T375" s="408"/>
      <c r="U375" s="408"/>
      <c r="V375" s="408"/>
      <c r="W375" s="408"/>
      <c r="X375" s="408"/>
    </row>
    <row r="376" spans="2:24">
      <c r="B376" s="63" t="str">
        <f t="shared" si="208"/>
        <v/>
      </c>
      <c r="C376" s="63" t="str">
        <f t="shared" si="208"/>
        <v/>
      </c>
      <c r="D376" s="52"/>
      <c r="E376" s="52"/>
      <c r="F376" s="52"/>
      <c r="G376" s="52"/>
      <c r="H376" s="52"/>
      <c r="I376" s="52"/>
      <c r="J376" s="203" t="str" cm="1">
        <f t="array" ref="J376">IF(J355="wstaw dane","",IF(OR(ISBLANK(F355)=TRUE,ISBLANK(G355)=TRUE),"uzupełnij dane",IF(OR((AND(F355="nie",SUMPRODUCT(ISNUMBER(K376:X376)*1)&gt;0)),AND(F355=tak,G355=nie,SUMPRODUCT(ISNUMBER(K376:X376)*1)&gt;0)),"usuń % dotacji",IF(AND(F355=tak,G355=tak,SUMPRODUCT(ISNUMBER(K376:X376)*1)=0),"wstaw % dotacji","ok"))))</f>
        <v/>
      </c>
      <c r="K376" s="408"/>
      <c r="L376" s="408"/>
      <c r="M376" s="408"/>
      <c r="N376" s="408"/>
      <c r="O376" s="408"/>
      <c r="P376" s="408"/>
      <c r="Q376" s="408"/>
      <c r="R376" s="408"/>
      <c r="S376" s="408"/>
      <c r="T376" s="408"/>
      <c r="U376" s="408"/>
      <c r="V376" s="408"/>
      <c r="W376" s="408"/>
      <c r="X376" s="408"/>
    </row>
    <row r="377" spans="2:24">
      <c r="B377" s="63" t="str">
        <f t="shared" si="208"/>
        <v/>
      </c>
      <c r="C377" s="63" t="str">
        <f t="shared" si="208"/>
        <v/>
      </c>
      <c r="D377" s="52"/>
      <c r="E377" s="52"/>
      <c r="F377" s="52"/>
      <c r="G377" s="52"/>
      <c r="H377" s="52"/>
      <c r="I377" s="52"/>
      <c r="J377" s="203" t="str" cm="1">
        <f t="array" ref="J377">IF(J356="wstaw dane","",IF(OR(ISBLANK(F356)=TRUE,ISBLANK(G356)=TRUE),"uzupełnij dane",IF(OR((AND(F356="nie",SUMPRODUCT(ISNUMBER(K377:X377)*1)&gt;0)),AND(F356=tak,G356=nie,SUMPRODUCT(ISNUMBER(K377:X377)*1)&gt;0)),"usuń % dotacji",IF(AND(F356=tak,G356=tak,SUMPRODUCT(ISNUMBER(K377:X377)*1)=0),"wstaw % dotacji","ok"))))</f>
        <v/>
      </c>
      <c r="K377" s="408"/>
      <c r="L377" s="408"/>
      <c r="M377" s="408"/>
      <c r="N377" s="408"/>
      <c r="O377" s="408"/>
      <c r="P377" s="408"/>
      <c r="Q377" s="408"/>
      <c r="R377" s="408"/>
      <c r="S377" s="408"/>
      <c r="T377" s="408"/>
      <c r="U377" s="408"/>
      <c r="V377" s="408"/>
      <c r="W377" s="408"/>
      <c r="X377" s="408"/>
    </row>
    <row r="378" spans="2:24">
      <c r="B378" s="63" t="str">
        <f t="shared" si="208"/>
        <v/>
      </c>
      <c r="C378" s="63" t="str">
        <f t="shared" si="208"/>
        <v/>
      </c>
      <c r="D378" s="52"/>
      <c r="E378" s="52"/>
      <c r="F378" s="52"/>
      <c r="G378" s="52"/>
      <c r="H378" s="52"/>
      <c r="I378" s="52"/>
      <c r="J378" s="203" t="str" cm="1">
        <f t="array" ref="J378">IF(J357="wstaw dane","",IF(OR(ISBLANK(F357)=TRUE,ISBLANK(G357)=TRUE),"uzupełnij dane",IF(OR((AND(F357="nie",SUMPRODUCT(ISNUMBER(K378:X378)*1)&gt;0)),AND(F357=tak,G357=nie,SUMPRODUCT(ISNUMBER(K378:X378)*1)&gt;0)),"usuń % dotacji",IF(AND(F357=tak,G357=tak,SUMPRODUCT(ISNUMBER(K378:X378)*1)=0),"wstaw % dotacji","ok"))))</f>
        <v/>
      </c>
      <c r="K378" s="408"/>
      <c r="L378" s="408"/>
      <c r="M378" s="408"/>
      <c r="N378" s="408"/>
      <c r="O378" s="408"/>
      <c r="P378" s="408"/>
      <c r="Q378" s="408"/>
      <c r="R378" s="408"/>
      <c r="S378" s="408"/>
      <c r="T378" s="408"/>
      <c r="U378" s="408"/>
      <c r="V378" s="408"/>
      <c r="W378" s="408"/>
      <c r="X378" s="408"/>
    </row>
    <row r="379" spans="2:24">
      <c r="B379" s="63" t="str">
        <f t="shared" si="208"/>
        <v/>
      </c>
      <c r="C379" s="63" t="str">
        <f t="shared" si="208"/>
        <v/>
      </c>
      <c r="D379" s="52"/>
      <c r="E379" s="52"/>
      <c r="F379" s="52"/>
      <c r="G379" s="52"/>
      <c r="H379" s="52"/>
      <c r="I379" s="52"/>
      <c r="J379" s="203" t="str" cm="1">
        <f t="array" ref="J379">IF(J358="wstaw dane","",IF(OR(ISBLANK(F358)=TRUE,ISBLANK(G358)=TRUE),"uzupełnij dane",IF(OR((AND(F358="nie",SUMPRODUCT(ISNUMBER(K379:X379)*1)&gt;0)),AND(F358=tak,G358=nie,SUMPRODUCT(ISNUMBER(K379:X379)*1)&gt;0)),"usuń % dotacji",IF(AND(F358=tak,G358=tak,SUMPRODUCT(ISNUMBER(K379:X379)*1)=0),"wstaw % dotacji","ok"))))</f>
        <v/>
      </c>
      <c r="K379" s="408"/>
      <c r="L379" s="408"/>
      <c r="M379" s="408"/>
      <c r="N379" s="408"/>
      <c r="O379" s="408"/>
      <c r="P379" s="408"/>
      <c r="Q379" s="408"/>
      <c r="R379" s="408"/>
      <c r="S379" s="408"/>
      <c r="T379" s="408"/>
      <c r="U379" s="408"/>
      <c r="V379" s="408"/>
      <c r="W379" s="408"/>
      <c r="X379" s="408"/>
    </row>
    <row r="380" spans="2:24">
      <c r="B380" s="63" t="str">
        <f t="shared" si="208"/>
        <v/>
      </c>
      <c r="C380" s="63" t="str">
        <f t="shared" si="208"/>
        <v/>
      </c>
      <c r="D380" s="52"/>
      <c r="E380" s="52"/>
      <c r="F380" s="52"/>
      <c r="G380" s="52"/>
      <c r="H380" s="52"/>
      <c r="I380" s="52"/>
      <c r="J380" s="203" t="str" cm="1">
        <f t="array" ref="J380">IF(J359="wstaw dane","",IF(OR(ISBLANK(F359)=TRUE,ISBLANK(G359)=TRUE),"uzupełnij dane",IF(OR((AND(F359="nie",SUMPRODUCT(ISNUMBER(K380:X380)*1)&gt;0)),AND(F359=tak,G359=nie,SUMPRODUCT(ISNUMBER(K380:X380)*1)&gt;0)),"usuń % dotacji",IF(AND(F359=tak,G359=tak,SUMPRODUCT(ISNUMBER(K380:X380)*1)=0),"wstaw % dotacji","ok"))))</f>
        <v/>
      </c>
      <c r="K380" s="408"/>
      <c r="L380" s="408"/>
      <c r="M380" s="408"/>
      <c r="N380" s="408"/>
      <c r="O380" s="408"/>
      <c r="P380" s="408"/>
      <c r="Q380" s="408"/>
      <c r="R380" s="408"/>
      <c r="S380" s="408"/>
      <c r="T380" s="408"/>
      <c r="U380" s="408"/>
      <c r="V380" s="408"/>
      <c r="W380" s="408"/>
      <c r="X380" s="408"/>
    </row>
    <row r="381" spans="2:24">
      <c r="B381" s="63" t="str">
        <f t="shared" si="208"/>
        <v/>
      </c>
      <c r="C381" s="63" t="str">
        <f t="shared" si="208"/>
        <v/>
      </c>
      <c r="D381" s="52"/>
      <c r="E381" s="52"/>
      <c r="F381" s="52"/>
      <c r="G381" s="52"/>
      <c r="H381" s="52"/>
      <c r="I381" s="52"/>
      <c r="J381" s="203" t="str" cm="1">
        <f t="array" ref="J381">IF(J360="wstaw dane","",IF(OR(ISBLANK(F360)=TRUE,ISBLANK(G360)=TRUE),"uzupełnij dane",IF(OR((AND(F360="nie",SUMPRODUCT(ISNUMBER(K381:X381)*1)&gt;0)),AND(F360=tak,G360=nie,SUMPRODUCT(ISNUMBER(K381:X381)*1)&gt;0)),"usuń % dotacji",IF(AND(F360=tak,G360=tak,SUMPRODUCT(ISNUMBER(K381:X381)*1)=0),"wstaw % dotacji","ok"))))</f>
        <v/>
      </c>
      <c r="K381" s="408"/>
      <c r="L381" s="408"/>
      <c r="M381" s="408"/>
      <c r="N381" s="408"/>
      <c r="O381" s="408"/>
      <c r="P381" s="408"/>
      <c r="Q381" s="408"/>
      <c r="R381" s="408"/>
      <c r="S381" s="408"/>
      <c r="T381" s="408"/>
      <c r="U381" s="408"/>
      <c r="V381" s="408"/>
      <c r="W381" s="408"/>
      <c r="X381" s="408"/>
    </row>
    <row r="382" spans="2:24">
      <c r="B382" s="63" t="str">
        <f t="shared" si="208"/>
        <v/>
      </c>
      <c r="C382" s="63" t="str">
        <f t="shared" si="208"/>
        <v/>
      </c>
      <c r="D382" s="52"/>
      <c r="E382" s="52"/>
      <c r="F382" s="52"/>
      <c r="G382" s="52"/>
      <c r="H382" s="52"/>
      <c r="I382" s="52"/>
      <c r="J382" s="203" t="str" cm="1">
        <f t="array" ref="J382">IF(J361="wstaw dane","",IF(OR(ISBLANK(F361)=TRUE,ISBLANK(G361)=TRUE),"uzupełnij dane",IF(OR((AND(F361="nie",SUMPRODUCT(ISNUMBER(K382:X382)*1)&gt;0)),AND(F361=tak,G361=nie,SUMPRODUCT(ISNUMBER(K382:X382)*1)&gt;0)),"usuń % dotacji",IF(AND(F361=tak,G361=tak,SUMPRODUCT(ISNUMBER(K382:X382)*1)=0),"wstaw % dotacji","ok"))))</f>
        <v/>
      </c>
      <c r="K382" s="408"/>
      <c r="L382" s="408"/>
      <c r="M382" s="408"/>
      <c r="N382" s="408"/>
      <c r="O382" s="408"/>
      <c r="P382" s="408"/>
      <c r="Q382" s="408"/>
      <c r="R382" s="408"/>
      <c r="S382" s="408"/>
      <c r="T382" s="408"/>
      <c r="U382" s="408"/>
      <c r="V382" s="408"/>
      <c r="W382" s="408"/>
      <c r="X382" s="408"/>
    </row>
    <row r="383" spans="2:24">
      <c r="B383" s="63" t="str">
        <f t="shared" si="208"/>
        <v/>
      </c>
      <c r="C383" s="63" t="str">
        <f t="shared" si="208"/>
        <v/>
      </c>
      <c r="D383" s="52"/>
      <c r="E383" s="52"/>
      <c r="F383" s="52"/>
      <c r="G383" s="52"/>
      <c r="H383" s="52"/>
      <c r="I383" s="52"/>
      <c r="J383" s="203" t="str" cm="1">
        <f t="array" ref="J383">IF(J362="wstaw dane","",IF(OR(ISBLANK(F362)=TRUE,ISBLANK(G362)=TRUE),"uzupełnij dane",IF(OR((AND(F362="nie",SUMPRODUCT(ISNUMBER(K383:X383)*1)&gt;0)),AND(F362=tak,G362=nie,SUMPRODUCT(ISNUMBER(K383:X383)*1)&gt;0)),"usuń % dotacji",IF(AND(F362=tak,G362=tak,SUMPRODUCT(ISNUMBER(K383:X383)*1)=0),"wstaw % dotacji","ok"))))</f>
        <v/>
      </c>
      <c r="K383" s="408"/>
      <c r="L383" s="408"/>
      <c r="M383" s="408"/>
      <c r="N383" s="408"/>
      <c r="O383" s="408"/>
      <c r="P383" s="408"/>
      <c r="Q383" s="408"/>
      <c r="R383" s="408"/>
      <c r="S383" s="408"/>
      <c r="T383" s="408"/>
      <c r="U383" s="408"/>
      <c r="V383" s="408"/>
      <c r="W383" s="408"/>
      <c r="X383" s="408"/>
    </row>
    <row r="384" spans="2:24">
      <c r="B384" s="63" t="str">
        <f t="shared" si="208"/>
        <v/>
      </c>
      <c r="C384" s="63" t="str">
        <f t="shared" si="208"/>
        <v/>
      </c>
      <c r="D384" s="52"/>
      <c r="E384" s="52"/>
      <c r="F384" s="52"/>
      <c r="G384" s="52"/>
      <c r="H384" s="52"/>
      <c r="I384" s="52"/>
      <c r="J384" s="203" t="str" cm="1">
        <f t="array" ref="J384">IF(J363="wstaw dane","",IF(OR(ISBLANK(F363)=TRUE,ISBLANK(G363)=TRUE),"uzupełnij dane",IF(OR((AND(F363="nie",SUMPRODUCT(ISNUMBER(K384:X384)*1)&gt;0)),AND(F363=tak,G363=nie,SUMPRODUCT(ISNUMBER(K384:X384)*1)&gt;0)),"usuń % dotacji",IF(AND(F363=tak,G363=tak,SUMPRODUCT(ISNUMBER(K384:X384)*1)=0),"wstaw % dotacji","ok"))))</f>
        <v/>
      </c>
      <c r="K384" s="408"/>
      <c r="L384" s="408"/>
      <c r="M384" s="408"/>
      <c r="N384" s="408"/>
      <c r="O384" s="408"/>
      <c r="P384" s="408"/>
      <c r="Q384" s="408"/>
      <c r="R384" s="408"/>
      <c r="S384" s="408"/>
      <c r="T384" s="408"/>
      <c r="U384" s="408"/>
      <c r="V384" s="408"/>
      <c r="W384" s="408"/>
      <c r="X384" s="408"/>
    </row>
    <row r="385" spans="2:24">
      <c r="B385" s="63" t="str">
        <f t="shared" si="208"/>
        <v/>
      </c>
      <c r="C385" s="63" t="str">
        <f t="shared" si="208"/>
        <v/>
      </c>
      <c r="D385" s="52"/>
      <c r="E385" s="52"/>
      <c r="F385" s="52"/>
      <c r="G385" s="52"/>
      <c r="H385" s="52"/>
      <c r="I385" s="52"/>
      <c r="J385" s="203" t="str" cm="1">
        <f t="array" ref="J385">IF(J364="wstaw dane","",IF(OR(ISBLANK(F364)=TRUE,ISBLANK(G364)=TRUE),"uzupełnij dane",IF(OR((AND(F364="nie",SUMPRODUCT(ISNUMBER(K385:X385)*1)&gt;0)),AND(F364=tak,G364=nie,SUMPRODUCT(ISNUMBER(K385:X385)*1)&gt;0)),"usuń % dotacji",IF(AND(F364=tak,G364=tak,SUMPRODUCT(ISNUMBER(K385:X385)*1)=0),"wstaw % dotacji","ok"))))</f>
        <v/>
      </c>
      <c r="K385" s="408"/>
      <c r="L385" s="408"/>
      <c r="M385" s="408"/>
      <c r="N385" s="408"/>
      <c r="O385" s="408"/>
      <c r="P385" s="408"/>
      <c r="Q385" s="408"/>
      <c r="R385" s="408"/>
      <c r="S385" s="408"/>
      <c r="T385" s="408"/>
      <c r="U385" s="408"/>
      <c r="V385" s="408"/>
      <c r="W385" s="408"/>
      <c r="X385" s="408"/>
    </row>
    <row r="386" spans="2:24">
      <c r="B386" s="63" t="str">
        <f t="shared" si="208"/>
        <v/>
      </c>
      <c r="C386" s="63" t="str">
        <f t="shared" si="208"/>
        <v/>
      </c>
      <c r="D386" s="52"/>
      <c r="E386" s="52"/>
      <c r="F386" s="52"/>
      <c r="G386" s="52"/>
      <c r="H386" s="52"/>
      <c r="I386" s="52"/>
      <c r="J386" s="203" t="str" cm="1">
        <f t="array" ref="J386">IF(J365="wstaw dane","",IF(OR(ISBLANK(F365)=TRUE,ISBLANK(G365)=TRUE),"uzupełnij dane",IF(OR((AND(F365="nie",SUMPRODUCT(ISNUMBER(K386:X386)*1)&gt;0)),AND(F365=tak,G365=nie,SUMPRODUCT(ISNUMBER(K386:X386)*1)&gt;0)),"usuń % dotacji",IF(AND(F365=tak,G365=tak,SUMPRODUCT(ISNUMBER(K386:X386)*1)=0),"wstaw % dotacji","ok"))))</f>
        <v/>
      </c>
      <c r="K386" s="408"/>
      <c r="L386" s="408"/>
      <c r="M386" s="408"/>
      <c r="N386" s="408"/>
      <c r="O386" s="408"/>
      <c r="P386" s="408"/>
      <c r="Q386" s="408"/>
      <c r="R386" s="408"/>
      <c r="S386" s="408"/>
      <c r="T386" s="408"/>
      <c r="U386" s="408"/>
      <c r="V386" s="408"/>
      <c r="W386" s="408"/>
      <c r="X386" s="408"/>
    </row>
    <row r="387" spans="2:24">
      <c r="B387" s="63" t="str">
        <f t="shared" si="208"/>
        <v/>
      </c>
      <c r="C387" s="63" t="str">
        <f t="shared" si="208"/>
        <v/>
      </c>
      <c r="D387" s="52"/>
      <c r="E387" s="52"/>
      <c r="F387" s="52"/>
      <c r="G387" s="52"/>
      <c r="H387" s="52"/>
      <c r="I387" s="52"/>
      <c r="J387" s="203" t="str" cm="1">
        <f t="array" ref="J387">IF(J366="wstaw dane","",IF(OR(ISBLANK(F366)=TRUE,ISBLANK(G366)=TRUE),"uzupełnij dane",IF(OR((AND(F366="nie",SUMPRODUCT(ISNUMBER(K387:X387)*1)&gt;0)),AND(F366=tak,G366=nie,SUMPRODUCT(ISNUMBER(K387:X387)*1)&gt;0)),"usuń % dotacji",IF(AND(F366=tak,G366=tak,SUMPRODUCT(ISNUMBER(K387:X387)*1)=0),"wstaw % dotacji","ok"))))</f>
        <v/>
      </c>
      <c r="K387" s="408"/>
      <c r="L387" s="408"/>
      <c r="M387" s="408"/>
      <c r="N387" s="408"/>
      <c r="O387" s="408"/>
      <c r="P387" s="408"/>
      <c r="Q387" s="408"/>
      <c r="R387" s="408"/>
      <c r="S387" s="408"/>
      <c r="T387" s="408"/>
      <c r="U387" s="408"/>
      <c r="V387" s="408"/>
      <c r="W387" s="408"/>
      <c r="X387" s="408"/>
    </row>
    <row r="388" spans="2:24">
      <c r="B388" s="63" t="str">
        <f t="shared" si="208"/>
        <v/>
      </c>
      <c r="C388" s="63" t="str">
        <f t="shared" si="208"/>
        <v/>
      </c>
      <c r="D388" s="52"/>
      <c r="E388" s="52"/>
      <c r="F388" s="52"/>
      <c r="G388" s="52"/>
      <c r="H388" s="52"/>
      <c r="I388" s="52"/>
      <c r="J388" s="203" t="str" cm="1">
        <f t="array" ref="J388">IF(J367="wstaw dane","",IF(OR(ISBLANK(F367)=TRUE,ISBLANK(G367)=TRUE),"uzupełnij dane",IF(OR((AND(F367="nie",SUMPRODUCT(ISNUMBER(K388:X388)*1)&gt;0)),AND(F367=tak,G367=nie,SUMPRODUCT(ISNUMBER(K388:X388)*1)&gt;0)),"usuń % dotacji",IF(AND(F367=tak,G367=tak,SUMPRODUCT(ISNUMBER(K388:X388)*1)=0),"wstaw % dotacji","ok"))))</f>
        <v/>
      </c>
      <c r="K388" s="408"/>
      <c r="L388" s="408"/>
      <c r="M388" s="408"/>
      <c r="N388" s="408"/>
      <c r="O388" s="408"/>
      <c r="P388" s="408"/>
      <c r="Q388" s="408"/>
      <c r="R388" s="408"/>
      <c r="S388" s="408"/>
      <c r="T388" s="408"/>
      <c r="U388" s="408"/>
      <c r="V388" s="408"/>
      <c r="W388" s="408"/>
      <c r="X388" s="408"/>
    </row>
    <row r="389" spans="2:24"/>
    <row r="390" spans="2:24">
      <c r="B390" s="189" t="s">
        <v>681</v>
      </c>
      <c r="C390" s="396"/>
      <c r="D390" s="190"/>
      <c r="E390" s="191"/>
      <c r="F390" s="191"/>
      <c r="G390" s="191"/>
      <c r="H390" s="191"/>
      <c r="I390" s="191"/>
      <c r="J390" s="191"/>
      <c r="K390" s="555"/>
      <c r="L390" s="556"/>
      <c r="M390" s="556"/>
      <c r="N390" s="556"/>
      <c r="O390" s="556"/>
      <c r="P390" s="556"/>
      <c r="Q390" s="556"/>
      <c r="R390" s="556"/>
      <c r="S390" s="556"/>
      <c r="T390" s="556"/>
      <c r="U390" s="556"/>
      <c r="V390" s="556"/>
      <c r="W390" s="556"/>
      <c r="X390" s="556"/>
    </row>
    <row r="391" spans="2:24">
      <c r="B391" s="63" t="str">
        <f t="shared" ref="B391:C405" si="209">B374</f>
        <v/>
      </c>
      <c r="C391" s="63" t="str">
        <f t="shared" si="209"/>
        <v/>
      </c>
      <c r="D391" s="102"/>
      <c r="E391" s="102"/>
      <c r="F391" s="102"/>
      <c r="G391" s="102"/>
      <c r="H391" s="102"/>
      <c r="I391" s="102"/>
      <c r="J391" s="202" t="str">
        <f>J374</f>
        <v/>
      </c>
      <c r="K391" s="103">
        <f t="shared" ref="K391:X391" si="210">IF(ISBLANK(K374),0,K1434)</f>
        <v>0</v>
      </c>
      <c r="L391" s="103">
        <f t="shared" si="210"/>
        <v>0</v>
      </c>
      <c r="M391" s="103">
        <f t="shared" si="210"/>
        <v>0</v>
      </c>
      <c r="N391" s="103">
        <f t="shared" si="210"/>
        <v>0</v>
      </c>
      <c r="O391" s="103">
        <f t="shared" si="210"/>
        <v>0</v>
      </c>
      <c r="P391" s="103">
        <f t="shared" si="210"/>
        <v>0</v>
      </c>
      <c r="Q391" s="103">
        <f t="shared" si="210"/>
        <v>0</v>
      </c>
      <c r="R391" s="103">
        <f t="shared" si="210"/>
        <v>0</v>
      </c>
      <c r="S391" s="103">
        <f t="shared" si="210"/>
        <v>0</v>
      </c>
      <c r="T391" s="103">
        <f t="shared" si="210"/>
        <v>0</v>
      </c>
      <c r="U391" s="103">
        <f t="shared" si="210"/>
        <v>0</v>
      </c>
      <c r="V391" s="103">
        <f t="shared" si="210"/>
        <v>0</v>
      </c>
      <c r="W391" s="103">
        <f t="shared" si="210"/>
        <v>0</v>
      </c>
      <c r="X391" s="103">
        <f t="shared" si="210"/>
        <v>0</v>
      </c>
    </row>
    <row r="392" spans="2:24">
      <c r="B392" s="63" t="str">
        <f t="shared" si="209"/>
        <v/>
      </c>
      <c r="C392" s="63" t="str">
        <f t="shared" si="209"/>
        <v/>
      </c>
      <c r="D392" s="52"/>
      <c r="E392" s="52"/>
      <c r="F392" s="52"/>
      <c r="G392" s="52"/>
      <c r="H392" s="52"/>
      <c r="I392" s="52"/>
      <c r="J392" s="203" t="str">
        <f t="shared" ref="J392:J405" si="211">J375</f>
        <v/>
      </c>
      <c r="K392" s="33">
        <f t="shared" ref="K392:X392" si="212">IF(ISBLANK(K375),0,K1441)</f>
        <v>0</v>
      </c>
      <c r="L392" s="33">
        <f t="shared" si="212"/>
        <v>0</v>
      </c>
      <c r="M392" s="33">
        <f t="shared" si="212"/>
        <v>0</v>
      </c>
      <c r="N392" s="33">
        <f t="shared" si="212"/>
        <v>0</v>
      </c>
      <c r="O392" s="33">
        <f t="shared" si="212"/>
        <v>0</v>
      </c>
      <c r="P392" s="33">
        <f t="shared" si="212"/>
        <v>0</v>
      </c>
      <c r="Q392" s="33">
        <f t="shared" si="212"/>
        <v>0</v>
      </c>
      <c r="R392" s="33">
        <f t="shared" si="212"/>
        <v>0</v>
      </c>
      <c r="S392" s="33">
        <f t="shared" si="212"/>
        <v>0</v>
      </c>
      <c r="T392" s="33">
        <f t="shared" si="212"/>
        <v>0</v>
      </c>
      <c r="U392" s="33">
        <f t="shared" si="212"/>
        <v>0</v>
      </c>
      <c r="V392" s="33">
        <f t="shared" si="212"/>
        <v>0</v>
      </c>
      <c r="W392" s="33">
        <f t="shared" si="212"/>
        <v>0</v>
      </c>
      <c r="X392" s="33">
        <f t="shared" si="212"/>
        <v>0</v>
      </c>
    </row>
    <row r="393" spans="2:24">
      <c r="B393" s="63" t="str">
        <f t="shared" si="209"/>
        <v/>
      </c>
      <c r="C393" s="63" t="str">
        <f t="shared" si="209"/>
        <v/>
      </c>
      <c r="D393" s="52"/>
      <c r="E393" s="52"/>
      <c r="F393" s="52"/>
      <c r="G393" s="52"/>
      <c r="H393" s="52"/>
      <c r="I393" s="52"/>
      <c r="J393" s="203" t="str">
        <f t="shared" si="211"/>
        <v/>
      </c>
      <c r="K393" s="33">
        <f t="shared" ref="K393:X393" si="213">IF(ISBLANK(K376),0,K1448)</f>
        <v>0</v>
      </c>
      <c r="L393" s="33">
        <f t="shared" si="213"/>
        <v>0</v>
      </c>
      <c r="M393" s="33">
        <f t="shared" si="213"/>
        <v>0</v>
      </c>
      <c r="N393" s="33">
        <f t="shared" si="213"/>
        <v>0</v>
      </c>
      <c r="O393" s="33">
        <f t="shared" si="213"/>
        <v>0</v>
      </c>
      <c r="P393" s="33">
        <f t="shared" si="213"/>
        <v>0</v>
      </c>
      <c r="Q393" s="33">
        <f t="shared" si="213"/>
        <v>0</v>
      </c>
      <c r="R393" s="33">
        <f t="shared" si="213"/>
        <v>0</v>
      </c>
      <c r="S393" s="33">
        <f t="shared" si="213"/>
        <v>0</v>
      </c>
      <c r="T393" s="33">
        <f t="shared" si="213"/>
        <v>0</v>
      </c>
      <c r="U393" s="33">
        <f t="shared" si="213"/>
        <v>0</v>
      </c>
      <c r="V393" s="33">
        <f t="shared" si="213"/>
        <v>0</v>
      </c>
      <c r="W393" s="33">
        <f t="shared" si="213"/>
        <v>0</v>
      </c>
      <c r="X393" s="33">
        <f t="shared" si="213"/>
        <v>0</v>
      </c>
    </row>
    <row r="394" spans="2:24">
      <c r="B394" s="63" t="str">
        <f t="shared" si="209"/>
        <v/>
      </c>
      <c r="C394" s="63" t="str">
        <f t="shared" si="209"/>
        <v/>
      </c>
      <c r="D394" s="52"/>
      <c r="E394" s="52"/>
      <c r="F394" s="52"/>
      <c r="G394" s="52"/>
      <c r="H394" s="52"/>
      <c r="I394" s="52"/>
      <c r="J394" s="203" t="str">
        <f t="shared" si="211"/>
        <v/>
      </c>
      <c r="K394" s="33">
        <f t="shared" ref="K394:X394" si="214">IF(ISBLANK(K377),0,K1455)</f>
        <v>0</v>
      </c>
      <c r="L394" s="33">
        <f t="shared" si="214"/>
        <v>0</v>
      </c>
      <c r="M394" s="33">
        <f t="shared" si="214"/>
        <v>0</v>
      </c>
      <c r="N394" s="33">
        <f t="shared" si="214"/>
        <v>0</v>
      </c>
      <c r="O394" s="33">
        <f t="shared" si="214"/>
        <v>0</v>
      </c>
      <c r="P394" s="33">
        <f t="shared" si="214"/>
        <v>0</v>
      </c>
      <c r="Q394" s="33">
        <f t="shared" si="214"/>
        <v>0</v>
      </c>
      <c r="R394" s="33">
        <f t="shared" si="214"/>
        <v>0</v>
      </c>
      <c r="S394" s="33">
        <f t="shared" si="214"/>
        <v>0</v>
      </c>
      <c r="T394" s="33">
        <f t="shared" si="214"/>
        <v>0</v>
      </c>
      <c r="U394" s="33">
        <f t="shared" si="214"/>
        <v>0</v>
      </c>
      <c r="V394" s="33">
        <f t="shared" si="214"/>
        <v>0</v>
      </c>
      <c r="W394" s="33">
        <f t="shared" si="214"/>
        <v>0</v>
      </c>
      <c r="X394" s="33">
        <f t="shared" si="214"/>
        <v>0</v>
      </c>
    </row>
    <row r="395" spans="2:24">
      <c r="B395" s="63" t="str">
        <f t="shared" si="209"/>
        <v/>
      </c>
      <c r="C395" s="63" t="str">
        <f t="shared" si="209"/>
        <v/>
      </c>
      <c r="D395" s="52"/>
      <c r="E395" s="52"/>
      <c r="F395" s="52"/>
      <c r="G395" s="52"/>
      <c r="H395" s="52"/>
      <c r="I395" s="52"/>
      <c r="J395" s="203" t="str">
        <f t="shared" si="211"/>
        <v/>
      </c>
      <c r="K395" s="33">
        <f t="shared" ref="K395:X395" si="215">IF(ISBLANK(K378),0,K1462)</f>
        <v>0</v>
      </c>
      <c r="L395" s="33">
        <f t="shared" si="215"/>
        <v>0</v>
      </c>
      <c r="M395" s="33">
        <f t="shared" si="215"/>
        <v>0</v>
      </c>
      <c r="N395" s="33">
        <f t="shared" si="215"/>
        <v>0</v>
      </c>
      <c r="O395" s="33">
        <f t="shared" si="215"/>
        <v>0</v>
      </c>
      <c r="P395" s="33">
        <f t="shared" si="215"/>
        <v>0</v>
      </c>
      <c r="Q395" s="33">
        <f t="shared" si="215"/>
        <v>0</v>
      </c>
      <c r="R395" s="33">
        <f t="shared" si="215"/>
        <v>0</v>
      </c>
      <c r="S395" s="33">
        <f t="shared" si="215"/>
        <v>0</v>
      </c>
      <c r="T395" s="33">
        <f t="shared" si="215"/>
        <v>0</v>
      </c>
      <c r="U395" s="33">
        <f t="shared" si="215"/>
        <v>0</v>
      </c>
      <c r="V395" s="33">
        <f t="shared" si="215"/>
        <v>0</v>
      </c>
      <c r="W395" s="33">
        <f t="shared" si="215"/>
        <v>0</v>
      </c>
      <c r="X395" s="33">
        <f t="shared" si="215"/>
        <v>0</v>
      </c>
    </row>
    <row r="396" spans="2:24">
      <c r="B396" s="63" t="str">
        <f t="shared" si="209"/>
        <v/>
      </c>
      <c r="C396" s="63" t="str">
        <f t="shared" si="209"/>
        <v/>
      </c>
      <c r="D396" s="52"/>
      <c r="E396" s="52"/>
      <c r="F396" s="52"/>
      <c r="G396" s="52"/>
      <c r="H396" s="52"/>
      <c r="I396" s="52"/>
      <c r="J396" s="203" t="str">
        <f t="shared" si="211"/>
        <v/>
      </c>
      <c r="K396" s="33">
        <f t="shared" ref="K396:X396" si="216">IF(ISBLANK(K379),0,K1469)</f>
        <v>0</v>
      </c>
      <c r="L396" s="33">
        <f t="shared" si="216"/>
        <v>0</v>
      </c>
      <c r="M396" s="33">
        <f t="shared" si="216"/>
        <v>0</v>
      </c>
      <c r="N396" s="33">
        <f t="shared" si="216"/>
        <v>0</v>
      </c>
      <c r="O396" s="33">
        <f t="shared" si="216"/>
        <v>0</v>
      </c>
      <c r="P396" s="33">
        <f t="shared" si="216"/>
        <v>0</v>
      </c>
      <c r="Q396" s="33">
        <f t="shared" si="216"/>
        <v>0</v>
      </c>
      <c r="R396" s="33">
        <f t="shared" si="216"/>
        <v>0</v>
      </c>
      <c r="S396" s="33">
        <f t="shared" si="216"/>
        <v>0</v>
      </c>
      <c r="T396" s="33">
        <f t="shared" si="216"/>
        <v>0</v>
      </c>
      <c r="U396" s="33">
        <f t="shared" si="216"/>
        <v>0</v>
      </c>
      <c r="V396" s="33">
        <f t="shared" si="216"/>
        <v>0</v>
      </c>
      <c r="W396" s="33">
        <f t="shared" si="216"/>
        <v>0</v>
      </c>
      <c r="X396" s="33">
        <f t="shared" si="216"/>
        <v>0</v>
      </c>
    </row>
    <row r="397" spans="2:24">
      <c r="B397" s="63" t="str">
        <f t="shared" si="209"/>
        <v/>
      </c>
      <c r="C397" s="63" t="str">
        <f t="shared" si="209"/>
        <v/>
      </c>
      <c r="D397" s="52"/>
      <c r="E397" s="52"/>
      <c r="F397" s="52"/>
      <c r="G397" s="52"/>
      <c r="H397" s="52"/>
      <c r="I397" s="52"/>
      <c r="J397" s="203" t="str">
        <f t="shared" si="211"/>
        <v/>
      </c>
      <c r="K397" s="33">
        <f t="shared" ref="K397:X397" si="217">IF(ISBLANK(K380),0,K1476)</f>
        <v>0</v>
      </c>
      <c r="L397" s="33">
        <f t="shared" si="217"/>
        <v>0</v>
      </c>
      <c r="M397" s="33">
        <f t="shared" si="217"/>
        <v>0</v>
      </c>
      <c r="N397" s="33">
        <f t="shared" si="217"/>
        <v>0</v>
      </c>
      <c r="O397" s="33">
        <f t="shared" si="217"/>
        <v>0</v>
      </c>
      <c r="P397" s="33">
        <f t="shared" si="217"/>
        <v>0</v>
      </c>
      <c r="Q397" s="33">
        <f t="shared" si="217"/>
        <v>0</v>
      </c>
      <c r="R397" s="33">
        <f t="shared" si="217"/>
        <v>0</v>
      </c>
      <c r="S397" s="33">
        <f t="shared" si="217"/>
        <v>0</v>
      </c>
      <c r="T397" s="33">
        <f t="shared" si="217"/>
        <v>0</v>
      </c>
      <c r="U397" s="33">
        <f t="shared" si="217"/>
        <v>0</v>
      </c>
      <c r="V397" s="33">
        <f t="shared" si="217"/>
        <v>0</v>
      </c>
      <c r="W397" s="33">
        <f t="shared" si="217"/>
        <v>0</v>
      </c>
      <c r="X397" s="33">
        <f t="shared" si="217"/>
        <v>0</v>
      </c>
    </row>
    <row r="398" spans="2:24">
      <c r="B398" s="63" t="str">
        <f t="shared" si="209"/>
        <v/>
      </c>
      <c r="C398" s="63" t="str">
        <f t="shared" si="209"/>
        <v/>
      </c>
      <c r="D398" s="52"/>
      <c r="E398" s="52"/>
      <c r="F398" s="52"/>
      <c r="G398" s="52"/>
      <c r="H398" s="52"/>
      <c r="I398" s="52"/>
      <c r="J398" s="203" t="str">
        <f t="shared" si="211"/>
        <v/>
      </c>
      <c r="K398" s="33">
        <f t="shared" ref="K398:X398" si="218">IF(ISBLANK(K381),0,K1483)</f>
        <v>0</v>
      </c>
      <c r="L398" s="33">
        <f t="shared" si="218"/>
        <v>0</v>
      </c>
      <c r="M398" s="33">
        <f t="shared" si="218"/>
        <v>0</v>
      </c>
      <c r="N398" s="33">
        <f t="shared" si="218"/>
        <v>0</v>
      </c>
      <c r="O398" s="33">
        <f t="shared" si="218"/>
        <v>0</v>
      </c>
      <c r="P398" s="33">
        <f t="shared" si="218"/>
        <v>0</v>
      </c>
      <c r="Q398" s="33">
        <f t="shared" si="218"/>
        <v>0</v>
      </c>
      <c r="R398" s="33">
        <f t="shared" si="218"/>
        <v>0</v>
      </c>
      <c r="S398" s="33">
        <f t="shared" si="218"/>
        <v>0</v>
      </c>
      <c r="T398" s="33">
        <f t="shared" si="218"/>
        <v>0</v>
      </c>
      <c r="U398" s="33">
        <f t="shared" si="218"/>
        <v>0</v>
      </c>
      <c r="V398" s="33">
        <f t="shared" si="218"/>
        <v>0</v>
      </c>
      <c r="W398" s="33">
        <f t="shared" si="218"/>
        <v>0</v>
      </c>
      <c r="X398" s="33">
        <f t="shared" si="218"/>
        <v>0</v>
      </c>
    </row>
    <row r="399" spans="2:24">
      <c r="B399" s="63" t="str">
        <f t="shared" si="209"/>
        <v/>
      </c>
      <c r="C399" s="63" t="str">
        <f t="shared" si="209"/>
        <v/>
      </c>
      <c r="D399" s="52"/>
      <c r="E399" s="52"/>
      <c r="F399" s="52"/>
      <c r="G399" s="52"/>
      <c r="H399" s="52"/>
      <c r="I399" s="52"/>
      <c r="J399" s="203" t="str">
        <f t="shared" si="211"/>
        <v/>
      </c>
      <c r="K399" s="33">
        <f t="shared" ref="K399:X399" si="219">IF(ISBLANK(K382),0,K1490)</f>
        <v>0</v>
      </c>
      <c r="L399" s="33">
        <f t="shared" si="219"/>
        <v>0</v>
      </c>
      <c r="M399" s="33">
        <f t="shared" si="219"/>
        <v>0</v>
      </c>
      <c r="N399" s="33">
        <f t="shared" si="219"/>
        <v>0</v>
      </c>
      <c r="O399" s="33">
        <f t="shared" si="219"/>
        <v>0</v>
      </c>
      <c r="P399" s="33">
        <f t="shared" si="219"/>
        <v>0</v>
      </c>
      <c r="Q399" s="33">
        <f t="shared" si="219"/>
        <v>0</v>
      </c>
      <c r="R399" s="33">
        <f t="shared" si="219"/>
        <v>0</v>
      </c>
      <c r="S399" s="33">
        <f t="shared" si="219"/>
        <v>0</v>
      </c>
      <c r="T399" s="33">
        <f t="shared" si="219"/>
        <v>0</v>
      </c>
      <c r="U399" s="33">
        <f t="shared" si="219"/>
        <v>0</v>
      </c>
      <c r="V399" s="33">
        <f t="shared" si="219"/>
        <v>0</v>
      </c>
      <c r="W399" s="33">
        <f t="shared" si="219"/>
        <v>0</v>
      </c>
      <c r="X399" s="33">
        <f t="shared" si="219"/>
        <v>0</v>
      </c>
    </row>
    <row r="400" spans="2:24">
      <c r="B400" s="63" t="str">
        <f t="shared" si="209"/>
        <v/>
      </c>
      <c r="C400" s="63" t="str">
        <f t="shared" si="209"/>
        <v/>
      </c>
      <c r="D400" s="52"/>
      <c r="E400" s="52"/>
      <c r="F400" s="52"/>
      <c r="G400" s="52"/>
      <c r="H400" s="52"/>
      <c r="I400" s="52"/>
      <c r="J400" s="203" t="str">
        <f t="shared" si="211"/>
        <v/>
      </c>
      <c r="K400" s="33">
        <f t="shared" ref="K400:X400" si="220">IF(ISBLANK(K383),0,K1497)</f>
        <v>0</v>
      </c>
      <c r="L400" s="33">
        <f t="shared" si="220"/>
        <v>0</v>
      </c>
      <c r="M400" s="33">
        <f t="shared" si="220"/>
        <v>0</v>
      </c>
      <c r="N400" s="33">
        <f t="shared" si="220"/>
        <v>0</v>
      </c>
      <c r="O400" s="33">
        <f t="shared" si="220"/>
        <v>0</v>
      </c>
      <c r="P400" s="33">
        <f t="shared" si="220"/>
        <v>0</v>
      </c>
      <c r="Q400" s="33">
        <f t="shared" si="220"/>
        <v>0</v>
      </c>
      <c r="R400" s="33">
        <f t="shared" si="220"/>
        <v>0</v>
      </c>
      <c r="S400" s="33">
        <f t="shared" si="220"/>
        <v>0</v>
      </c>
      <c r="T400" s="33">
        <f t="shared" si="220"/>
        <v>0</v>
      </c>
      <c r="U400" s="33">
        <f t="shared" si="220"/>
        <v>0</v>
      </c>
      <c r="V400" s="33">
        <f t="shared" si="220"/>
        <v>0</v>
      </c>
      <c r="W400" s="33">
        <f t="shared" si="220"/>
        <v>0</v>
      </c>
      <c r="X400" s="33">
        <f t="shared" si="220"/>
        <v>0</v>
      </c>
    </row>
    <row r="401" spans="2:24">
      <c r="B401" s="63" t="str">
        <f t="shared" si="209"/>
        <v/>
      </c>
      <c r="C401" s="63" t="str">
        <f t="shared" si="209"/>
        <v/>
      </c>
      <c r="D401" s="52"/>
      <c r="E401" s="52"/>
      <c r="F401" s="52"/>
      <c r="G401" s="52"/>
      <c r="H401" s="52"/>
      <c r="I401" s="52"/>
      <c r="J401" s="203" t="str">
        <f t="shared" si="211"/>
        <v/>
      </c>
      <c r="K401" s="33">
        <f t="shared" ref="K401:X401" si="221">IF(ISBLANK(K384),0,K1516)</f>
        <v>0</v>
      </c>
      <c r="L401" s="33">
        <f t="shared" si="221"/>
        <v>0</v>
      </c>
      <c r="M401" s="33">
        <f t="shared" si="221"/>
        <v>0</v>
      </c>
      <c r="N401" s="33">
        <f t="shared" si="221"/>
        <v>0</v>
      </c>
      <c r="O401" s="33">
        <f t="shared" si="221"/>
        <v>0</v>
      </c>
      <c r="P401" s="33">
        <f t="shared" si="221"/>
        <v>0</v>
      </c>
      <c r="Q401" s="33">
        <f t="shared" si="221"/>
        <v>0</v>
      </c>
      <c r="R401" s="33">
        <f t="shared" si="221"/>
        <v>0</v>
      </c>
      <c r="S401" s="33">
        <f t="shared" si="221"/>
        <v>0</v>
      </c>
      <c r="T401" s="33">
        <f t="shared" si="221"/>
        <v>0</v>
      </c>
      <c r="U401" s="33">
        <f t="shared" si="221"/>
        <v>0</v>
      </c>
      <c r="V401" s="33">
        <f t="shared" si="221"/>
        <v>0</v>
      </c>
      <c r="W401" s="33">
        <f t="shared" si="221"/>
        <v>0</v>
      </c>
      <c r="X401" s="33">
        <f t="shared" si="221"/>
        <v>0</v>
      </c>
    </row>
    <row r="402" spans="2:24">
      <c r="B402" s="63" t="str">
        <f t="shared" si="209"/>
        <v/>
      </c>
      <c r="C402" s="63" t="str">
        <f t="shared" si="209"/>
        <v/>
      </c>
      <c r="D402" s="52"/>
      <c r="E402" s="52"/>
      <c r="F402" s="52"/>
      <c r="G402" s="52"/>
      <c r="H402" s="52"/>
      <c r="I402" s="52"/>
      <c r="J402" s="203" t="str">
        <f t="shared" si="211"/>
        <v/>
      </c>
      <c r="K402" s="33">
        <f t="shared" ref="K402:X402" si="222">IF(ISBLANK(K385),0,K1523)</f>
        <v>0</v>
      </c>
      <c r="L402" s="33">
        <f t="shared" si="222"/>
        <v>0</v>
      </c>
      <c r="M402" s="33">
        <f t="shared" si="222"/>
        <v>0</v>
      </c>
      <c r="N402" s="33">
        <f t="shared" si="222"/>
        <v>0</v>
      </c>
      <c r="O402" s="33">
        <f t="shared" si="222"/>
        <v>0</v>
      </c>
      <c r="P402" s="33">
        <f t="shared" si="222"/>
        <v>0</v>
      </c>
      <c r="Q402" s="33">
        <f t="shared" si="222"/>
        <v>0</v>
      </c>
      <c r="R402" s="33">
        <f t="shared" si="222"/>
        <v>0</v>
      </c>
      <c r="S402" s="33">
        <f t="shared" si="222"/>
        <v>0</v>
      </c>
      <c r="T402" s="33">
        <f t="shared" si="222"/>
        <v>0</v>
      </c>
      <c r="U402" s="33">
        <f t="shared" si="222"/>
        <v>0</v>
      </c>
      <c r="V402" s="33">
        <f t="shared" si="222"/>
        <v>0</v>
      </c>
      <c r="W402" s="33">
        <f t="shared" si="222"/>
        <v>0</v>
      </c>
      <c r="X402" s="33">
        <f t="shared" si="222"/>
        <v>0</v>
      </c>
    </row>
    <row r="403" spans="2:24">
      <c r="B403" s="63" t="str">
        <f t="shared" si="209"/>
        <v/>
      </c>
      <c r="C403" s="63" t="str">
        <f t="shared" si="209"/>
        <v/>
      </c>
      <c r="D403" s="52"/>
      <c r="E403" s="52"/>
      <c r="F403" s="52"/>
      <c r="G403" s="52"/>
      <c r="H403" s="52"/>
      <c r="I403" s="52"/>
      <c r="J403" s="203" t="str">
        <f t="shared" si="211"/>
        <v/>
      </c>
      <c r="K403" s="33">
        <f t="shared" ref="K403:X403" si="223">IF(ISBLANK(K386),0,K1530)</f>
        <v>0</v>
      </c>
      <c r="L403" s="33">
        <f t="shared" si="223"/>
        <v>0</v>
      </c>
      <c r="M403" s="33">
        <f t="shared" si="223"/>
        <v>0</v>
      </c>
      <c r="N403" s="33">
        <f t="shared" si="223"/>
        <v>0</v>
      </c>
      <c r="O403" s="33">
        <f t="shared" si="223"/>
        <v>0</v>
      </c>
      <c r="P403" s="33">
        <f t="shared" si="223"/>
        <v>0</v>
      </c>
      <c r="Q403" s="33">
        <f t="shared" si="223"/>
        <v>0</v>
      </c>
      <c r="R403" s="33">
        <f t="shared" si="223"/>
        <v>0</v>
      </c>
      <c r="S403" s="33">
        <f t="shared" si="223"/>
        <v>0</v>
      </c>
      <c r="T403" s="33">
        <f t="shared" si="223"/>
        <v>0</v>
      </c>
      <c r="U403" s="33">
        <f t="shared" si="223"/>
        <v>0</v>
      </c>
      <c r="V403" s="33">
        <f t="shared" si="223"/>
        <v>0</v>
      </c>
      <c r="W403" s="33">
        <f t="shared" si="223"/>
        <v>0</v>
      </c>
      <c r="X403" s="33">
        <f t="shared" si="223"/>
        <v>0</v>
      </c>
    </row>
    <row r="404" spans="2:24">
      <c r="B404" s="63" t="str">
        <f t="shared" si="209"/>
        <v/>
      </c>
      <c r="C404" s="63" t="str">
        <f t="shared" si="209"/>
        <v/>
      </c>
      <c r="D404" s="52"/>
      <c r="E404" s="52"/>
      <c r="F404" s="52"/>
      <c r="G404" s="52"/>
      <c r="H404" s="52"/>
      <c r="I404" s="52"/>
      <c r="J404" s="203" t="str">
        <f t="shared" si="211"/>
        <v/>
      </c>
      <c r="K404" s="33">
        <f t="shared" ref="K404:X404" si="224">IF(ISBLANK(K387),0,K1537)</f>
        <v>0</v>
      </c>
      <c r="L404" s="33">
        <f t="shared" si="224"/>
        <v>0</v>
      </c>
      <c r="M404" s="33">
        <f t="shared" si="224"/>
        <v>0</v>
      </c>
      <c r="N404" s="33">
        <f t="shared" si="224"/>
        <v>0</v>
      </c>
      <c r="O404" s="33">
        <f t="shared" si="224"/>
        <v>0</v>
      </c>
      <c r="P404" s="33">
        <f t="shared" si="224"/>
        <v>0</v>
      </c>
      <c r="Q404" s="33">
        <f t="shared" si="224"/>
        <v>0</v>
      </c>
      <c r="R404" s="33">
        <f t="shared" si="224"/>
        <v>0</v>
      </c>
      <c r="S404" s="33">
        <f t="shared" si="224"/>
        <v>0</v>
      </c>
      <c r="T404" s="33">
        <f t="shared" si="224"/>
        <v>0</v>
      </c>
      <c r="U404" s="33">
        <f t="shared" si="224"/>
        <v>0</v>
      </c>
      <c r="V404" s="33">
        <f t="shared" si="224"/>
        <v>0</v>
      </c>
      <c r="W404" s="33">
        <f t="shared" si="224"/>
        <v>0</v>
      </c>
      <c r="X404" s="33">
        <f t="shared" si="224"/>
        <v>0</v>
      </c>
    </row>
    <row r="405" spans="2:24">
      <c r="B405" s="63" t="str">
        <f t="shared" si="209"/>
        <v/>
      </c>
      <c r="C405" s="63" t="str">
        <f t="shared" si="209"/>
        <v/>
      </c>
      <c r="D405" s="52"/>
      <c r="E405" s="52"/>
      <c r="F405" s="52"/>
      <c r="G405" s="52"/>
      <c r="H405" s="52"/>
      <c r="I405" s="52"/>
      <c r="J405" s="203" t="str">
        <f t="shared" si="211"/>
        <v/>
      </c>
      <c r="K405" s="33">
        <f t="shared" ref="K405:X405" si="225">IF(ISBLANK(K388),0,K1544)</f>
        <v>0</v>
      </c>
      <c r="L405" s="33">
        <f t="shared" si="225"/>
        <v>0</v>
      </c>
      <c r="M405" s="33">
        <f t="shared" si="225"/>
        <v>0</v>
      </c>
      <c r="N405" s="33">
        <f t="shared" si="225"/>
        <v>0</v>
      </c>
      <c r="O405" s="33">
        <f t="shared" si="225"/>
        <v>0</v>
      </c>
      <c r="P405" s="33">
        <f t="shared" si="225"/>
        <v>0</v>
      </c>
      <c r="Q405" s="33">
        <f t="shared" si="225"/>
        <v>0</v>
      </c>
      <c r="R405" s="33">
        <f t="shared" si="225"/>
        <v>0</v>
      </c>
      <c r="S405" s="33">
        <f t="shared" si="225"/>
        <v>0</v>
      </c>
      <c r="T405" s="33">
        <f t="shared" si="225"/>
        <v>0</v>
      </c>
      <c r="U405" s="33">
        <f t="shared" si="225"/>
        <v>0</v>
      </c>
      <c r="V405" s="33">
        <f t="shared" si="225"/>
        <v>0</v>
      </c>
      <c r="W405" s="33">
        <f t="shared" si="225"/>
        <v>0</v>
      </c>
      <c r="X405" s="33">
        <f t="shared" si="225"/>
        <v>0</v>
      </c>
    </row>
    <row r="406" spans="2:24">
      <c r="B406" s="99" t="s">
        <v>335</v>
      </c>
      <c r="C406" s="99"/>
      <c r="D406" s="98"/>
      <c r="E406" s="200"/>
      <c r="F406" s="97"/>
      <c r="G406" s="98"/>
      <c r="H406" s="97"/>
      <c r="I406" s="97"/>
      <c r="J406" s="97"/>
      <c r="K406" s="98">
        <f t="shared" ref="K406:X406" si="226">SUM(K391:K405)</f>
        <v>0</v>
      </c>
      <c r="L406" s="98">
        <f t="shared" si="226"/>
        <v>0</v>
      </c>
      <c r="M406" s="98">
        <f t="shared" si="226"/>
        <v>0</v>
      </c>
      <c r="N406" s="98">
        <f t="shared" si="226"/>
        <v>0</v>
      </c>
      <c r="O406" s="98">
        <f t="shared" si="226"/>
        <v>0</v>
      </c>
      <c r="P406" s="98">
        <f t="shared" si="226"/>
        <v>0</v>
      </c>
      <c r="Q406" s="98">
        <f t="shared" si="226"/>
        <v>0</v>
      </c>
      <c r="R406" s="98">
        <f t="shared" si="226"/>
        <v>0</v>
      </c>
      <c r="S406" s="98">
        <f t="shared" si="226"/>
        <v>0</v>
      </c>
      <c r="T406" s="98">
        <f t="shared" si="226"/>
        <v>0</v>
      </c>
      <c r="U406" s="98">
        <f t="shared" si="226"/>
        <v>0</v>
      </c>
      <c r="V406" s="98">
        <f t="shared" si="226"/>
        <v>0</v>
      </c>
      <c r="W406" s="98">
        <f t="shared" si="226"/>
        <v>0</v>
      </c>
      <c r="X406" s="98">
        <f t="shared" si="226"/>
        <v>0</v>
      </c>
    </row>
    <row r="407" spans="2:24"/>
    <row r="408" spans="2:24" ht="40.799999999999997">
      <c r="B408" s="228" t="s">
        <v>428</v>
      </c>
      <c r="C408" s="229" t="s">
        <v>296</v>
      </c>
      <c r="D408" s="230" t="s">
        <v>429</v>
      </c>
      <c r="E408" s="230" t="s">
        <v>430</v>
      </c>
      <c r="F408" s="230" t="s">
        <v>336</v>
      </c>
      <c r="G408" s="230" t="s">
        <v>781</v>
      </c>
      <c r="H408" s="230" t="s">
        <v>408</v>
      </c>
      <c r="I408" s="230" t="s">
        <v>431</v>
      </c>
      <c r="J408" s="230" t="s">
        <v>423</v>
      </c>
      <c r="K408" s="232" t="str">
        <f t="shared" ref="K408:X408" si="227">LataProjekcji</f>
        <v>Uzupełnij dane</v>
      </c>
      <c r="L408" s="232" t="str">
        <f t="shared" si="227"/>
        <v/>
      </c>
      <c r="M408" s="232" t="str">
        <f t="shared" si="227"/>
        <v/>
      </c>
      <c r="N408" s="232" t="str">
        <f t="shared" si="227"/>
        <v/>
      </c>
      <c r="O408" s="232" t="str">
        <f t="shared" si="227"/>
        <v/>
      </c>
      <c r="P408" s="232" t="str">
        <f t="shared" si="227"/>
        <v/>
      </c>
      <c r="Q408" s="232" t="str">
        <f t="shared" si="227"/>
        <v/>
      </c>
      <c r="R408" s="232" t="str">
        <f t="shared" si="227"/>
        <v/>
      </c>
      <c r="S408" s="232" t="str">
        <f t="shared" si="227"/>
        <v/>
      </c>
      <c r="T408" s="232" t="str">
        <f t="shared" si="227"/>
        <v/>
      </c>
      <c r="U408" s="232" t="str">
        <f t="shared" si="227"/>
        <v/>
      </c>
      <c r="V408" s="232" t="str">
        <f t="shared" si="227"/>
        <v/>
      </c>
      <c r="W408" s="232" t="str">
        <f t="shared" si="227"/>
        <v/>
      </c>
      <c r="X408" s="232" t="str">
        <f t="shared" si="227"/>
        <v/>
      </c>
    </row>
    <row r="409" spans="2:24">
      <c r="B409" s="305"/>
      <c r="C409" s="305"/>
      <c r="D409" s="307"/>
      <c r="E409" s="390"/>
      <c r="F409" s="399"/>
      <c r="G409" s="399"/>
      <c r="H409" s="416"/>
      <c r="I409" s="381" t="str">
        <f>IF(AND(ISBLANK(D409),ISBLANK(E409)),"",IF(OR(ISBLANK(D409),ISBLANK(E409)),"Uzupełnij dane",D1500))</f>
        <v/>
      </c>
      <c r="J409" s="202" t="str" cm="1">
        <f t="array" ref="J409">IF(SUMPRODUCT(ISBLANK(B409:G409)*1)=6,"wstaw dane",IF(AND(SUMPRODUCT(ISBLANK(B409:G409)*1)&gt;0,SUMPRODUCT(ISBLANK(B409:G409)*1)&lt;6),"uzupełnij dane",IF(OR(AND(F409=nie,ISNUMBER(H409)=TRUE),AND(F409=tak,G409=tak,ISNUMBER(H409)=TRUE)),"usuń % dotacji",IF(AND(F409=nie,G409=tak),"popraw dane",IF(AND(F409=tak,G409=nie,ISBLANK(H409)=TRUE),"wstaw % dotacji","ok")))))</f>
        <v>wstaw dane</v>
      </c>
      <c r="K409" s="420"/>
      <c r="L409" s="420"/>
      <c r="M409" s="420"/>
      <c r="N409" s="420"/>
      <c r="O409" s="420"/>
      <c r="P409" s="420"/>
      <c r="Q409" s="420"/>
      <c r="R409" s="420"/>
      <c r="S409" s="420"/>
      <c r="T409" s="420"/>
      <c r="U409" s="420"/>
      <c r="V409" s="420"/>
      <c r="W409" s="420"/>
      <c r="X409" s="420"/>
    </row>
    <row r="410" spans="2:24">
      <c r="B410" s="305"/>
      <c r="C410" s="305"/>
      <c r="D410" s="307"/>
      <c r="E410" s="390"/>
      <c r="F410" s="391"/>
      <c r="G410" s="391"/>
      <c r="H410" s="417"/>
      <c r="I410" s="382" t="str">
        <f>IF(AND(ISBLANK(D410),ISBLANK(E410)),"",IF(OR(ISBLANK(D410),ISBLANK(E410)),"Uzupełnij dane",D1501))</f>
        <v/>
      </c>
      <c r="J410" s="203" t="str" cm="1">
        <f t="array" ref="J410">IF(SUMPRODUCT(ISBLANK(B410:G410)*1)=6,"wstaw dane",IF(AND(SUMPRODUCT(ISBLANK(B410:G410)*1)&gt;0,SUMPRODUCT(ISBLANK(B410:G410)*1)&lt;6),"uzupełnij dane",IF(OR(AND(F410=nie,ISNUMBER(H410)=TRUE),AND(F410=tak,G410=tak,ISNUMBER(H410)=TRUE)),"usuń % dotacji",IF(AND(F410=nie,G410=tak),"popraw dane",IF(AND(F410=tak,G410=nie,ISBLANK(H410)=TRUE),"wstaw % dotacji","ok")))))</f>
        <v>wstaw dane</v>
      </c>
      <c r="K410" s="346"/>
      <c r="L410" s="346"/>
      <c r="M410" s="346"/>
      <c r="N410" s="346"/>
      <c r="O410" s="346"/>
      <c r="P410" s="346"/>
      <c r="Q410" s="346"/>
      <c r="R410" s="346"/>
      <c r="S410" s="346"/>
      <c r="T410" s="346"/>
      <c r="U410" s="346"/>
      <c r="V410" s="346"/>
      <c r="W410" s="346"/>
      <c r="X410" s="346"/>
    </row>
    <row r="411" spans="2:24">
      <c r="B411" s="305"/>
      <c r="C411" s="305"/>
      <c r="D411" s="307"/>
      <c r="E411" s="390"/>
      <c r="F411" s="391"/>
      <c r="G411" s="391"/>
      <c r="H411" s="417"/>
      <c r="I411" s="382" t="str">
        <f>IF(AND(ISBLANK(D411),ISBLANK(E411)),"",IF(OR(ISBLANK(D411),ISBLANK(E411)),"Uzupełnij dane",D1502))</f>
        <v/>
      </c>
      <c r="J411" s="203" t="str" cm="1">
        <f t="array" ref="J411">IF(SUMPRODUCT(ISBLANK(B411:G411)*1)=6,"wstaw dane",IF(AND(SUMPRODUCT(ISBLANK(B411:G411)*1)&gt;0,SUMPRODUCT(ISBLANK(B411:G411)*1)&lt;6),"uzupełnij dane",IF(OR(AND(F411=nie,ISNUMBER(H411)=TRUE),AND(F411=tak,G411=tak,ISNUMBER(H411)=TRUE)),"usuń % dotacji",IF(AND(F411=nie,G411=tak),"popraw dane",IF(AND(F411=tak,G411=nie,ISBLANK(H411)=TRUE),"wstaw % dotacji","ok")))))</f>
        <v>wstaw dane</v>
      </c>
      <c r="K411" s="346"/>
      <c r="L411" s="346"/>
      <c r="M411" s="346"/>
      <c r="N411" s="346"/>
      <c r="O411" s="346"/>
      <c r="P411" s="346"/>
      <c r="Q411" s="346"/>
      <c r="R411" s="346"/>
      <c r="S411" s="346"/>
      <c r="T411" s="346"/>
      <c r="U411" s="346"/>
      <c r="V411" s="346"/>
      <c r="W411" s="346"/>
      <c r="X411" s="346"/>
    </row>
    <row r="412" spans="2:24">
      <c r="B412" s="305"/>
      <c r="C412" s="305"/>
      <c r="D412" s="307"/>
      <c r="E412" s="390"/>
      <c r="F412" s="391"/>
      <c r="G412" s="391"/>
      <c r="H412" s="417"/>
      <c r="I412" s="382" t="str">
        <f>IF(AND(ISBLANK(D412),ISBLANK(E412)),"",IF(OR(ISBLANK(D412),ISBLANK(E412)),"Uzupełnij dane",D1503))</f>
        <v/>
      </c>
      <c r="J412" s="203" t="str" cm="1">
        <f t="array" ref="J412">IF(SUMPRODUCT(ISBLANK(B412:G412)*1)=6,"wstaw dane",IF(AND(SUMPRODUCT(ISBLANK(B412:G412)*1)&gt;0,SUMPRODUCT(ISBLANK(B412:G412)*1)&lt;6),"uzupełnij dane",IF(OR(AND(F412=nie,ISNUMBER(H412)=TRUE),AND(F412=tak,G412=tak,ISNUMBER(H412)=TRUE)),"usuń % dotacji",IF(AND(F412=nie,G412=tak),"popraw dane",IF(AND(F412=tak,G412=nie,ISBLANK(H412)=TRUE),"wstaw % dotacji","ok")))))</f>
        <v>wstaw dane</v>
      </c>
      <c r="K412" s="346"/>
      <c r="L412" s="346"/>
      <c r="M412" s="346"/>
      <c r="N412" s="346"/>
      <c r="O412" s="346"/>
      <c r="P412" s="346"/>
      <c r="Q412" s="346"/>
      <c r="R412" s="346"/>
      <c r="S412" s="346"/>
      <c r="T412" s="346"/>
      <c r="U412" s="346"/>
      <c r="V412" s="346"/>
      <c r="W412" s="346"/>
      <c r="X412" s="346"/>
    </row>
    <row r="413" spans="2:24">
      <c r="B413" s="305"/>
      <c r="C413" s="305"/>
      <c r="D413" s="307"/>
      <c r="E413" s="390"/>
      <c r="F413" s="391"/>
      <c r="G413" s="391"/>
      <c r="H413" s="417"/>
      <c r="I413" s="383" t="str">
        <f>IF(AND(ISBLANK(D413),ISBLANK(E413)),"",IF(OR(ISBLANK(D413),ISBLANK(E413)),"Uzupełnij dane",D1504))</f>
        <v/>
      </c>
      <c r="J413" s="203" t="str" cm="1">
        <f t="array" ref="J413">IF(SUMPRODUCT(ISBLANK(B413:G413)*1)=6,"wstaw dane",IF(AND(SUMPRODUCT(ISBLANK(B413:G413)*1)&gt;0,SUMPRODUCT(ISBLANK(B413:G413)*1)&lt;6),"uzupełnij dane",IF(OR(AND(F413=nie,ISNUMBER(H413)=TRUE),AND(F413=tak,G413=tak,ISNUMBER(H413)=TRUE)),"usuń % dotacji",IF(AND(F413=nie,G413=tak),"popraw dane",IF(AND(F413=tak,G413=nie,ISBLANK(H413)=TRUE),"wstaw % dotacji","ok")))))</f>
        <v>wstaw dane</v>
      </c>
      <c r="K413" s="421"/>
      <c r="L413" s="421"/>
      <c r="M413" s="421"/>
      <c r="N413" s="421"/>
      <c r="O413" s="421"/>
      <c r="P413" s="421"/>
      <c r="Q413" s="421"/>
      <c r="R413" s="421"/>
      <c r="S413" s="421"/>
      <c r="T413" s="421"/>
      <c r="U413" s="421"/>
      <c r="V413" s="421"/>
      <c r="W413" s="421"/>
      <c r="X413" s="421"/>
    </row>
    <row r="414" spans="2:24">
      <c r="B414" s="99" t="s">
        <v>335</v>
      </c>
      <c r="C414" s="99"/>
      <c r="D414" s="98"/>
      <c r="E414" s="200"/>
      <c r="F414" s="97"/>
      <c r="G414" s="98"/>
      <c r="H414" s="97"/>
      <c r="I414" s="97"/>
      <c r="J414" s="98">
        <f>SUM(J409:J413)</f>
        <v>0</v>
      </c>
      <c r="K414" s="98">
        <f t="shared" ref="K414:X414" si="228">SUM(K409:K413)</f>
        <v>0</v>
      </c>
      <c r="L414" s="98">
        <f t="shared" si="228"/>
        <v>0</v>
      </c>
      <c r="M414" s="98">
        <f t="shared" si="228"/>
        <v>0</v>
      </c>
      <c r="N414" s="98">
        <f t="shared" si="228"/>
        <v>0</v>
      </c>
      <c r="O414" s="98">
        <f t="shared" si="228"/>
        <v>0</v>
      </c>
      <c r="P414" s="98">
        <f t="shared" si="228"/>
        <v>0</v>
      </c>
      <c r="Q414" s="98">
        <f t="shared" si="228"/>
        <v>0</v>
      </c>
      <c r="R414" s="98">
        <f t="shared" si="228"/>
        <v>0</v>
      </c>
      <c r="S414" s="98">
        <f t="shared" si="228"/>
        <v>0</v>
      </c>
      <c r="T414" s="98">
        <f t="shared" si="228"/>
        <v>0</v>
      </c>
      <c r="U414" s="98">
        <f t="shared" si="228"/>
        <v>0</v>
      </c>
      <c r="V414" s="98">
        <f t="shared" si="228"/>
        <v>0</v>
      </c>
      <c r="W414" s="98">
        <f t="shared" si="228"/>
        <v>0</v>
      </c>
      <c r="X414" s="98">
        <f t="shared" si="228"/>
        <v>0</v>
      </c>
    </row>
    <row r="415" spans="2:24"/>
    <row r="416" spans="2:24"/>
    <row r="417" spans="2:24" ht="20.399999999999999">
      <c r="B417" s="228" t="s">
        <v>391</v>
      </c>
      <c r="C417" s="229" t="s">
        <v>296</v>
      </c>
      <c r="D417" s="230" t="s">
        <v>406</v>
      </c>
      <c r="E417" s="230" t="s">
        <v>421</v>
      </c>
      <c r="F417" s="230" t="s">
        <v>336</v>
      </c>
      <c r="G417" s="230" t="s">
        <v>781</v>
      </c>
      <c r="H417" s="230" t="s">
        <v>408</v>
      </c>
      <c r="I417" s="230" t="s">
        <v>409</v>
      </c>
      <c r="J417" s="230" t="s">
        <v>423</v>
      </c>
      <c r="K417" s="232" t="str">
        <f t="shared" ref="K417:X417" si="229">LataProjekcji</f>
        <v>Uzupełnij dane</v>
      </c>
      <c r="L417" s="232" t="str">
        <f t="shared" si="229"/>
        <v/>
      </c>
      <c r="M417" s="232" t="str">
        <f t="shared" si="229"/>
        <v/>
      </c>
      <c r="N417" s="232" t="str">
        <f t="shared" si="229"/>
        <v/>
      </c>
      <c r="O417" s="232" t="str">
        <f t="shared" si="229"/>
        <v/>
      </c>
      <c r="P417" s="232" t="str">
        <f t="shared" si="229"/>
        <v/>
      </c>
      <c r="Q417" s="232" t="str">
        <f t="shared" si="229"/>
        <v/>
      </c>
      <c r="R417" s="232" t="str">
        <f t="shared" si="229"/>
        <v/>
      </c>
      <c r="S417" s="232" t="str">
        <f t="shared" si="229"/>
        <v/>
      </c>
      <c r="T417" s="232" t="str">
        <f t="shared" si="229"/>
        <v/>
      </c>
      <c r="U417" s="232" t="str">
        <f t="shared" si="229"/>
        <v/>
      </c>
      <c r="V417" s="232" t="str">
        <f t="shared" si="229"/>
        <v/>
      </c>
      <c r="W417" s="232" t="str">
        <f t="shared" si="229"/>
        <v/>
      </c>
      <c r="X417" s="232" t="str">
        <f t="shared" si="229"/>
        <v/>
      </c>
    </row>
    <row r="418" spans="2:24">
      <c r="B418" s="305"/>
      <c r="C418" s="305"/>
      <c r="D418" s="288"/>
      <c r="E418" s="390"/>
      <c r="F418" s="391"/>
      <c r="G418" s="399"/>
      <c r="H418" s="416"/>
      <c r="I418" s="341">
        <f>IF(AND(F418="tak",G418="tak"),SUM(K516:X516),IF(AND(F418="tak",G418="nie",ISNUMBER(H418)),'Rozliczenie dotacji'!F117,0))</f>
        <v>0</v>
      </c>
      <c r="J418" s="202" t="str" cm="1">
        <f t="array" ref="J418">IF(SUMPRODUCT(ISBLANK(B418:G418)*1)=6,"wstaw dane",IF(AND(SUMPRODUCT(ISBLANK(B418:G418)*1)&gt;0,SUMPRODUCT(ISBLANK(B418:G418)*1)&lt;6),"uzupełnij dane",IF(OR(AND(F418=nie,ISNUMBER(H418)=TRUE),AND(F418=tak,G418=tak,ISNUMBER(H418)=TRUE)),"usuń % dotacji",IF(AND(F418=nie,G418=tak),"popraw dane",IF(AND(F418=tak,G418=nie,ISBLANK(H418)=TRUE),"wstaw % dotacji","ok")))))</f>
        <v>wstaw dane</v>
      </c>
      <c r="K418" s="103">
        <f t="shared" ref="K418:X427" si="230">ROUND(IF(AND(YEAR($E418)=LataProjekcji,$D418&gt;0,$J418="ok"),$D418,0),0)</f>
        <v>0</v>
      </c>
      <c r="L418" s="103">
        <f t="shared" si="230"/>
        <v>0</v>
      </c>
      <c r="M418" s="103">
        <f t="shared" si="230"/>
        <v>0</v>
      </c>
      <c r="N418" s="103">
        <f t="shared" si="230"/>
        <v>0</v>
      </c>
      <c r="O418" s="103">
        <f t="shared" si="230"/>
        <v>0</v>
      </c>
      <c r="P418" s="103">
        <f t="shared" si="230"/>
        <v>0</v>
      </c>
      <c r="Q418" s="103">
        <f t="shared" si="230"/>
        <v>0</v>
      </c>
      <c r="R418" s="103">
        <f t="shared" si="230"/>
        <v>0</v>
      </c>
      <c r="S418" s="103">
        <f t="shared" si="230"/>
        <v>0</v>
      </c>
      <c r="T418" s="103">
        <f t="shared" si="230"/>
        <v>0</v>
      </c>
      <c r="U418" s="103">
        <f t="shared" si="230"/>
        <v>0</v>
      </c>
      <c r="V418" s="103">
        <f t="shared" si="230"/>
        <v>0</v>
      </c>
      <c r="W418" s="103">
        <f t="shared" si="230"/>
        <v>0</v>
      </c>
      <c r="X418" s="103">
        <f t="shared" si="230"/>
        <v>0</v>
      </c>
    </row>
    <row r="419" spans="2:24">
      <c r="B419" s="305"/>
      <c r="C419" s="305"/>
      <c r="D419" s="288"/>
      <c r="E419" s="390"/>
      <c r="F419" s="391"/>
      <c r="G419" s="391"/>
      <c r="H419" s="417"/>
      <c r="I419" s="33">
        <f>IF(AND(F419="tak",G419="tak"),SUM(K517:X517),IF(AND(F419="tak",G419="nie",ISNUMBER(H419)),'Rozliczenie dotacji'!F118,0))</f>
        <v>0</v>
      </c>
      <c r="J419" s="203" t="str" cm="1">
        <f t="array" ref="J419">IF(SUMPRODUCT(ISBLANK(B419:G419)*1)=6,"wstaw dane",IF(AND(SUMPRODUCT(ISBLANK(B419:G419)*1)&gt;0,SUMPRODUCT(ISBLANK(B419:G419)*1)&lt;6),"uzupełnij dane",IF(OR(AND(F419=nie,ISNUMBER(H419)=TRUE),AND(F419=tak,G419=tak,ISNUMBER(H419)=TRUE)),"usuń % dotacji",IF(AND(F419=nie,G419=tak),"popraw dane",IF(AND(F419=tak,G419=nie,ISBLANK(H419)=TRUE),"wstaw % dotacji","ok")))))</f>
        <v>wstaw dane</v>
      </c>
      <c r="K419" s="33">
        <f t="shared" si="230"/>
        <v>0</v>
      </c>
      <c r="L419" s="33">
        <f t="shared" si="230"/>
        <v>0</v>
      </c>
      <c r="M419" s="33">
        <f t="shared" si="230"/>
        <v>0</v>
      </c>
      <c r="N419" s="33">
        <f t="shared" si="230"/>
        <v>0</v>
      </c>
      <c r="O419" s="33">
        <f t="shared" si="230"/>
        <v>0</v>
      </c>
      <c r="P419" s="33">
        <f t="shared" si="230"/>
        <v>0</v>
      </c>
      <c r="Q419" s="33">
        <f t="shared" si="230"/>
        <v>0</v>
      </c>
      <c r="R419" s="33">
        <f t="shared" si="230"/>
        <v>0</v>
      </c>
      <c r="S419" s="33">
        <f t="shared" si="230"/>
        <v>0</v>
      </c>
      <c r="T419" s="33">
        <f t="shared" si="230"/>
        <v>0</v>
      </c>
      <c r="U419" s="33">
        <f t="shared" si="230"/>
        <v>0</v>
      </c>
      <c r="V419" s="33">
        <f t="shared" si="230"/>
        <v>0</v>
      </c>
      <c r="W419" s="33">
        <f t="shared" si="230"/>
        <v>0</v>
      </c>
      <c r="X419" s="33">
        <f t="shared" si="230"/>
        <v>0</v>
      </c>
    </row>
    <row r="420" spans="2:24">
      <c r="B420" s="305"/>
      <c r="C420" s="305"/>
      <c r="D420" s="288"/>
      <c r="E420" s="390"/>
      <c r="F420" s="391"/>
      <c r="G420" s="391"/>
      <c r="H420" s="417"/>
      <c r="I420" s="33">
        <f>IF(AND(F420="tak",G420="tak"),SUM(K518:X518),IF(AND(F420="tak",G420="nie",ISNUMBER(H420)),'Rozliczenie dotacji'!F119,0))</f>
        <v>0</v>
      </c>
      <c r="J420" s="203" t="str" cm="1">
        <f t="array" ref="J420">IF(SUMPRODUCT(ISBLANK(B420:G420)*1)=6,"wstaw dane",IF(AND(SUMPRODUCT(ISBLANK(B420:G420)*1)&gt;0,SUMPRODUCT(ISBLANK(B420:G420)*1)&lt;6),"uzupełnij dane",IF(OR(AND(F420=nie,ISNUMBER(H420)=TRUE),AND(F420=tak,G420=tak,ISNUMBER(H420)=TRUE)),"usuń % dotacji",IF(AND(F420=nie,G420=tak),"popraw dane",IF(AND(F420=tak,G420=nie,ISBLANK(H420)=TRUE),"wstaw % dotacji","ok")))))</f>
        <v>wstaw dane</v>
      </c>
      <c r="K420" s="33">
        <f t="shared" si="230"/>
        <v>0</v>
      </c>
      <c r="L420" s="33">
        <f t="shared" si="230"/>
        <v>0</v>
      </c>
      <c r="M420" s="33">
        <f t="shared" si="230"/>
        <v>0</v>
      </c>
      <c r="N420" s="33">
        <f t="shared" si="230"/>
        <v>0</v>
      </c>
      <c r="O420" s="33">
        <f t="shared" si="230"/>
        <v>0</v>
      </c>
      <c r="P420" s="33">
        <f t="shared" si="230"/>
        <v>0</v>
      </c>
      <c r="Q420" s="33">
        <f t="shared" si="230"/>
        <v>0</v>
      </c>
      <c r="R420" s="33">
        <f t="shared" si="230"/>
        <v>0</v>
      </c>
      <c r="S420" s="33">
        <f t="shared" si="230"/>
        <v>0</v>
      </c>
      <c r="T420" s="33">
        <f t="shared" si="230"/>
        <v>0</v>
      </c>
      <c r="U420" s="33">
        <f t="shared" si="230"/>
        <v>0</v>
      </c>
      <c r="V420" s="33">
        <f t="shared" si="230"/>
        <v>0</v>
      </c>
      <c r="W420" s="33">
        <f t="shared" si="230"/>
        <v>0</v>
      </c>
      <c r="X420" s="33">
        <f t="shared" si="230"/>
        <v>0</v>
      </c>
    </row>
    <row r="421" spans="2:24">
      <c r="B421" s="305"/>
      <c r="C421" s="305"/>
      <c r="D421" s="288"/>
      <c r="E421" s="390"/>
      <c r="F421" s="391"/>
      <c r="G421" s="391"/>
      <c r="H421" s="417"/>
      <c r="I421" s="33">
        <f>IF(AND(F421="tak",G421="tak"),SUM(K519:X519),IF(AND(F421="tak",G421="nie",ISNUMBER(H421)),'Rozliczenie dotacji'!F120,0))</f>
        <v>0</v>
      </c>
      <c r="J421" s="203" t="str" cm="1">
        <f t="array" ref="J421">IF(SUMPRODUCT(ISBLANK(B421:G421)*1)=6,"wstaw dane",IF(AND(SUMPRODUCT(ISBLANK(B421:G421)*1)&gt;0,SUMPRODUCT(ISBLANK(B421:G421)*1)&lt;6),"uzupełnij dane",IF(OR(AND(F421=nie,ISNUMBER(H421)=TRUE),AND(F421=tak,G421=tak,ISNUMBER(H421)=TRUE)),"usuń % dotacji",IF(AND(F421=nie,G421=tak),"popraw dane",IF(AND(F421=tak,G421=nie,ISBLANK(H421)=TRUE),"wstaw % dotacji","ok")))))</f>
        <v>wstaw dane</v>
      </c>
      <c r="K421" s="33">
        <f t="shared" si="230"/>
        <v>0</v>
      </c>
      <c r="L421" s="33">
        <f t="shared" si="230"/>
        <v>0</v>
      </c>
      <c r="M421" s="33">
        <f t="shared" si="230"/>
        <v>0</v>
      </c>
      <c r="N421" s="33">
        <f t="shared" si="230"/>
        <v>0</v>
      </c>
      <c r="O421" s="33">
        <f t="shared" si="230"/>
        <v>0</v>
      </c>
      <c r="P421" s="33">
        <f t="shared" si="230"/>
        <v>0</v>
      </c>
      <c r="Q421" s="33">
        <f t="shared" si="230"/>
        <v>0</v>
      </c>
      <c r="R421" s="33">
        <f t="shared" si="230"/>
        <v>0</v>
      </c>
      <c r="S421" s="33">
        <f t="shared" si="230"/>
        <v>0</v>
      </c>
      <c r="T421" s="33">
        <f t="shared" si="230"/>
        <v>0</v>
      </c>
      <c r="U421" s="33">
        <f t="shared" si="230"/>
        <v>0</v>
      </c>
      <c r="V421" s="33">
        <f t="shared" si="230"/>
        <v>0</v>
      </c>
      <c r="W421" s="33">
        <f t="shared" si="230"/>
        <v>0</v>
      </c>
      <c r="X421" s="33">
        <f t="shared" si="230"/>
        <v>0</v>
      </c>
    </row>
    <row r="422" spans="2:24">
      <c r="B422" s="305"/>
      <c r="C422" s="305"/>
      <c r="D422" s="288"/>
      <c r="E422" s="390"/>
      <c r="F422" s="391"/>
      <c r="G422" s="391"/>
      <c r="H422" s="417"/>
      <c r="I422" s="33">
        <f>IF(AND(F422="tak",G422="tak"),SUM(K520:X520),IF(AND(F422="tak",G422="nie",ISNUMBER(H422)),'Rozliczenie dotacji'!F121,0))</f>
        <v>0</v>
      </c>
      <c r="J422" s="203" t="str" cm="1">
        <f t="array" ref="J422">IF(SUMPRODUCT(ISBLANK(B422:G422)*1)=6,"wstaw dane",IF(AND(SUMPRODUCT(ISBLANK(B422:G422)*1)&gt;0,SUMPRODUCT(ISBLANK(B422:G422)*1)&lt;6),"uzupełnij dane",IF(OR(AND(F422=nie,ISNUMBER(H422)=TRUE),AND(F422=tak,G422=tak,ISNUMBER(H422)=TRUE)),"usuń % dotacji",IF(AND(F422=nie,G422=tak),"popraw dane",IF(AND(F422=tak,G422=nie,ISBLANK(H422)=TRUE),"wstaw % dotacji","ok")))))</f>
        <v>wstaw dane</v>
      </c>
      <c r="K422" s="33">
        <f t="shared" si="230"/>
        <v>0</v>
      </c>
      <c r="L422" s="33">
        <f t="shared" si="230"/>
        <v>0</v>
      </c>
      <c r="M422" s="33">
        <f t="shared" si="230"/>
        <v>0</v>
      </c>
      <c r="N422" s="33">
        <f t="shared" si="230"/>
        <v>0</v>
      </c>
      <c r="O422" s="33">
        <f t="shared" si="230"/>
        <v>0</v>
      </c>
      <c r="P422" s="33">
        <f t="shared" si="230"/>
        <v>0</v>
      </c>
      <c r="Q422" s="33">
        <f t="shared" si="230"/>
        <v>0</v>
      </c>
      <c r="R422" s="33">
        <f t="shared" si="230"/>
        <v>0</v>
      </c>
      <c r="S422" s="33">
        <f t="shared" si="230"/>
        <v>0</v>
      </c>
      <c r="T422" s="33">
        <f t="shared" si="230"/>
        <v>0</v>
      </c>
      <c r="U422" s="33">
        <f t="shared" si="230"/>
        <v>0</v>
      </c>
      <c r="V422" s="33">
        <f t="shared" si="230"/>
        <v>0</v>
      </c>
      <c r="W422" s="33">
        <f t="shared" si="230"/>
        <v>0</v>
      </c>
      <c r="X422" s="33">
        <f t="shared" si="230"/>
        <v>0</v>
      </c>
    </row>
    <row r="423" spans="2:24">
      <c r="B423" s="305"/>
      <c r="C423" s="305"/>
      <c r="D423" s="288"/>
      <c r="E423" s="390"/>
      <c r="F423" s="391"/>
      <c r="G423" s="391"/>
      <c r="H423" s="417"/>
      <c r="I423" s="33">
        <f>IF(AND(F423="tak",G423="tak"),SUM(K521:X521),IF(AND(F423="tak",G423="nie",ISNUMBER(H423)),'Rozliczenie dotacji'!F122,0))</f>
        <v>0</v>
      </c>
      <c r="J423" s="203" t="str" cm="1">
        <f t="array" ref="J423">IF(SUMPRODUCT(ISBLANK(B423:G423)*1)=6,"wstaw dane",IF(AND(SUMPRODUCT(ISBLANK(B423:G423)*1)&gt;0,SUMPRODUCT(ISBLANK(B423:G423)*1)&lt;6),"uzupełnij dane",IF(OR(AND(F423=nie,ISNUMBER(H423)=TRUE),AND(F423=tak,G423=tak,ISNUMBER(H423)=TRUE)),"usuń % dotacji",IF(AND(F423=nie,G423=tak),"popraw dane",IF(AND(F423=tak,G423=nie,ISBLANK(H423)=TRUE),"wstaw % dotacji","ok")))))</f>
        <v>wstaw dane</v>
      </c>
      <c r="K423" s="33">
        <f t="shared" si="230"/>
        <v>0</v>
      </c>
      <c r="L423" s="33">
        <f t="shared" si="230"/>
        <v>0</v>
      </c>
      <c r="M423" s="33">
        <f t="shared" si="230"/>
        <v>0</v>
      </c>
      <c r="N423" s="33">
        <f t="shared" si="230"/>
        <v>0</v>
      </c>
      <c r="O423" s="33">
        <f t="shared" si="230"/>
        <v>0</v>
      </c>
      <c r="P423" s="33">
        <f t="shared" si="230"/>
        <v>0</v>
      </c>
      <c r="Q423" s="33">
        <f t="shared" si="230"/>
        <v>0</v>
      </c>
      <c r="R423" s="33">
        <f t="shared" si="230"/>
        <v>0</v>
      </c>
      <c r="S423" s="33">
        <f t="shared" si="230"/>
        <v>0</v>
      </c>
      <c r="T423" s="33">
        <f t="shared" si="230"/>
        <v>0</v>
      </c>
      <c r="U423" s="33">
        <f t="shared" si="230"/>
        <v>0</v>
      </c>
      <c r="V423" s="33">
        <f t="shared" si="230"/>
        <v>0</v>
      </c>
      <c r="W423" s="33">
        <f t="shared" si="230"/>
        <v>0</v>
      </c>
      <c r="X423" s="33">
        <f t="shared" si="230"/>
        <v>0</v>
      </c>
    </row>
    <row r="424" spans="2:24">
      <c r="B424" s="305"/>
      <c r="C424" s="305"/>
      <c r="D424" s="288"/>
      <c r="E424" s="390"/>
      <c r="F424" s="391"/>
      <c r="G424" s="391"/>
      <c r="H424" s="417"/>
      <c r="I424" s="33">
        <f>IF(AND(F424="tak",G424="tak"),SUM(K522:X522),IF(AND(F424="tak",G424="nie",ISNUMBER(H424)),'Rozliczenie dotacji'!F123,0))</f>
        <v>0</v>
      </c>
      <c r="J424" s="203" t="str" cm="1">
        <f t="array" ref="J424">IF(SUMPRODUCT(ISBLANK(B424:G424)*1)=6,"wstaw dane",IF(AND(SUMPRODUCT(ISBLANK(B424:G424)*1)&gt;0,SUMPRODUCT(ISBLANK(B424:G424)*1)&lt;6),"uzupełnij dane",IF(OR(AND(F424=nie,ISNUMBER(H424)=TRUE),AND(F424=tak,G424=tak,ISNUMBER(H424)=TRUE)),"usuń % dotacji",IF(AND(F424=nie,G424=tak),"popraw dane",IF(AND(F424=tak,G424=nie,ISBLANK(H424)=TRUE),"wstaw % dotacji","ok")))))</f>
        <v>wstaw dane</v>
      </c>
      <c r="K424" s="33">
        <f t="shared" si="230"/>
        <v>0</v>
      </c>
      <c r="L424" s="33">
        <f t="shared" si="230"/>
        <v>0</v>
      </c>
      <c r="M424" s="33">
        <f t="shared" si="230"/>
        <v>0</v>
      </c>
      <c r="N424" s="33">
        <f t="shared" si="230"/>
        <v>0</v>
      </c>
      <c r="O424" s="33">
        <f t="shared" si="230"/>
        <v>0</v>
      </c>
      <c r="P424" s="33">
        <f t="shared" si="230"/>
        <v>0</v>
      </c>
      <c r="Q424" s="33">
        <f t="shared" si="230"/>
        <v>0</v>
      </c>
      <c r="R424" s="33">
        <f t="shared" si="230"/>
        <v>0</v>
      </c>
      <c r="S424" s="33">
        <f t="shared" si="230"/>
        <v>0</v>
      </c>
      <c r="T424" s="33">
        <f t="shared" si="230"/>
        <v>0</v>
      </c>
      <c r="U424" s="33">
        <f t="shared" si="230"/>
        <v>0</v>
      </c>
      <c r="V424" s="33">
        <f t="shared" si="230"/>
        <v>0</v>
      </c>
      <c r="W424" s="33">
        <f t="shared" si="230"/>
        <v>0</v>
      </c>
      <c r="X424" s="33">
        <f t="shared" si="230"/>
        <v>0</v>
      </c>
    </row>
    <row r="425" spans="2:24">
      <c r="B425" s="305"/>
      <c r="C425" s="305"/>
      <c r="D425" s="288"/>
      <c r="E425" s="390"/>
      <c r="F425" s="391"/>
      <c r="G425" s="391"/>
      <c r="H425" s="417"/>
      <c r="I425" s="33">
        <f>IF(AND(F425="tak",G425="tak"),SUM(K523:X523),IF(AND(F425="tak",G425="nie",ISNUMBER(H425)),'Rozliczenie dotacji'!F124,0))</f>
        <v>0</v>
      </c>
      <c r="J425" s="203" t="str" cm="1">
        <f t="array" ref="J425">IF(SUMPRODUCT(ISBLANK(B425:G425)*1)=6,"wstaw dane",IF(AND(SUMPRODUCT(ISBLANK(B425:G425)*1)&gt;0,SUMPRODUCT(ISBLANK(B425:G425)*1)&lt;6),"uzupełnij dane",IF(OR(AND(F425=nie,ISNUMBER(H425)=TRUE),AND(F425=tak,G425=tak,ISNUMBER(H425)=TRUE)),"usuń % dotacji",IF(AND(F425=nie,G425=tak),"popraw dane",IF(AND(F425=tak,G425=nie,ISBLANK(H425)=TRUE),"wstaw % dotacji","ok")))))</f>
        <v>wstaw dane</v>
      </c>
      <c r="K425" s="33">
        <f t="shared" si="230"/>
        <v>0</v>
      </c>
      <c r="L425" s="33">
        <f t="shared" si="230"/>
        <v>0</v>
      </c>
      <c r="M425" s="33">
        <f t="shared" si="230"/>
        <v>0</v>
      </c>
      <c r="N425" s="33">
        <f t="shared" si="230"/>
        <v>0</v>
      </c>
      <c r="O425" s="33">
        <f t="shared" si="230"/>
        <v>0</v>
      </c>
      <c r="P425" s="33">
        <f t="shared" si="230"/>
        <v>0</v>
      </c>
      <c r="Q425" s="33">
        <f t="shared" si="230"/>
        <v>0</v>
      </c>
      <c r="R425" s="33">
        <f t="shared" si="230"/>
        <v>0</v>
      </c>
      <c r="S425" s="33">
        <f t="shared" si="230"/>
        <v>0</v>
      </c>
      <c r="T425" s="33">
        <f t="shared" si="230"/>
        <v>0</v>
      </c>
      <c r="U425" s="33">
        <f t="shared" si="230"/>
        <v>0</v>
      </c>
      <c r="V425" s="33">
        <f t="shared" si="230"/>
        <v>0</v>
      </c>
      <c r="W425" s="33">
        <f t="shared" si="230"/>
        <v>0</v>
      </c>
      <c r="X425" s="33">
        <f t="shared" si="230"/>
        <v>0</v>
      </c>
    </row>
    <row r="426" spans="2:24">
      <c r="B426" s="305"/>
      <c r="C426" s="305"/>
      <c r="D426" s="288"/>
      <c r="E426" s="390"/>
      <c r="F426" s="391"/>
      <c r="G426" s="391"/>
      <c r="H426" s="417"/>
      <c r="I426" s="33">
        <f>IF(AND(F426="tak",G426="tak"),SUM(K524:X524),IF(AND(F426="tak",G426="nie",ISNUMBER(H426)),'Rozliczenie dotacji'!F125,0))</f>
        <v>0</v>
      </c>
      <c r="J426" s="203" t="str" cm="1">
        <f t="array" ref="J426">IF(SUMPRODUCT(ISBLANK(B426:G426)*1)=6,"wstaw dane",IF(AND(SUMPRODUCT(ISBLANK(B426:G426)*1)&gt;0,SUMPRODUCT(ISBLANK(B426:G426)*1)&lt;6),"uzupełnij dane",IF(OR(AND(F426=nie,ISNUMBER(H426)=TRUE),AND(F426=tak,G426=tak,ISNUMBER(H426)=TRUE)),"usuń % dotacji",IF(AND(F426=nie,G426=tak),"popraw dane",IF(AND(F426=tak,G426=nie,ISBLANK(H426)=TRUE),"wstaw % dotacji","ok")))))</f>
        <v>wstaw dane</v>
      </c>
      <c r="K426" s="33">
        <f t="shared" si="230"/>
        <v>0</v>
      </c>
      <c r="L426" s="33">
        <f t="shared" si="230"/>
        <v>0</v>
      </c>
      <c r="M426" s="33">
        <f t="shared" si="230"/>
        <v>0</v>
      </c>
      <c r="N426" s="33">
        <f t="shared" si="230"/>
        <v>0</v>
      </c>
      <c r="O426" s="33">
        <f t="shared" si="230"/>
        <v>0</v>
      </c>
      <c r="P426" s="33">
        <f t="shared" si="230"/>
        <v>0</v>
      </c>
      <c r="Q426" s="33">
        <f t="shared" si="230"/>
        <v>0</v>
      </c>
      <c r="R426" s="33">
        <f t="shared" si="230"/>
        <v>0</v>
      </c>
      <c r="S426" s="33">
        <f t="shared" si="230"/>
        <v>0</v>
      </c>
      <c r="T426" s="33">
        <f t="shared" si="230"/>
        <v>0</v>
      </c>
      <c r="U426" s="33">
        <f t="shared" si="230"/>
        <v>0</v>
      </c>
      <c r="V426" s="33">
        <f t="shared" si="230"/>
        <v>0</v>
      </c>
      <c r="W426" s="33">
        <f t="shared" si="230"/>
        <v>0</v>
      </c>
      <c r="X426" s="33">
        <f t="shared" si="230"/>
        <v>0</v>
      </c>
    </row>
    <row r="427" spans="2:24">
      <c r="B427" s="305"/>
      <c r="C427" s="305"/>
      <c r="D427" s="288"/>
      <c r="E427" s="390"/>
      <c r="F427" s="391"/>
      <c r="G427" s="391"/>
      <c r="H427" s="417"/>
      <c r="I427" s="33">
        <f>IF(AND(F427="tak",G427="tak"),SUM(K525:X525),IF(AND(F427="tak",G427="nie",ISNUMBER(H427)),'Rozliczenie dotacji'!F126,0))</f>
        <v>0</v>
      </c>
      <c r="J427" s="203" t="str" cm="1">
        <f t="array" ref="J427">IF(SUMPRODUCT(ISBLANK(B427:G427)*1)=6,"wstaw dane",IF(AND(SUMPRODUCT(ISBLANK(B427:G427)*1)&gt;0,SUMPRODUCT(ISBLANK(B427:G427)*1)&lt;6),"uzupełnij dane",IF(OR(AND(F427=nie,ISNUMBER(H427)=TRUE),AND(F427=tak,G427=tak,ISNUMBER(H427)=TRUE)),"usuń % dotacji",IF(AND(F427=nie,G427=tak),"popraw dane",IF(AND(F427=tak,G427=nie,ISBLANK(H427)=TRUE),"wstaw % dotacji","ok")))))</f>
        <v>wstaw dane</v>
      </c>
      <c r="K427" s="33">
        <f t="shared" si="230"/>
        <v>0</v>
      </c>
      <c r="L427" s="33">
        <f t="shared" si="230"/>
        <v>0</v>
      </c>
      <c r="M427" s="33">
        <f t="shared" si="230"/>
        <v>0</v>
      </c>
      <c r="N427" s="33">
        <f t="shared" si="230"/>
        <v>0</v>
      </c>
      <c r="O427" s="33">
        <f t="shared" si="230"/>
        <v>0</v>
      </c>
      <c r="P427" s="33">
        <f t="shared" si="230"/>
        <v>0</v>
      </c>
      <c r="Q427" s="33">
        <f t="shared" si="230"/>
        <v>0</v>
      </c>
      <c r="R427" s="33">
        <f t="shared" si="230"/>
        <v>0</v>
      </c>
      <c r="S427" s="33">
        <f t="shared" si="230"/>
        <v>0</v>
      </c>
      <c r="T427" s="33">
        <f t="shared" si="230"/>
        <v>0</v>
      </c>
      <c r="U427" s="33">
        <f t="shared" si="230"/>
        <v>0</v>
      </c>
      <c r="V427" s="33">
        <f t="shared" si="230"/>
        <v>0</v>
      </c>
      <c r="W427" s="33">
        <f t="shared" si="230"/>
        <v>0</v>
      </c>
      <c r="X427" s="33">
        <f t="shared" si="230"/>
        <v>0</v>
      </c>
    </row>
    <row r="428" spans="2:24">
      <c r="B428" s="305"/>
      <c r="C428" s="305"/>
      <c r="D428" s="288"/>
      <c r="E428" s="390"/>
      <c r="F428" s="391"/>
      <c r="G428" s="391"/>
      <c r="H428" s="417"/>
      <c r="I428" s="33">
        <f>IF(AND(F428="tak",G428="tak"),SUM(K526:X526),IF(AND(F428="tak",G428="nie",ISNUMBER(H428)),'Rozliczenie dotacji'!F127,0))</f>
        <v>0</v>
      </c>
      <c r="J428" s="203" t="str" cm="1">
        <f t="array" ref="J428">IF(SUMPRODUCT(ISBLANK(B428:G428)*1)=6,"wstaw dane",IF(AND(SUMPRODUCT(ISBLANK(B428:G428)*1)&gt;0,SUMPRODUCT(ISBLANK(B428:G428)*1)&lt;6),"uzupełnij dane",IF(OR(AND(F428=nie,ISNUMBER(H428)=TRUE),AND(F428=tak,G428=tak,ISNUMBER(H428)=TRUE)),"usuń % dotacji",IF(AND(F428=nie,G428=tak),"popraw dane",IF(AND(F428=tak,G428=nie,ISBLANK(H428)=TRUE),"wstaw % dotacji","ok")))))</f>
        <v>wstaw dane</v>
      </c>
      <c r="K428" s="33">
        <f t="shared" ref="K428:X437" si="231">ROUND(IF(AND(YEAR($E428)=LataProjekcji,$D428&gt;0,$J428="ok"),$D428,0),0)</f>
        <v>0</v>
      </c>
      <c r="L428" s="33">
        <f t="shared" si="231"/>
        <v>0</v>
      </c>
      <c r="M428" s="33">
        <f t="shared" si="231"/>
        <v>0</v>
      </c>
      <c r="N428" s="33">
        <f t="shared" si="231"/>
        <v>0</v>
      </c>
      <c r="O428" s="33">
        <f t="shared" si="231"/>
        <v>0</v>
      </c>
      <c r="P428" s="33">
        <f t="shared" si="231"/>
        <v>0</v>
      </c>
      <c r="Q428" s="33">
        <f t="shared" si="231"/>
        <v>0</v>
      </c>
      <c r="R428" s="33">
        <f t="shared" si="231"/>
        <v>0</v>
      </c>
      <c r="S428" s="33">
        <f t="shared" si="231"/>
        <v>0</v>
      </c>
      <c r="T428" s="33">
        <f t="shared" si="231"/>
        <v>0</v>
      </c>
      <c r="U428" s="33">
        <f t="shared" si="231"/>
        <v>0</v>
      </c>
      <c r="V428" s="33">
        <f t="shared" si="231"/>
        <v>0</v>
      </c>
      <c r="W428" s="33">
        <f t="shared" si="231"/>
        <v>0</v>
      </c>
      <c r="X428" s="33">
        <f t="shared" si="231"/>
        <v>0</v>
      </c>
    </row>
    <row r="429" spans="2:24">
      <c r="B429" s="305"/>
      <c r="C429" s="305"/>
      <c r="D429" s="288"/>
      <c r="E429" s="390"/>
      <c r="F429" s="391"/>
      <c r="G429" s="391"/>
      <c r="H429" s="417"/>
      <c r="I429" s="33">
        <f>IF(AND(F429="tak",G429="tak"),SUM(K527:X527),IF(AND(F429="tak",G429="nie",ISNUMBER(H429)),'Rozliczenie dotacji'!F128,0))</f>
        <v>0</v>
      </c>
      <c r="J429" s="203" t="str" cm="1">
        <f t="array" ref="J429">IF(SUMPRODUCT(ISBLANK(B429:G429)*1)=6,"wstaw dane",IF(AND(SUMPRODUCT(ISBLANK(B429:G429)*1)&gt;0,SUMPRODUCT(ISBLANK(B429:G429)*1)&lt;6),"uzupełnij dane",IF(OR(AND(F429=nie,ISNUMBER(H429)=TRUE),AND(F429=tak,G429=tak,ISNUMBER(H429)=TRUE)),"usuń % dotacji",IF(AND(F429=nie,G429=tak),"popraw dane",IF(AND(F429=tak,G429=nie,ISBLANK(H429)=TRUE),"wstaw % dotacji","ok")))))</f>
        <v>wstaw dane</v>
      </c>
      <c r="K429" s="33">
        <f t="shared" si="231"/>
        <v>0</v>
      </c>
      <c r="L429" s="33">
        <f t="shared" si="231"/>
        <v>0</v>
      </c>
      <c r="M429" s="33">
        <f t="shared" si="231"/>
        <v>0</v>
      </c>
      <c r="N429" s="33">
        <f t="shared" si="231"/>
        <v>0</v>
      </c>
      <c r="O429" s="33">
        <f t="shared" si="231"/>
        <v>0</v>
      </c>
      <c r="P429" s="33">
        <f t="shared" si="231"/>
        <v>0</v>
      </c>
      <c r="Q429" s="33">
        <f t="shared" si="231"/>
        <v>0</v>
      </c>
      <c r="R429" s="33">
        <f t="shared" si="231"/>
        <v>0</v>
      </c>
      <c r="S429" s="33">
        <f t="shared" si="231"/>
        <v>0</v>
      </c>
      <c r="T429" s="33">
        <f t="shared" si="231"/>
        <v>0</v>
      </c>
      <c r="U429" s="33">
        <f t="shared" si="231"/>
        <v>0</v>
      </c>
      <c r="V429" s="33">
        <f t="shared" si="231"/>
        <v>0</v>
      </c>
      <c r="W429" s="33">
        <f t="shared" si="231"/>
        <v>0</v>
      </c>
      <c r="X429" s="33">
        <f t="shared" si="231"/>
        <v>0</v>
      </c>
    </row>
    <row r="430" spans="2:24">
      <c r="B430" s="305"/>
      <c r="C430" s="305"/>
      <c r="D430" s="288"/>
      <c r="E430" s="390"/>
      <c r="F430" s="391"/>
      <c r="G430" s="391"/>
      <c r="H430" s="417"/>
      <c r="I430" s="33">
        <f>IF(AND(F430="tak",G430="tak"),SUM(K528:X528),IF(AND(F430="tak",G430="nie",ISNUMBER(H430)),'Rozliczenie dotacji'!F129,0))</f>
        <v>0</v>
      </c>
      <c r="J430" s="203" t="str" cm="1">
        <f t="array" ref="J430">IF(SUMPRODUCT(ISBLANK(B430:G430)*1)=6,"wstaw dane",IF(AND(SUMPRODUCT(ISBLANK(B430:G430)*1)&gt;0,SUMPRODUCT(ISBLANK(B430:G430)*1)&lt;6),"uzupełnij dane",IF(OR(AND(F430=nie,ISNUMBER(H430)=TRUE),AND(F430=tak,G430=tak,ISNUMBER(H430)=TRUE)),"usuń % dotacji",IF(AND(F430=nie,G430=tak),"popraw dane",IF(AND(F430=tak,G430=nie,ISBLANK(H430)=TRUE),"wstaw % dotacji","ok")))))</f>
        <v>wstaw dane</v>
      </c>
      <c r="K430" s="33">
        <f t="shared" si="231"/>
        <v>0</v>
      </c>
      <c r="L430" s="33">
        <f t="shared" si="231"/>
        <v>0</v>
      </c>
      <c r="M430" s="33">
        <f t="shared" si="231"/>
        <v>0</v>
      </c>
      <c r="N430" s="33">
        <f t="shared" si="231"/>
        <v>0</v>
      </c>
      <c r="O430" s="33">
        <f t="shared" si="231"/>
        <v>0</v>
      </c>
      <c r="P430" s="33">
        <f t="shared" si="231"/>
        <v>0</v>
      </c>
      <c r="Q430" s="33">
        <f t="shared" si="231"/>
        <v>0</v>
      </c>
      <c r="R430" s="33">
        <f t="shared" si="231"/>
        <v>0</v>
      </c>
      <c r="S430" s="33">
        <f t="shared" si="231"/>
        <v>0</v>
      </c>
      <c r="T430" s="33">
        <f t="shared" si="231"/>
        <v>0</v>
      </c>
      <c r="U430" s="33">
        <f t="shared" si="231"/>
        <v>0</v>
      </c>
      <c r="V430" s="33">
        <f t="shared" si="231"/>
        <v>0</v>
      </c>
      <c r="W430" s="33">
        <f t="shared" si="231"/>
        <v>0</v>
      </c>
      <c r="X430" s="33">
        <f t="shared" si="231"/>
        <v>0</v>
      </c>
    </row>
    <row r="431" spans="2:24">
      <c r="B431" s="305"/>
      <c r="C431" s="305"/>
      <c r="D431" s="288"/>
      <c r="E431" s="390"/>
      <c r="F431" s="391"/>
      <c r="G431" s="391"/>
      <c r="H431" s="417"/>
      <c r="I431" s="33">
        <f>IF(AND(F431="tak",G431="tak"),SUM(K529:X529),IF(AND(F431="tak",G431="nie",ISNUMBER(H431)),'Rozliczenie dotacji'!F130,0))</f>
        <v>0</v>
      </c>
      <c r="J431" s="203" t="str" cm="1">
        <f t="array" ref="J431">IF(SUMPRODUCT(ISBLANK(B431:G431)*1)=6,"wstaw dane",IF(AND(SUMPRODUCT(ISBLANK(B431:G431)*1)&gt;0,SUMPRODUCT(ISBLANK(B431:G431)*1)&lt;6),"uzupełnij dane",IF(OR(AND(F431=nie,ISNUMBER(H431)=TRUE),AND(F431=tak,G431=tak,ISNUMBER(H431)=TRUE)),"usuń % dotacji",IF(AND(F431=nie,G431=tak),"popraw dane",IF(AND(F431=tak,G431=nie,ISBLANK(H431)=TRUE),"wstaw % dotacji","ok")))))</f>
        <v>wstaw dane</v>
      </c>
      <c r="K431" s="33">
        <f t="shared" si="231"/>
        <v>0</v>
      </c>
      <c r="L431" s="33">
        <f t="shared" si="231"/>
        <v>0</v>
      </c>
      <c r="M431" s="33">
        <f t="shared" si="231"/>
        <v>0</v>
      </c>
      <c r="N431" s="33">
        <f t="shared" si="231"/>
        <v>0</v>
      </c>
      <c r="O431" s="33">
        <f t="shared" si="231"/>
        <v>0</v>
      </c>
      <c r="P431" s="33">
        <f t="shared" si="231"/>
        <v>0</v>
      </c>
      <c r="Q431" s="33">
        <f t="shared" si="231"/>
        <v>0</v>
      </c>
      <c r="R431" s="33">
        <f t="shared" si="231"/>
        <v>0</v>
      </c>
      <c r="S431" s="33">
        <f t="shared" si="231"/>
        <v>0</v>
      </c>
      <c r="T431" s="33">
        <f t="shared" si="231"/>
        <v>0</v>
      </c>
      <c r="U431" s="33">
        <f t="shared" si="231"/>
        <v>0</v>
      </c>
      <c r="V431" s="33">
        <f t="shared" si="231"/>
        <v>0</v>
      </c>
      <c r="W431" s="33">
        <f t="shared" si="231"/>
        <v>0</v>
      </c>
      <c r="X431" s="33">
        <f t="shared" si="231"/>
        <v>0</v>
      </c>
    </row>
    <row r="432" spans="2:24">
      <c r="B432" s="305"/>
      <c r="C432" s="305"/>
      <c r="D432" s="288"/>
      <c r="E432" s="390"/>
      <c r="F432" s="391"/>
      <c r="G432" s="391"/>
      <c r="H432" s="417"/>
      <c r="I432" s="33">
        <f>IF(AND(F432="tak",G432="tak"),SUM(K530:X530),IF(AND(F432="tak",G432="nie",ISNUMBER(H432)),'Rozliczenie dotacji'!F131,0))</f>
        <v>0</v>
      </c>
      <c r="J432" s="203" t="str" cm="1">
        <f t="array" ref="J432">IF(SUMPRODUCT(ISBLANK(B432:G432)*1)=6,"wstaw dane",IF(AND(SUMPRODUCT(ISBLANK(B432:G432)*1)&gt;0,SUMPRODUCT(ISBLANK(B432:G432)*1)&lt;6),"uzupełnij dane",IF(OR(AND(F432=nie,ISNUMBER(H432)=TRUE),AND(F432=tak,G432=tak,ISNUMBER(H432)=TRUE)),"usuń % dotacji",IF(AND(F432=nie,G432=tak),"popraw dane",IF(AND(F432=tak,G432=nie,ISBLANK(H432)=TRUE),"wstaw % dotacji","ok")))))</f>
        <v>wstaw dane</v>
      </c>
      <c r="K432" s="33">
        <f t="shared" si="231"/>
        <v>0</v>
      </c>
      <c r="L432" s="33">
        <f t="shared" si="231"/>
        <v>0</v>
      </c>
      <c r="M432" s="33">
        <f t="shared" si="231"/>
        <v>0</v>
      </c>
      <c r="N432" s="33">
        <f t="shared" si="231"/>
        <v>0</v>
      </c>
      <c r="O432" s="33">
        <f t="shared" si="231"/>
        <v>0</v>
      </c>
      <c r="P432" s="33">
        <f t="shared" si="231"/>
        <v>0</v>
      </c>
      <c r="Q432" s="33">
        <f t="shared" si="231"/>
        <v>0</v>
      </c>
      <c r="R432" s="33">
        <f t="shared" si="231"/>
        <v>0</v>
      </c>
      <c r="S432" s="33">
        <f t="shared" si="231"/>
        <v>0</v>
      </c>
      <c r="T432" s="33">
        <f t="shared" si="231"/>
        <v>0</v>
      </c>
      <c r="U432" s="33">
        <f t="shared" si="231"/>
        <v>0</v>
      </c>
      <c r="V432" s="33">
        <f t="shared" si="231"/>
        <v>0</v>
      </c>
      <c r="W432" s="33">
        <f t="shared" si="231"/>
        <v>0</v>
      </c>
      <c r="X432" s="33">
        <f t="shared" si="231"/>
        <v>0</v>
      </c>
    </row>
    <row r="433" spans="2:24">
      <c r="B433" s="305"/>
      <c r="C433" s="305"/>
      <c r="D433" s="288"/>
      <c r="E433" s="390"/>
      <c r="F433" s="391"/>
      <c r="G433" s="391"/>
      <c r="H433" s="417"/>
      <c r="I433" s="33">
        <f>IF(AND(F433="tak",G433="tak"),SUM(K531:X531),IF(AND(F433="tak",G433="nie",ISNUMBER(H433)),'Rozliczenie dotacji'!F132,0))</f>
        <v>0</v>
      </c>
      <c r="J433" s="203" t="str" cm="1">
        <f t="array" ref="J433">IF(SUMPRODUCT(ISBLANK(B433:G433)*1)=6,"wstaw dane",IF(AND(SUMPRODUCT(ISBLANK(B433:G433)*1)&gt;0,SUMPRODUCT(ISBLANK(B433:G433)*1)&lt;6),"uzupełnij dane",IF(OR(AND(F433=nie,ISNUMBER(H433)=TRUE),AND(F433=tak,G433=tak,ISNUMBER(H433)=TRUE)),"usuń % dotacji",IF(AND(F433=nie,G433=tak),"popraw dane",IF(AND(F433=tak,G433=nie,ISBLANK(H433)=TRUE),"wstaw % dotacji","ok")))))</f>
        <v>wstaw dane</v>
      </c>
      <c r="K433" s="33">
        <f t="shared" si="231"/>
        <v>0</v>
      </c>
      <c r="L433" s="33">
        <f t="shared" si="231"/>
        <v>0</v>
      </c>
      <c r="M433" s="33">
        <f t="shared" si="231"/>
        <v>0</v>
      </c>
      <c r="N433" s="33">
        <f t="shared" si="231"/>
        <v>0</v>
      </c>
      <c r="O433" s="33">
        <f t="shared" si="231"/>
        <v>0</v>
      </c>
      <c r="P433" s="33">
        <f t="shared" si="231"/>
        <v>0</v>
      </c>
      <c r="Q433" s="33">
        <f t="shared" si="231"/>
        <v>0</v>
      </c>
      <c r="R433" s="33">
        <f t="shared" si="231"/>
        <v>0</v>
      </c>
      <c r="S433" s="33">
        <f t="shared" si="231"/>
        <v>0</v>
      </c>
      <c r="T433" s="33">
        <f t="shared" si="231"/>
        <v>0</v>
      </c>
      <c r="U433" s="33">
        <f t="shared" si="231"/>
        <v>0</v>
      </c>
      <c r="V433" s="33">
        <f t="shared" si="231"/>
        <v>0</v>
      </c>
      <c r="W433" s="33">
        <f t="shared" si="231"/>
        <v>0</v>
      </c>
      <c r="X433" s="33">
        <f t="shared" si="231"/>
        <v>0</v>
      </c>
    </row>
    <row r="434" spans="2:24">
      <c r="B434" s="305"/>
      <c r="C434" s="305"/>
      <c r="D434" s="288"/>
      <c r="E434" s="390"/>
      <c r="F434" s="391"/>
      <c r="G434" s="391"/>
      <c r="H434" s="417"/>
      <c r="I434" s="33">
        <f>IF(AND(F434="tak",G434="tak"),SUM(K532:X532),IF(AND(F434="tak",G434="nie",ISNUMBER(H434)),'Rozliczenie dotacji'!F133,0))</f>
        <v>0</v>
      </c>
      <c r="J434" s="203" t="str" cm="1">
        <f t="array" ref="J434">IF(SUMPRODUCT(ISBLANK(B434:G434)*1)=6,"wstaw dane",IF(AND(SUMPRODUCT(ISBLANK(B434:G434)*1)&gt;0,SUMPRODUCT(ISBLANK(B434:G434)*1)&lt;6),"uzupełnij dane",IF(OR(AND(F434=nie,ISNUMBER(H434)=TRUE),AND(F434=tak,G434=tak,ISNUMBER(H434)=TRUE)),"usuń % dotacji",IF(AND(F434=nie,G434=tak),"popraw dane",IF(AND(F434=tak,G434=nie,ISBLANK(H434)=TRUE),"wstaw % dotacji","ok")))))</f>
        <v>wstaw dane</v>
      </c>
      <c r="K434" s="33">
        <f t="shared" si="231"/>
        <v>0</v>
      </c>
      <c r="L434" s="33">
        <f t="shared" si="231"/>
        <v>0</v>
      </c>
      <c r="M434" s="33">
        <f t="shared" si="231"/>
        <v>0</v>
      </c>
      <c r="N434" s="33">
        <f t="shared" si="231"/>
        <v>0</v>
      </c>
      <c r="O434" s="33">
        <f t="shared" si="231"/>
        <v>0</v>
      </c>
      <c r="P434" s="33">
        <f t="shared" si="231"/>
        <v>0</v>
      </c>
      <c r="Q434" s="33">
        <f t="shared" si="231"/>
        <v>0</v>
      </c>
      <c r="R434" s="33">
        <f t="shared" si="231"/>
        <v>0</v>
      </c>
      <c r="S434" s="33">
        <f t="shared" si="231"/>
        <v>0</v>
      </c>
      <c r="T434" s="33">
        <f t="shared" si="231"/>
        <v>0</v>
      </c>
      <c r="U434" s="33">
        <f t="shared" si="231"/>
        <v>0</v>
      </c>
      <c r="V434" s="33">
        <f t="shared" si="231"/>
        <v>0</v>
      </c>
      <c r="W434" s="33">
        <f t="shared" si="231"/>
        <v>0</v>
      </c>
      <c r="X434" s="33">
        <f t="shared" si="231"/>
        <v>0</v>
      </c>
    </row>
    <row r="435" spans="2:24">
      <c r="B435" s="305"/>
      <c r="C435" s="305"/>
      <c r="D435" s="288"/>
      <c r="E435" s="390"/>
      <c r="F435" s="391"/>
      <c r="G435" s="391"/>
      <c r="H435" s="417"/>
      <c r="I435" s="33">
        <f>IF(AND(F435="tak",G435="tak"),SUM(K533:X533),IF(AND(F435="tak",G435="nie",ISNUMBER(H435)),'Rozliczenie dotacji'!F134,0))</f>
        <v>0</v>
      </c>
      <c r="J435" s="203" t="str" cm="1">
        <f t="array" ref="J435">IF(SUMPRODUCT(ISBLANK(B435:G435)*1)=6,"wstaw dane",IF(AND(SUMPRODUCT(ISBLANK(B435:G435)*1)&gt;0,SUMPRODUCT(ISBLANK(B435:G435)*1)&lt;6),"uzupełnij dane",IF(OR(AND(F435=nie,ISNUMBER(H435)=TRUE),AND(F435=tak,G435=tak,ISNUMBER(H435)=TRUE)),"usuń % dotacji",IF(AND(F435=nie,G435=tak),"popraw dane",IF(AND(F435=tak,G435=nie,ISBLANK(H435)=TRUE),"wstaw % dotacji","ok")))))</f>
        <v>wstaw dane</v>
      </c>
      <c r="K435" s="33">
        <f t="shared" si="231"/>
        <v>0</v>
      </c>
      <c r="L435" s="33">
        <f t="shared" si="231"/>
        <v>0</v>
      </c>
      <c r="M435" s="33">
        <f t="shared" si="231"/>
        <v>0</v>
      </c>
      <c r="N435" s="33">
        <f t="shared" si="231"/>
        <v>0</v>
      </c>
      <c r="O435" s="33">
        <f t="shared" si="231"/>
        <v>0</v>
      </c>
      <c r="P435" s="33">
        <f t="shared" si="231"/>
        <v>0</v>
      </c>
      <c r="Q435" s="33">
        <f t="shared" si="231"/>
        <v>0</v>
      </c>
      <c r="R435" s="33">
        <f t="shared" si="231"/>
        <v>0</v>
      </c>
      <c r="S435" s="33">
        <f t="shared" si="231"/>
        <v>0</v>
      </c>
      <c r="T435" s="33">
        <f t="shared" si="231"/>
        <v>0</v>
      </c>
      <c r="U435" s="33">
        <f t="shared" si="231"/>
        <v>0</v>
      </c>
      <c r="V435" s="33">
        <f t="shared" si="231"/>
        <v>0</v>
      </c>
      <c r="W435" s="33">
        <f t="shared" si="231"/>
        <v>0</v>
      </c>
      <c r="X435" s="33">
        <f t="shared" si="231"/>
        <v>0</v>
      </c>
    </row>
    <row r="436" spans="2:24">
      <c r="B436" s="305"/>
      <c r="C436" s="305"/>
      <c r="D436" s="288"/>
      <c r="E436" s="390"/>
      <c r="F436" s="391"/>
      <c r="G436" s="391"/>
      <c r="H436" s="417"/>
      <c r="I436" s="33">
        <f>IF(AND(F436="tak",G436="tak"),SUM(K534:X534),IF(AND(F436="tak",G436="nie",ISNUMBER(H436)),'Rozliczenie dotacji'!F135,0))</f>
        <v>0</v>
      </c>
      <c r="J436" s="203" t="str" cm="1">
        <f t="array" ref="J436">IF(SUMPRODUCT(ISBLANK(B436:G436)*1)=6,"wstaw dane",IF(AND(SUMPRODUCT(ISBLANK(B436:G436)*1)&gt;0,SUMPRODUCT(ISBLANK(B436:G436)*1)&lt;6),"uzupełnij dane",IF(OR(AND(F436=nie,ISNUMBER(H436)=TRUE),AND(F436=tak,G436=tak,ISNUMBER(H436)=TRUE)),"usuń % dotacji",IF(AND(F436=nie,G436=tak),"popraw dane",IF(AND(F436=tak,G436=nie,ISBLANK(H436)=TRUE),"wstaw % dotacji","ok")))))</f>
        <v>wstaw dane</v>
      </c>
      <c r="K436" s="33">
        <f t="shared" si="231"/>
        <v>0</v>
      </c>
      <c r="L436" s="33">
        <f t="shared" si="231"/>
        <v>0</v>
      </c>
      <c r="M436" s="33">
        <f t="shared" si="231"/>
        <v>0</v>
      </c>
      <c r="N436" s="33">
        <f t="shared" si="231"/>
        <v>0</v>
      </c>
      <c r="O436" s="33">
        <f t="shared" si="231"/>
        <v>0</v>
      </c>
      <c r="P436" s="33">
        <f t="shared" si="231"/>
        <v>0</v>
      </c>
      <c r="Q436" s="33">
        <f t="shared" si="231"/>
        <v>0</v>
      </c>
      <c r="R436" s="33">
        <f t="shared" si="231"/>
        <v>0</v>
      </c>
      <c r="S436" s="33">
        <f t="shared" si="231"/>
        <v>0</v>
      </c>
      <c r="T436" s="33">
        <f t="shared" si="231"/>
        <v>0</v>
      </c>
      <c r="U436" s="33">
        <f t="shared" si="231"/>
        <v>0</v>
      </c>
      <c r="V436" s="33">
        <f t="shared" si="231"/>
        <v>0</v>
      </c>
      <c r="W436" s="33">
        <f t="shared" si="231"/>
        <v>0</v>
      </c>
      <c r="X436" s="33">
        <f t="shared" si="231"/>
        <v>0</v>
      </c>
    </row>
    <row r="437" spans="2:24">
      <c r="B437" s="305"/>
      <c r="C437" s="305"/>
      <c r="D437" s="288"/>
      <c r="E437" s="390"/>
      <c r="F437" s="391"/>
      <c r="G437" s="391"/>
      <c r="H437" s="417"/>
      <c r="I437" s="33">
        <f>IF(AND(F437="tak",G437="tak"),SUM(K535:X535),IF(AND(F437="tak",G437="nie",ISNUMBER(H437)),'Rozliczenie dotacji'!F136,0))</f>
        <v>0</v>
      </c>
      <c r="J437" s="203" t="str" cm="1">
        <f t="array" ref="J437">IF(SUMPRODUCT(ISBLANK(B437:G437)*1)=6,"wstaw dane",IF(AND(SUMPRODUCT(ISBLANK(B437:G437)*1)&gt;0,SUMPRODUCT(ISBLANK(B437:G437)*1)&lt;6),"uzupełnij dane",IF(OR(AND(F437=nie,ISNUMBER(H437)=TRUE),AND(F437=tak,G437=tak,ISNUMBER(H437)=TRUE)),"usuń % dotacji",IF(AND(F437=nie,G437=tak),"popraw dane",IF(AND(F437=tak,G437=nie,ISBLANK(H437)=TRUE),"wstaw % dotacji","ok")))))</f>
        <v>wstaw dane</v>
      </c>
      <c r="K437" s="33">
        <f t="shared" si="231"/>
        <v>0</v>
      </c>
      <c r="L437" s="33">
        <f t="shared" si="231"/>
        <v>0</v>
      </c>
      <c r="M437" s="33">
        <f t="shared" si="231"/>
        <v>0</v>
      </c>
      <c r="N437" s="33">
        <f t="shared" si="231"/>
        <v>0</v>
      </c>
      <c r="O437" s="33">
        <f t="shared" si="231"/>
        <v>0</v>
      </c>
      <c r="P437" s="33">
        <f t="shared" si="231"/>
        <v>0</v>
      </c>
      <c r="Q437" s="33">
        <f t="shared" si="231"/>
        <v>0</v>
      </c>
      <c r="R437" s="33">
        <f t="shared" si="231"/>
        <v>0</v>
      </c>
      <c r="S437" s="33">
        <f t="shared" si="231"/>
        <v>0</v>
      </c>
      <c r="T437" s="33">
        <f t="shared" si="231"/>
        <v>0</v>
      </c>
      <c r="U437" s="33">
        <f t="shared" si="231"/>
        <v>0</v>
      </c>
      <c r="V437" s="33">
        <f t="shared" si="231"/>
        <v>0</v>
      </c>
      <c r="W437" s="33">
        <f t="shared" si="231"/>
        <v>0</v>
      </c>
      <c r="X437" s="33">
        <f t="shared" si="231"/>
        <v>0</v>
      </c>
    </row>
    <row r="438" spans="2:24">
      <c r="B438" s="305"/>
      <c r="C438" s="305"/>
      <c r="D438" s="288"/>
      <c r="E438" s="390"/>
      <c r="F438" s="391"/>
      <c r="G438" s="391"/>
      <c r="H438" s="417"/>
      <c r="I438" s="33">
        <f>IF(AND(F438="tak",G438="tak"),SUM(K536:X536),IF(AND(F438="tak",G438="nie",ISNUMBER(H438)),'Rozliczenie dotacji'!F137,0))</f>
        <v>0</v>
      </c>
      <c r="J438" s="203" t="str" cm="1">
        <f t="array" ref="J438">IF(SUMPRODUCT(ISBLANK(B438:G438)*1)=6,"wstaw dane",IF(AND(SUMPRODUCT(ISBLANK(B438:G438)*1)&gt;0,SUMPRODUCT(ISBLANK(B438:G438)*1)&lt;6),"uzupełnij dane",IF(OR(AND(F438=nie,ISNUMBER(H438)=TRUE),AND(F438=tak,G438=tak,ISNUMBER(H438)=TRUE)),"usuń % dotacji",IF(AND(F438=nie,G438=tak),"popraw dane",IF(AND(F438=tak,G438=nie,ISBLANK(H438)=TRUE),"wstaw % dotacji","ok")))))</f>
        <v>wstaw dane</v>
      </c>
      <c r="K438" s="33">
        <f t="shared" ref="K438:X447" si="232">ROUND(IF(AND(YEAR($E438)=LataProjekcji,$D438&gt;0,$J438="ok"),$D438,0),0)</f>
        <v>0</v>
      </c>
      <c r="L438" s="33">
        <f t="shared" si="232"/>
        <v>0</v>
      </c>
      <c r="M438" s="33">
        <f t="shared" si="232"/>
        <v>0</v>
      </c>
      <c r="N438" s="33">
        <f t="shared" si="232"/>
        <v>0</v>
      </c>
      <c r="O438" s="33">
        <f t="shared" si="232"/>
        <v>0</v>
      </c>
      <c r="P438" s="33">
        <f t="shared" si="232"/>
        <v>0</v>
      </c>
      <c r="Q438" s="33">
        <f t="shared" si="232"/>
        <v>0</v>
      </c>
      <c r="R438" s="33">
        <f t="shared" si="232"/>
        <v>0</v>
      </c>
      <c r="S438" s="33">
        <f t="shared" si="232"/>
        <v>0</v>
      </c>
      <c r="T438" s="33">
        <f t="shared" si="232"/>
        <v>0</v>
      </c>
      <c r="U438" s="33">
        <f t="shared" si="232"/>
        <v>0</v>
      </c>
      <c r="V438" s="33">
        <f t="shared" si="232"/>
        <v>0</v>
      </c>
      <c r="W438" s="33">
        <f t="shared" si="232"/>
        <v>0</v>
      </c>
      <c r="X438" s="33">
        <f t="shared" si="232"/>
        <v>0</v>
      </c>
    </row>
    <row r="439" spans="2:24">
      <c r="B439" s="305"/>
      <c r="C439" s="305"/>
      <c r="D439" s="288"/>
      <c r="E439" s="390"/>
      <c r="F439" s="391"/>
      <c r="G439" s="391"/>
      <c r="H439" s="417"/>
      <c r="I439" s="33">
        <f>IF(AND(F439="tak",G439="tak"),SUM(K537:X537),IF(AND(F439="tak",G439="nie",ISNUMBER(H439)),'Rozliczenie dotacji'!F138,0))</f>
        <v>0</v>
      </c>
      <c r="J439" s="203" t="str" cm="1">
        <f t="array" ref="J439">IF(SUMPRODUCT(ISBLANK(B439:G439)*1)=6,"wstaw dane",IF(AND(SUMPRODUCT(ISBLANK(B439:G439)*1)&gt;0,SUMPRODUCT(ISBLANK(B439:G439)*1)&lt;6),"uzupełnij dane",IF(OR(AND(F439=nie,ISNUMBER(H439)=TRUE),AND(F439=tak,G439=tak,ISNUMBER(H439)=TRUE)),"usuń % dotacji",IF(AND(F439=nie,G439=tak),"popraw dane",IF(AND(F439=tak,G439=nie,ISBLANK(H439)=TRUE),"wstaw % dotacji","ok")))))</f>
        <v>wstaw dane</v>
      </c>
      <c r="K439" s="33">
        <f t="shared" si="232"/>
        <v>0</v>
      </c>
      <c r="L439" s="33">
        <f t="shared" si="232"/>
        <v>0</v>
      </c>
      <c r="M439" s="33">
        <f t="shared" si="232"/>
        <v>0</v>
      </c>
      <c r="N439" s="33">
        <f t="shared" si="232"/>
        <v>0</v>
      </c>
      <c r="O439" s="33">
        <f t="shared" si="232"/>
        <v>0</v>
      </c>
      <c r="P439" s="33">
        <f t="shared" si="232"/>
        <v>0</v>
      </c>
      <c r="Q439" s="33">
        <f t="shared" si="232"/>
        <v>0</v>
      </c>
      <c r="R439" s="33">
        <f t="shared" si="232"/>
        <v>0</v>
      </c>
      <c r="S439" s="33">
        <f t="shared" si="232"/>
        <v>0</v>
      </c>
      <c r="T439" s="33">
        <f t="shared" si="232"/>
        <v>0</v>
      </c>
      <c r="U439" s="33">
        <f t="shared" si="232"/>
        <v>0</v>
      </c>
      <c r="V439" s="33">
        <f t="shared" si="232"/>
        <v>0</v>
      </c>
      <c r="W439" s="33">
        <f t="shared" si="232"/>
        <v>0</v>
      </c>
      <c r="X439" s="33">
        <f t="shared" si="232"/>
        <v>0</v>
      </c>
    </row>
    <row r="440" spans="2:24">
      <c r="B440" s="305"/>
      <c r="C440" s="305"/>
      <c r="D440" s="288"/>
      <c r="E440" s="390"/>
      <c r="F440" s="391"/>
      <c r="G440" s="391"/>
      <c r="H440" s="417"/>
      <c r="I440" s="33">
        <f>IF(AND(F440="tak",G440="tak"),SUM(K538:X538),IF(AND(F440="tak",G440="nie",ISNUMBER(H440)),'Rozliczenie dotacji'!F139,0))</f>
        <v>0</v>
      </c>
      <c r="J440" s="203" t="str" cm="1">
        <f t="array" ref="J440">IF(SUMPRODUCT(ISBLANK(B440:G440)*1)=6,"wstaw dane",IF(AND(SUMPRODUCT(ISBLANK(B440:G440)*1)&gt;0,SUMPRODUCT(ISBLANK(B440:G440)*1)&lt;6),"uzupełnij dane",IF(OR(AND(F440=nie,ISNUMBER(H440)=TRUE),AND(F440=tak,G440=tak,ISNUMBER(H440)=TRUE)),"usuń % dotacji",IF(AND(F440=nie,G440=tak),"popraw dane",IF(AND(F440=tak,G440=nie,ISBLANK(H440)=TRUE),"wstaw % dotacji","ok")))))</f>
        <v>wstaw dane</v>
      </c>
      <c r="K440" s="33">
        <f t="shared" si="232"/>
        <v>0</v>
      </c>
      <c r="L440" s="33">
        <f t="shared" si="232"/>
        <v>0</v>
      </c>
      <c r="M440" s="33">
        <f t="shared" si="232"/>
        <v>0</v>
      </c>
      <c r="N440" s="33">
        <f t="shared" si="232"/>
        <v>0</v>
      </c>
      <c r="O440" s="33">
        <f t="shared" si="232"/>
        <v>0</v>
      </c>
      <c r="P440" s="33">
        <f t="shared" si="232"/>
        <v>0</v>
      </c>
      <c r="Q440" s="33">
        <f t="shared" si="232"/>
        <v>0</v>
      </c>
      <c r="R440" s="33">
        <f t="shared" si="232"/>
        <v>0</v>
      </c>
      <c r="S440" s="33">
        <f t="shared" si="232"/>
        <v>0</v>
      </c>
      <c r="T440" s="33">
        <f t="shared" si="232"/>
        <v>0</v>
      </c>
      <c r="U440" s="33">
        <f t="shared" si="232"/>
        <v>0</v>
      </c>
      <c r="V440" s="33">
        <f t="shared" si="232"/>
        <v>0</v>
      </c>
      <c r="W440" s="33">
        <f t="shared" si="232"/>
        <v>0</v>
      </c>
      <c r="X440" s="33">
        <f t="shared" si="232"/>
        <v>0</v>
      </c>
    </row>
    <row r="441" spans="2:24">
      <c r="B441" s="305"/>
      <c r="C441" s="305"/>
      <c r="D441" s="288"/>
      <c r="E441" s="390"/>
      <c r="F441" s="391"/>
      <c r="G441" s="391"/>
      <c r="H441" s="417"/>
      <c r="I441" s="33">
        <f>IF(AND(F441="tak",G441="tak"),SUM(K539:X539),IF(AND(F441="tak",G441="nie",ISNUMBER(H441)),'Rozliczenie dotacji'!F140,0))</f>
        <v>0</v>
      </c>
      <c r="J441" s="203" t="str" cm="1">
        <f t="array" ref="J441">IF(SUMPRODUCT(ISBLANK(B441:G441)*1)=6,"wstaw dane",IF(AND(SUMPRODUCT(ISBLANK(B441:G441)*1)&gt;0,SUMPRODUCT(ISBLANK(B441:G441)*1)&lt;6),"uzupełnij dane",IF(OR(AND(F441=nie,ISNUMBER(H441)=TRUE),AND(F441=tak,G441=tak,ISNUMBER(H441)=TRUE)),"usuń % dotacji",IF(AND(F441=nie,G441=tak),"popraw dane",IF(AND(F441=tak,G441=nie,ISBLANK(H441)=TRUE),"wstaw % dotacji","ok")))))</f>
        <v>wstaw dane</v>
      </c>
      <c r="K441" s="33">
        <f t="shared" si="232"/>
        <v>0</v>
      </c>
      <c r="L441" s="33">
        <f t="shared" si="232"/>
        <v>0</v>
      </c>
      <c r="M441" s="33">
        <f t="shared" si="232"/>
        <v>0</v>
      </c>
      <c r="N441" s="33">
        <f t="shared" si="232"/>
        <v>0</v>
      </c>
      <c r="O441" s="33">
        <f t="shared" si="232"/>
        <v>0</v>
      </c>
      <c r="P441" s="33">
        <f t="shared" si="232"/>
        <v>0</v>
      </c>
      <c r="Q441" s="33">
        <f t="shared" si="232"/>
        <v>0</v>
      </c>
      <c r="R441" s="33">
        <f t="shared" si="232"/>
        <v>0</v>
      </c>
      <c r="S441" s="33">
        <f t="shared" si="232"/>
        <v>0</v>
      </c>
      <c r="T441" s="33">
        <f t="shared" si="232"/>
        <v>0</v>
      </c>
      <c r="U441" s="33">
        <f t="shared" si="232"/>
        <v>0</v>
      </c>
      <c r="V441" s="33">
        <f t="shared" si="232"/>
        <v>0</v>
      </c>
      <c r="W441" s="33">
        <f t="shared" si="232"/>
        <v>0</v>
      </c>
      <c r="X441" s="33">
        <f t="shared" si="232"/>
        <v>0</v>
      </c>
    </row>
    <row r="442" spans="2:24">
      <c r="B442" s="305"/>
      <c r="C442" s="305"/>
      <c r="D442" s="288"/>
      <c r="E442" s="390"/>
      <c r="F442" s="391"/>
      <c r="G442" s="391"/>
      <c r="H442" s="417"/>
      <c r="I442" s="33">
        <f>IF(AND(F442="tak",G442="tak"),SUM(K540:X540),IF(AND(F442="tak",G442="nie",ISNUMBER(H442)),'Rozliczenie dotacji'!F141,0))</f>
        <v>0</v>
      </c>
      <c r="J442" s="203" t="str" cm="1">
        <f t="array" ref="J442">IF(SUMPRODUCT(ISBLANK(B442:G442)*1)=6,"wstaw dane",IF(AND(SUMPRODUCT(ISBLANK(B442:G442)*1)&gt;0,SUMPRODUCT(ISBLANK(B442:G442)*1)&lt;6),"uzupełnij dane",IF(OR(AND(F442=nie,ISNUMBER(H442)=TRUE),AND(F442=tak,G442=tak,ISNUMBER(H442)=TRUE)),"usuń % dotacji",IF(AND(F442=nie,G442=tak),"popraw dane",IF(AND(F442=tak,G442=nie,ISBLANK(H442)=TRUE),"wstaw % dotacji","ok")))))</f>
        <v>wstaw dane</v>
      </c>
      <c r="K442" s="33">
        <f t="shared" si="232"/>
        <v>0</v>
      </c>
      <c r="L442" s="33">
        <f t="shared" si="232"/>
        <v>0</v>
      </c>
      <c r="M442" s="33">
        <f t="shared" si="232"/>
        <v>0</v>
      </c>
      <c r="N442" s="33">
        <f t="shared" si="232"/>
        <v>0</v>
      </c>
      <c r="O442" s="33">
        <f t="shared" si="232"/>
        <v>0</v>
      </c>
      <c r="P442" s="33">
        <f t="shared" si="232"/>
        <v>0</v>
      </c>
      <c r="Q442" s="33">
        <f t="shared" si="232"/>
        <v>0</v>
      </c>
      <c r="R442" s="33">
        <f t="shared" si="232"/>
        <v>0</v>
      </c>
      <c r="S442" s="33">
        <f t="shared" si="232"/>
        <v>0</v>
      </c>
      <c r="T442" s="33">
        <f t="shared" si="232"/>
        <v>0</v>
      </c>
      <c r="U442" s="33">
        <f t="shared" si="232"/>
        <v>0</v>
      </c>
      <c r="V442" s="33">
        <f t="shared" si="232"/>
        <v>0</v>
      </c>
      <c r="W442" s="33">
        <f t="shared" si="232"/>
        <v>0</v>
      </c>
      <c r="X442" s="33">
        <f t="shared" si="232"/>
        <v>0</v>
      </c>
    </row>
    <row r="443" spans="2:24">
      <c r="B443" s="305"/>
      <c r="C443" s="305"/>
      <c r="D443" s="288"/>
      <c r="E443" s="390"/>
      <c r="F443" s="391"/>
      <c r="G443" s="391"/>
      <c r="H443" s="417"/>
      <c r="I443" s="33">
        <f>IF(AND(F443="tak",G443="tak"),SUM(K541:X541),IF(AND(F443="tak",G443="nie",ISNUMBER(H443)),'Rozliczenie dotacji'!F142,0))</f>
        <v>0</v>
      </c>
      <c r="J443" s="203" t="str" cm="1">
        <f t="array" ref="J443">IF(SUMPRODUCT(ISBLANK(B443:G443)*1)=6,"wstaw dane",IF(AND(SUMPRODUCT(ISBLANK(B443:G443)*1)&gt;0,SUMPRODUCT(ISBLANK(B443:G443)*1)&lt;6),"uzupełnij dane",IF(OR(AND(F443=nie,ISNUMBER(H443)=TRUE),AND(F443=tak,G443=tak,ISNUMBER(H443)=TRUE)),"usuń % dotacji",IF(AND(F443=nie,G443=tak),"popraw dane",IF(AND(F443=tak,G443=nie,ISBLANK(H443)=TRUE),"wstaw % dotacji","ok")))))</f>
        <v>wstaw dane</v>
      </c>
      <c r="K443" s="33">
        <f t="shared" si="232"/>
        <v>0</v>
      </c>
      <c r="L443" s="33">
        <f t="shared" si="232"/>
        <v>0</v>
      </c>
      <c r="M443" s="33">
        <f t="shared" si="232"/>
        <v>0</v>
      </c>
      <c r="N443" s="33">
        <f t="shared" si="232"/>
        <v>0</v>
      </c>
      <c r="O443" s="33">
        <f t="shared" si="232"/>
        <v>0</v>
      </c>
      <c r="P443" s="33">
        <f t="shared" si="232"/>
        <v>0</v>
      </c>
      <c r="Q443" s="33">
        <f t="shared" si="232"/>
        <v>0</v>
      </c>
      <c r="R443" s="33">
        <f t="shared" si="232"/>
        <v>0</v>
      </c>
      <c r="S443" s="33">
        <f t="shared" si="232"/>
        <v>0</v>
      </c>
      <c r="T443" s="33">
        <f t="shared" si="232"/>
        <v>0</v>
      </c>
      <c r="U443" s="33">
        <f t="shared" si="232"/>
        <v>0</v>
      </c>
      <c r="V443" s="33">
        <f t="shared" si="232"/>
        <v>0</v>
      </c>
      <c r="W443" s="33">
        <f t="shared" si="232"/>
        <v>0</v>
      </c>
      <c r="X443" s="33">
        <f t="shared" si="232"/>
        <v>0</v>
      </c>
    </row>
    <row r="444" spans="2:24">
      <c r="B444" s="305"/>
      <c r="C444" s="305"/>
      <c r="D444" s="288"/>
      <c r="E444" s="390"/>
      <c r="F444" s="391"/>
      <c r="G444" s="391"/>
      <c r="H444" s="417"/>
      <c r="I444" s="33">
        <f>IF(AND(F444="tak",G444="tak"),SUM(K542:X542),IF(AND(F444="tak",G444="nie",ISNUMBER(H444)),'Rozliczenie dotacji'!F143,0))</f>
        <v>0</v>
      </c>
      <c r="J444" s="203" t="str" cm="1">
        <f t="array" ref="J444">IF(SUMPRODUCT(ISBLANK(B444:G444)*1)=6,"wstaw dane",IF(AND(SUMPRODUCT(ISBLANK(B444:G444)*1)&gt;0,SUMPRODUCT(ISBLANK(B444:G444)*1)&lt;6),"uzupełnij dane",IF(OR(AND(F444=nie,ISNUMBER(H444)=TRUE),AND(F444=tak,G444=tak,ISNUMBER(H444)=TRUE)),"usuń % dotacji",IF(AND(F444=nie,G444=tak),"popraw dane",IF(AND(F444=tak,G444=nie,ISBLANK(H444)=TRUE),"wstaw % dotacji","ok")))))</f>
        <v>wstaw dane</v>
      </c>
      <c r="K444" s="33">
        <f t="shared" si="232"/>
        <v>0</v>
      </c>
      <c r="L444" s="33">
        <f t="shared" si="232"/>
        <v>0</v>
      </c>
      <c r="M444" s="33">
        <f t="shared" si="232"/>
        <v>0</v>
      </c>
      <c r="N444" s="33">
        <f t="shared" si="232"/>
        <v>0</v>
      </c>
      <c r="O444" s="33">
        <f t="shared" si="232"/>
        <v>0</v>
      </c>
      <c r="P444" s="33">
        <f t="shared" si="232"/>
        <v>0</v>
      </c>
      <c r="Q444" s="33">
        <f t="shared" si="232"/>
        <v>0</v>
      </c>
      <c r="R444" s="33">
        <f t="shared" si="232"/>
        <v>0</v>
      </c>
      <c r="S444" s="33">
        <f t="shared" si="232"/>
        <v>0</v>
      </c>
      <c r="T444" s="33">
        <f t="shared" si="232"/>
        <v>0</v>
      </c>
      <c r="U444" s="33">
        <f t="shared" si="232"/>
        <v>0</v>
      </c>
      <c r="V444" s="33">
        <f t="shared" si="232"/>
        <v>0</v>
      </c>
      <c r="W444" s="33">
        <f t="shared" si="232"/>
        <v>0</v>
      </c>
      <c r="X444" s="33">
        <f t="shared" si="232"/>
        <v>0</v>
      </c>
    </row>
    <row r="445" spans="2:24">
      <c r="B445" s="305"/>
      <c r="C445" s="305"/>
      <c r="D445" s="288"/>
      <c r="E445" s="390"/>
      <c r="F445" s="391"/>
      <c r="G445" s="391"/>
      <c r="H445" s="417"/>
      <c r="I445" s="33">
        <f>IF(AND(F445="tak",G445="tak"),SUM(K543:X543),IF(AND(F445="tak",G445="nie",ISNUMBER(H445)),'Rozliczenie dotacji'!F144,0))</f>
        <v>0</v>
      </c>
      <c r="J445" s="203" t="str" cm="1">
        <f t="array" ref="J445">IF(SUMPRODUCT(ISBLANK(B445:G445)*1)=6,"wstaw dane",IF(AND(SUMPRODUCT(ISBLANK(B445:G445)*1)&gt;0,SUMPRODUCT(ISBLANK(B445:G445)*1)&lt;6),"uzupełnij dane",IF(OR(AND(F445=nie,ISNUMBER(H445)=TRUE),AND(F445=tak,G445=tak,ISNUMBER(H445)=TRUE)),"usuń % dotacji",IF(AND(F445=nie,G445=tak),"popraw dane",IF(AND(F445=tak,G445=nie,ISBLANK(H445)=TRUE),"wstaw % dotacji","ok")))))</f>
        <v>wstaw dane</v>
      </c>
      <c r="K445" s="33">
        <f t="shared" si="232"/>
        <v>0</v>
      </c>
      <c r="L445" s="33">
        <f t="shared" si="232"/>
        <v>0</v>
      </c>
      <c r="M445" s="33">
        <f t="shared" si="232"/>
        <v>0</v>
      </c>
      <c r="N445" s="33">
        <f t="shared" si="232"/>
        <v>0</v>
      </c>
      <c r="O445" s="33">
        <f t="shared" si="232"/>
        <v>0</v>
      </c>
      <c r="P445" s="33">
        <f t="shared" si="232"/>
        <v>0</v>
      </c>
      <c r="Q445" s="33">
        <f t="shared" si="232"/>
        <v>0</v>
      </c>
      <c r="R445" s="33">
        <f t="shared" si="232"/>
        <v>0</v>
      </c>
      <c r="S445" s="33">
        <f t="shared" si="232"/>
        <v>0</v>
      </c>
      <c r="T445" s="33">
        <f t="shared" si="232"/>
        <v>0</v>
      </c>
      <c r="U445" s="33">
        <f t="shared" si="232"/>
        <v>0</v>
      </c>
      <c r="V445" s="33">
        <f t="shared" si="232"/>
        <v>0</v>
      </c>
      <c r="W445" s="33">
        <f t="shared" si="232"/>
        <v>0</v>
      </c>
      <c r="X445" s="33">
        <f t="shared" si="232"/>
        <v>0</v>
      </c>
    </row>
    <row r="446" spans="2:24">
      <c r="B446" s="305"/>
      <c r="C446" s="305"/>
      <c r="D446" s="288"/>
      <c r="E446" s="390"/>
      <c r="F446" s="391"/>
      <c r="G446" s="391"/>
      <c r="H446" s="417"/>
      <c r="I446" s="33">
        <f>IF(AND(F446="tak",G446="tak"),SUM(K544:X544),IF(AND(F446="tak",G446="nie",ISNUMBER(H446)),'Rozliczenie dotacji'!F145,0))</f>
        <v>0</v>
      </c>
      <c r="J446" s="203" t="str" cm="1">
        <f t="array" ref="J446">IF(SUMPRODUCT(ISBLANK(B446:G446)*1)=6,"wstaw dane",IF(AND(SUMPRODUCT(ISBLANK(B446:G446)*1)&gt;0,SUMPRODUCT(ISBLANK(B446:G446)*1)&lt;6),"uzupełnij dane",IF(OR(AND(F446=nie,ISNUMBER(H446)=TRUE),AND(F446=tak,G446=tak,ISNUMBER(H446)=TRUE)),"usuń % dotacji",IF(AND(F446=nie,G446=tak),"popraw dane",IF(AND(F446=tak,G446=nie,ISBLANK(H446)=TRUE),"wstaw % dotacji","ok")))))</f>
        <v>wstaw dane</v>
      </c>
      <c r="K446" s="33">
        <f t="shared" si="232"/>
        <v>0</v>
      </c>
      <c r="L446" s="33">
        <f t="shared" si="232"/>
        <v>0</v>
      </c>
      <c r="M446" s="33">
        <f t="shared" si="232"/>
        <v>0</v>
      </c>
      <c r="N446" s="33">
        <f t="shared" si="232"/>
        <v>0</v>
      </c>
      <c r="O446" s="33">
        <f t="shared" si="232"/>
        <v>0</v>
      </c>
      <c r="P446" s="33">
        <f t="shared" si="232"/>
        <v>0</v>
      </c>
      <c r="Q446" s="33">
        <f t="shared" si="232"/>
        <v>0</v>
      </c>
      <c r="R446" s="33">
        <f t="shared" si="232"/>
        <v>0</v>
      </c>
      <c r="S446" s="33">
        <f t="shared" si="232"/>
        <v>0</v>
      </c>
      <c r="T446" s="33">
        <f t="shared" si="232"/>
        <v>0</v>
      </c>
      <c r="U446" s="33">
        <f t="shared" si="232"/>
        <v>0</v>
      </c>
      <c r="V446" s="33">
        <f t="shared" si="232"/>
        <v>0</v>
      </c>
      <c r="W446" s="33">
        <f t="shared" si="232"/>
        <v>0</v>
      </c>
      <c r="X446" s="33">
        <f t="shared" si="232"/>
        <v>0</v>
      </c>
    </row>
    <row r="447" spans="2:24">
      <c r="B447" s="305"/>
      <c r="C447" s="305"/>
      <c r="D447" s="288"/>
      <c r="E447" s="390"/>
      <c r="F447" s="391"/>
      <c r="G447" s="391"/>
      <c r="H447" s="417"/>
      <c r="I447" s="33">
        <f>IF(AND(F447="tak",G447="tak"),SUM(K545:X545),IF(AND(F447="tak",G447="nie",ISNUMBER(H447)),'Rozliczenie dotacji'!F146,0))</f>
        <v>0</v>
      </c>
      <c r="J447" s="203" t="str" cm="1">
        <f t="array" ref="J447">IF(SUMPRODUCT(ISBLANK(B447:G447)*1)=6,"wstaw dane",IF(AND(SUMPRODUCT(ISBLANK(B447:G447)*1)&gt;0,SUMPRODUCT(ISBLANK(B447:G447)*1)&lt;6),"uzupełnij dane",IF(OR(AND(F447=nie,ISNUMBER(H447)=TRUE),AND(F447=tak,G447=tak,ISNUMBER(H447)=TRUE)),"usuń % dotacji",IF(AND(F447=nie,G447=tak),"popraw dane",IF(AND(F447=tak,G447=nie,ISBLANK(H447)=TRUE),"wstaw % dotacji","ok")))))</f>
        <v>wstaw dane</v>
      </c>
      <c r="K447" s="33">
        <f t="shared" si="232"/>
        <v>0</v>
      </c>
      <c r="L447" s="33">
        <f t="shared" si="232"/>
        <v>0</v>
      </c>
      <c r="M447" s="33">
        <f t="shared" si="232"/>
        <v>0</v>
      </c>
      <c r="N447" s="33">
        <f t="shared" si="232"/>
        <v>0</v>
      </c>
      <c r="O447" s="33">
        <f t="shared" si="232"/>
        <v>0</v>
      </c>
      <c r="P447" s="33">
        <f t="shared" si="232"/>
        <v>0</v>
      </c>
      <c r="Q447" s="33">
        <f t="shared" si="232"/>
        <v>0</v>
      </c>
      <c r="R447" s="33">
        <f t="shared" si="232"/>
        <v>0</v>
      </c>
      <c r="S447" s="33">
        <f t="shared" si="232"/>
        <v>0</v>
      </c>
      <c r="T447" s="33">
        <f t="shared" si="232"/>
        <v>0</v>
      </c>
      <c r="U447" s="33">
        <f t="shared" si="232"/>
        <v>0</v>
      </c>
      <c r="V447" s="33">
        <f t="shared" si="232"/>
        <v>0</v>
      </c>
      <c r="W447" s="33">
        <f t="shared" si="232"/>
        <v>0</v>
      </c>
      <c r="X447" s="33">
        <f t="shared" si="232"/>
        <v>0</v>
      </c>
    </row>
    <row r="448" spans="2:24">
      <c r="B448" s="305"/>
      <c r="C448" s="305"/>
      <c r="D448" s="288"/>
      <c r="E448" s="390"/>
      <c r="F448" s="391"/>
      <c r="G448" s="391"/>
      <c r="H448" s="417"/>
      <c r="I448" s="33">
        <f>IF(AND(F448="tak",G448="tak"),SUM(K546:X546),IF(AND(F448="tak",G448="nie",ISNUMBER(H448)),'Rozliczenie dotacji'!F147,0))</f>
        <v>0</v>
      </c>
      <c r="J448" s="203" t="str" cm="1">
        <f t="array" ref="J448">IF(SUMPRODUCT(ISBLANK(B448:G448)*1)=6,"wstaw dane",IF(AND(SUMPRODUCT(ISBLANK(B448:G448)*1)&gt;0,SUMPRODUCT(ISBLANK(B448:G448)*1)&lt;6),"uzupełnij dane",IF(OR(AND(F448=nie,ISNUMBER(H448)=TRUE),AND(F448=tak,G448=tak,ISNUMBER(H448)=TRUE)),"usuń % dotacji",IF(AND(F448=nie,G448=tak),"popraw dane",IF(AND(F448=tak,G448=nie,ISBLANK(H448)=TRUE),"wstaw % dotacji","ok")))))</f>
        <v>wstaw dane</v>
      </c>
      <c r="K448" s="33">
        <f t="shared" ref="K448:X457" si="233">ROUND(IF(AND(YEAR($E448)=LataProjekcji,$D448&gt;0,$J448="ok"),$D448,0),0)</f>
        <v>0</v>
      </c>
      <c r="L448" s="33">
        <f t="shared" si="233"/>
        <v>0</v>
      </c>
      <c r="M448" s="33">
        <f t="shared" si="233"/>
        <v>0</v>
      </c>
      <c r="N448" s="33">
        <f t="shared" si="233"/>
        <v>0</v>
      </c>
      <c r="O448" s="33">
        <f t="shared" si="233"/>
        <v>0</v>
      </c>
      <c r="P448" s="33">
        <f t="shared" si="233"/>
        <v>0</v>
      </c>
      <c r="Q448" s="33">
        <f t="shared" si="233"/>
        <v>0</v>
      </c>
      <c r="R448" s="33">
        <f t="shared" si="233"/>
        <v>0</v>
      </c>
      <c r="S448" s="33">
        <f t="shared" si="233"/>
        <v>0</v>
      </c>
      <c r="T448" s="33">
        <f t="shared" si="233"/>
        <v>0</v>
      </c>
      <c r="U448" s="33">
        <f t="shared" si="233"/>
        <v>0</v>
      </c>
      <c r="V448" s="33">
        <f t="shared" si="233"/>
        <v>0</v>
      </c>
      <c r="W448" s="33">
        <f t="shared" si="233"/>
        <v>0</v>
      </c>
      <c r="X448" s="33">
        <f t="shared" si="233"/>
        <v>0</v>
      </c>
    </row>
    <row r="449" spans="2:24">
      <c r="B449" s="305"/>
      <c r="C449" s="305"/>
      <c r="D449" s="288"/>
      <c r="E449" s="390"/>
      <c r="F449" s="391"/>
      <c r="G449" s="391"/>
      <c r="H449" s="417"/>
      <c r="I449" s="33">
        <f>IF(AND(F449="tak",G449="tak"),SUM(K547:X547),IF(AND(F449="tak",G449="nie",ISNUMBER(H449)),'Rozliczenie dotacji'!F148,0))</f>
        <v>0</v>
      </c>
      <c r="J449" s="203" t="str" cm="1">
        <f t="array" ref="J449">IF(SUMPRODUCT(ISBLANK(B449:G449)*1)=6,"wstaw dane",IF(AND(SUMPRODUCT(ISBLANK(B449:G449)*1)&gt;0,SUMPRODUCT(ISBLANK(B449:G449)*1)&lt;6),"uzupełnij dane",IF(OR(AND(F449=nie,ISNUMBER(H449)=TRUE),AND(F449=tak,G449=tak,ISNUMBER(H449)=TRUE)),"usuń % dotacji",IF(AND(F449=nie,G449=tak),"popraw dane",IF(AND(F449=tak,G449=nie,ISBLANK(H449)=TRUE),"wstaw % dotacji","ok")))))</f>
        <v>wstaw dane</v>
      </c>
      <c r="K449" s="33">
        <f t="shared" si="233"/>
        <v>0</v>
      </c>
      <c r="L449" s="33">
        <f t="shared" si="233"/>
        <v>0</v>
      </c>
      <c r="M449" s="33">
        <f t="shared" si="233"/>
        <v>0</v>
      </c>
      <c r="N449" s="33">
        <f t="shared" si="233"/>
        <v>0</v>
      </c>
      <c r="O449" s="33">
        <f t="shared" si="233"/>
        <v>0</v>
      </c>
      <c r="P449" s="33">
        <f t="shared" si="233"/>
        <v>0</v>
      </c>
      <c r="Q449" s="33">
        <f t="shared" si="233"/>
        <v>0</v>
      </c>
      <c r="R449" s="33">
        <f t="shared" si="233"/>
        <v>0</v>
      </c>
      <c r="S449" s="33">
        <f t="shared" si="233"/>
        <v>0</v>
      </c>
      <c r="T449" s="33">
        <f t="shared" si="233"/>
        <v>0</v>
      </c>
      <c r="U449" s="33">
        <f t="shared" si="233"/>
        <v>0</v>
      </c>
      <c r="V449" s="33">
        <f t="shared" si="233"/>
        <v>0</v>
      </c>
      <c r="W449" s="33">
        <f t="shared" si="233"/>
        <v>0</v>
      </c>
      <c r="X449" s="33">
        <f t="shared" si="233"/>
        <v>0</v>
      </c>
    </row>
    <row r="450" spans="2:24">
      <c r="B450" s="305"/>
      <c r="C450" s="305"/>
      <c r="D450" s="288"/>
      <c r="E450" s="390"/>
      <c r="F450" s="391"/>
      <c r="G450" s="391"/>
      <c r="H450" s="417"/>
      <c r="I450" s="33">
        <f>IF(AND(F450="tak",G450="tak"),SUM(K548:X548),IF(AND(F450="tak",G450="nie",ISNUMBER(H450)),'Rozliczenie dotacji'!F149,0))</f>
        <v>0</v>
      </c>
      <c r="J450" s="203" t="str" cm="1">
        <f t="array" ref="J450">IF(SUMPRODUCT(ISBLANK(B450:G450)*1)=6,"wstaw dane",IF(AND(SUMPRODUCT(ISBLANK(B450:G450)*1)&gt;0,SUMPRODUCT(ISBLANK(B450:G450)*1)&lt;6),"uzupełnij dane",IF(OR(AND(F450=nie,ISNUMBER(H450)=TRUE),AND(F450=tak,G450=tak,ISNUMBER(H450)=TRUE)),"usuń % dotacji",IF(AND(F450=nie,G450=tak),"popraw dane",IF(AND(F450=tak,G450=nie,ISBLANK(H450)=TRUE),"wstaw % dotacji","ok")))))</f>
        <v>wstaw dane</v>
      </c>
      <c r="K450" s="33">
        <f t="shared" si="233"/>
        <v>0</v>
      </c>
      <c r="L450" s="33">
        <f t="shared" si="233"/>
        <v>0</v>
      </c>
      <c r="M450" s="33">
        <f t="shared" si="233"/>
        <v>0</v>
      </c>
      <c r="N450" s="33">
        <f t="shared" si="233"/>
        <v>0</v>
      </c>
      <c r="O450" s="33">
        <f t="shared" si="233"/>
        <v>0</v>
      </c>
      <c r="P450" s="33">
        <f t="shared" si="233"/>
        <v>0</v>
      </c>
      <c r="Q450" s="33">
        <f t="shared" si="233"/>
        <v>0</v>
      </c>
      <c r="R450" s="33">
        <f t="shared" si="233"/>
        <v>0</v>
      </c>
      <c r="S450" s="33">
        <f t="shared" si="233"/>
        <v>0</v>
      </c>
      <c r="T450" s="33">
        <f t="shared" si="233"/>
        <v>0</v>
      </c>
      <c r="U450" s="33">
        <f t="shared" si="233"/>
        <v>0</v>
      </c>
      <c r="V450" s="33">
        <f t="shared" si="233"/>
        <v>0</v>
      </c>
      <c r="W450" s="33">
        <f t="shared" si="233"/>
        <v>0</v>
      </c>
      <c r="X450" s="33">
        <f t="shared" si="233"/>
        <v>0</v>
      </c>
    </row>
    <row r="451" spans="2:24">
      <c r="B451" s="305"/>
      <c r="C451" s="305"/>
      <c r="D451" s="288"/>
      <c r="E451" s="390"/>
      <c r="F451" s="391"/>
      <c r="G451" s="391"/>
      <c r="H451" s="417"/>
      <c r="I451" s="33">
        <f>IF(AND(F451="tak",G451="tak"),SUM(K549:X549),IF(AND(F451="tak",G451="nie",ISNUMBER(H451)),'Rozliczenie dotacji'!F150,0))</f>
        <v>0</v>
      </c>
      <c r="J451" s="203" t="str" cm="1">
        <f t="array" ref="J451">IF(SUMPRODUCT(ISBLANK(B451:G451)*1)=6,"wstaw dane",IF(AND(SUMPRODUCT(ISBLANK(B451:G451)*1)&gt;0,SUMPRODUCT(ISBLANK(B451:G451)*1)&lt;6),"uzupełnij dane",IF(OR(AND(F451=nie,ISNUMBER(H451)=TRUE),AND(F451=tak,G451=tak,ISNUMBER(H451)=TRUE)),"usuń % dotacji",IF(AND(F451=nie,G451=tak),"popraw dane",IF(AND(F451=tak,G451=nie,ISBLANK(H451)=TRUE),"wstaw % dotacji","ok")))))</f>
        <v>wstaw dane</v>
      </c>
      <c r="K451" s="33">
        <f t="shared" si="233"/>
        <v>0</v>
      </c>
      <c r="L451" s="33">
        <f t="shared" si="233"/>
        <v>0</v>
      </c>
      <c r="M451" s="33">
        <f t="shared" si="233"/>
        <v>0</v>
      </c>
      <c r="N451" s="33">
        <f t="shared" si="233"/>
        <v>0</v>
      </c>
      <c r="O451" s="33">
        <f t="shared" si="233"/>
        <v>0</v>
      </c>
      <c r="P451" s="33">
        <f t="shared" si="233"/>
        <v>0</v>
      </c>
      <c r="Q451" s="33">
        <f t="shared" si="233"/>
        <v>0</v>
      </c>
      <c r="R451" s="33">
        <f t="shared" si="233"/>
        <v>0</v>
      </c>
      <c r="S451" s="33">
        <f t="shared" si="233"/>
        <v>0</v>
      </c>
      <c r="T451" s="33">
        <f t="shared" si="233"/>
        <v>0</v>
      </c>
      <c r="U451" s="33">
        <f t="shared" si="233"/>
        <v>0</v>
      </c>
      <c r="V451" s="33">
        <f t="shared" si="233"/>
        <v>0</v>
      </c>
      <c r="W451" s="33">
        <f t="shared" si="233"/>
        <v>0</v>
      </c>
      <c r="X451" s="33">
        <f t="shared" si="233"/>
        <v>0</v>
      </c>
    </row>
    <row r="452" spans="2:24">
      <c r="B452" s="305"/>
      <c r="C452" s="305"/>
      <c r="D452" s="288"/>
      <c r="E452" s="390"/>
      <c r="F452" s="391"/>
      <c r="G452" s="391"/>
      <c r="H452" s="417"/>
      <c r="I452" s="33">
        <f>IF(AND(F452="tak",G452="tak"),SUM(K550:X550),IF(AND(F452="tak",G452="nie",ISNUMBER(H452)),'Rozliczenie dotacji'!F151,0))</f>
        <v>0</v>
      </c>
      <c r="J452" s="203" t="str" cm="1">
        <f t="array" ref="J452">IF(SUMPRODUCT(ISBLANK(B452:G452)*1)=6,"wstaw dane",IF(AND(SUMPRODUCT(ISBLANK(B452:G452)*1)&gt;0,SUMPRODUCT(ISBLANK(B452:G452)*1)&lt;6),"uzupełnij dane",IF(OR(AND(F452=nie,ISNUMBER(H452)=TRUE),AND(F452=tak,G452=tak,ISNUMBER(H452)=TRUE)),"usuń % dotacji",IF(AND(F452=nie,G452=tak),"popraw dane",IF(AND(F452=tak,G452=nie,ISBLANK(H452)=TRUE),"wstaw % dotacji","ok")))))</f>
        <v>wstaw dane</v>
      </c>
      <c r="K452" s="33">
        <f t="shared" si="233"/>
        <v>0</v>
      </c>
      <c r="L452" s="33">
        <f t="shared" si="233"/>
        <v>0</v>
      </c>
      <c r="M452" s="33">
        <f t="shared" si="233"/>
        <v>0</v>
      </c>
      <c r="N452" s="33">
        <f t="shared" si="233"/>
        <v>0</v>
      </c>
      <c r="O452" s="33">
        <f t="shared" si="233"/>
        <v>0</v>
      </c>
      <c r="P452" s="33">
        <f t="shared" si="233"/>
        <v>0</v>
      </c>
      <c r="Q452" s="33">
        <f t="shared" si="233"/>
        <v>0</v>
      </c>
      <c r="R452" s="33">
        <f t="shared" si="233"/>
        <v>0</v>
      </c>
      <c r="S452" s="33">
        <f t="shared" si="233"/>
        <v>0</v>
      </c>
      <c r="T452" s="33">
        <f t="shared" si="233"/>
        <v>0</v>
      </c>
      <c r="U452" s="33">
        <f t="shared" si="233"/>
        <v>0</v>
      </c>
      <c r="V452" s="33">
        <f t="shared" si="233"/>
        <v>0</v>
      </c>
      <c r="W452" s="33">
        <f t="shared" si="233"/>
        <v>0</v>
      </c>
      <c r="X452" s="33">
        <f t="shared" si="233"/>
        <v>0</v>
      </c>
    </row>
    <row r="453" spans="2:24">
      <c r="B453" s="305"/>
      <c r="C453" s="305"/>
      <c r="D453" s="288"/>
      <c r="E453" s="390"/>
      <c r="F453" s="391"/>
      <c r="G453" s="391"/>
      <c r="H453" s="417"/>
      <c r="I453" s="33">
        <f>IF(AND(F453="tak",G453="tak"),SUM(K551:X551),IF(AND(F453="tak",G453="nie",ISNUMBER(H453)),'Rozliczenie dotacji'!F152,0))</f>
        <v>0</v>
      </c>
      <c r="J453" s="203" t="str" cm="1">
        <f t="array" ref="J453">IF(SUMPRODUCT(ISBLANK(B453:G453)*1)=6,"wstaw dane",IF(AND(SUMPRODUCT(ISBLANK(B453:G453)*1)&gt;0,SUMPRODUCT(ISBLANK(B453:G453)*1)&lt;6),"uzupełnij dane",IF(OR(AND(F453=nie,ISNUMBER(H453)=TRUE),AND(F453=tak,G453=tak,ISNUMBER(H453)=TRUE)),"usuń % dotacji",IF(AND(F453=nie,G453=tak),"popraw dane",IF(AND(F453=tak,G453=nie,ISBLANK(H453)=TRUE),"wstaw % dotacji","ok")))))</f>
        <v>wstaw dane</v>
      </c>
      <c r="K453" s="33">
        <f t="shared" si="233"/>
        <v>0</v>
      </c>
      <c r="L453" s="33">
        <f t="shared" si="233"/>
        <v>0</v>
      </c>
      <c r="M453" s="33">
        <f t="shared" si="233"/>
        <v>0</v>
      </c>
      <c r="N453" s="33">
        <f t="shared" si="233"/>
        <v>0</v>
      </c>
      <c r="O453" s="33">
        <f t="shared" si="233"/>
        <v>0</v>
      </c>
      <c r="P453" s="33">
        <f t="shared" si="233"/>
        <v>0</v>
      </c>
      <c r="Q453" s="33">
        <f t="shared" si="233"/>
        <v>0</v>
      </c>
      <c r="R453" s="33">
        <f t="shared" si="233"/>
        <v>0</v>
      </c>
      <c r="S453" s="33">
        <f t="shared" si="233"/>
        <v>0</v>
      </c>
      <c r="T453" s="33">
        <f t="shared" si="233"/>
        <v>0</v>
      </c>
      <c r="U453" s="33">
        <f t="shared" si="233"/>
        <v>0</v>
      </c>
      <c r="V453" s="33">
        <f t="shared" si="233"/>
        <v>0</v>
      </c>
      <c r="W453" s="33">
        <f t="shared" si="233"/>
        <v>0</v>
      </c>
      <c r="X453" s="33">
        <f t="shared" si="233"/>
        <v>0</v>
      </c>
    </row>
    <row r="454" spans="2:24">
      <c r="B454" s="305"/>
      <c r="C454" s="305"/>
      <c r="D454" s="288"/>
      <c r="E454" s="390"/>
      <c r="F454" s="391"/>
      <c r="G454" s="391"/>
      <c r="H454" s="417"/>
      <c r="I454" s="33">
        <f>IF(AND(F454="tak",G454="tak"),SUM(K552:X552),IF(AND(F454="tak",G454="nie",ISNUMBER(H454)),'Rozliczenie dotacji'!F153,0))</f>
        <v>0</v>
      </c>
      <c r="J454" s="203" t="str" cm="1">
        <f t="array" ref="J454">IF(SUMPRODUCT(ISBLANK(B454:G454)*1)=6,"wstaw dane",IF(AND(SUMPRODUCT(ISBLANK(B454:G454)*1)&gt;0,SUMPRODUCT(ISBLANK(B454:G454)*1)&lt;6),"uzupełnij dane",IF(OR(AND(F454=nie,ISNUMBER(H454)=TRUE),AND(F454=tak,G454=tak,ISNUMBER(H454)=TRUE)),"usuń % dotacji",IF(AND(F454=nie,G454=tak),"popraw dane",IF(AND(F454=tak,G454=nie,ISBLANK(H454)=TRUE),"wstaw % dotacji","ok")))))</f>
        <v>wstaw dane</v>
      </c>
      <c r="K454" s="33">
        <f t="shared" si="233"/>
        <v>0</v>
      </c>
      <c r="L454" s="33">
        <f t="shared" si="233"/>
        <v>0</v>
      </c>
      <c r="M454" s="33">
        <f t="shared" si="233"/>
        <v>0</v>
      </c>
      <c r="N454" s="33">
        <f t="shared" si="233"/>
        <v>0</v>
      </c>
      <c r="O454" s="33">
        <f t="shared" si="233"/>
        <v>0</v>
      </c>
      <c r="P454" s="33">
        <f t="shared" si="233"/>
        <v>0</v>
      </c>
      <c r="Q454" s="33">
        <f t="shared" si="233"/>
        <v>0</v>
      </c>
      <c r="R454" s="33">
        <f t="shared" si="233"/>
        <v>0</v>
      </c>
      <c r="S454" s="33">
        <f t="shared" si="233"/>
        <v>0</v>
      </c>
      <c r="T454" s="33">
        <f t="shared" si="233"/>
        <v>0</v>
      </c>
      <c r="U454" s="33">
        <f t="shared" si="233"/>
        <v>0</v>
      </c>
      <c r="V454" s="33">
        <f t="shared" si="233"/>
        <v>0</v>
      </c>
      <c r="W454" s="33">
        <f t="shared" si="233"/>
        <v>0</v>
      </c>
      <c r="X454" s="33">
        <f t="shared" si="233"/>
        <v>0</v>
      </c>
    </row>
    <row r="455" spans="2:24">
      <c r="B455" s="305"/>
      <c r="C455" s="305"/>
      <c r="D455" s="288"/>
      <c r="E455" s="390"/>
      <c r="F455" s="391"/>
      <c r="G455" s="391"/>
      <c r="H455" s="417"/>
      <c r="I455" s="33">
        <f>IF(AND(F455="tak",G455="tak"),SUM(K553:X553),IF(AND(F455="tak",G455="nie",ISNUMBER(H455)),'Rozliczenie dotacji'!F154,0))</f>
        <v>0</v>
      </c>
      <c r="J455" s="203" t="str" cm="1">
        <f t="array" ref="J455">IF(SUMPRODUCT(ISBLANK(B455:G455)*1)=6,"wstaw dane",IF(AND(SUMPRODUCT(ISBLANK(B455:G455)*1)&gt;0,SUMPRODUCT(ISBLANK(B455:G455)*1)&lt;6),"uzupełnij dane",IF(OR(AND(F455=nie,ISNUMBER(H455)=TRUE),AND(F455=tak,G455=tak,ISNUMBER(H455)=TRUE)),"usuń % dotacji",IF(AND(F455=nie,G455=tak),"popraw dane",IF(AND(F455=tak,G455=nie,ISBLANK(H455)=TRUE),"wstaw % dotacji","ok")))))</f>
        <v>wstaw dane</v>
      </c>
      <c r="K455" s="33">
        <f t="shared" si="233"/>
        <v>0</v>
      </c>
      <c r="L455" s="33">
        <f t="shared" si="233"/>
        <v>0</v>
      </c>
      <c r="M455" s="33">
        <f t="shared" si="233"/>
        <v>0</v>
      </c>
      <c r="N455" s="33">
        <f t="shared" si="233"/>
        <v>0</v>
      </c>
      <c r="O455" s="33">
        <f t="shared" si="233"/>
        <v>0</v>
      </c>
      <c r="P455" s="33">
        <f t="shared" si="233"/>
        <v>0</v>
      </c>
      <c r="Q455" s="33">
        <f t="shared" si="233"/>
        <v>0</v>
      </c>
      <c r="R455" s="33">
        <f t="shared" si="233"/>
        <v>0</v>
      </c>
      <c r="S455" s="33">
        <f t="shared" si="233"/>
        <v>0</v>
      </c>
      <c r="T455" s="33">
        <f t="shared" si="233"/>
        <v>0</v>
      </c>
      <c r="U455" s="33">
        <f t="shared" si="233"/>
        <v>0</v>
      </c>
      <c r="V455" s="33">
        <f t="shared" si="233"/>
        <v>0</v>
      </c>
      <c r="W455" s="33">
        <f t="shared" si="233"/>
        <v>0</v>
      </c>
      <c r="X455" s="33">
        <f t="shared" si="233"/>
        <v>0</v>
      </c>
    </row>
    <row r="456" spans="2:24">
      <c r="B456" s="305"/>
      <c r="C456" s="305"/>
      <c r="D456" s="288"/>
      <c r="E456" s="390"/>
      <c r="F456" s="391"/>
      <c r="G456" s="391"/>
      <c r="H456" s="417"/>
      <c r="I456" s="33">
        <f>IF(AND(F456="tak",G456="tak"),SUM(K554:X554),IF(AND(F456="tak",G456="nie",ISNUMBER(H456)),'Rozliczenie dotacji'!F155,0))</f>
        <v>0</v>
      </c>
      <c r="J456" s="203" t="str" cm="1">
        <f t="array" ref="J456">IF(SUMPRODUCT(ISBLANK(B456:G456)*1)=6,"wstaw dane",IF(AND(SUMPRODUCT(ISBLANK(B456:G456)*1)&gt;0,SUMPRODUCT(ISBLANK(B456:G456)*1)&lt;6),"uzupełnij dane",IF(OR(AND(F456=nie,ISNUMBER(H456)=TRUE),AND(F456=tak,G456=tak,ISNUMBER(H456)=TRUE)),"usuń % dotacji",IF(AND(F456=nie,G456=tak),"popraw dane",IF(AND(F456=tak,G456=nie,ISBLANK(H456)=TRUE),"wstaw % dotacji","ok")))))</f>
        <v>wstaw dane</v>
      </c>
      <c r="K456" s="33">
        <f t="shared" si="233"/>
        <v>0</v>
      </c>
      <c r="L456" s="33">
        <f t="shared" si="233"/>
        <v>0</v>
      </c>
      <c r="M456" s="33">
        <f t="shared" si="233"/>
        <v>0</v>
      </c>
      <c r="N456" s="33">
        <f t="shared" si="233"/>
        <v>0</v>
      </c>
      <c r="O456" s="33">
        <f t="shared" si="233"/>
        <v>0</v>
      </c>
      <c r="P456" s="33">
        <f t="shared" si="233"/>
        <v>0</v>
      </c>
      <c r="Q456" s="33">
        <f t="shared" si="233"/>
        <v>0</v>
      </c>
      <c r="R456" s="33">
        <f t="shared" si="233"/>
        <v>0</v>
      </c>
      <c r="S456" s="33">
        <f t="shared" si="233"/>
        <v>0</v>
      </c>
      <c r="T456" s="33">
        <f t="shared" si="233"/>
        <v>0</v>
      </c>
      <c r="U456" s="33">
        <f t="shared" si="233"/>
        <v>0</v>
      </c>
      <c r="V456" s="33">
        <f t="shared" si="233"/>
        <v>0</v>
      </c>
      <c r="W456" s="33">
        <f t="shared" si="233"/>
        <v>0</v>
      </c>
      <c r="X456" s="33">
        <f t="shared" si="233"/>
        <v>0</v>
      </c>
    </row>
    <row r="457" spans="2:24">
      <c r="B457" s="305"/>
      <c r="C457" s="305"/>
      <c r="D457" s="288"/>
      <c r="E457" s="390"/>
      <c r="F457" s="391"/>
      <c r="G457" s="391"/>
      <c r="H457" s="417"/>
      <c r="I457" s="33">
        <f>IF(AND(F457="tak",G457="tak"),SUM(K555:X555),IF(AND(F457="tak",G457="nie",ISNUMBER(H457)),'Rozliczenie dotacji'!F156,0))</f>
        <v>0</v>
      </c>
      <c r="J457" s="203" t="str" cm="1">
        <f t="array" ref="J457">IF(SUMPRODUCT(ISBLANK(B457:G457)*1)=6,"wstaw dane",IF(AND(SUMPRODUCT(ISBLANK(B457:G457)*1)&gt;0,SUMPRODUCT(ISBLANK(B457:G457)*1)&lt;6),"uzupełnij dane",IF(OR(AND(F457=nie,ISNUMBER(H457)=TRUE),AND(F457=tak,G457=tak,ISNUMBER(H457)=TRUE)),"usuń % dotacji",IF(AND(F457=nie,G457=tak),"popraw dane",IF(AND(F457=tak,G457=nie,ISBLANK(H457)=TRUE),"wstaw % dotacji","ok")))))</f>
        <v>wstaw dane</v>
      </c>
      <c r="K457" s="33">
        <f t="shared" si="233"/>
        <v>0</v>
      </c>
      <c r="L457" s="33">
        <f t="shared" si="233"/>
        <v>0</v>
      </c>
      <c r="M457" s="33">
        <f t="shared" si="233"/>
        <v>0</v>
      </c>
      <c r="N457" s="33">
        <f t="shared" si="233"/>
        <v>0</v>
      </c>
      <c r="O457" s="33">
        <f t="shared" si="233"/>
        <v>0</v>
      </c>
      <c r="P457" s="33">
        <f t="shared" si="233"/>
        <v>0</v>
      </c>
      <c r="Q457" s="33">
        <f t="shared" si="233"/>
        <v>0</v>
      </c>
      <c r="R457" s="33">
        <f t="shared" si="233"/>
        <v>0</v>
      </c>
      <c r="S457" s="33">
        <f t="shared" si="233"/>
        <v>0</v>
      </c>
      <c r="T457" s="33">
        <f t="shared" si="233"/>
        <v>0</v>
      </c>
      <c r="U457" s="33">
        <f t="shared" si="233"/>
        <v>0</v>
      </c>
      <c r="V457" s="33">
        <f t="shared" si="233"/>
        <v>0</v>
      </c>
      <c r="W457" s="33">
        <f t="shared" si="233"/>
        <v>0</v>
      </c>
      <c r="X457" s="33">
        <f t="shared" si="233"/>
        <v>0</v>
      </c>
    </row>
    <row r="458" spans="2:24">
      <c r="B458" s="94" t="str">
        <f>B1833</f>
        <v/>
      </c>
      <c r="C458" s="94" t="str">
        <f>IF(ISBLANK(C565),"",C565)</f>
        <v/>
      </c>
      <c r="D458" s="95" t="str">
        <f>IF(ISBLANK(D565),"",D1833)</f>
        <v/>
      </c>
      <c r="E458" s="384" t="str">
        <f t="shared" ref="E458:G458" si="234">IF(ISBLANK(E565),"",E565)</f>
        <v/>
      </c>
      <c r="F458" s="74" t="str">
        <f t="shared" si="234"/>
        <v/>
      </c>
      <c r="G458" s="74" t="str">
        <f t="shared" si="234"/>
        <v/>
      </c>
      <c r="H458" s="79" t="str">
        <f>IF(ISBLANK(H565),"",H565)</f>
        <v/>
      </c>
      <c r="I458" s="33">
        <f>IF(AND(F458="tak",G458="tak"),SUM(K556:X556),IF(AND(F458="tak",G458="nie",ISNUMBER(H458)),'Rozliczenie dotacji'!F157,0))</f>
        <v>0</v>
      </c>
      <c r="J458" s="203" t="str">
        <f>J565</f>
        <v>wstaw dane</v>
      </c>
      <c r="K458" s="33">
        <f t="shared" ref="K458:X458" si="235">IF($J458="ok",K1833,0)</f>
        <v>0</v>
      </c>
      <c r="L458" s="33">
        <f t="shared" si="235"/>
        <v>0</v>
      </c>
      <c r="M458" s="33">
        <f t="shared" si="235"/>
        <v>0</v>
      </c>
      <c r="N458" s="33">
        <f t="shared" si="235"/>
        <v>0</v>
      </c>
      <c r="O458" s="33">
        <f t="shared" si="235"/>
        <v>0</v>
      </c>
      <c r="P458" s="33">
        <f t="shared" si="235"/>
        <v>0</v>
      </c>
      <c r="Q458" s="33">
        <f t="shared" si="235"/>
        <v>0</v>
      </c>
      <c r="R458" s="33">
        <f t="shared" si="235"/>
        <v>0</v>
      </c>
      <c r="S458" s="33">
        <f t="shared" si="235"/>
        <v>0</v>
      </c>
      <c r="T458" s="33">
        <f t="shared" si="235"/>
        <v>0</v>
      </c>
      <c r="U458" s="33">
        <f t="shared" si="235"/>
        <v>0</v>
      </c>
      <c r="V458" s="33">
        <f t="shared" si="235"/>
        <v>0</v>
      </c>
      <c r="W458" s="33">
        <f t="shared" si="235"/>
        <v>0</v>
      </c>
      <c r="X458" s="33">
        <f t="shared" si="235"/>
        <v>0</v>
      </c>
    </row>
    <row r="459" spans="2:24">
      <c r="B459" s="94" t="str">
        <f>B1834</f>
        <v/>
      </c>
      <c r="C459" s="94" t="str">
        <f t="shared" ref="C459:C462" si="236">IF(ISBLANK(C566),"",C566)</f>
        <v/>
      </c>
      <c r="D459" s="95" t="str">
        <f t="shared" ref="D459:D462" si="237">IF(ISBLANK(D566),"",D1834)</f>
        <v/>
      </c>
      <c r="E459" s="384" t="str">
        <f t="shared" ref="E459:G459" si="238">IF(ISBLANK(E566),"",E566)</f>
        <v/>
      </c>
      <c r="F459" s="74" t="str">
        <f t="shared" si="238"/>
        <v/>
      </c>
      <c r="G459" s="74" t="str">
        <f t="shared" si="238"/>
        <v/>
      </c>
      <c r="H459" s="79" t="str">
        <f>IF(ISBLANK(H566),"",H566)</f>
        <v/>
      </c>
      <c r="I459" s="33">
        <f>IF(AND(F459="tak",G459="tak"),SUM(K557:X557),IF(AND(F459="tak",G459="nie",ISNUMBER(H459)),'Rozliczenie dotacji'!F158,0))</f>
        <v>0</v>
      </c>
      <c r="J459" s="203" t="str">
        <f>J566</f>
        <v>wstaw dane</v>
      </c>
      <c r="K459" s="33">
        <f t="shared" ref="K459:X459" si="239">IF($J459="ok",K1834,0)</f>
        <v>0</v>
      </c>
      <c r="L459" s="33">
        <f t="shared" si="239"/>
        <v>0</v>
      </c>
      <c r="M459" s="33">
        <f t="shared" si="239"/>
        <v>0</v>
      </c>
      <c r="N459" s="33">
        <f t="shared" si="239"/>
        <v>0</v>
      </c>
      <c r="O459" s="33">
        <f t="shared" si="239"/>
        <v>0</v>
      </c>
      <c r="P459" s="33">
        <f t="shared" si="239"/>
        <v>0</v>
      </c>
      <c r="Q459" s="33">
        <f t="shared" si="239"/>
        <v>0</v>
      </c>
      <c r="R459" s="33">
        <f t="shared" si="239"/>
        <v>0</v>
      </c>
      <c r="S459" s="33">
        <f t="shared" si="239"/>
        <v>0</v>
      </c>
      <c r="T459" s="33">
        <f t="shared" si="239"/>
        <v>0</v>
      </c>
      <c r="U459" s="33">
        <f t="shared" si="239"/>
        <v>0</v>
      </c>
      <c r="V459" s="33">
        <f t="shared" si="239"/>
        <v>0</v>
      </c>
      <c r="W459" s="33">
        <f t="shared" si="239"/>
        <v>0</v>
      </c>
      <c r="X459" s="33">
        <f t="shared" si="239"/>
        <v>0</v>
      </c>
    </row>
    <row r="460" spans="2:24">
      <c r="B460" s="94" t="str">
        <f>B1835</f>
        <v/>
      </c>
      <c r="C460" s="94" t="str">
        <f t="shared" si="236"/>
        <v/>
      </c>
      <c r="D460" s="95" t="str">
        <f t="shared" si="237"/>
        <v/>
      </c>
      <c r="E460" s="384" t="str">
        <f t="shared" ref="E460:G460" si="240">IF(ISBLANK(E567),"",E567)</f>
        <v/>
      </c>
      <c r="F460" s="74" t="str">
        <f t="shared" si="240"/>
        <v/>
      </c>
      <c r="G460" s="74" t="str">
        <f t="shared" si="240"/>
        <v/>
      </c>
      <c r="H460" s="79" t="str">
        <f>IF(ISBLANK(H567),"",H567)</f>
        <v/>
      </c>
      <c r="I460" s="33">
        <f>IF(AND(F460="tak",G460="tak"),SUM(K558:X558),IF(AND(F460="tak",G460="nie",ISNUMBER(H460)),'Rozliczenie dotacji'!F159,0))</f>
        <v>0</v>
      </c>
      <c r="J460" s="203" t="str">
        <f>J567</f>
        <v>wstaw dane</v>
      </c>
      <c r="K460" s="33">
        <f t="shared" ref="K460:X460" si="241">IF($J460="ok",K1835,0)</f>
        <v>0</v>
      </c>
      <c r="L460" s="33">
        <f t="shared" si="241"/>
        <v>0</v>
      </c>
      <c r="M460" s="33">
        <f t="shared" si="241"/>
        <v>0</v>
      </c>
      <c r="N460" s="33">
        <f t="shared" si="241"/>
        <v>0</v>
      </c>
      <c r="O460" s="33">
        <f t="shared" si="241"/>
        <v>0</v>
      </c>
      <c r="P460" s="33">
        <f t="shared" si="241"/>
        <v>0</v>
      </c>
      <c r="Q460" s="33">
        <f t="shared" si="241"/>
        <v>0</v>
      </c>
      <c r="R460" s="33">
        <f t="shared" si="241"/>
        <v>0</v>
      </c>
      <c r="S460" s="33">
        <f t="shared" si="241"/>
        <v>0</v>
      </c>
      <c r="T460" s="33">
        <f t="shared" si="241"/>
        <v>0</v>
      </c>
      <c r="U460" s="33">
        <f t="shared" si="241"/>
        <v>0</v>
      </c>
      <c r="V460" s="33">
        <f t="shared" si="241"/>
        <v>0</v>
      </c>
      <c r="W460" s="33">
        <f t="shared" si="241"/>
        <v>0</v>
      </c>
      <c r="X460" s="33">
        <f t="shared" si="241"/>
        <v>0</v>
      </c>
    </row>
    <row r="461" spans="2:24">
      <c r="B461" s="94" t="str">
        <f>B1836</f>
        <v/>
      </c>
      <c r="C461" s="94" t="str">
        <f t="shared" si="236"/>
        <v/>
      </c>
      <c r="D461" s="95" t="str">
        <f t="shared" si="237"/>
        <v/>
      </c>
      <c r="E461" s="384" t="str">
        <f t="shared" ref="E461:G461" si="242">IF(ISBLANK(E568),"",E568)</f>
        <v/>
      </c>
      <c r="F461" s="74" t="str">
        <f t="shared" si="242"/>
        <v/>
      </c>
      <c r="G461" s="74" t="str">
        <f t="shared" si="242"/>
        <v/>
      </c>
      <c r="H461" s="79" t="str">
        <f>IF(ISBLANK(H568),"",H568)</f>
        <v/>
      </c>
      <c r="I461" s="33">
        <f>IF(AND(F461="tak",G461="tak"),SUM(K559:X559),IF(AND(F461="tak",G461="nie",ISNUMBER(H461)),'Rozliczenie dotacji'!F160,0))</f>
        <v>0</v>
      </c>
      <c r="J461" s="203" t="str">
        <f>J568</f>
        <v>wstaw dane</v>
      </c>
      <c r="K461" s="33">
        <f t="shared" ref="K461:X461" si="243">IF($J461="ok",K1836,0)</f>
        <v>0</v>
      </c>
      <c r="L461" s="33">
        <f t="shared" si="243"/>
        <v>0</v>
      </c>
      <c r="M461" s="33">
        <f t="shared" si="243"/>
        <v>0</v>
      </c>
      <c r="N461" s="33">
        <f t="shared" si="243"/>
        <v>0</v>
      </c>
      <c r="O461" s="33">
        <f t="shared" si="243"/>
        <v>0</v>
      </c>
      <c r="P461" s="33">
        <f t="shared" si="243"/>
        <v>0</v>
      </c>
      <c r="Q461" s="33">
        <f t="shared" si="243"/>
        <v>0</v>
      </c>
      <c r="R461" s="33">
        <f t="shared" si="243"/>
        <v>0</v>
      </c>
      <c r="S461" s="33">
        <f t="shared" si="243"/>
        <v>0</v>
      </c>
      <c r="T461" s="33">
        <f t="shared" si="243"/>
        <v>0</v>
      </c>
      <c r="U461" s="33">
        <f t="shared" si="243"/>
        <v>0</v>
      </c>
      <c r="V461" s="33">
        <f t="shared" si="243"/>
        <v>0</v>
      </c>
      <c r="W461" s="33">
        <f t="shared" si="243"/>
        <v>0</v>
      </c>
      <c r="X461" s="33">
        <f t="shared" si="243"/>
        <v>0</v>
      </c>
    </row>
    <row r="462" spans="2:24">
      <c r="B462" s="94" t="str">
        <f>B1837</f>
        <v/>
      </c>
      <c r="C462" s="94" t="str">
        <f t="shared" si="236"/>
        <v/>
      </c>
      <c r="D462" s="95" t="str">
        <f t="shared" si="237"/>
        <v/>
      </c>
      <c r="E462" s="384" t="str">
        <f t="shared" ref="E462:G462" si="244">IF(ISBLANK(E569),"",E569)</f>
        <v/>
      </c>
      <c r="F462" s="74" t="str">
        <f t="shared" si="244"/>
        <v/>
      </c>
      <c r="G462" s="74" t="str">
        <f t="shared" si="244"/>
        <v/>
      </c>
      <c r="H462" s="79" t="str">
        <f>IF(ISBLANK(H569),"",H569)</f>
        <v/>
      </c>
      <c r="I462" s="33">
        <f>IF(AND(F462="tak",G462="tak"),SUM(K560:X560),IF(AND(F462="tak",G462="nie",ISNUMBER(H462)),'Rozliczenie dotacji'!F161,0))</f>
        <v>0</v>
      </c>
      <c r="J462" s="203" t="str">
        <f>J569</f>
        <v>wstaw dane</v>
      </c>
      <c r="K462" s="33">
        <f t="shared" ref="K462:X462" si="245">IF($J462="ok",K1837,0)</f>
        <v>0</v>
      </c>
      <c r="L462" s="33">
        <f t="shared" si="245"/>
        <v>0</v>
      </c>
      <c r="M462" s="33">
        <f t="shared" si="245"/>
        <v>0</v>
      </c>
      <c r="N462" s="33">
        <f t="shared" si="245"/>
        <v>0</v>
      </c>
      <c r="O462" s="33">
        <f t="shared" si="245"/>
        <v>0</v>
      </c>
      <c r="P462" s="33">
        <f t="shared" si="245"/>
        <v>0</v>
      </c>
      <c r="Q462" s="33">
        <f t="shared" si="245"/>
        <v>0</v>
      </c>
      <c r="R462" s="33">
        <f t="shared" si="245"/>
        <v>0</v>
      </c>
      <c r="S462" s="33">
        <f t="shared" si="245"/>
        <v>0</v>
      </c>
      <c r="T462" s="33">
        <f t="shared" si="245"/>
        <v>0</v>
      </c>
      <c r="U462" s="33">
        <f t="shared" si="245"/>
        <v>0</v>
      </c>
      <c r="V462" s="33">
        <f t="shared" si="245"/>
        <v>0</v>
      </c>
      <c r="W462" s="33">
        <f t="shared" si="245"/>
        <v>0</v>
      </c>
      <c r="X462" s="33">
        <f t="shared" si="245"/>
        <v>0</v>
      </c>
    </row>
    <row r="463" spans="2:24">
      <c r="B463" s="99" t="s">
        <v>335</v>
      </c>
      <c r="C463" s="99"/>
      <c r="D463" s="98">
        <f>SUM(D418:D462)</f>
        <v>0</v>
      </c>
      <c r="E463" s="200"/>
      <c r="F463" s="97"/>
      <c r="G463" s="98"/>
      <c r="H463" s="97"/>
      <c r="I463" s="98">
        <f>SUM(I418:I462)</f>
        <v>0</v>
      </c>
      <c r="J463" s="97"/>
      <c r="K463" s="98">
        <f t="shared" ref="K463:X463" si="246">SUM(K418:K462)</f>
        <v>0</v>
      </c>
      <c r="L463" s="98">
        <f t="shared" si="246"/>
        <v>0</v>
      </c>
      <c r="M463" s="98">
        <f t="shared" si="246"/>
        <v>0</v>
      </c>
      <c r="N463" s="98">
        <f t="shared" si="246"/>
        <v>0</v>
      </c>
      <c r="O463" s="98">
        <f t="shared" si="246"/>
        <v>0</v>
      </c>
      <c r="P463" s="98">
        <f t="shared" si="246"/>
        <v>0</v>
      </c>
      <c r="Q463" s="98">
        <f t="shared" si="246"/>
        <v>0</v>
      </c>
      <c r="R463" s="98">
        <f t="shared" si="246"/>
        <v>0</v>
      </c>
      <c r="S463" s="98">
        <f t="shared" si="246"/>
        <v>0</v>
      </c>
      <c r="T463" s="98">
        <f t="shared" si="246"/>
        <v>0</v>
      </c>
      <c r="U463" s="98">
        <f t="shared" si="246"/>
        <v>0</v>
      </c>
      <c r="V463" s="98">
        <f t="shared" si="246"/>
        <v>0</v>
      </c>
      <c r="W463" s="98">
        <f t="shared" si="246"/>
        <v>0</v>
      </c>
      <c r="X463" s="98">
        <f t="shared" si="246"/>
        <v>0</v>
      </c>
    </row>
    <row r="464" spans="2:24">
      <c r="B464" s="104" t="s">
        <v>384</v>
      </c>
      <c r="C464" s="104"/>
      <c r="D464" s="102"/>
      <c r="E464" s="102"/>
      <c r="F464" s="102"/>
      <c r="G464" s="102"/>
      <c r="H464" s="102"/>
      <c r="I464" s="102"/>
      <c r="J464" s="102"/>
      <c r="K464" s="103">
        <f t="shared" ref="K464:X464" ca="1" si="247">K1554+K1561+K1568+K1575+K1582+K1827+K1589+K1596+K1603+K1610+K1617+K1624+K1631+K1638+K1645+K1652+K1659+K1666+K1673+K1680+K1687+K1694+K1701+K1708+K1715+K1722+K1729+K1736+K1743+K1750+K1757+K1764+K1771+K1778+K1785+K1792+K1799+K1806+K1813+K1820+K1839</f>
        <v>0</v>
      </c>
      <c r="L464" s="103">
        <f t="shared" ca="1" si="247"/>
        <v>0</v>
      </c>
      <c r="M464" s="103">
        <f t="shared" ca="1" si="247"/>
        <v>0</v>
      </c>
      <c r="N464" s="103">
        <f t="shared" ca="1" si="247"/>
        <v>0</v>
      </c>
      <c r="O464" s="103">
        <f t="shared" ca="1" si="247"/>
        <v>0</v>
      </c>
      <c r="P464" s="103">
        <f t="shared" ca="1" si="247"/>
        <v>0</v>
      </c>
      <c r="Q464" s="103">
        <f t="shared" ca="1" si="247"/>
        <v>0</v>
      </c>
      <c r="R464" s="103">
        <f t="shared" ca="1" si="247"/>
        <v>0</v>
      </c>
      <c r="S464" s="103">
        <f t="shared" ca="1" si="247"/>
        <v>0</v>
      </c>
      <c r="T464" s="103">
        <f t="shared" ca="1" si="247"/>
        <v>0</v>
      </c>
      <c r="U464" s="103">
        <f t="shared" ca="1" si="247"/>
        <v>0</v>
      </c>
      <c r="V464" s="103">
        <f t="shared" ca="1" si="247"/>
        <v>0</v>
      </c>
      <c r="W464" s="103">
        <f t="shared" ca="1" si="247"/>
        <v>0</v>
      </c>
      <c r="X464" s="103">
        <f t="shared" ca="1" si="247"/>
        <v>0</v>
      </c>
    </row>
    <row r="465" spans="2:24">
      <c r="B465" s="37" t="s">
        <v>385</v>
      </c>
      <c r="C465" s="37"/>
      <c r="D465" s="52"/>
      <c r="E465" s="52"/>
      <c r="F465" s="52"/>
      <c r="G465" s="52"/>
      <c r="H465" s="52"/>
      <c r="I465" s="52"/>
      <c r="J465" s="52"/>
      <c r="K465" s="33">
        <f t="shared" ref="K465:X465" ca="1" si="248">K1555+K1562+K1569+K1576+K1583+K1828+K1590+K1597+K1604+K1611+K1618+K1625+K1632+K1639+K1646+K1653+K1660+K1667+K1674+K1681+K1688+K1695+K1702+K1709+K1716+K1723+K1730+K1737+K1744+K1751+K1758+K1765+K1772+K1779+K1786+K1793+K1800+K1807+K1814+K1821+K1840</f>
        <v>0</v>
      </c>
      <c r="L465" s="33">
        <f t="shared" ca="1" si="248"/>
        <v>0</v>
      </c>
      <c r="M465" s="33">
        <f t="shared" ca="1" si="248"/>
        <v>0</v>
      </c>
      <c r="N465" s="33">
        <f t="shared" ca="1" si="248"/>
        <v>0</v>
      </c>
      <c r="O465" s="33">
        <f t="shared" ca="1" si="248"/>
        <v>0</v>
      </c>
      <c r="P465" s="33">
        <f t="shared" ca="1" si="248"/>
        <v>0</v>
      </c>
      <c r="Q465" s="33">
        <f t="shared" ca="1" si="248"/>
        <v>0</v>
      </c>
      <c r="R465" s="33">
        <f t="shared" ca="1" si="248"/>
        <v>0</v>
      </c>
      <c r="S465" s="33">
        <f t="shared" ca="1" si="248"/>
        <v>0</v>
      </c>
      <c r="T465" s="33">
        <f t="shared" ca="1" si="248"/>
        <v>0</v>
      </c>
      <c r="U465" s="33">
        <f t="shared" ca="1" si="248"/>
        <v>0</v>
      </c>
      <c r="V465" s="33">
        <f t="shared" ca="1" si="248"/>
        <v>0</v>
      </c>
      <c r="W465" s="33">
        <f t="shared" ca="1" si="248"/>
        <v>0</v>
      </c>
      <c r="X465" s="33">
        <f t="shared" ca="1" si="248"/>
        <v>0</v>
      </c>
    </row>
    <row r="466" spans="2:24">
      <c r="B466" s="201" t="s">
        <v>386</v>
      </c>
      <c r="C466" s="201"/>
      <c r="D466" s="52"/>
      <c r="E466" s="52"/>
      <c r="F466" s="52"/>
      <c r="G466" s="52"/>
      <c r="H466" s="52"/>
      <c r="I466" s="52"/>
      <c r="J466" s="52"/>
      <c r="K466" s="87">
        <f t="shared" ref="K466:X466" ca="1" si="249">K1556+K1563+K1570+K1577+K1584+K1829+K1591+K1598+K1605+K1612+K1619+K1626+K1633+K1640+K1647+K1654+K1661+K1668+K1675+K1682+K1689+K1696+K1703+K1710+K1717+K1724+K1731+K1738+K1745+K1752+K1759+K1766+K1773+K1780+K1787+K1794+K1801+K1808+K1815+K1822+K1841</f>
        <v>0</v>
      </c>
      <c r="L466" s="87">
        <f t="shared" ca="1" si="249"/>
        <v>0</v>
      </c>
      <c r="M466" s="87">
        <f t="shared" ca="1" si="249"/>
        <v>0</v>
      </c>
      <c r="N466" s="87">
        <f t="shared" ca="1" si="249"/>
        <v>0</v>
      </c>
      <c r="O466" s="87">
        <f t="shared" ca="1" si="249"/>
        <v>0</v>
      </c>
      <c r="P466" s="87">
        <f t="shared" ca="1" si="249"/>
        <v>0</v>
      </c>
      <c r="Q466" s="87">
        <f t="shared" ca="1" si="249"/>
        <v>0</v>
      </c>
      <c r="R466" s="87">
        <f t="shared" ca="1" si="249"/>
        <v>0</v>
      </c>
      <c r="S466" s="87">
        <f t="shared" ca="1" si="249"/>
        <v>0</v>
      </c>
      <c r="T466" s="87">
        <f t="shared" ca="1" si="249"/>
        <v>0</v>
      </c>
      <c r="U466" s="87">
        <f t="shared" ca="1" si="249"/>
        <v>0</v>
      </c>
      <c r="V466" s="87">
        <f t="shared" ca="1" si="249"/>
        <v>0</v>
      </c>
      <c r="W466" s="87">
        <f t="shared" ca="1" si="249"/>
        <v>0</v>
      </c>
      <c r="X466" s="87">
        <f t="shared" ca="1" si="249"/>
        <v>0</v>
      </c>
    </row>
    <row r="467" spans="2:24"/>
    <row r="468" spans="2:24">
      <c r="B468" s="189" t="s">
        <v>424</v>
      </c>
      <c r="C468" s="396"/>
      <c r="D468" s="190"/>
      <c r="E468" s="191"/>
      <c r="F468" s="191"/>
      <c r="G468" s="191"/>
      <c r="H468" s="191"/>
      <c r="I468" s="191"/>
      <c r="J468" s="191"/>
      <c r="K468" s="555"/>
      <c r="L468" s="556"/>
      <c r="M468" s="556"/>
      <c r="N468" s="556"/>
      <c r="O468" s="556"/>
      <c r="P468" s="556"/>
      <c r="Q468" s="556"/>
      <c r="R468" s="556"/>
      <c r="S468" s="556"/>
      <c r="T468" s="556"/>
      <c r="U468" s="556"/>
      <c r="V468" s="556"/>
      <c r="W468" s="556"/>
      <c r="X468" s="556"/>
    </row>
    <row r="469" spans="2:24">
      <c r="B469" s="63" t="str">
        <f t="shared" ref="B469:C488" si="250">IF(ISBLANK(B418),"",B418)</f>
        <v/>
      </c>
      <c r="C469" s="63" t="str">
        <f t="shared" si="250"/>
        <v/>
      </c>
      <c r="D469" s="102"/>
      <c r="E469" s="102"/>
      <c r="F469" s="102"/>
      <c r="G469" s="102"/>
      <c r="H469" s="102"/>
      <c r="I469" s="102"/>
      <c r="J469" s="202" t="str" cm="1">
        <f t="array" ref="J469">IF(J418="wstaw dane","",IF(OR(ISBLANK(F418)=TRUE,ISBLANK(G418)=TRUE),"uzupełnij dane",IF(OR((AND(F418="nie",SUMPRODUCT(ISNUMBER(K469:X469)*1)&gt;0)),AND(F418=tak,G418=nie,SUMPRODUCT(ISNUMBER(K469:X469)*1)&gt;0)),"usuń % dotacji",IF(AND(F418=tak,G418=tak,SUMPRODUCT(ISNUMBER(K469:X469)*1)=0),"wstaw % dotacji","ok"))))</f>
        <v/>
      </c>
      <c r="K469" s="407"/>
      <c r="L469" s="407"/>
      <c r="M469" s="407"/>
      <c r="N469" s="407"/>
      <c r="O469" s="407"/>
      <c r="P469" s="407"/>
      <c r="Q469" s="407"/>
      <c r="R469" s="407"/>
      <c r="S469" s="407"/>
      <c r="T469" s="407"/>
      <c r="U469" s="407"/>
      <c r="V469" s="407"/>
      <c r="W469" s="407"/>
      <c r="X469" s="407"/>
    </row>
    <row r="470" spans="2:24">
      <c r="B470" s="63" t="str">
        <f t="shared" si="250"/>
        <v/>
      </c>
      <c r="C470" s="63" t="str">
        <f t="shared" si="250"/>
        <v/>
      </c>
      <c r="D470" s="52"/>
      <c r="E470" s="52"/>
      <c r="F470" s="52"/>
      <c r="G470" s="52"/>
      <c r="H470" s="52"/>
      <c r="I470" s="52"/>
      <c r="J470" s="203" t="str" cm="1">
        <f t="array" ref="J470">IF(J419="wstaw dane","",IF(OR(ISBLANK(F419)=TRUE,ISBLANK(G419)=TRUE),"uzupełnij dane",IF(OR((AND(F419="nie",SUMPRODUCT(ISNUMBER(K470:X470)*1)&gt;0)),AND(F419=tak,G419=nie,SUMPRODUCT(ISNUMBER(K470:X470)*1)&gt;0)),"usuń % dotacji",IF(AND(F419=tak,G419=tak,SUMPRODUCT(ISNUMBER(K470:X470)*1)=0),"wstaw % dotacji","ok"))))</f>
        <v/>
      </c>
      <c r="K470" s="408"/>
      <c r="L470" s="408"/>
      <c r="M470" s="408"/>
      <c r="N470" s="408"/>
      <c r="O470" s="408"/>
      <c r="P470" s="408"/>
      <c r="Q470" s="408"/>
      <c r="R470" s="408"/>
      <c r="S470" s="408"/>
      <c r="T470" s="408"/>
      <c r="U470" s="408"/>
      <c r="V470" s="408"/>
      <c r="W470" s="408"/>
      <c r="X470" s="408"/>
    </row>
    <row r="471" spans="2:24">
      <c r="B471" s="63" t="str">
        <f t="shared" si="250"/>
        <v/>
      </c>
      <c r="C471" s="63" t="str">
        <f t="shared" si="250"/>
        <v/>
      </c>
      <c r="D471" s="52"/>
      <c r="E471" s="52"/>
      <c r="F471" s="52"/>
      <c r="G471" s="52"/>
      <c r="H471" s="52"/>
      <c r="I471" s="52"/>
      <c r="J471" s="203" t="str" cm="1">
        <f t="array" ref="J471">IF(J420="wstaw dane","",IF(OR(ISBLANK(F420)=TRUE,ISBLANK(G420)=TRUE),"uzupełnij dane",IF(OR((AND(F420="nie",SUMPRODUCT(ISNUMBER(K471:X471)*1)&gt;0)),AND(F420=tak,G420=nie,SUMPRODUCT(ISNUMBER(K471:X471)*1)&gt;0)),"usuń % dotacji",IF(AND(F420=tak,G420=tak,SUMPRODUCT(ISNUMBER(K471:X471)*1)=0),"wstaw % dotacji","ok"))))</f>
        <v/>
      </c>
      <c r="K471" s="408"/>
      <c r="L471" s="408"/>
      <c r="M471" s="408"/>
      <c r="N471" s="408"/>
      <c r="O471" s="408"/>
      <c r="P471" s="408"/>
      <c r="Q471" s="408"/>
      <c r="R471" s="408"/>
      <c r="S471" s="408"/>
      <c r="T471" s="408"/>
      <c r="U471" s="408"/>
      <c r="V471" s="408"/>
      <c r="W471" s="408"/>
      <c r="X471" s="408"/>
    </row>
    <row r="472" spans="2:24">
      <c r="B472" s="63" t="str">
        <f t="shared" si="250"/>
        <v/>
      </c>
      <c r="C472" s="63" t="str">
        <f t="shared" si="250"/>
        <v/>
      </c>
      <c r="D472" s="52"/>
      <c r="E472" s="52"/>
      <c r="F472" s="52"/>
      <c r="G472" s="52"/>
      <c r="H472" s="52"/>
      <c r="I472" s="52"/>
      <c r="J472" s="203" t="str" cm="1">
        <f t="array" ref="J472">IF(J421="wstaw dane","",IF(OR(ISBLANK(F421)=TRUE,ISBLANK(G421)=TRUE),"uzupełnij dane",IF(OR((AND(F421="nie",SUMPRODUCT(ISNUMBER(K472:X472)*1)&gt;0)),AND(F421=tak,G421=nie,SUMPRODUCT(ISNUMBER(K472:X472)*1)&gt;0)),"usuń % dotacji",IF(AND(F421=tak,G421=tak,SUMPRODUCT(ISNUMBER(K472:X472)*1)=0),"wstaw % dotacji","ok"))))</f>
        <v/>
      </c>
      <c r="K472" s="408"/>
      <c r="L472" s="408"/>
      <c r="M472" s="408"/>
      <c r="N472" s="408"/>
      <c r="O472" s="408"/>
      <c r="P472" s="408"/>
      <c r="Q472" s="408"/>
      <c r="R472" s="408"/>
      <c r="S472" s="408"/>
      <c r="T472" s="408"/>
      <c r="U472" s="408"/>
      <c r="V472" s="408"/>
      <c r="W472" s="408"/>
      <c r="X472" s="408"/>
    </row>
    <row r="473" spans="2:24">
      <c r="B473" s="63" t="str">
        <f t="shared" si="250"/>
        <v/>
      </c>
      <c r="C473" s="63" t="str">
        <f t="shared" si="250"/>
        <v/>
      </c>
      <c r="D473" s="52"/>
      <c r="E473" s="52"/>
      <c r="F473" s="52"/>
      <c r="G473" s="52"/>
      <c r="H473" s="52"/>
      <c r="I473" s="52"/>
      <c r="J473" s="203" t="str" cm="1">
        <f t="array" ref="J473">IF(J422="wstaw dane","",IF(OR(ISBLANK(F422)=TRUE,ISBLANK(G422)=TRUE),"uzupełnij dane",IF(OR((AND(F422="nie",SUMPRODUCT(ISNUMBER(K473:X473)*1)&gt;0)),AND(F422=tak,G422=nie,SUMPRODUCT(ISNUMBER(K473:X473)*1)&gt;0)),"usuń % dotacji",IF(AND(F422=tak,G422=tak,SUMPRODUCT(ISNUMBER(K473:X473)*1)=0),"wstaw % dotacji","ok"))))</f>
        <v/>
      </c>
      <c r="K473" s="408"/>
      <c r="L473" s="408"/>
      <c r="M473" s="408"/>
      <c r="N473" s="408"/>
      <c r="O473" s="408"/>
      <c r="P473" s="408"/>
      <c r="Q473" s="408"/>
      <c r="R473" s="408"/>
      <c r="S473" s="408"/>
      <c r="T473" s="408"/>
      <c r="U473" s="408"/>
      <c r="V473" s="408"/>
      <c r="W473" s="408"/>
      <c r="X473" s="408"/>
    </row>
    <row r="474" spans="2:24">
      <c r="B474" s="63" t="str">
        <f t="shared" si="250"/>
        <v/>
      </c>
      <c r="C474" s="63" t="str">
        <f t="shared" si="250"/>
        <v/>
      </c>
      <c r="D474" s="52"/>
      <c r="E474" s="52"/>
      <c r="F474" s="52"/>
      <c r="G474" s="52"/>
      <c r="H474" s="52"/>
      <c r="I474" s="52"/>
      <c r="J474" s="203" t="str" cm="1">
        <f t="array" ref="J474">IF(J423="wstaw dane","",IF(OR(ISBLANK(F423)=TRUE,ISBLANK(G423)=TRUE),"uzupełnij dane",IF(OR((AND(F423="nie",SUMPRODUCT(ISNUMBER(K474:X474)*1)&gt;0)),AND(F423=tak,G423=nie,SUMPRODUCT(ISNUMBER(K474:X474)*1)&gt;0)),"usuń % dotacji",IF(AND(F423=tak,G423=tak,SUMPRODUCT(ISNUMBER(K474:X474)*1)=0),"wstaw % dotacji","ok"))))</f>
        <v/>
      </c>
      <c r="K474" s="408"/>
      <c r="L474" s="408"/>
      <c r="M474" s="408"/>
      <c r="N474" s="408"/>
      <c r="O474" s="408"/>
      <c r="P474" s="408"/>
      <c r="Q474" s="408"/>
      <c r="R474" s="408"/>
      <c r="S474" s="408"/>
      <c r="T474" s="408"/>
      <c r="U474" s="408"/>
      <c r="V474" s="408"/>
      <c r="W474" s="408"/>
      <c r="X474" s="408"/>
    </row>
    <row r="475" spans="2:24">
      <c r="B475" s="63" t="str">
        <f t="shared" si="250"/>
        <v/>
      </c>
      <c r="C475" s="63" t="str">
        <f t="shared" si="250"/>
        <v/>
      </c>
      <c r="D475" s="52"/>
      <c r="E475" s="52"/>
      <c r="F475" s="52"/>
      <c r="G475" s="52"/>
      <c r="H475" s="52"/>
      <c r="I475" s="52"/>
      <c r="J475" s="203" t="str" cm="1">
        <f t="array" ref="J475">IF(J424="wstaw dane","",IF(OR(ISBLANK(F424)=TRUE,ISBLANK(G424)=TRUE),"uzupełnij dane",IF(OR((AND(F424="nie",SUMPRODUCT(ISNUMBER(K475:X475)*1)&gt;0)),AND(F424=tak,G424=nie,SUMPRODUCT(ISNUMBER(K475:X475)*1)&gt;0)),"usuń % dotacji",IF(AND(F424=tak,G424=tak,SUMPRODUCT(ISNUMBER(K475:X475)*1)=0),"wstaw % dotacji","ok"))))</f>
        <v/>
      </c>
      <c r="K475" s="408"/>
      <c r="L475" s="408"/>
      <c r="M475" s="408"/>
      <c r="N475" s="408"/>
      <c r="O475" s="408"/>
      <c r="P475" s="408"/>
      <c r="Q475" s="408"/>
      <c r="R475" s="408"/>
      <c r="S475" s="408"/>
      <c r="T475" s="408"/>
      <c r="U475" s="408"/>
      <c r="V475" s="408"/>
      <c r="W475" s="408"/>
      <c r="X475" s="408"/>
    </row>
    <row r="476" spans="2:24">
      <c r="B476" s="63" t="str">
        <f t="shared" si="250"/>
        <v/>
      </c>
      <c r="C476" s="63" t="str">
        <f t="shared" si="250"/>
        <v/>
      </c>
      <c r="D476" s="52"/>
      <c r="E476" s="52"/>
      <c r="F476" s="52"/>
      <c r="G476" s="52"/>
      <c r="H476" s="52"/>
      <c r="I476" s="52"/>
      <c r="J476" s="203" t="str" cm="1">
        <f t="array" ref="J476">IF(J425="wstaw dane","",IF(OR(ISBLANK(F425)=TRUE,ISBLANK(G425)=TRUE),"uzupełnij dane",IF(OR((AND(F425="nie",SUMPRODUCT(ISNUMBER(K476:X476)*1)&gt;0)),AND(F425=tak,G425=nie,SUMPRODUCT(ISNUMBER(K476:X476)*1)&gt;0)),"usuń % dotacji",IF(AND(F425=tak,G425=tak,SUMPRODUCT(ISNUMBER(K476:X476)*1)=0),"wstaw % dotacji","ok"))))</f>
        <v/>
      </c>
      <c r="K476" s="408"/>
      <c r="L476" s="408"/>
      <c r="M476" s="408"/>
      <c r="N476" s="408"/>
      <c r="O476" s="408"/>
      <c r="P476" s="408"/>
      <c r="Q476" s="408"/>
      <c r="R476" s="408"/>
      <c r="S476" s="408"/>
      <c r="T476" s="408"/>
      <c r="U476" s="408"/>
      <c r="V476" s="408"/>
      <c r="W476" s="408"/>
      <c r="X476" s="408"/>
    </row>
    <row r="477" spans="2:24">
      <c r="B477" s="63" t="str">
        <f t="shared" si="250"/>
        <v/>
      </c>
      <c r="C477" s="63" t="str">
        <f t="shared" si="250"/>
        <v/>
      </c>
      <c r="D477" s="52"/>
      <c r="E477" s="52"/>
      <c r="F477" s="52"/>
      <c r="G477" s="52"/>
      <c r="H477" s="52"/>
      <c r="I477" s="52"/>
      <c r="J477" s="203" t="str" cm="1">
        <f t="array" ref="J477">IF(J426="wstaw dane","",IF(OR(ISBLANK(F426)=TRUE,ISBLANK(G426)=TRUE),"uzupełnij dane",IF(OR((AND(F426="nie",SUMPRODUCT(ISNUMBER(K477:X477)*1)&gt;0)),AND(F426=tak,G426=nie,SUMPRODUCT(ISNUMBER(K477:X477)*1)&gt;0)),"usuń % dotacji",IF(AND(F426=tak,G426=tak,SUMPRODUCT(ISNUMBER(K477:X477)*1)=0),"wstaw % dotacji","ok"))))</f>
        <v/>
      </c>
      <c r="K477" s="408"/>
      <c r="L477" s="408"/>
      <c r="M477" s="408"/>
      <c r="N477" s="408"/>
      <c r="O477" s="408"/>
      <c r="P477" s="408"/>
      <c r="Q477" s="408"/>
      <c r="R477" s="408"/>
      <c r="S477" s="408"/>
      <c r="T477" s="408"/>
      <c r="U477" s="408"/>
      <c r="V477" s="408"/>
      <c r="W477" s="408"/>
      <c r="X477" s="408"/>
    </row>
    <row r="478" spans="2:24">
      <c r="B478" s="63" t="str">
        <f t="shared" si="250"/>
        <v/>
      </c>
      <c r="C478" s="63" t="str">
        <f t="shared" si="250"/>
        <v/>
      </c>
      <c r="D478" s="52"/>
      <c r="E478" s="52"/>
      <c r="F478" s="52"/>
      <c r="G478" s="52"/>
      <c r="H478" s="52"/>
      <c r="I478" s="52"/>
      <c r="J478" s="203" t="str" cm="1">
        <f t="array" ref="J478">IF(J427="wstaw dane","",IF(OR(ISBLANK(F427)=TRUE,ISBLANK(G427)=TRUE),"uzupełnij dane",IF(OR((AND(F427="nie",SUMPRODUCT(ISNUMBER(K478:X478)*1)&gt;0)),AND(F427=tak,G427=nie,SUMPRODUCT(ISNUMBER(K478:X478)*1)&gt;0)),"usuń % dotacji",IF(AND(F427=tak,G427=tak,SUMPRODUCT(ISNUMBER(K478:X478)*1)=0),"wstaw % dotacji","ok"))))</f>
        <v/>
      </c>
      <c r="K478" s="408"/>
      <c r="L478" s="408"/>
      <c r="M478" s="408"/>
      <c r="N478" s="408"/>
      <c r="O478" s="408"/>
      <c r="P478" s="408"/>
      <c r="Q478" s="408"/>
      <c r="R478" s="408"/>
      <c r="S478" s="408"/>
      <c r="T478" s="408"/>
      <c r="U478" s="408"/>
      <c r="V478" s="408"/>
      <c r="W478" s="408"/>
      <c r="X478" s="408"/>
    </row>
    <row r="479" spans="2:24">
      <c r="B479" s="63" t="str">
        <f t="shared" si="250"/>
        <v/>
      </c>
      <c r="C479" s="63" t="str">
        <f t="shared" si="250"/>
        <v/>
      </c>
      <c r="D479" s="52"/>
      <c r="E479" s="52"/>
      <c r="F479" s="52"/>
      <c r="G479" s="52"/>
      <c r="H479" s="52"/>
      <c r="I479" s="52"/>
      <c r="J479" s="203" t="str" cm="1">
        <f t="array" ref="J479">IF(J428="wstaw dane","",IF(OR(ISBLANK(F428)=TRUE,ISBLANK(G428)=TRUE),"uzupełnij dane",IF(OR((AND(F428="nie",SUMPRODUCT(ISNUMBER(K479:X479)*1)&gt;0)),AND(F428=tak,G428=nie,SUMPRODUCT(ISNUMBER(K479:X479)*1)&gt;0)),"usuń % dotacji",IF(AND(F428=tak,G428=tak,SUMPRODUCT(ISNUMBER(K479:X479)*1)=0),"wstaw % dotacji","ok"))))</f>
        <v/>
      </c>
      <c r="K479" s="408"/>
      <c r="L479" s="408"/>
      <c r="M479" s="408"/>
      <c r="N479" s="408"/>
      <c r="O479" s="408"/>
      <c r="P479" s="408"/>
      <c r="Q479" s="408"/>
      <c r="R479" s="408"/>
      <c r="S479" s="408"/>
      <c r="T479" s="408"/>
      <c r="U479" s="408"/>
      <c r="V479" s="408"/>
      <c r="W479" s="408"/>
      <c r="X479" s="408"/>
    </row>
    <row r="480" spans="2:24">
      <c r="B480" s="63" t="str">
        <f t="shared" si="250"/>
        <v/>
      </c>
      <c r="C480" s="63" t="str">
        <f t="shared" si="250"/>
        <v/>
      </c>
      <c r="D480" s="52"/>
      <c r="E480" s="52"/>
      <c r="F480" s="52"/>
      <c r="G480" s="52"/>
      <c r="H480" s="52"/>
      <c r="I480" s="52"/>
      <c r="J480" s="203" t="str" cm="1">
        <f t="array" ref="J480">IF(J429="wstaw dane","",IF(OR(ISBLANK(F429)=TRUE,ISBLANK(G429)=TRUE),"uzupełnij dane",IF(OR((AND(F429="nie",SUMPRODUCT(ISNUMBER(K480:X480)*1)&gt;0)),AND(F429=tak,G429=nie,SUMPRODUCT(ISNUMBER(K480:X480)*1)&gt;0)),"usuń % dotacji",IF(AND(F429=tak,G429=tak,SUMPRODUCT(ISNUMBER(K480:X480)*1)=0),"wstaw % dotacji","ok"))))</f>
        <v/>
      </c>
      <c r="K480" s="408"/>
      <c r="L480" s="408"/>
      <c r="M480" s="408"/>
      <c r="N480" s="408"/>
      <c r="O480" s="408"/>
      <c r="P480" s="408"/>
      <c r="Q480" s="408"/>
      <c r="R480" s="408"/>
      <c r="S480" s="408"/>
      <c r="T480" s="408"/>
      <c r="U480" s="408"/>
      <c r="V480" s="408"/>
      <c r="W480" s="408"/>
      <c r="X480" s="408"/>
    </row>
    <row r="481" spans="2:24">
      <c r="B481" s="63" t="str">
        <f t="shared" si="250"/>
        <v/>
      </c>
      <c r="C481" s="63" t="str">
        <f t="shared" si="250"/>
        <v/>
      </c>
      <c r="D481" s="52"/>
      <c r="E481" s="52"/>
      <c r="F481" s="52"/>
      <c r="G481" s="52"/>
      <c r="H481" s="52"/>
      <c r="I481" s="52"/>
      <c r="J481" s="203" t="str" cm="1">
        <f t="array" ref="J481">IF(J430="wstaw dane","",IF(OR(ISBLANK(F430)=TRUE,ISBLANK(G430)=TRUE),"uzupełnij dane",IF(OR((AND(F430="nie",SUMPRODUCT(ISNUMBER(K481:X481)*1)&gt;0)),AND(F430=tak,G430=nie,SUMPRODUCT(ISNUMBER(K481:X481)*1)&gt;0)),"usuń % dotacji",IF(AND(F430=tak,G430=tak,SUMPRODUCT(ISNUMBER(K481:X481)*1)=0),"wstaw % dotacji","ok"))))</f>
        <v/>
      </c>
      <c r="K481" s="408"/>
      <c r="L481" s="408"/>
      <c r="M481" s="408"/>
      <c r="N481" s="408"/>
      <c r="O481" s="408"/>
      <c r="P481" s="408"/>
      <c r="Q481" s="408"/>
      <c r="R481" s="408"/>
      <c r="S481" s="408"/>
      <c r="T481" s="408"/>
      <c r="U481" s="408"/>
      <c r="V481" s="408"/>
      <c r="W481" s="408"/>
      <c r="X481" s="408"/>
    </row>
    <row r="482" spans="2:24">
      <c r="B482" s="63" t="str">
        <f t="shared" si="250"/>
        <v/>
      </c>
      <c r="C482" s="63" t="str">
        <f t="shared" si="250"/>
        <v/>
      </c>
      <c r="D482" s="52"/>
      <c r="E482" s="52"/>
      <c r="F482" s="52"/>
      <c r="G482" s="52"/>
      <c r="H482" s="52"/>
      <c r="I482" s="52"/>
      <c r="J482" s="203" t="str" cm="1">
        <f t="array" ref="J482">IF(J431="wstaw dane","",IF(OR(ISBLANK(F431)=TRUE,ISBLANK(G431)=TRUE),"uzupełnij dane",IF(OR((AND(F431="nie",SUMPRODUCT(ISNUMBER(K482:X482)*1)&gt;0)),AND(F431=tak,G431=nie,SUMPRODUCT(ISNUMBER(K482:X482)*1)&gt;0)),"usuń % dotacji",IF(AND(F431=tak,G431=tak,SUMPRODUCT(ISNUMBER(K482:X482)*1)=0),"wstaw % dotacji","ok"))))</f>
        <v/>
      </c>
      <c r="K482" s="408"/>
      <c r="L482" s="408"/>
      <c r="M482" s="408"/>
      <c r="N482" s="408"/>
      <c r="O482" s="408"/>
      <c r="P482" s="408"/>
      <c r="Q482" s="408"/>
      <c r="R482" s="408"/>
      <c r="S482" s="408"/>
      <c r="T482" s="408"/>
      <c r="U482" s="408"/>
      <c r="V482" s="408"/>
      <c r="W482" s="408"/>
      <c r="X482" s="408"/>
    </row>
    <row r="483" spans="2:24">
      <c r="B483" s="63" t="str">
        <f>IF(ISBLANK(B432),"",B432)</f>
        <v/>
      </c>
      <c r="C483" s="63" t="str">
        <f t="shared" si="250"/>
        <v/>
      </c>
      <c r="D483" s="52"/>
      <c r="E483" s="52"/>
      <c r="F483" s="52"/>
      <c r="G483" s="52"/>
      <c r="H483" s="52"/>
      <c r="I483" s="52"/>
      <c r="J483" s="203" t="str" cm="1">
        <f t="array" ref="J483">IF(J432="wstaw dane","",IF(OR(ISBLANK(F432)=TRUE,ISBLANK(G432)=TRUE),"uzupełnij dane",IF(OR((AND(F432="nie",SUMPRODUCT(ISNUMBER(K483:X483)*1)&gt;0)),AND(F432=tak,G432=nie,SUMPRODUCT(ISNUMBER(K483:X483)*1)&gt;0)),"usuń % dotacji",IF(AND(F432=tak,G432=tak,SUMPRODUCT(ISNUMBER(K483:X483)*1)=0),"wstaw % dotacji","ok"))))</f>
        <v/>
      </c>
      <c r="K483" s="408"/>
      <c r="L483" s="408"/>
      <c r="M483" s="408"/>
      <c r="N483" s="408"/>
      <c r="O483" s="408"/>
      <c r="P483" s="408"/>
      <c r="Q483" s="408"/>
      <c r="R483" s="408"/>
      <c r="S483" s="408"/>
      <c r="T483" s="408"/>
      <c r="U483" s="408"/>
      <c r="V483" s="408"/>
      <c r="W483" s="408"/>
      <c r="X483" s="408"/>
    </row>
    <row r="484" spans="2:24">
      <c r="B484" s="63" t="str">
        <f t="shared" si="250"/>
        <v/>
      </c>
      <c r="C484" s="63" t="str">
        <f t="shared" si="250"/>
        <v/>
      </c>
      <c r="D484" s="52"/>
      <c r="E484" s="52"/>
      <c r="F484" s="52"/>
      <c r="G484" s="52"/>
      <c r="H484" s="52"/>
      <c r="I484" s="52"/>
      <c r="J484" s="203" t="str" cm="1">
        <f t="array" ref="J484">IF(J433="wstaw dane","",IF(OR(ISBLANK(F433)=TRUE,ISBLANK(G433)=TRUE),"uzupełnij dane",IF(OR((AND(F433="nie",SUMPRODUCT(ISNUMBER(K484:X484)*1)&gt;0)),AND(F433=tak,G433=nie,SUMPRODUCT(ISNUMBER(K484:X484)*1)&gt;0)),"usuń % dotacji",IF(AND(F433=tak,G433=tak,SUMPRODUCT(ISNUMBER(K484:X484)*1)=0),"wstaw % dotacji","ok"))))</f>
        <v/>
      </c>
      <c r="K484" s="408"/>
      <c r="L484" s="408"/>
      <c r="M484" s="408"/>
      <c r="N484" s="408"/>
      <c r="O484" s="408"/>
      <c r="P484" s="408"/>
      <c r="Q484" s="408"/>
      <c r="R484" s="408"/>
      <c r="S484" s="408"/>
      <c r="T484" s="408"/>
      <c r="U484" s="408"/>
      <c r="V484" s="408"/>
      <c r="W484" s="408"/>
      <c r="X484" s="408"/>
    </row>
    <row r="485" spans="2:24">
      <c r="B485" s="63" t="str">
        <f t="shared" si="250"/>
        <v/>
      </c>
      <c r="C485" s="63" t="str">
        <f t="shared" si="250"/>
        <v/>
      </c>
      <c r="D485" s="52"/>
      <c r="E485" s="52"/>
      <c r="F485" s="52"/>
      <c r="G485" s="52"/>
      <c r="H485" s="52"/>
      <c r="I485" s="52"/>
      <c r="J485" s="203" t="str" cm="1">
        <f t="array" ref="J485">IF(J434="wstaw dane","",IF(OR(ISBLANK(F434)=TRUE,ISBLANK(G434)=TRUE),"uzupełnij dane",IF(OR((AND(F434="nie",SUMPRODUCT(ISNUMBER(K485:X485)*1)&gt;0)),AND(F434=tak,G434=nie,SUMPRODUCT(ISNUMBER(K485:X485)*1)&gt;0)),"usuń % dotacji",IF(AND(F434=tak,G434=tak,SUMPRODUCT(ISNUMBER(K485:X485)*1)=0),"wstaw % dotacji","ok"))))</f>
        <v/>
      </c>
      <c r="K485" s="408"/>
      <c r="L485" s="408"/>
      <c r="M485" s="408"/>
      <c r="N485" s="408"/>
      <c r="O485" s="408"/>
      <c r="P485" s="408"/>
      <c r="Q485" s="408"/>
      <c r="R485" s="408"/>
      <c r="S485" s="408"/>
      <c r="T485" s="408"/>
      <c r="U485" s="408"/>
      <c r="V485" s="408"/>
      <c r="W485" s="408"/>
      <c r="X485" s="408"/>
    </row>
    <row r="486" spans="2:24">
      <c r="B486" s="63" t="str">
        <f t="shared" si="250"/>
        <v/>
      </c>
      <c r="C486" s="63" t="str">
        <f t="shared" si="250"/>
        <v/>
      </c>
      <c r="D486" s="52"/>
      <c r="E486" s="52"/>
      <c r="F486" s="52"/>
      <c r="G486" s="52"/>
      <c r="H486" s="52"/>
      <c r="I486" s="52"/>
      <c r="J486" s="203" t="str" cm="1">
        <f t="array" ref="J486">IF(J435="wstaw dane","",IF(OR(ISBLANK(F435)=TRUE,ISBLANK(G435)=TRUE),"uzupełnij dane",IF(OR((AND(F435="nie",SUMPRODUCT(ISNUMBER(K486:X486)*1)&gt;0)),AND(F435=tak,G435=nie,SUMPRODUCT(ISNUMBER(K486:X486)*1)&gt;0)),"usuń % dotacji",IF(AND(F435=tak,G435=tak,SUMPRODUCT(ISNUMBER(K486:X486)*1)=0),"wstaw % dotacji","ok"))))</f>
        <v/>
      </c>
      <c r="K486" s="408"/>
      <c r="L486" s="408"/>
      <c r="M486" s="408"/>
      <c r="N486" s="408"/>
      <c r="O486" s="408"/>
      <c r="P486" s="408"/>
      <c r="Q486" s="408"/>
      <c r="R486" s="408"/>
      <c r="S486" s="408"/>
      <c r="T486" s="408"/>
      <c r="U486" s="408"/>
      <c r="V486" s="408"/>
      <c r="W486" s="408"/>
      <c r="X486" s="408"/>
    </row>
    <row r="487" spans="2:24">
      <c r="B487" s="63" t="str">
        <f t="shared" si="250"/>
        <v/>
      </c>
      <c r="C487" s="63" t="str">
        <f t="shared" si="250"/>
        <v/>
      </c>
      <c r="D487" s="52"/>
      <c r="E487" s="52"/>
      <c r="F487" s="52"/>
      <c r="G487" s="52"/>
      <c r="H487" s="52"/>
      <c r="I487" s="52"/>
      <c r="J487" s="203" t="str" cm="1">
        <f t="array" ref="J487">IF(J436="wstaw dane","",IF(OR(ISBLANK(F436)=TRUE,ISBLANK(G436)=TRUE),"uzupełnij dane",IF(OR((AND(F436="nie",SUMPRODUCT(ISNUMBER(K487:X487)*1)&gt;0)),AND(F436=tak,G436=nie,SUMPRODUCT(ISNUMBER(K487:X487)*1)&gt;0)),"usuń % dotacji",IF(AND(F436=tak,G436=tak,SUMPRODUCT(ISNUMBER(K487:X487)*1)=0),"wstaw % dotacji","ok"))))</f>
        <v/>
      </c>
      <c r="K487" s="408"/>
      <c r="L487" s="408"/>
      <c r="M487" s="408"/>
      <c r="N487" s="408"/>
      <c r="O487" s="408"/>
      <c r="P487" s="408"/>
      <c r="Q487" s="408"/>
      <c r="R487" s="408"/>
      <c r="S487" s="408"/>
      <c r="T487" s="408"/>
      <c r="U487" s="408"/>
      <c r="V487" s="408"/>
      <c r="W487" s="408"/>
      <c r="X487" s="408"/>
    </row>
    <row r="488" spans="2:24">
      <c r="B488" s="63" t="str">
        <f t="shared" si="250"/>
        <v/>
      </c>
      <c r="C488" s="63" t="str">
        <f t="shared" si="250"/>
        <v/>
      </c>
      <c r="D488" s="52"/>
      <c r="E488" s="52"/>
      <c r="F488" s="52"/>
      <c r="G488" s="52"/>
      <c r="H488" s="52"/>
      <c r="I488" s="52"/>
      <c r="J488" s="203" t="str" cm="1">
        <f t="array" ref="J488">IF(J437="wstaw dane","",IF(OR(ISBLANK(F437)=TRUE,ISBLANK(G437)=TRUE),"uzupełnij dane",IF(OR((AND(F437="nie",SUMPRODUCT(ISNUMBER(K488:X488)*1)&gt;0)),AND(F437=tak,G437=nie,SUMPRODUCT(ISNUMBER(K488:X488)*1)&gt;0)),"usuń % dotacji",IF(AND(F437=tak,G437=tak,SUMPRODUCT(ISNUMBER(K488:X488)*1)=0),"wstaw % dotacji","ok"))))</f>
        <v/>
      </c>
      <c r="K488" s="408"/>
      <c r="L488" s="408"/>
      <c r="M488" s="408"/>
      <c r="N488" s="408"/>
      <c r="O488" s="408"/>
      <c r="P488" s="408"/>
      <c r="Q488" s="408"/>
      <c r="R488" s="408"/>
      <c r="S488" s="408"/>
      <c r="T488" s="408"/>
      <c r="U488" s="408"/>
      <c r="V488" s="408"/>
      <c r="W488" s="408"/>
      <c r="X488" s="408"/>
    </row>
    <row r="489" spans="2:24">
      <c r="B489" s="63" t="str">
        <f t="shared" ref="B489:C508" si="251">IF(ISBLANK(B438),"",B438)</f>
        <v/>
      </c>
      <c r="C489" s="63" t="str">
        <f t="shared" si="251"/>
        <v/>
      </c>
      <c r="D489" s="52"/>
      <c r="E489" s="52"/>
      <c r="F489" s="52"/>
      <c r="G489" s="52"/>
      <c r="H489" s="52"/>
      <c r="I489" s="52"/>
      <c r="J489" s="203" t="str" cm="1">
        <f t="array" ref="J489">IF(J438="wstaw dane","",IF(OR(ISBLANK(F438)=TRUE,ISBLANK(G438)=TRUE),"uzupełnij dane",IF(OR((AND(F438="nie",SUMPRODUCT(ISNUMBER(K489:X489)*1)&gt;0)),AND(F438=tak,G438=nie,SUMPRODUCT(ISNUMBER(K489:X489)*1)&gt;0)),"usuń % dotacji",IF(AND(F438=tak,G438=tak,SUMPRODUCT(ISNUMBER(K489:X489)*1)=0),"wstaw % dotacji","ok"))))</f>
        <v/>
      </c>
      <c r="K489" s="408"/>
      <c r="L489" s="408"/>
      <c r="M489" s="408"/>
      <c r="N489" s="408"/>
      <c r="O489" s="408"/>
      <c r="P489" s="408"/>
      <c r="Q489" s="408"/>
      <c r="R489" s="408"/>
      <c r="S489" s="408"/>
      <c r="T489" s="408"/>
      <c r="U489" s="408"/>
      <c r="V489" s="408"/>
      <c r="W489" s="408"/>
      <c r="X489" s="408"/>
    </row>
    <row r="490" spans="2:24">
      <c r="B490" s="63" t="str">
        <f t="shared" si="251"/>
        <v/>
      </c>
      <c r="C490" s="63" t="str">
        <f t="shared" si="251"/>
        <v/>
      </c>
      <c r="D490" s="52"/>
      <c r="E490" s="52"/>
      <c r="F490" s="52"/>
      <c r="G490" s="52"/>
      <c r="H490" s="52"/>
      <c r="I490" s="52"/>
      <c r="J490" s="203" t="str" cm="1">
        <f t="array" ref="J490">IF(J439="wstaw dane","",IF(OR(ISBLANK(F439)=TRUE,ISBLANK(G439)=TRUE),"uzupełnij dane",IF(OR((AND(F439="nie",SUMPRODUCT(ISNUMBER(K490:X490)*1)&gt;0)),AND(F439=tak,G439=nie,SUMPRODUCT(ISNUMBER(K490:X490)*1)&gt;0)),"usuń % dotacji",IF(AND(F439=tak,G439=tak,SUMPRODUCT(ISNUMBER(K490:X490)*1)=0),"wstaw % dotacji","ok"))))</f>
        <v/>
      </c>
      <c r="K490" s="408"/>
      <c r="L490" s="408"/>
      <c r="M490" s="408"/>
      <c r="N490" s="408"/>
      <c r="O490" s="408"/>
      <c r="P490" s="408"/>
      <c r="Q490" s="408"/>
      <c r="R490" s="408"/>
      <c r="S490" s="408"/>
      <c r="T490" s="408"/>
      <c r="U490" s="408"/>
      <c r="V490" s="408"/>
      <c r="W490" s="408"/>
      <c r="X490" s="408"/>
    </row>
    <row r="491" spans="2:24">
      <c r="B491" s="63" t="str">
        <f t="shared" si="251"/>
        <v/>
      </c>
      <c r="C491" s="63" t="str">
        <f t="shared" si="251"/>
        <v/>
      </c>
      <c r="D491" s="52"/>
      <c r="E491" s="52"/>
      <c r="F491" s="52"/>
      <c r="G491" s="52"/>
      <c r="H491" s="52"/>
      <c r="I491" s="52"/>
      <c r="J491" s="203" t="str" cm="1">
        <f t="array" ref="J491">IF(J440="wstaw dane","",IF(OR(ISBLANK(F440)=TRUE,ISBLANK(G440)=TRUE),"uzupełnij dane",IF(OR((AND(F440="nie",SUMPRODUCT(ISNUMBER(K491:X491)*1)&gt;0)),AND(F440=tak,G440=nie,SUMPRODUCT(ISNUMBER(K491:X491)*1)&gt;0)),"usuń % dotacji",IF(AND(F440=tak,G440=tak,SUMPRODUCT(ISNUMBER(K491:X491)*1)=0),"wstaw % dotacji","ok"))))</f>
        <v/>
      </c>
      <c r="K491" s="408"/>
      <c r="L491" s="408"/>
      <c r="M491" s="408"/>
      <c r="N491" s="408"/>
      <c r="O491" s="408"/>
      <c r="P491" s="408"/>
      <c r="Q491" s="408"/>
      <c r="R491" s="408"/>
      <c r="S491" s="408"/>
      <c r="T491" s="408"/>
      <c r="U491" s="408"/>
      <c r="V491" s="408"/>
      <c r="W491" s="408"/>
      <c r="X491" s="408"/>
    </row>
    <row r="492" spans="2:24">
      <c r="B492" s="63" t="str">
        <f t="shared" si="251"/>
        <v/>
      </c>
      <c r="C492" s="63" t="str">
        <f t="shared" si="251"/>
        <v/>
      </c>
      <c r="D492" s="52"/>
      <c r="E492" s="52"/>
      <c r="F492" s="52"/>
      <c r="G492" s="52"/>
      <c r="H492" s="52"/>
      <c r="I492" s="52"/>
      <c r="J492" s="203" t="str" cm="1">
        <f t="array" ref="J492">IF(J441="wstaw dane","",IF(OR(ISBLANK(F441)=TRUE,ISBLANK(G441)=TRUE),"uzupełnij dane",IF(OR((AND(F441="nie",SUMPRODUCT(ISNUMBER(K492:X492)*1)&gt;0)),AND(F441=tak,G441=nie,SUMPRODUCT(ISNUMBER(K492:X492)*1)&gt;0)),"usuń % dotacji",IF(AND(F441=tak,G441=tak,SUMPRODUCT(ISNUMBER(K492:X492)*1)=0),"wstaw % dotacji","ok"))))</f>
        <v/>
      </c>
      <c r="K492" s="408"/>
      <c r="L492" s="408"/>
      <c r="M492" s="408"/>
      <c r="N492" s="408"/>
      <c r="O492" s="408"/>
      <c r="P492" s="408"/>
      <c r="Q492" s="408"/>
      <c r="R492" s="408"/>
      <c r="S492" s="408"/>
      <c r="T492" s="408"/>
      <c r="U492" s="408"/>
      <c r="V492" s="408"/>
      <c r="W492" s="408"/>
      <c r="X492" s="408"/>
    </row>
    <row r="493" spans="2:24">
      <c r="B493" s="63" t="str">
        <f t="shared" si="251"/>
        <v/>
      </c>
      <c r="C493" s="63" t="str">
        <f t="shared" si="251"/>
        <v/>
      </c>
      <c r="D493" s="52"/>
      <c r="E493" s="52"/>
      <c r="F493" s="52"/>
      <c r="G493" s="52"/>
      <c r="H493" s="52"/>
      <c r="I493" s="52"/>
      <c r="J493" s="203" t="str" cm="1">
        <f t="array" ref="J493">IF(J442="wstaw dane","",IF(OR(ISBLANK(F442)=TRUE,ISBLANK(G442)=TRUE),"uzupełnij dane",IF(OR((AND(F442="nie",SUMPRODUCT(ISNUMBER(K493:X493)*1)&gt;0)),AND(F442=tak,G442=nie,SUMPRODUCT(ISNUMBER(K493:X493)*1)&gt;0)),"usuń % dotacji",IF(AND(F442=tak,G442=tak,SUMPRODUCT(ISNUMBER(K493:X493)*1)=0),"wstaw % dotacji","ok"))))</f>
        <v/>
      </c>
      <c r="K493" s="408"/>
      <c r="L493" s="408"/>
      <c r="M493" s="408"/>
      <c r="N493" s="408"/>
      <c r="O493" s="408"/>
      <c r="P493" s="408"/>
      <c r="Q493" s="408"/>
      <c r="R493" s="408"/>
      <c r="S493" s="408"/>
      <c r="T493" s="408"/>
      <c r="U493" s="408"/>
      <c r="V493" s="408"/>
      <c r="W493" s="408"/>
      <c r="X493" s="408"/>
    </row>
    <row r="494" spans="2:24">
      <c r="B494" s="63" t="str">
        <f t="shared" si="251"/>
        <v/>
      </c>
      <c r="C494" s="63" t="str">
        <f t="shared" si="251"/>
        <v/>
      </c>
      <c r="D494" s="52"/>
      <c r="E494" s="52"/>
      <c r="F494" s="52"/>
      <c r="G494" s="52"/>
      <c r="H494" s="52"/>
      <c r="I494" s="52"/>
      <c r="J494" s="203" t="str" cm="1">
        <f t="array" ref="J494">IF(J443="wstaw dane","",IF(OR(ISBLANK(F443)=TRUE,ISBLANK(G443)=TRUE),"uzupełnij dane",IF(OR((AND(F443="nie",SUMPRODUCT(ISNUMBER(K494:X494)*1)&gt;0)),AND(F443=tak,G443=nie,SUMPRODUCT(ISNUMBER(K494:X494)*1)&gt;0)),"usuń % dotacji",IF(AND(F443=tak,G443=tak,SUMPRODUCT(ISNUMBER(K494:X494)*1)=0),"wstaw % dotacji","ok"))))</f>
        <v/>
      </c>
      <c r="K494" s="408"/>
      <c r="L494" s="408"/>
      <c r="M494" s="408"/>
      <c r="N494" s="408"/>
      <c r="O494" s="408"/>
      <c r="P494" s="408"/>
      <c r="Q494" s="408"/>
      <c r="R494" s="408"/>
      <c r="S494" s="408"/>
      <c r="T494" s="408"/>
      <c r="U494" s="408"/>
      <c r="V494" s="408"/>
      <c r="W494" s="408"/>
      <c r="X494" s="408"/>
    </row>
    <row r="495" spans="2:24">
      <c r="B495" s="63" t="str">
        <f t="shared" si="251"/>
        <v/>
      </c>
      <c r="C495" s="63" t="str">
        <f t="shared" si="251"/>
        <v/>
      </c>
      <c r="D495" s="52"/>
      <c r="E495" s="52"/>
      <c r="F495" s="52"/>
      <c r="G495" s="52"/>
      <c r="H495" s="52"/>
      <c r="I495" s="52"/>
      <c r="J495" s="203" t="str" cm="1">
        <f t="array" ref="J495">IF(J444="wstaw dane","",IF(OR(ISBLANK(F444)=TRUE,ISBLANK(G444)=TRUE),"uzupełnij dane",IF(OR((AND(F444="nie",SUMPRODUCT(ISNUMBER(K495:X495)*1)&gt;0)),AND(F444=tak,G444=nie,SUMPRODUCT(ISNUMBER(K495:X495)*1)&gt;0)),"usuń % dotacji",IF(AND(F444=tak,G444=tak,SUMPRODUCT(ISNUMBER(K495:X495)*1)=0),"wstaw % dotacji","ok"))))</f>
        <v/>
      </c>
      <c r="K495" s="408"/>
      <c r="L495" s="408"/>
      <c r="M495" s="408"/>
      <c r="N495" s="408"/>
      <c r="O495" s="408"/>
      <c r="P495" s="408"/>
      <c r="Q495" s="408"/>
      <c r="R495" s="408"/>
      <c r="S495" s="408"/>
      <c r="T495" s="408"/>
      <c r="U495" s="408"/>
      <c r="V495" s="408"/>
      <c r="W495" s="408"/>
      <c r="X495" s="408"/>
    </row>
    <row r="496" spans="2:24">
      <c r="B496" s="63" t="str">
        <f t="shared" si="251"/>
        <v/>
      </c>
      <c r="C496" s="63" t="str">
        <f t="shared" si="251"/>
        <v/>
      </c>
      <c r="D496" s="52"/>
      <c r="E496" s="52"/>
      <c r="F496" s="52"/>
      <c r="G496" s="52"/>
      <c r="H496" s="52"/>
      <c r="I496" s="52"/>
      <c r="J496" s="203" t="str" cm="1">
        <f t="array" ref="J496">IF(J445="wstaw dane","",IF(OR(ISBLANK(F445)=TRUE,ISBLANK(G445)=TRUE),"uzupełnij dane",IF(OR((AND(F445="nie",SUMPRODUCT(ISNUMBER(K496:X496)*1)&gt;0)),AND(F445=tak,G445=nie,SUMPRODUCT(ISNUMBER(K496:X496)*1)&gt;0)),"usuń % dotacji",IF(AND(F445=tak,G445=tak,SUMPRODUCT(ISNUMBER(K496:X496)*1)=0),"wstaw % dotacji","ok"))))</f>
        <v/>
      </c>
      <c r="K496" s="408"/>
      <c r="L496" s="408"/>
      <c r="M496" s="408"/>
      <c r="N496" s="408"/>
      <c r="O496" s="408"/>
      <c r="P496" s="408"/>
      <c r="Q496" s="408"/>
      <c r="R496" s="408"/>
      <c r="S496" s="408"/>
      <c r="T496" s="408"/>
      <c r="U496" s="408"/>
      <c r="V496" s="408"/>
      <c r="W496" s="408"/>
      <c r="X496" s="408"/>
    </row>
    <row r="497" spans="2:24">
      <c r="B497" s="63" t="str">
        <f t="shared" si="251"/>
        <v/>
      </c>
      <c r="C497" s="63" t="str">
        <f t="shared" si="251"/>
        <v/>
      </c>
      <c r="D497" s="52"/>
      <c r="E497" s="52"/>
      <c r="F497" s="52"/>
      <c r="G497" s="52"/>
      <c r="H497" s="52"/>
      <c r="I497" s="52"/>
      <c r="J497" s="203" t="str" cm="1">
        <f t="array" ref="J497">IF(J446="wstaw dane","",IF(OR(ISBLANK(F446)=TRUE,ISBLANK(G446)=TRUE),"uzupełnij dane",IF(OR((AND(F446="nie",SUMPRODUCT(ISNUMBER(K497:X497)*1)&gt;0)),AND(F446=tak,G446=nie,SUMPRODUCT(ISNUMBER(K497:X497)*1)&gt;0)),"usuń % dotacji",IF(AND(F446=tak,G446=tak,SUMPRODUCT(ISNUMBER(K497:X497)*1)=0),"wstaw % dotacji","ok"))))</f>
        <v/>
      </c>
      <c r="K497" s="408"/>
      <c r="L497" s="408"/>
      <c r="M497" s="408"/>
      <c r="N497" s="408"/>
      <c r="O497" s="408"/>
      <c r="P497" s="408"/>
      <c r="Q497" s="408"/>
      <c r="R497" s="408"/>
      <c r="S497" s="408"/>
      <c r="T497" s="408"/>
      <c r="U497" s="408"/>
      <c r="V497" s="408"/>
      <c r="W497" s="408"/>
      <c r="X497" s="408"/>
    </row>
    <row r="498" spans="2:24">
      <c r="B498" s="63" t="str">
        <f t="shared" si="251"/>
        <v/>
      </c>
      <c r="C498" s="63" t="str">
        <f t="shared" si="251"/>
        <v/>
      </c>
      <c r="D498" s="52"/>
      <c r="E498" s="52"/>
      <c r="F498" s="52"/>
      <c r="G498" s="52"/>
      <c r="H498" s="52"/>
      <c r="I498" s="52"/>
      <c r="J498" s="203" t="str" cm="1">
        <f t="array" ref="J498">IF(J447="wstaw dane","",IF(OR(ISBLANK(F447)=TRUE,ISBLANK(G447)=TRUE),"uzupełnij dane",IF(OR((AND(F447="nie",SUMPRODUCT(ISNUMBER(K498:X498)*1)&gt;0)),AND(F447=tak,G447=nie,SUMPRODUCT(ISNUMBER(K498:X498)*1)&gt;0)),"usuń % dotacji",IF(AND(F447=tak,G447=tak,SUMPRODUCT(ISNUMBER(K498:X498)*1)=0),"wstaw % dotacji","ok"))))</f>
        <v/>
      </c>
      <c r="K498" s="408"/>
      <c r="L498" s="408"/>
      <c r="M498" s="408"/>
      <c r="N498" s="408"/>
      <c r="O498" s="408"/>
      <c r="P498" s="408"/>
      <c r="Q498" s="408"/>
      <c r="R498" s="408"/>
      <c r="S498" s="408"/>
      <c r="T498" s="408"/>
      <c r="U498" s="408"/>
      <c r="V498" s="408"/>
      <c r="W498" s="408"/>
      <c r="X498" s="408"/>
    </row>
    <row r="499" spans="2:24">
      <c r="B499" s="63" t="str">
        <f t="shared" si="251"/>
        <v/>
      </c>
      <c r="C499" s="63" t="str">
        <f t="shared" si="251"/>
        <v/>
      </c>
      <c r="D499" s="52"/>
      <c r="E499" s="52"/>
      <c r="F499" s="52"/>
      <c r="G499" s="52"/>
      <c r="H499" s="52"/>
      <c r="I499" s="52"/>
      <c r="J499" s="203" t="str" cm="1">
        <f t="array" ref="J499">IF(J448="wstaw dane","",IF(OR(ISBLANK(F448)=TRUE,ISBLANK(G448)=TRUE),"uzupełnij dane",IF(OR((AND(F448="nie",SUMPRODUCT(ISNUMBER(K499:X499)*1)&gt;0)),AND(F448=tak,G448=nie,SUMPRODUCT(ISNUMBER(K499:X499)*1)&gt;0)),"usuń % dotacji",IF(AND(F448=tak,G448=tak,SUMPRODUCT(ISNUMBER(K499:X499)*1)=0),"wstaw % dotacji","ok"))))</f>
        <v/>
      </c>
      <c r="K499" s="408"/>
      <c r="L499" s="408"/>
      <c r="M499" s="408"/>
      <c r="N499" s="408"/>
      <c r="O499" s="408"/>
      <c r="P499" s="408"/>
      <c r="Q499" s="408"/>
      <c r="R499" s="408"/>
      <c r="S499" s="408"/>
      <c r="T499" s="408"/>
      <c r="U499" s="408"/>
      <c r="V499" s="408"/>
      <c r="W499" s="408"/>
      <c r="X499" s="408"/>
    </row>
    <row r="500" spans="2:24">
      <c r="B500" s="63" t="str">
        <f t="shared" si="251"/>
        <v/>
      </c>
      <c r="C500" s="63" t="str">
        <f t="shared" si="251"/>
        <v/>
      </c>
      <c r="D500" s="52"/>
      <c r="E500" s="52"/>
      <c r="F500" s="52"/>
      <c r="G500" s="52"/>
      <c r="H500" s="52"/>
      <c r="I500" s="52"/>
      <c r="J500" s="203" t="str" cm="1">
        <f t="array" ref="J500">IF(J449="wstaw dane","",IF(OR(ISBLANK(F449)=TRUE,ISBLANK(G449)=TRUE),"uzupełnij dane",IF(OR((AND(F449="nie",SUMPRODUCT(ISNUMBER(K500:X500)*1)&gt;0)),AND(F449=tak,G449=nie,SUMPRODUCT(ISNUMBER(K500:X500)*1)&gt;0)),"usuń % dotacji",IF(AND(F449=tak,G449=tak,SUMPRODUCT(ISNUMBER(K500:X500)*1)=0),"wstaw % dotacji","ok"))))</f>
        <v/>
      </c>
      <c r="K500" s="408"/>
      <c r="L500" s="408"/>
      <c r="M500" s="408"/>
      <c r="N500" s="408"/>
      <c r="O500" s="408"/>
      <c r="P500" s="408"/>
      <c r="Q500" s="408"/>
      <c r="R500" s="408"/>
      <c r="S500" s="408"/>
      <c r="T500" s="408"/>
      <c r="U500" s="408"/>
      <c r="V500" s="408"/>
      <c r="W500" s="408"/>
      <c r="X500" s="408"/>
    </row>
    <row r="501" spans="2:24">
      <c r="B501" s="63" t="str">
        <f t="shared" si="251"/>
        <v/>
      </c>
      <c r="C501" s="63" t="str">
        <f t="shared" si="251"/>
        <v/>
      </c>
      <c r="D501" s="52"/>
      <c r="E501" s="52"/>
      <c r="F501" s="52"/>
      <c r="G501" s="52"/>
      <c r="H501" s="52"/>
      <c r="I501" s="52"/>
      <c r="J501" s="203" t="str" cm="1">
        <f t="array" ref="J501">IF(J450="wstaw dane","",IF(OR(ISBLANK(F450)=TRUE,ISBLANK(G450)=TRUE),"uzupełnij dane",IF(OR((AND(F450="nie",SUMPRODUCT(ISNUMBER(K501:X501)*1)&gt;0)),AND(F450=tak,G450=nie,SUMPRODUCT(ISNUMBER(K501:X501)*1)&gt;0)),"usuń % dotacji",IF(AND(F450=tak,G450=tak,SUMPRODUCT(ISNUMBER(K501:X501)*1)=0),"wstaw % dotacji","ok"))))</f>
        <v/>
      </c>
      <c r="K501" s="408"/>
      <c r="L501" s="408"/>
      <c r="M501" s="408"/>
      <c r="N501" s="408"/>
      <c r="O501" s="408"/>
      <c r="P501" s="408"/>
      <c r="Q501" s="408"/>
      <c r="R501" s="408"/>
      <c r="S501" s="408"/>
      <c r="T501" s="408"/>
      <c r="U501" s="408"/>
      <c r="V501" s="408"/>
      <c r="W501" s="408"/>
      <c r="X501" s="408"/>
    </row>
    <row r="502" spans="2:24">
      <c r="B502" s="63" t="str">
        <f t="shared" si="251"/>
        <v/>
      </c>
      <c r="C502" s="63" t="str">
        <f t="shared" si="251"/>
        <v/>
      </c>
      <c r="D502" s="52"/>
      <c r="E502" s="52"/>
      <c r="F502" s="52"/>
      <c r="G502" s="52"/>
      <c r="H502" s="52"/>
      <c r="I502" s="52"/>
      <c r="J502" s="203" t="str" cm="1">
        <f t="array" ref="J502">IF(J451="wstaw dane","",IF(OR(ISBLANK(F451)=TRUE,ISBLANK(G451)=TRUE),"uzupełnij dane",IF(OR((AND(F451="nie",SUMPRODUCT(ISNUMBER(K502:X502)*1)&gt;0)),AND(F451=tak,G451=nie,SUMPRODUCT(ISNUMBER(K502:X502)*1)&gt;0)),"usuń % dotacji",IF(AND(F451=tak,G451=tak,SUMPRODUCT(ISNUMBER(K502:X502)*1)=0),"wstaw % dotacji","ok"))))</f>
        <v/>
      </c>
      <c r="K502" s="408"/>
      <c r="L502" s="408"/>
      <c r="M502" s="408"/>
      <c r="N502" s="408"/>
      <c r="O502" s="408"/>
      <c r="P502" s="408"/>
      <c r="Q502" s="408"/>
      <c r="R502" s="408"/>
      <c r="S502" s="408"/>
      <c r="T502" s="408"/>
      <c r="U502" s="408"/>
      <c r="V502" s="408"/>
      <c r="W502" s="408"/>
      <c r="X502" s="408"/>
    </row>
    <row r="503" spans="2:24">
      <c r="B503" s="63" t="str">
        <f t="shared" si="251"/>
        <v/>
      </c>
      <c r="C503" s="63" t="str">
        <f t="shared" si="251"/>
        <v/>
      </c>
      <c r="D503" s="52"/>
      <c r="E503" s="52"/>
      <c r="F503" s="52"/>
      <c r="G503" s="52"/>
      <c r="H503" s="52"/>
      <c r="I503" s="52"/>
      <c r="J503" s="203" t="str" cm="1">
        <f t="array" ref="J503">IF(J452="wstaw dane","",IF(OR(ISBLANK(F452)=TRUE,ISBLANK(G452)=TRUE),"uzupełnij dane",IF(OR((AND(F452="nie",SUMPRODUCT(ISNUMBER(K503:X503)*1)&gt;0)),AND(F452=tak,G452=nie,SUMPRODUCT(ISNUMBER(K503:X503)*1)&gt;0)),"usuń % dotacji",IF(AND(F452=tak,G452=tak,SUMPRODUCT(ISNUMBER(K503:X503)*1)=0),"wstaw % dotacji","ok"))))</f>
        <v/>
      </c>
      <c r="K503" s="408"/>
      <c r="L503" s="408"/>
      <c r="M503" s="408"/>
      <c r="N503" s="408"/>
      <c r="O503" s="408"/>
      <c r="P503" s="408"/>
      <c r="Q503" s="408"/>
      <c r="R503" s="408"/>
      <c r="S503" s="408"/>
      <c r="T503" s="408"/>
      <c r="U503" s="408"/>
      <c r="V503" s="408"/>
      <c r="W503" s="408"/>
      <c r="X503" s="408"/>
    </row>
    <row r="504" spans="2:24">
      <c r="B504" s="63" t="str">
        <f t="shared" si="251"/>
        <v/>
      </c>
      <c r="C504" s="63" t="str">
        <f t="shared" si="251"/>
        <v/>
      </c>
      <c r="D504" s="52"/>
      <c r="E504" s="52"/>
      <c r="F504" s="52"/>
      <c r="G504" s="52"/>
      <c r="H504" s="52"/>
      <c r="I504" s="52"/>
      <c r="J504" s="203" t="str" cm="1">
        <f t="array" ref="J504">IF(J453="wstaw dane","",IF(OR(ISBLANK(F453)=TRUE,ISBLANK(G453)=TRUE),"uzupełnij dane",IF(OR((AND(F453="nie",SUMPRODUCT(ISNUMBER(K504:X504)*1)&gt;0)),AND(F453=tak,G453=nie,SUMPRODUCT(ISNUMBER(K504:X504)*1)&gt;0)),"usuń % dotacji",IF(AND(F453=tak,G453=tak,SUMPRODUCT(ISNUMBER(K504:X504)*1)=0),"wstaw % dotacji","ok"))))</f>
        <v/>
      </c>
      <c r="K504" s="408"/>
      <c r="L504" s="408"/>
      <c r="M504" s="408"/>
      <c r="N504" s="408"/>
      <c r="O504" s="408"/>
      <c r="P504" s="408"/>
      <c r="Q504" s="408"/>
      <c r="R504" s="408"/>
      <c r="S504" s="408"/>
      <c r="T504" s="408"/>
      <c r="U504" s="408"/>
      <c r="V504" s="408"/>
      <c r="W504" s="408"/>
      <c r="X504" s="408"/>
    </row>
    <row r="505" spans="2:24">
      <c r="B505" s="63" t="str">
        <f t="shared" si="251"/>
        <v/>
      </c>
      <c r="C505" s="63" t="str">
        <f t="shared" si="251"/>
        <v/>
      </c>
      <c r="D505" s="52"/>
      <c r="E505" s="52"/>
      <c r="F505" s="52"/>
      <c r="G505" s="52"/>
      <c r="H505" s="52"/>
      <c r="I505" s="52"/>
      <c r="J505" s="203" t="str" cm="1">
        <f t="array" ref="J505">IF(J454="wstaw dane","",IF(OR(ISBLANK(F454)=TRUE,ISBLANK(G454)=TRUE),"uzupełnij dane",IF(OR((AND(F454="nie",SUMPRODUCT(ISNUMBER(K505:X505)*1)&gt;0)),AND(F454=tak,G454=nie,SUMPRODUCT(ISNUMBER(K505:X505)*1)&gt;0)),"usuń % dotacji",IF(AND(F454=tak,G454=tak,SUMPRODUCT(ISNUMBER(K505:X505)*1)=0),"wstaw % dotacji","ok"))))</f>
        <v/>
      </c>
      <c r="K505" s="408"/>
      <c r="L505" s="408"/>
      <c r="M505" s="408"/>
      <c r="N505" s="408"/>
      <c r="O505" s="408"/>
      <c r="P505" s="408"/>
      <c r="Q505" s="408"/>
      <c r="R505" s="408"/>
      <c r="S505" s="408"/>
      <c r="T505" s="408"/>
      <c r="U505" s="408"/>
      <c r="V505" s="408"/>
      <c r="W505" s="408"/>
      <c r="X505" s="408"/>
    </row>
    <row r="506" spans="2:24">
      <c r="B506" s="63" t="str">
        <f t="shared" si="251"/>
        <v/>
      </c>
      <c r="C506" s="63" t="str">
        <f t="shared" si="251"/>
        <v/>
      </c>
      <c r="D506" s="52"/>
      <c r="E506" s="52"/>
      <c r="F506" s="52"/>
      <c r="G506" s="52"/>
      <c r="H506" s="52"/>
      <c r="I506" s="52"/>
      <c r="J506" s="203" t="str" cm="1">
        <f t="array" ref="J506">IF(J455="wstaw dane","",IF(OR(ISBLANK(F455)=TRUE,ISBLANK(G455)=TRUE),"uzupełnij dane",IF(OR((AND(F455="nie",SUMPRODUCT(ISNUMBER(K506:X506)*1)&gt;0)),AND(F455=tak,G455=nie,SUMPRODUCT(ISNUMBER(K506:X506)*1)&gt;0)),"usuń % dotacji",IF(AND(F455=tak,G455=tak,SUMPRODUCT(ISNUMBER(K506:X506)*1)=0),"wstaw % dotacji","ok"))))</f>
        <v/>
      </c>
      <c r="K506" s="408"/>
      <c r="L506" s="408"/>
      <c r="M506" s="408"/>
      <c r="N506" s="408"/>
      <c r="O506" s="408"/>
      <c r="P506" s="408"/>
      <c r="Q506" s="408"/>
      <c r="R506" s="408"/>
      <c r="S506" s="408"/>
      <c r="T506" s="408"/>
      <c r="U506" s="408"/>
      <c r="V506" s="408"/>
      <c r="W506" s="408"/>
      <c r="X506" s="408"/>
    </row>
    <row r="507" spans="2:24">
      <c r="B507" s="63" t="str">
        <f t="shared" si="251"/>
        <v/>
      </c>
      <c r="C507" s="63" t="str">
        <f t="shared" si="251"/>
        <v/>
      </c>
      <c r="D507" s="52"/>
      <c r="E507" s="52"/>
      <c r="F507" s="52"/>
      <c r="G507" s="52"/>
      <c r="H507" s="52"/>
      <c r="I507" s="52"/>
      <c r="J507" s="203" t="str" cm="1">
        <f t="array" ref="J507">IF(J456="wstaw dane","",IF(OR(ISBLANK(F456)=TRUE,ISBLANK(G456)=TRUE),"uzupełnij dane",IF(OR((AND(F456="nie",SUMPRODUCT(ISNUMBER(K507:X507)*1)&gt;0)),AND(F456=tak,G456=nie,SUMPRODUCT(ISNUMBER(K507:X507)*1)&gt;0)),"usuń % dotacji",IF(AND(F456=tak,G456=tak,SUMPRODUCT(ISNUMBER(K507:X507)*1)=0),"wstaw % dotacji","ok"))))</f>
        <v/>
      </c>
      <c r="K507" s="408"/>
      <c r="L507" s="408"/>
      <c r="M507" s="408"/>
      <c r="N507" s="408"/>
      <c r="O507" s="408"/>
      <c r="P507" s="408"/>
      <c r="Q507" s="408"/>
      <c r="R507" s="408"/>
      <c r="S507" s="408"/>
      <c r="T507" s="408"/>
      <c r="U507" s="408"/>
      <c r="V507" s="408"/>
      <c r="W507" s="408"/>
      <c r="X507" s="408"/>
    </row>
    <row r="508" spans="2:24">
      <c r="B508" s="63" t="str">
        <f t="shared" si="251"/>
        <v/>
      </c>
      <c r="C508" s="63" t="str">
        <f t="shared" si="251"/>
        <v/>
      </c>
      <c r="D508" s="52"/>
      <c r="E508" s="52"/>
      <c r="F508" s="52"/>
      <c r="G508" s="52"/>
      <c r="H508" s="52"/>
      <c r="I508" s="52"/>
      <c r="J508" s="203" t="str" cm="1">
        <f t="array" ref="J508">IF(J457="wstaw dane","",IF(OR(ISBLANK(F457)=TRUE,ISBLANK(G457)=TRUE),"uzupełnij dane",IF(OR((AND(F457="nie",SUMPRODUCT(ISNUMBER(K508:X508)*1)&gt;0)),AND(F457=tak,G457=nie,SUMPRODUCT(ISNUMBER(K508:X508)*1)&gt;0)),"usuń % dotacji",IF(AND(F457=tak,G457=tak,SUMPRODUCT(ISNUMBER(K508:X508)*1)=0),"wstaw % dotacji","ok"))))</f>
        <v/>
      </c>
      <c r="K508" s="408"/>
      <c r="L508" s="408"/>
      <c r="M508" s="408"/>
      <c r="N508" s="408"/>
      <c r="O508" s="408"/>
      <c r="P508" s="408"/>
      <c r="Q508" s="408"/>
      <c r="R508" s="408"/>
      <c r="S508" s="408"/>
      <c r="T508" s="408"/>
      <c r="U508" s="408"/>
      <c r="V508" s="408"/>
      <c r="W508" s="408"/>
      <c r="X508" s="408"/>
    </row>
    <row r="509" spans="2:24">
      <c r="B509" s="63" t="str">
        <f t="shared" ref="B509:C513" si="252">IF(ISBLANK(B458),"",B458)</f>
        <v/>
      </c>
      <c r="C509" s="63" t="str">
        <f t="shared" si="252"/>
        <v/>
      </c>
      <c r="D509" s="52"/>
      <c r="E509" s="52"/>
      <c r="F509" s="52"/>
      <c r="G509" s="52"/>
      <c r="H509" s="52"/>
      <c r="I509" s="52"/>
      <c r="J509" s="203" t="str" cm="1">
        <f t="array" ref="J509">IF(J458="wstaw dane","",IF(OR(ISBLANK(F458)=TRUE,ISBLANK(G458)=TRUE),"uzupełnij dane",IF(OR((AND(F458="nie",SUMPRODUCT(ISNUMBER(K509:X509)*1)&gt;0)),AND(F458=tak,G458=nie,SUMPRODUCT(ISNUMBER(K509:X509)*1)&gt;0)),"usuń % dotacji",IF(AND(F458=tak,G458=tak,SUMPRODUCT(ISNUMBER(K509:X509)*1)=0),"wstaw % dotacji","ok"))))</f>
        <v/>
      </c>
      <c r="K509" s="408"/>
      <c r="L509" s="408"/>
      <c r="M509" s="408"/>
      <c r="N509" s="408"/>
      <c r="O509" s="408"/>
      <c r="P509" s="408"/>
      <c r="Q509" s="408"/>
      <c r="R509" s="408"/>
      <c r="S509" s="408"/>
      <c r="T509" s="408"/>
      <c r="U509" s="408"/>
      <c r="V509" s="408"/>
      <c r="W509" s="408"/>
      <c r="X509" s="408"/>
    </row>
    <row r="510" spans="2:24">
      <c r="B510" s="63" t="str">
        <f t="shared" si="252"/>
        <v/>
      </c>
      <c r="C510" s="63" t="str">
        <f t="shared" si="252"/>
        <v/>
      </c>
      <c r="D510" s="52"/>
      <c r="E510" s="52"/>
      <c r="F510" s="52"/>
      <c r="G510" s="52"/>
      <c r="H510" s="52"/>
      <c r="I510" s="52"/>
      <c r="J510" s="203" t="str" cm="1">
        <f t="array" ref="J510">IF(J459="wstaw dane","",IF(OR(ISBLANK(F459)=TRUE,ISBLANK(G459)=TRUE),"uzupełnij dane",IF(OR((AND(F459="nie",SUMPRODUCT(ISNUMBER(K510:X510)*1)&gt;0)),AND(F459=tak,G459=nie,SUMPRODUCT(ISNUMBER(K510:X510)*1)&gt;0)),"usuń % dotacji",IF(AND(F459=tak,G459=tak,SUMPRODUCT(ISNUMBER(K510:X510)*1)=0),"wstaw % dotacji","ok"))))</f>
        <v/>
      </c>
      <c r="K510" s="408"/>
      <c r="L510" s="408"/>
      <c r="M510" s="408"/>
      <c r="N510" s="408"/>
      <c r="O510" s="408"/>
      <c r="P510" s="408"/>
      <c r="Q510" s="408"/>
      <c r="R510" s="408"/>
      <c r="S510" s="408"/>
      <c r="T510" s="408"/>
      <c r="U510" s="408"/>
      <c r="V510" s="408"/>
      <c r="W510" s="408"/>
      <c r="X510" s="408"/>
    </row>
    <row r="511" spans="2:24">
      <c r="B511" s="63" t="str">
        <f t="shared" si="252"/>
        <v/>
      </c>
      <c r="C511" s="63" t="str">
        <f t="shared" si="252"/>
        <v/>
      </c>
      <c r="D511" s="52"/>
      <c r="E511" s="52"/>
      <c r="F511" s="52"/>
      <c r="G511" s="52"/>
      <c r="H511" s="52"/>
      <c r="I511" s="52"/>
      <c r="J511" s="203" t="str" cm="1">
        <f t="array" ref="J511">IF(J460="wstaw dane","",IF(OR(ISBLANK(F460)=TRUE,ISBLANK(G460)=TRUE),"uzupełnij dane",IF(OR((AND(F460="nie",SUMPRODUCT(ISNUMBER(K511:X511)*1)&gt;0)),AND(F460=tak,G460=nie,SUMPRODUCT(ISNUMBER(K511:X511)*1)&gt;0)),"usuń % dotacji",IF(AND(F460=tak,G460=tak,SUMPRODUCT(ISNUMBER(K511:X511)*1)=0),"wstaw % dotacji","ok"))))</f>
        <v/>
      </c>
      <c r="K511" s="408"/>
      <c r="L511" s="408"/>
      <c r="M511" s="408"/>
      <c r="N511" s="408"/>
      <c r="O511" s="408"/>
      <c r="P511" s="408"/>
      <c r="Q511" s="408"/>
      <c r="R511" s="408"/>
      <c r="S511" s="408"/>
      <c r="T511" s="408"/>
      <c r="U511" s="408"/>
      <c r="V511" s="408"/>
      <c r="W511" s="408"/>
      <c r="X511" s="408"/>
    </row>
    <row r="512" spans="2:24">
      <c r="B512" s="63" t="str">
        <f t="shared" si="252"/>
        <v/>
      </c>
      <c r="C512" s="63" t="str">
        <f t="shared" si="252"/>
        <v/>
      </c>
      <c r="D512" s="52"/>
      <c r="E512" s="52"/>
      <c r="F512" s="52"/>
      <c r="G512" s="52"/>
      <c r="H512" s="52"/>
      <c r="I512" s="52"/>
      <c r="J512" s="203" t="str" cm="1">
        <f t="array" ref="J512">IF(J461="wstaw dane","",IF(OR(ISBLANK(F461)=TRUE,ISBLANK(G461)=TRUE),"uzupełnij dane",IF(OR((AND(F461="nie",SUMPRODUCT(ISNUMBER(K512:X512)*1)&gt;0)),AND(F461=tak,G461=nie,SUMPRODUCT(ISNUMBER(K512:X512)*1)&gt;0)),"usuń % dotacji",IF(AND(F461=tak,G461=tak,SUMPRODUCT(ISNUMBER(K512:X512)*1)=0),"wstaw % dotacji","ok"))))</f>
        <v/>
      </c>
      <c r="K512" s="408"/>
      <c r="L512" s="408"/>
      <c r="M512" s="408"/>
      <c r="N512" s="408"/>
      <c r="O512" s="408"/>
      <c r="P512" s="408"/>
      <c r="Q512" s="408"/>
      <c r="R512" s="408"/>
      <c r="S512" s="408"/>
      <c r="T512" s="408"/>
      <c r="U512" s="408"/>
      <c r="V512" s="408"/>
      <c r="W512" s="408"/>
      <c r="X512" s="408"/>
    </row>
    <row r="513" spans="2:24">
      <c r="B513" s="63" t="str">
        <f t="shared" si="252"/>
        <v/>
      </c>
      <c r="C513" s="63" t="str">
        <f t="shared" si="252"/>
        <v/>
      </c>
      <c r="D513" s="52"/>
      <c r="E513" s="52"/>
      <c r="F513" s="52"/>
      <c r="G513" s="52"/>
      <c r="H513" s="52"/>
      <c r="I513" s="52"/>
      <c r="J513" s="203" t="str" cm="1">
        <f t="array" ref="J513">IF(J462="wstaw dane","",IF(OR(ISBLANK(F462)=TRUE,ISBLANK(G462)=TRUE),"uzupełnij dane",IF(OR((AND(F462="nie",SUMPRODUCT(ISNUMBER(K513:X513)*1)&gt;0)),AND(F462=tak,G462=nie,SUMPRODUCT(ISNUMBER(K513:X513)*1)&gt;0)),"usuń % dotacji",IF(AND(F462=tak,G462=tak,SUMPRODUCT(ISNUMBER(K513:X513)*1)=0),"wstaw % dotacji","ok"))))</f>
        <v/>
      </c>
      <c r="K513" s="408"/>
      <c r="L513" s="408"/>
      <c r="M513" s="408"/>
      <c r="N513" s="408"/>
      <c r="O513" s="408"/>
      <c r="P513" s="408"/>
      <c r="Q513" s="408"/>
      <c r="R513" s="408"/>
      <c r="S513" s="408"/>
      <c r="T513" s="408"/>
      <c r="U513" s="408"/>
      <c r="V513" s="408"/>
      <c r="W513" s="408"/>
      <c r="X513" s="408"/>
    </row>
    <row r="514" spans="2:24"/>
    <row r="515" spans="2:24">
      <c r="B515" s="189" t="s">
        <v>681</v>
      </c>
      <c r="C515" s="396"/>
      <c r="D515" s="190"/>
      <c r="E515" s="191"/>
      <c r="F515" s="191"/>
      <c r="G515" s="191"/>
      <c r="H515" s="191"/>
      <c r="I515" s="191"/>
      <c r="J515" s="191"/>
      <c r="K515" s="555"/>
      <c r="L515" s="556"/>
      <c r="M515" s="556"/>
      <c r="N515" s="556"/>
      <c r="O515" s="556"/>
      <c r="P515" s="556"/>
      <c r="Q515" s="556"/>
      <c r="R515" s="556"/>
      <c r="S515" s="556"/>
      <c r="T515" s="556"/>
      <c r="U515" s="556"/>
      <c r="V515" s="556"/>
      <c r="W515" s="556"/>
      <c r="X515" s="556"/>
    </row>
    <row r="516" spans="2:24">
      <c r="B516" s="63" t="str">
        <f t="shared" ref="B516:C535" si="253">B469</f>
        <v/>
      </c>
      <c r="C516" s="63" t="str">
        <f t="shared" si="253"/>
        <v/>
      </c>
      <c r="D516" s="102"/>
      <c r="E516" s="102"/>
      <c r="F516" s="102"/>
      <c r="G516" s="102"/>
      <c r="H516" s="102"/>
      <c r="I516" s="102"/>
      <c r="J516" s="202" t="str">
        <f>J469</f>
        <v/>
      </c>
      <c r="K516" s="103">
        <f t="shared" ref="K516:X516" si="254">IF(ISBLANK(K469),0,K1557)</f>
        <v>0</v>
      </c>
      <c r="L516" s="103">
        <f t="shared" si="254"/>
        <v>0</v>
      </c>
      <c r="M516" s="103">
        <f t="shared" si="254"/>
        <v>0</v>
      </c>
      <c r="N516" s="103">
        <f t="shared" si="254"/>
        <v>0</v>
      </c>
      <c r="O516" s="103">
        <f t="shared" si="254"/>
        <v>0</v>
      </c>
      <c r="P516" s="103">
        <f t="shared" si="254"/>
        <v>0</v>
      </c>
      <c r="Q516" s="103">
        <f t="shared" si="254"/>
        <v>0</v>
      </c>
      <c r="R516" s="103">
        <f t="shared" si="254"/>
        <v>0</v>
      </c>
      <c r="S516" s="103">
        <f t="shared" si="254"/>
        <v>0</v>
      </c>
      <c r="T516" s="103">
        <f t="shared" si="254"/>
        <v>0</v>
      </c>
      <c r="U516" s="103">
        <f t="shared" si="254"/>
        <v>0</v>
      </c>
      <c r="V516" s="103">
        <f t="shared" si="254"/>
        <v>0</v>
      </c>
      <c r="W516" s="103">
        <f t="shared" si="254"/>
        <v>0</v>
      </c>
      <c r="X516" s="103">
        <f t="shared" si="254"/>
        <v>0</v>
      </c>
    </row>
    <row r="517" spans="2:24">
      <c r="B517" s="63" t="str">
        <f t="shared" si="253"/>
        <v/>
      </c>
      <c r="C517" s="63" t="str">
        <f t="shared" si="253"/>
        <v/>
      </c>
      <c r="D517" s="52"/>
      <c r="E517" s="52"/>
      <c r="F517" s="52"/>
      <c r="G517" s="52"/>
      <c r="H517" s="52"/>
      <c r="I517" s="52"/>
      <c r="J517" s="203" t="str">
        <f>J470</f>
        <v/>
      </c>
      <c r="K517" s="33">
        <f t="shared" ref="K517:X517" si="255">IF(ISBLANK(K470),0,K1564)</f>
        <v>0</v>
      </c>
      <c r="L517" s="33">
        <f t="shared" si="255"/>
        <v>0</v>
      </c>
      <c r="M517" s="33">
        <f t="shared" si="255"/>
        <v>0</v>
      </c>
      <c r="N517" s="33">
        <f t="shared" si="255"/>
        <v>0</v>
      </c>
      <c r="O517" s="33">
        <f t="shared" si="255"/>
        <v>0</v>
      </c>
      <c r="P517" s="33">
        <f t="shared" si="255"/>
        <v>0</v>
      </c>
      <c r="Q517" s="33">
        <f t="shared" si="255"/>
        <v>0</v>
      </c>
      <c r="R517" s="33">
        <f t="shared" si="255"/>
        <v>0</v>
      </c>
      <c r="S517" s="33">
        <f t="shared" si="255"/>
        <v>0</v>
      </c>
      <c r="T517" s="33">
        <f t="shared" si="255"/>
        <v>0</v>
      </c>
      <c r="U517" s="33">
        <f t="shared" si="255"/>
        <v>0</v>
      </c>
      <c r="V517" s="33">
        <f t="shared" si="255"/>
        <v>0</v>
      </c>
      <c r="W517" s="33">
        <f t="shared" si="255"/>
        <v>0</v>
      </c>
      <c r="X517" s="33">
        <f t="shared" si="255"/>
        <v>0</v>
      </c>
    </row>
    <row r="518" spans="2:24">
      <c r="B518" s="63" t="str">
        <f t="shared" si="253"/>
        <v/>
      </c>
      <c r="C518" s="63" t="str">
        <f t="shared" si="253"/>
        <v/>
      </c>
      <c r="D518" s="52"/>
      <c r="E518" s="52"/>
      <c r="F518" s="52"/>
      <c r="G518" s="52"/>
      <c r="H518" s="52"/>
      <c r="I518" s="52"/>
      <c r="J518" s="203" t="str">
        <f t="shared" ref="J518:J560" si="256">J471</f>
        <v/>
      </c>
      <c r="K518" s="33">
        <f t="shared" ref="K518:X518" si="257">IF(ISBLANK(K471),0,K1571)</f>
        <v>0</v>
      </c>
      <c r="L518" s="33">
        <f t="shared" si="257"/>
        <v>0</v>
      </c>
      <c r="M518" s="33">
        <f t="shared" si="257"/>
        <v>0</v>
      </c>
      <c r="N518" s="33">
        <f t="shared" si="257"/>
        <v>0</v>
      </c>
      <c r="O518" s="33">
        <f t="shared" si="257"/>
        <v>0</v>
      </c>
      <c r="P518" s="33">
        <f t="shared" si="257"/>
        <v>0</v>
      </c>
      <c r="Q518" s="33">
        <f t="shared" si="257"/>
        <v>0</v>
      </c>
      <c r="R518" s="33">
        <f t="shared" si="257"/>
        <v>0</v>
      </c>
      <c r="S518" s="33">
        <f t="shared" si="257"/>
        <v>0</v>
      </c>
      <c r="T518" s="33">
        <f t="shared" si="257"/>
        <v>0</v>
      </c>
      <c r="U518" s="33">
        <f t="shared" si="257"/>
        <v>0</v>
      </c>
      <c r="V518" s="33">
        <f t="shared" si="257"/>
        <v>0</v>
      </c>
      <c r="W518" s="33">
        <f t="shared" si="257"/>
        <v>0</v>
      </c>
      <c r="X518" s="33">
        <f t="shared" si="257"/>
        <v>0</v>
      </c>
    </row>
    <row r="519" spans="2:24">
      <c r="B519" s="63" t="str">
        <f t="shared" si="253"/>
        <v/>
      </c>
      <c r="C519" s="63" t="str">
        <f t="shared" si="253"/>
        <v/>
      </c>
      <c r="D519" s="52"/>
      <c r="E519" s="52"/>
      <c r="F519" s="52"/>
      <c r="G519" s="52"/>
      <c r="H519" s="52"/>
      <c r="I519" s="52"/>
      <c r="J519" s="203" t="str">
        <f t="shared" si="256"/>
        <v/>
      </c>
      <c r="K519" s="33">
        <f t="shared" ref="K519:X519" si="258">IF(ISBLANK(K472),0,K1578)</f>
        <v>0</v>
      </c>
      <c r="L519" s="33">
        <f t="shared" si="258"/>
        <v>0</v>
      </c>
      <c r="M519" s="33">
        <f t="shared" si="258"/>
        <v>0</v>
      </c>
      <c r="N519" s="33">
        <f t="shared" si="258"/>
        <v>0</v>
      </c>
      <c r="O519" s="33">
        <f t="shared" si="258"/>
        <v>0</v>
      </c>
      <c r="P519" s="33">
        <f t="shared" si="258"/>
        <v>0</v>
      </c>
      <c r="Q519" s="33">
        <f t="shared" si="258"/>
        <v>0</v>
      </c>
      <c r="R519" s="33">
        <f t="shared" si="258"/>
        <v>0</v>
      </c>
      <c r="S519" s="33">
        <f t="shared" si="258"/>
        <v>0</v>
      </c>
      <c r="T519" s="33">
        <f t="shared" si="258"/>
        <v>0</v>
      </c>
      <c r="U519" s="33">
        <f t="shared" si="258"/>
        <v>0</v>
      </c>
      <c r="V519" s="33">
        <f t="shared" si="258"/>
        <v>0</v>
      </c>
      <c r="W519" s="33">
        <f t="shared" si="258"/>
        <v>0</v>
      </c>
      <c r="X519" s="33">
        <f t="shared" si="258"/>
        <v>0</v>
      </c>
    </row>
    <row r="520" spans="2:24">
      <c r="B520" s="63" t="str">
        <f t="shared" si="253"/>
        <v/>
      </c>
      <c r="C520" s="63" t="str">
        <f t="shared" si="253"/>
        <v/>
      </c>
      <c r="D520" s="52"/>
      <c r="E520" s="52"/>
      <c r="F520" s="52"/>
      <c r="G520" s="52"/>
      <c r="H520" s="52"/>
      <c r="I520" s="52"/>
      <c r="J520" s="203" t="str">
        <f t="shared" si="256"/>
        <v/>
      </c>
      <c r="K520" s="33">
        <f t="shared" ref="K520:X520" si="259">IF(ISBLANK(K473),0,K1585)</f>
        <v>0</v>
      </c>
      <c r="L520" s="33">
        <f t="shared" si="259"/>
        <v>0</v>
      </c>
      <c r="M520" s="33">
        <f t="shared" si="259"/>
        <v>0</v>
      </c>
      <c r="N520" s="33">
        <f t="shared" si="259"/>
        <v>0</v>
      </c>
      <c r="O520" s="33">
        <f t="shared" si="259"/>
        <v>0</v>
      </c>
      <c r="P520" s="33">
        <f t="shared" si="259"/>
        <v>0</v>
      </c>
      <c r="Q520" s="33">
        <f t="shared" si="259"/>
        <v>0</v>
      </c>
      <c r="R520" s="33">
        <f t="shared" si="259"/>
        <v>0</v>
      </c>
      <c r="S520" s="33">
        <f t="shared" si="259"/>
        <v>0</v>
      </c>
      <c r="T520" s="33">
        <f t="shared" si="259"/>
        <v>0</v>
      </c>
      <c r="U520" s="33">
        <f t="shared" si="259"/>
        <v>0</v>
      </c>
      <c r="V520" s="33">
        <f t="shared" si="259"/>
        <v>0</v>
      </c>
      <c r="W520" s="33">
        <f t="shared" si="259"/>
        <v>0</v>
      </c>
      <c r="X520" s="33">
        <f t="shared" si="259"/>
        <v>0</v>
      </c>
    </row>
    <row r="521" spans="2:24">
      <c r="B521" s="63" t="str">
        <f t="shared" si="253"/>
        <v/>
      </c>
      <c r="C521" s="63" t="str">
        <f t="shared" si="253"/>
        <v/>
      </c>
      <c r="D521" s="52"/>
      <c r="E521" s="52"/>
      <c r="F521" s="52"/>
      <c r="G521" s="52"/>
      <c r="H521" s="52"/>
      <c r="I521" s="52"/>
      <c r="J521" s="203" t="str">
        <f t="shared" si="256"/>
        <v/>
      </c>
      <c r="K521" s="33">
        <f t="shared" ref="K521:X521" si="260">IF(ISBLANK(K474),0,K1592)</f>
        <v>0</v>
      </c>
      <c r="L521" s="33">
        <f t="shared" si="260"/>
        <v>0</v>
      </c>
      <c r="M521" s="33">
        <f t="shared" si="260"/>
        <v>0</v>
      </c>
      <c r="N521" s="33">
        <f t="shared" si="260"/>
        <v>0</v>
      </c>
      <c r="O521" s="33">
        <f t="shared" si="260"/>
        <v>0</v>
      </c>
      <c r="P521" s="33">
        <f t="shared" si="260"/>
        <v>0</v>
      </c>
      <c r="Q521" s="33">
        <f t="shared" si="260"/>
        <v>0</v>
      </c>
      <c r="R521" s="33">
        <f t="shared" si="260"/>
        <v>0</v>
      </c>
      <c r="S521" s="33">
        <f t="shared" si="260"/>
        <v>0</v>
      </c>
      <c r="T521" s="33">
        <f t="shared" si="260"/>
        <v>0</v>
      </c>
      <c r="U521" s="33">
        <f t="shared" si="260"/>
        <v>0</v>
      </c>
      <c r="V521" s="33">
        <f t="shared" si="260"/>
        <v>0</v>
      </c>
      <c r="W521" s="33">
        <f t="shared" si="260"/>
        <v>0</v>
      </c>
      <c r="X521" s="33">
        <f t="shared" si="260"/>
        <v>0</v>
      </c>
    </row>
    <row r="522" spans="2:24">
      <c r="B522" s="63" t="str">
        <f t="shared" si="253"/>
        <v/>
      </c>
      <c r="C522" s="63" t="str">
        <f t="shared" si="253"/>
        <v/>
      </c>
      <c r="D522" s="52"/>
      <c r="E522" s="52"/>
      <c r="F522" s="52"/>
      <c r="G522" s="52"/>
      <c r="H522" s="52"/>
      <c r="I522" s="52"/>
      <c r="J522" s="203" t="str">
        <f t="shared" si="256"/>
        <v/>
      </c>
      <c r="K522" s="33">
        <f t="shared" ref="K522:X522" si="261">IF(ISBLANK(K475),0,K1599)</f>
        <v>0</v>
      </c>
      <c r="L522" s="33">
        <f t="shared" si="261"/>
        <v>0</v>
      </c>
      <c r="M522" s="33">
        <f t="shared" si="261"/>
        <v>0</v>
      </c>
      <c r="N522" s="33">
        <f t="shared" si="261"/>
        <v>0</v>
      </c>
      <c r="O522" s="33">
        <f t="shared" si="261"/>
        <v>0</v>
      </c>
      <c r="P522" s="33">
        <f t="shared" si="261"/>
        <v>0</v>
      </c>
      <c r="Q522" s="33">
        <f t="shared" si="261"/>
        <v>0</v>
      </c>
      <c r="R522" s="33">
        <f t="shared" si="261"/>
        <v>0</v>
      </c>
      <c r="S522" s="33">
        <f t="shared" si="261"/>
        <v>0</v>
      </c>
      <c r="T522" s="33">
        <f t="shared" si="261"/>
        <v>0</v>
      </c>
      <c r="U522" s="33">
        <f t="shared" si="261"/>
        <v>0</v>
      </c>
      <c r="V522" s="33">
        <f t="shared" si="261"/>
        <v>0</v>
      </c>
      <c r="W522" s="33">
        <f t="shared" si="261"/>
        <v>0</v>
      </c>
      <c r="X522" s="33">
        <f t="shared" si="261"/>
        <v>0</v>
      </c>
    </row>
    <row r="523" spans="2:24">
      <c r="B523" s="63" t="str">
        <f t="shared" si="253"/>
        <v/>
      </c>
      <c r="C523" s="63" t="str">
        <f t="shared" si="253"/>
        <v/>
      </c>
      <c r="D523" s="52"/>
      <c r="E523" s="52"/>
      <c r="F523" s="52"/>
      <c r="G523" s="52"/>
      <c r="H523" s="52"/>
      <c r="I523" s="52"/>
      <c r="J523" s="203" t="str">
        <f t="shared" si="256"/>
        <v/>
      </c>
      <c r="K523" s="33">
        <f t="shared" ref="K523:X523" si="262">IF(ISBLANK(K476),0,K1606)</f>
        <v>0</v>
      </c>
      <c r="L523" s="33">
        <f t="shared" si="262"/>
        <v>0</v>
      </c>
      <c r="M523" s="33">
        <f t="shared" si="262"/>
        <v>0</v>
      </c>
      <c r="N523" s="33">
        <f t="shared" si="262"/>
        <v>0</v>
      </c>
      <c r="O523" s="33">
        <f t="shared" si="262"/>
        <v>0</v>
      </c>
      <c r="P523" s="33">
        <f t="shared" si="262"/>
        <v>0</v>
      </c>
      <c r="Q523" s="33">
        <f t="shared" si="262"/>
        <v>0</v>
      </c>
      <c r="R523" s="33">
        <f t="shared" si="262"/>
        <v>0</v>
      </c>
      <c r="S523" s="33">
        <f t="shared" si="262"/>
        <v>0</v>
      </c>
      <c r="T523" s="33">
        <f t="shared" si="262"/>
        <v>0</v>
      </c>
      <c r="U523" s="33">
        <f t="shared" si="262"/>
        <v>0</v>
      </c>
      <c r="V523" s="33">
        <f t="shared" si="262"/>
        <v>0</v>
      </c>
      <c r="W523" s="33">
        <f t="shared" si="262"/>
        <v>0</v>
      </c>
      <c r="X523" s="33">
        <f t="shared" si="262"/>
        <v>0</v>
      </c>
    </row>
    <row r="524" spans="2:24">
      <c r="B524" s="63" t="str">
        <f t="shared" si="253"/>
        <v/>
      </c>
      <c r="C524" s="63" t="str">
        <f t="shared" si="253"/>
        <v/>
      </c>
      <c r="D524" s="52"/>
      <c r="E524" s="52"/>
      <c r="F524" s="52"/>
      <c r="G524" s="52"/>
      <c r="H524" s="52"/>
      <c r="I524" s="52"/>
      <c r="J524" s="203" t="str">
        <f t="shared" si="256"/>
        <v/>
      </c>
      <c r="K524" s="33">
        <f t="shared" ref="K524:X524" si="263">IF(ISBLANK(K477),0,K1613)</f>
        <v>0</v>
      </c>
      <c r="L524" s="33">
        <f t="shared" si="263"/>
        <v>0</v>
      </c>
      <c r="M524" s="33">
        <f t="shared" si="263"/>
        <v>0</v>
      </c>
      <c r="N524" s="33">
        <f t="shared" si="263"/>
        <v>0</v>
      </c>
      <c r="O524" s="33">
        <f t="shared" si="263"/>
        <v>0</v>
      </c>
      <c r="P524" s="33">
        <f t="shared" si="263"/>
        <v>0</v>
      </c>
      <c r="Q524" s="33">
        <f t="shared" si="263"/>
        <v>0</v>
      </c>
      <c r="R524" s="33">
        <f t="shared" si="263"/>
        <v>0</v>
      </c>
      <c r="S524" s="33">
        <f t="shared" si="263"/>
        <v>0</v>
      </c>
      <c r="T524" s="33">
        <f t="shared" si="263"/>
        <v>0</v>
      </c>
      <c r="U524" s="33">
        <f t="shared" si="263"/>
        <v>0</v>
      </c>
      <c r="V524" s="33">
        <f t="shared" si="263"/>
        <v>0</v>
      </c>
      <c r="W524" s="33">
        <f t="shared" si="263"/>
        <v>0</v>
      </c>
      <c r="X524" s="33">
        <f t="shared" si="263"/>
        <v>0</v>
      </c>
    </row>
    <row r="525" spans="2:24">
      <c r="B525" s="63" t="str">
        <f t="shared" si="253"/>
        <v/>
      </c>
      <c r="C525" s="63" t="str">
        <f t="shared" si="253"/>
        <v/>
      </c>
      <c r="D525" s="52"/>
      <c r="E525" s="52"/>
      <c r="F525" s="52"/>
      <c r="G525" s="52"/>
      <c r="H525" s="52"/>
      <c r="I525" s="52"/>
      <c r="J525" s="203" t="str">
        <f t="shared" si="256"/>
        <v/>
      </c>
      <c r="K525" s="33">
        <f t="shared" ref="K525:X525" si="264">IF(ISBLANK(K478),0,K1620)</f>
        <v>0</v>
      </c>
      <c r="L525" s="33">
        <f t="shared" si="264"/>
        <v>0</v>
      </c>
      <c r="M525" s="33">
        <f t="shared" si="264"/>
        <v>0</v>
      </c>
      <c r="N525" s="33">
        <f t="shared" si="264"/>
        <v>0</v>
      </c>
      <c r="O525" s="33">
        <f t="shared" si="264"/>
        <v>0</v>
      </c>
      <c r="P525" s="33">
        <f t="shared" si="264"/>
        <v>0</v>
      </c>
      <c r="Q525" s="33">
        <f t="shared" si="264"/>
        <v>0</v>
      </c>
      <c r="R525" s="33">
        <f t="shared" si="264"/>
        <v>0</v>
      </c>
      <c r="S525" s="33">
        <f t="shared" si="264"/>
        <v>0</v>
      </c>
      <c r="T525" s="33">
        <f t="shared" si="264"/>
        <v>0</v>
      </c>
      <c r="U525" s="33">
        <f t="shared" si="264"/>
        <v>0</v>
      </c>
      <c r="V525" s="33">
        <f t="shared" si="264"/>
        <v>0</v>
      </c>
      <c r="W525" s="33">
        <f t="shared" si="264"/>
        <v>0</v>
      </c>
      <c r="X525" s="33">
        <f t="shared" si="264"/>
        <v>0</v>
      </c>
    </row>
    <row r="526" spans="2:24">
      <c r="B526" s="63" t="str">
        <f t="shared" si="253"/>
        <v/>
      </c>
      <c r="C526" s="63" t="str">
        <f t="shared" si="253"/>
        <v/>
      </c>
      <c r="D526" s="52"/>
      <c r="E526" s="52"/>
      <c r="F526" s="52"/>
      <c r="G526" s="52"/>
      <c r="H526" s="52"/>
      <c r="I526" s="52"/>
      <c r="J526" s="203" t="str">
        <f t="shared" si="256"/>
        <v/>
      </c>
      <c r="K526" s="33">
        <f t="shared" ref="K526:X526" si="265">IF(ISBLANK(K479),0,K1627)</f>
        <v>0</v>
      </c>
      <c r="L526" s="33">
        <f t="shared" si="265"/>
        <v>0</v>
      </c>
      <c r="M526" s="33">
        <f t="shared" si="265"/>
        <v>0</v>
      </c>
      <c r="N526" s="33">
        <f t="shared" si="265"/>
        <v>0</v>
      </c>
      <c r="O526" s="33">
        <f t="shared" si="265"/>
        <v>0</v>
      </c>
      <c r="P526" s="33">
        <f t="shared" si="265"/>
        <v>0</v>
      </c>
      <c r="Q526" s="33">
        <f t="shared" si="265"/>
        <v>0</v>
      </c>
      <c r="R526" s="33">
        <f t="shared" si="265"/>
        <v>0</v>
      </c>
      <c r="S526" s="33">
        <f t="shared" si="265"/>
        <v>0</v>
      </c>
      <c r="T526" s="33">
        <f t="shared" si="265"/>
        <v>0</v>
      </c>
      <c r="U526" s="33">
        <f t="shared" si="265"/>
        <v>0</v>
      </c>
      <c r="V526" s="33">
        <f t="shared" si="265"/>
        <v>0</v>
      </c>
      <c r="W526" s="33">
        <f t="shared" si="265"/>
        <v>0</v>
      </c>
      <c r="X526" s="33">
        <f t="shared" si="265"/>
        <v>0</v>
      </c>
    </row>
    <row r="527" spans="2:24">
      <c r="B527" s="63" t="str">
        <f t="shared" si="253"/>
        <v/>
      </c>
      <c r="C527" s="63" t="str">
        <f t="shared" si="253"/>
        <v/>
      </c>
      <c r="D527" s="52"/>
      <c r="E527" s="52"/>
      <c r="F527" s="52"/>
      <c r="G527" s="52"/>
      <c r="H527" s="52"/>
      <c r="I527" s="52"/>
      <c r="J527" s="203" t="str">
        <f t="shared" si="256"/>
        <v/>
      </c>
      <c r="K527" s="33">
        <f t="shared" ref="K527:X527" si="266">IF(ISBLANK(K480),0,K1634)</f>
        <v>0</v>
      </c>
      <c r="L527" s="33">
        <f t="shared" si="266"/>
        <v>0</v>
      </c>
      <c r="M527" s="33">
        <f t="shared" si="266"/>
        <v>0</v>
      </c>
      <c r="N527" s="33">
        <f t="shared" si="266"/>
        <v>0</v>
      </c>
      <c r="O527" s="33">
        <f t="shared" si="266"/>
        <v>0</v>
      </c>
      <c r="P527" s="33">
        <f t="shared" si="266"/>
        <v>0</v>
      </c>
      <c r="Q527" s="33">
        <f t="shared" si="266"/>
        <v>0</v>
      </c>
      <c r="R527" s="33">
        <f t="shared" si="266"/>
        <v>0</v>
      </c>
      <c r="S527" s="33">
        <f t="shared" si="266"/>
        <v>0</v>
      </c>
      <c r="T527" s="33">
        <f t="shared" si="266"/>
        <v>0</v>
      </c>
      <c r="U527" s="33">
        <f t="shared" si="266"/>
        <v>0</v>
      </c>
      <c r="V527" s="33">
        <f t="shared" si="266"/>
        <v>0</v>
      </c>
      <c r="W527" s="33">
        <f t="shared" si="266"/>
        <v>0</v>
      </c>
      <c r="X527" s="33">
        <f t="shared" si="266"/>
        <v>0</v>
      </c>
    </row>
    <row r="528" spans="2:24">
      <c r="B528" s="63" t="str">
        <f t="shared" si="253"/>
        <v/>
      </c>
      <c r="C528" s="63" t="str">
        <f t="shared" si="253"/>
        <v/>
      </c>
      <c r="D528" s="52"/>
      <c r="E528" s="52"/>
      <c r="F528" s="52"/>
      <c r="G528" s="52"/>
      <c r="H528" s="52"/>
      <c r="I528" s="52"/>
      <c r="J528" s="203" t="str">
        <f t="shared" si="256"/>
        <v/>
      </c>
      <c r="K528" s="33">
        <f t="shared" ref="K528:X528" si="267">IF(ISBLANK(K481),0,K1641)</f>
        <v>0</v>
      </c>
      <c r="L528" s="33">
        <f t="shared" si="267"/>
        <v>0</v>
      </c>
      <c r="M528" s="33">
        <f t="shared" si="267"/>
        <v>0</v>
      </c>
      <c r="N528" s="33">
        <f t="shared" si="267"/>
        <v>0</v>
      </c>
      <c r="O528" s="33">
        <f t="shared" si="267"/>
        <v>0</v>
      </c>
      <c r="P528" s="33">
        <f t="shared" si="267"/>
        <v>0</v>
      </c>
      <c r="Q528" s="33">
        <f t="shared" si="267"/>
        <v>0</v>
      </c>
      <c r="R528" s="33">
        <f t="shared" si="267"/>
        <v>0</v>
      </c>
      <c r="S528" s="33">
        <f t="shared" si="267"/>
        <v>0</v>
      </c>
      <c r="T528" s="33">
        <f t="shared" si="267"/>
        <v>0</v>
      </c>
      <c r="U528" s="33">
        <f t="shared" si="267"/>
        <v>0</v>
      </c>
      <c r="V528" s="33">
        <f t="shared" si="267"/>
        <v>0</v>
      </c>
      <c r="W528" s="33">
        <f t="shared" si="267"/>
        <v>0</v>
      </c>
      <c r="X528" s="33">
        <f t="shared" si="267"/>
        <v>0</v>
      </c>
    </row>
    <row r="529" spans="2:24">
      <c r="B529" s="63" t="str">
        <f t="shared" si="253"/>
        <v/>
      </c>
      <c r="C529" s="63" t="str">
        <f t="shared" si="253"/>
        <v/>
      </c>
      <c r="D529" s="52"/>
      <c r="E529" s="52"/>
      <c r="F529" s="52"/>
      <c r="G529" s="52"/>
      <c r="H529" s="52"/>
      <c r="I529" s="52"/>
      <c r="J529" s="203" t="str">
        <f t="shared" si="256"/>
        <v/>
      </c>
      <c r="K529" s="33">
        <f t="shared" ref="K529:X529" si="268">IF(ISBLANK(K482),0,K1648)</f>
        <v>0</v>
      </c>
      <c r="L529" s="33">
        <f t="shared" si="268"/>
        <v>0</v>
      </c>
      <c r="M529" s="33">
        <f t="shared" si="268"/>
        <v>0</v>
      </c>
      <c r="N529" s="33">
        <f t="shared" si="268"/>
        <v>0</v>
      </c>
      <c r="O529" s="33">
        <f t="shared" si="268"/>
        <v>0</v>
      </c>
      <c r="P529" s="33">
        <f t="shared" si="268"/>
        <v>0</v>
      </c>
      <c r="Q529" s="33">
        <f t="shared" si="268"/>
        <v>0</v>
      </c>
      <c r="R529" s="33">
        <f t="shared" si="268"/>
        <v>0</v>
      </c>
      <c r="S529" s="33">
        <f t="shared" si="268"/>
        <v>0</v>
      </c>
      <c r="T529" s="33">
        <f t="shared" si="268"/>
        <v>0</v>
      </c>
      <c r="U529" s="33">
        <f t="shared" si="268"/>
        <v>0</v>
      </c>
      <c r="V529" s="33">
        <f t="shared" si="268"/>
        <v>0</v>
      </c>
      <c r="W529" s="33">
        <f t="shared" si="268"/>
        <v>0</v>
      </c>
      <c r="X529" s="33">
        <f t="shared" si="268"/>
        <v>0</v>
      </c>
    </row>
    <row r="530" spans="2:24">
      <c r="B530" s="63" t="str">
        <f t="shared" si="253"/>
        <v/>
      </c>
      <c r="C530" s="63" t="str">
        <f t="shared" si="253"/>
        <v/>
      </c>
      <c r="D530" s="52"/>
      <c r="E530" s="52"/>
      <c r="F530" s="52"/>
      <c r="G530" s="52"/>
      <c r="H530" s="52"/>
      <c r="I530" s="52"/>
      <c r="J530" s="203" t="str">
        <f t="shared" si="256"/>
        <v/>
      </c>
      <c r="K530" s="33">
        <f t="shared" ref="K530:X530" si="269">IF(ISBLANK(K483),0,K1655)</f>
        <v>0</v>
      </c>
      <c r="L530" s="33">
        <f t="shared" si="269"/>
        <v>0</v>
      </c>
      <c r="M530" s="33">
        <f t="shared" si="269"/>
        <v>0</v>
      </c>
      <c r="N530" s="33">
        <f t="shared" si="269"/>
        <v>0</v>
      </c>
      <c r="O530" s="33">
        <f t="shared" si="269"/>
        <v>0</v>
      </c>
      <c r="P530" s="33">
        <f t="shared" si="269"/>
        <v>0</v>
      </c>
      <c r="Q530" s="33">
        <f t="shared" si="269"/>
        <v>0</v>
      </c>
      <c r="R530" s="33">
        <f t="shared" si="269"/>
        <v>0</v>
      </c>
      <c r="S530" s="33">
        <f t="shared" si="269"/>
        <v>0</v>
      </c>
      <c r="T530" s="33">
        <f t="shared" si="269"/>
        <v>0</v>
      </c>
      <c r="U530" s="33">
        <f t="shared" si="269"/>
        <v>0</v>
      </c>
      <c r="V530" s="33">
        <f t="shared" si="269"/>
        <v>0</v>
      </c>
      <c r="W530" s="33">
        <f t="shared" si="269"/>
        <v>0</v>
      </c>
      <c r="X530" s="33">
        <f t="shared" si="269"/>
        <v>0</v>
      </c>
    </row>
    <row r="531" spans="2:24">
      <c r="B531" s="63" t="str">
        <f t="shared" si="253"/>
        <v/>
      </c>
      <c r="C531" s="63" t="str">
        <f t="shared" si="253"/>
        <v/>
      </c>
      <c r="D531" s="52"/>
      <c r="E531" s="52"/>
      <c r="F531" s="52"/>
      <c r="G531" s="52"/>
      <c r="H531" s="52"/>
      <c r="I531" s="52"/>
      <c r="J531" s="203" t="str">
        <f t="shared" si="256"/>
        <v/>
      </c>
      <c r="K531" s="33">
        <f t="shared" ref="K531:X531" si="270">IF(ISBLANK(K484),0,K1662)</f>
        <v>0</v>
      </c>
      <c r="L531" s="33">
        <f t="shared" si="270"/>
        <v>0</v>
      </c>
      <c r="M531" s="33">
        <f t="shared" si="270"/>
        <v>0</v>
      </c>
      <c r="N531" s="33">
        <f t="shared" si="270"/>
        <v>0</v>
      </c>
      <c r="O531" s="33">
        <f t="shared" si="270"/>
        <v>0</v>
      </c>
      <c r="P531" s="33">
        <f t="shared" si="270"/>
        <v>0</v>
      </c>
      <c r="Q531" s="33">
        <f t="shared" si="270"/>
        <v>0</v>
      </c>
      <c r="R531" s="33">
        <f t="shared" si="270"/>
        <v>0</v>
      </c>
      <c r="S531" s="33">
        <f t="shared" si="270"/>
        <v>0</v>
      </c>
      <c r="T531" s="33">
        <f t="shared" si="270"/>
        <v>0</v>
      </c>
      <c r="U531" s="33">
        <f t="shared" si="270"/>
        <v>0</v>
      </c>
      <c r="V531" s="33">
        <f t="shared" si="270"/>
        <v>0</v>
      </c>
      <c r="W531" s="33">
        <f t="shared" si="270"/>
        <v>0</v>
      </c>
      <c r="X531" s="33">
        <f t="shared" si="270"/>
        <v>0</v>
      </c>
    </row>
    <row r="532" spans="2:24">
      <c r="B532" s="63" t="str">
        <f t="shared" si="253"/>
        <v/>
      </c>
      <c r="C532" s="63" t="str">
        <f t="shared" si="253"/>
        <v/>
      </c>
      <c r="D532" s="52"/>
      <c r="E532" s="52"/>
      <c r="F532" s="52"/>
      <c r="G532" s="52"/>
      <c r="H532" s="52"/>
      <c r="I532" s="52"/>
      <c r="J532" s="203" t="str">
        <f t="shared" si="256"/>
        <v/>
      </c>
      <c r="K532" s="33">
        <f t="shared" ref="K532:X532" si="271">IF(ISBLANK(K485),0,K1669)</f>
        <v>0</v>
      </c>
      <c r="L532" s="33">
        <f t="shared" si="271"/>
        <v>0</v>
      </c>
      <c r="M532" s="33">
        <f t="shared" si="271"/>
        <v>0</v>
      </c>
      <c r="N532" s="33">
        <f t="shared" si="271"/>
        <v>0</v>
      </c>
      <c r="O532" s="33">
        <f t="shared" si="271"/>
        <v>0</v>
      </c>
      <c r="P532" s="33">
        <f t="shared" si="271"/>
        <v>0</v>
      </c>
      <c r="Q532" s="33">
        <f t="shared" si="271"/>
        <v>0</v>
      </c>
      <c r="R532" s="33">
        <f t="shared" si="271"/>
        <v>0</v>
      </c>
      <c r="S532" s="33">
        <f t="shared" si="271"/>
        <v>0</v>
      </c>
      <c r="T532" s="33">
        <f t="shared" si="271"/>
        <v>0</v>
      </c>
      <c r="U532" s="33">
        <f t="shared" si="271"/>
        <v>0</v>
      </c>
      <c r="V532" s="33">
        <f t="shared" si="271"/>
        <v>0</v>
      </c>
      <c r="W532" s="33">
        <f t="shared" si="271"/>
        <v>0</v>
      </c>
      <c r="X532" s="33">
        <f t="shared" si="271"/>
        <v>0</v>
      </c>
    </row>
    <row r="533" spans="2:24">
      <c r="B533" s="63" t="str">
        <f t="shared" si="253"/>
        <v/>
      </c>
      <c r="C533" s="63" t="str">
        <f t="shared" si="253"/>
        <v/>
      </c>
      <c r="D533" s="52"/>
      <c r="E533" s="52"/>
      <c r="F533" s="52"/>
      <c r="G533" s="52"/>
      <c r="H533" s="52"/>
      <c r="I533" s="52"/>
      <c r="J533" s="203" t="str">
        <f t="shared" si="256"/>
        <v/>
      </c>
      <c r="K533" s="33">
        <f t="shared" ref="K533:X533" si="272">IF(ISBLANK(K486),0,K1676)</f>
        <v>0</v>
      </c>
      <c r="L533" s="33">
        <f t="shared" si="272"/>
        <v>0</v>
      </c>
      <c r="M533" s="33">
        <f t="shared" si="272"/>
        <v>0</v>
      </c>
      <c r="N533" s="33">
        <f t="shared" si="272"/>
        <v>0</v>
      </c>
      <c r="O533" s="33">
        <f t="shared" si="272"/>
        <v>0</v>
      </c>
      <c r="P533" s="33">
        <f t="shared" si="272"/>
        <v>0</v>
      </c>
      <c r="Q533" s="33">
        <f t="shared" si="272"/>
        <v>0</v>
      </c>
      <c r="R533" s="33">
        <f t="shared" si="272"/>
        <v>0</v>
      </c>
      <c r="S533" s="33">
        <f t="shared" si="272"/>
        <v>0</v>
      </c>
      <c r="T533" s="33">
        <f t="shared" si="272"/>
        <v>0</v>
      </c>
      <c r="U533" s="33">
        <f t="shared" si="272"/>
        <v>0</v>
      </c>
      <c r="V533" s="33">
        <f t="shared" si="272"/>
        <v>0</v>
      </c>
      <c r="W533" s="33">
        <f t="shared" si="272"/>
        <v>0</v>
      </c>
      <c r="X533" s="33">
        <f t="shared" si="272"/>
        <v>0</v>
      </c>
    </row>
    <row r="534" spans="2:24">
      <c r="B534" s="63" t="str">
        <f t="shared" si="253"/>
        <v/>
      </c>
      <c r="C534" s="63" t="str">
        <f t="shared" si="253"/>
        <v/>
      </c>
      <c r="D534" s="52"/>
      <c r="E534" s="52"/>
      <c r="F534" s="52"/>
      <c r="G534" s="52"/>
      <c r="H534" s="52"/>
      <c r="I534" s="52"/>
      <c r="J534" s="203" t="str">
        <f t="shared" si="256"/>
        <v/>
      </c>
      <c r="K534" s="33">
        <f t="shared" ref="K534:X534" si="273">IF(ISBLANK(K487),0,K1683)</f>
        <v>0</v>
      </c>
      <c r="L534" s="33">
        <f t="shared" si="273"/>
        <v>0</v>
      </c>
      <c r="M534" s="33">
        <f t="shared" si="273"/>
        <v>0</v>
      </c>
      <c r="N534" s="33">
        <f t="shared" si="273"/>
        <v>0</v>
      </c>
      <c r="O534" s="33">
        <f t="shared" si="273"/>
        <v>0</v>
      </c>
      <c r="P534" s="33">
        <f t="shared" si="273"/>
        <v>0</v>
      </c>
      <c r="Q534" s="33">
        <f t="shared" si="273"/>
        <v>0</v>
      </c>
      <c r="R534" s="33">
        <f t="shared" si="273"/>
        <v>0</v>
      </c>
      <c r="S534" s="33">
        <f t="shared" si="273"/>
        <v>0</v>
      </c>
      <c r="T534" s="33">
        <f t="shared" si="273"/>
        <v>0</v>
      </c>
      <c r="U534" s="33">
        <f t="shared" si="273"/>
        <v>0</v>
      </c>
      <c r="V534" s="33">
        <f t="shared" si="273"/>
        <v>0</v>
      </c>
      <c r="W534" s="33">
        <f t="shared" si="273"/>
        <v>0</v>
      </c>
      <c r="X534" s="33">
        <f t="shared" si="273"/>
        <v>0</v>
      </c>
    </row>
    <row r="535" spans="2:24">
      <c r="B535" s="63" t="str">
        <f t="shared" si="253"/>
        <v/>
      </c>
      <c r="C535" s="63" t="str">
        <f t="shared" si="253"/>
        <v/>
      </c>
      <c r="D535" s="52"/>
      <c r="E535" s="52"/>
      <c r="F535" s="52"/>
      <c r="G535" s="52"/>
      <c r="H535" s="52"/>
      <c r="I535" s="52"/>
      <c r="J535" s="203" t="str">
        <f t="shared" si="256"/>
        <v/>
      </c>
      <c r="K535" s="33">
        <f t="shared" ref="K535:X535" si="274">IF(ISBLANK(K488),0,K1690)</f>
        <v>0</v>
      </c>
      <c r="L535" s="33">
        <f t="shared" si="274"/>
        <v>0</v>
      </c>
      <c r="M535" s="33">
        <f t="shared" si="274"/>
        <v>0</v>
      </c>
      <c r="N535" s="33">
        <f t="shared" si="274"/>
        <v>0</v>
      </c>
      <c r="O535" s="33">
        <f t="shared" si="274"/>
        <v>0</v>
      </c>
      <c r="P535" s="33">
        <f t="shared" si="274"/>
        <v>0</v>
      </c>
      <c r="Q535" s="33">
        <f t="shared" si="274"/>
        <v>0</v>
      </c>
      <c r="R535" s="33">
        <f t="shared" si="274"/>
        <v>0</v>
      </c>
      <c r="S535" s="33">
        <f t="shared" si="274"/>
        <v>0</v>
      </c>
      <c r="T535" s="33">
        <f t="shared" si="274"/>
        <v>0</v>
      </c>
      <c r="U535" s="33">
        <f t="shared" si="274"/>
        <v>0</v>
      </c>
      <c r="V535" s="33">
        <f t="shared" si="274"/>
        <v>0</v>
      </c>
      <c r="W535" s="33">
        <f t="shared" si="274"/>
        <v>0</v>
      </c>
      <c r="X535" s="33">
        <f t="shared" si="274"/>
        <v>0</v>
      </c>
    </row>
    <row r="536" spans="2:24">
      <c r="B536" s="63" t="str">
        <f t="shared" ref="B536:C555" si="275">B489</f>
        <v/>
      </c>
      <c r="C536" s="63" t="str">
        <f t="shared" si="275"/>
        <v/>
      </c>
      <c r="D536" s="52"/>
      <c r="E536" s="52"/>
      <c r="F536" s="52"/>
      <c r="G536" s="52"/>
      <c r="H536" s="52"/>
      <c r="I536" s="52"/>
      <c r="J536" s="203" t="str">
        <f t="shared" si="256"/>
        <v/>
      </c>
      <c r="K536" s="33">
        <f t="shared" ref="K536:X536" si="276">IF(ISBLANK(K489),0,K1697)</f>
        <v>0</v>
      </c>
      <c r="L536" s="33">
        <f t="shared" si="276"/>
        <v>0</v>
      </c>
      <c r="M536" s="33">
        <f t="shared" si="276"/>
        <v>0</v>
      </c>
      <c r="N536" s="33">
        <f t="shared" si="276"/>
        <v>0</v>
      </c>
      <c r="O536" s="33">
        <f t="shared" si="276"/>
        <v>0</v>
      </c>
      <c r="P536" s="33">
        <f t="shared" si="276"/>
        <v>0</v>
      </c>
      <c r="Q536" s="33">
        <f t="shared" si="276"/>
        <v>0</v>
      </c>
      <c r="R536" s="33">
        <f t="shared" si="276"/>
        <v>0</v>
      </c>
      <c r="S536" s="33">
        <f t="shared" si="276"/>
        <v>0</v>
      </c>
      <c r="T536" s="33">
        <f t="shared" si="276"/>
        <v>0</v>
      </c>
      <c r="U536" s="33">
        <f t="shared" si="276"/>
        <v>0</v>
      </c>
      <c r="V536" s="33">
        <f t="shared" si="276"/>
        <v>0</v>
      </c>
      <c r="W536" s="33">
        <f t="shared" si="276"/>
        <v>0</v>
      </c>
      <c r="X536" s="33">
        <f t="shared" si="276"/>
        <v>0</v>
      </c>
    </row>
    <row r="537" spans="2:24">
      <c r="B537" s="63" t="str">
        <f t="shared" si="275"/>
        <v/>
      </c>
      <c r="C537" s="63" t="str">
        <f t="shared" si="275"/>
        <v/>
      </c>
      <c r="D537" s="52"/>
      <c r="E537" s="52"/>
      <c r="F537" s="52"/>
      <c r="G537" s="52"/>
      <c r="H537" s="52"/>
      <c r="I537" s="52"/>
      <c r="J537" s="203" t="str">
        <f t="shared" si="256"/>
        <v/>
      </c>
      <c r="K537" s="33">
        <f t="shared" ref="K537:X537" si="277">IF(ISBLANK(K490),0,K1704)</f>
        <v>0</v>
      </c>
      <c r="L537" s="33">
        <f t="shared" si="277"/>
        <v>0</v>
      </c>
      <c r="M537" s="33">
        <f t="shared" si="277"/>
        <v>0</v>
      </c>
      <c r="N537" s="33">
        <f t="shared" si="277"/>
        <v>0</v>
      </c>
      <c r="O537" s="33">
        <f t="shared" si="277"/>
        <v>0</v>
      </c>
      <c r="P537" s="33">
        <f t="shared" si="277"/>
        <v>0</v>
      </c>
      <c r="Q537" s="33">
        <f t="shared" si="277"/>
        <v>0</v>
      </c>
      <c r="R537" s="33">
        <f t="shared" si="277"/>
        <v>0</v>
      </c>
      <c r="S537" s="33">
        <f t="shared" si="277"/>
        <v>0</v>
      </c>
      <c r="T537" s="33">
        <f t="shared" si="277"/>
        <v>0</v>
      </c>
      <c r="U537" s="33">
        <f t="shared" si="277"/>
        <v>0</v>
      </c>
      <c r="V537" s="33">
        <f t="shared" si="277"/>
        <v>0</v>
      </c>
      <c r="W537" s="33">
        <f t="shared" si="277"/>
        <v>0</v>
      </c>
      <c r="X537" s="33">
        <f t="shared" si="277"/>
        <v>0</v>
      </c>
    </row>
    <row r="538" spans="2:24">
      <c r="B538" s="63" t="str">
        <f t="shared" si="275"/>
        <v/>
      </c>
      <c r="C538" s="63" t="str">
        <f t="shared" si="275"/>
        <v/>
      </c>
      <c r="D538" s="52"/>
      <c r="E538" s="52"/>
      <c r="F538" s="52"/>
      <c r="G538" s="52"/>
      <c r="H538" s="52"/>
      <c r="I538" s="52"/>
      <c r="J538" s="203" t="str">
        <f t="shared" si="256"/>
        <v/>
      </c>
      <c r="K538" s="33">
        <f t="shared" ref="K538:X538" si="278">IF(ISBLANK(K491),0,K1711)</f>
        <v>0</v>
      </c>
      <c r="L538" s="33">
        <f t="shared" si="278"/>
        <v>0</v>
      </c>
      <c r="M538" s="33">
        <f t="shared" si="278"/>
        <v>0</v>
      </c>
      <c r="N538" s="33">
        <f t="shared" si="278"/>
        <v>0</v>
      </c>
      <c r="O538" s="33">
        <f t="shared" si="278"/>
        <v>0</v>
      </c>
      <c r="P538" s="33">
        <f t="shared" si="278"/>
        <v>0</v>
      </c>
      <c r="Q538" s="33">
        <f t="shared" si="278"/>
        <v>0</v>
      </c>
      <c r="R538" s="33">
        <f t="shared" si="278"/>
        <v>0</v>
      </c>
      <c r="S538" s="33">
        <f t="shared" si="278"/>
        <v>0</v>
      </c>
      <c r="T538" s="33">
        <f t="shared" si="278"/>
        <v>0</v>
      </c>
      <c r="U538" s="33">
        <f t="shared" si="278"/>
        <v>0</v>
      </c>
      <c r="V538" s="33">
        <f t="shared" si="278"/>
        <v>0</v>
      </c>
      <c r="W538" s="33">
        <f t="shared" si="278"/>
        <v>0</v>
      </c>
      <c r="X538" s="33">
        <f t="shared" si="278"/>
        <v>0</v>
      </c>
    </row>
    <row r="539" spans="2:24">
      <c r="B539" s="63" t="str">
        <f t="shared" si="275"/>
        <v/>
      </c>
      <c r="C539" s="63" t="str">
        <f t="shared" si="275"/>
        <v/>
      </c>
      <c r="D539" s="52"/>
      <c r="E539" s="52"/>
      <c r="F539" s="52"/>
      <c r="G539" s="52"/>
      <c r="H539" s="52"/>
      <c r="I539" s="52"/>
      <c r="J539" s="203" t="str">
        <f t="shared" si="256"/>
        <v/>
      </c>
      <c r="K539" s="33">
        <f t="shared" ref="K539:X539" si="279">IF(ISBLANK(K492),0,K1718)</f>
        <v>0</v>
      </c>
      <c r="L539" s="33">
        <f t="shared" si="279"/>
        <v>0</v>
      </c>
      <c r="M539" s="33">
        <f t="shared" si="279"/>
        <v>0</v>
      </c>
      <c r="N539" s="33">
        <f t="shared" si="279"/>
        <v>0</v>
      </c>
      <c r="O539" s="33">
        <f t="shared" si="279"/>
        <v>0</v>
      </c>
      <c r="P539" s="33">
        <f t="shared" si="279"/>
        <v>0</v>
      </c>
      <c r="Q539" s="33">
        <f t="shared" si="279"/>
        <v>0</v>
      </c>
      <c r="R539" s="33">
        <f t="shared" si="279"/>
        <v>0</v>
      </c>
      <c r="S539" s="33">
        <f t="shared" si="279"/>
        <v>0</v>
      </c>
      <c r="T539" s="33">
        <f t="shared" si="279"/>
        <v>0</v>
      </c>
      <c r="U539" s="33">
        <f t="shared" si="279"/>
        <v>0</v>
      </c>
      <c r="V539" s="33">
        <f t="shared" si="279"/>
        <v>0</v>
      </c>
      <c r="W539" s="33">
        <f t="shared" si="279"/>
        <v>0</v>
      </c>
      <c r="X539" s="33">
        <f t="shared" si="279"/>
        <v>0</v>
      </c>
    </row>
    <row r="540" spans="2:24">
      <c r="B540" s="63" t="str">
        <f t="shared" si="275"/>
        <v/>
      </c>
      <c r="C540" s="63" t="str">
        <f t="shared" si="275"/>
        <v/>
      </c>
      <c r="D540" s="52"/>
      <c r="E540" s="52"/>
      <c r="F540" s="52"/>
      <c r="G540" s="52"/>
      <c r="H540" s="52"/>
      <c r="I540" s="52"/>
      <c r="J540" s="203" t="str">
        <f t="shared" si="256"/>
        <v/>
      </c>
      <c r="K540" s="33">
        <f t="shared" ref="K540:X540" si="280">IF(ISBLANK(K493),0,K1725)</f>
        <v>0</v>
      </c>
      <c r="L540" s="33">
        <f t="shared" si="280"/>
        <v>0</v>
      </c>
      <c r="M540" s="33">
        <f t="shared" si="280"/>
        <v>0</v>
      </c>
      <c r="N540" s="33">
        <f t="shared" si="280"/>
        <v>0</v>
      </c>
      <c r="O540" s="33">
        <f t="shared" si="280"/>
        <v>0</v>
      </c>
      <c r="P540" s="33">
        <f t="shared" si="280"/>
        <v>0</v>
      </c>
      <c r="Q540" s="33">
        <f t="shared" si="280"/>
        <v>0</v>
      </c>
      <c r="R540" s="33">
        <f t="shared" si="280"/>
        <v>0</v>
      </c>
      <c r="S540" s="33">
        <f t="shared" si="280"/>
        <v>0</v>
      </c>
      <c r="T540" s="33">
        <f t="shared" si="280"/>
        <v>0</v>
      </c>
      <c r="U540" s="33">
        <f t="shared" si="280"/>
        <v>0</v>
      </c>
      <c r="V540" s="33">
        <f t="shared" si="280"/>
        <v>0</v>
      </c>
      <c r="W540" s="33">
        <f t="shared" si="280"/>
        <v>0</v>
      </c>
      <c r="X540" s="33">
        <f t="shared" si="280"/>
        <v>0</v>
      </c>
    </row>
    <row r="541" spans="2:24">
      <c r="B541" s="63" t="str">
        <f t="shared" si="275"/>
        <v/>
      </c>
      <c r="C541" s="63" t="str">
        <f t="shared" si="275"/>
        <v/>
      </c>
      <c r="D541" s="52"/>
      <c r="E541" s="52"/>
      <c r="F541" s="52"/>
      <c r="G541" s="52"/>
      <c r="H541" s="52"/>
      <c r="I541" s="52"/>
      <c r="J541" s="203" t="str">
        <f t="shared" si="256"/>
        <v/>
      </c>
      <c r="K541" s="33">
        <f t="shared" ref="K541:X541" si="281">IF(ISBLANK(K494),0,K1732)</f>
        <v>0</v>
      </c>
      <c r="L541" s="33">
        <f t="shared" si="281"/>
        <v>0</v>
      </c>
      <c r="M541" s="33">
        <f t="shared" si="281"/>
        <v>0</v>
      </c>
      <c r="N541" s="33">
        <f t="shared" si="281"/>
        <v>0</v>
      </c>
      <c r="O541" s="33">
        <f t="shared" si="281"/>
        <v>0</v>
      </c>
      <c r="P541" s="33">
        <f t="shared" si="281"/>
        <v>0</v>
      </c>
      <c r="Q541" s="33">
        <f t="shared" si="281"/>
        <v>0</v>
      </c>
      <c r="R541" s="33">
        <f t="shared" si="281"/>
        <v>0</v>
      </c>
      <c r="S541" s="33">
        <f t="shared" si="281"/>
        <v>0</v>
      </c>
      <c r="T541" s="33">
        <f t="shared" si="281"/>
        <v>0</v>
      </c>
      <c r="U541" s="33">
        <f t="shared" si="281"/>
        <v>0</v>
      </c>
      <c r="V541" s="33">
        <f t="shared" si="281"/>
        <v>0</v>
      </c>
      <c r="W541" s="33">
        <f t="shared" si="281"/>
        <v>0</v>
      </c>
      <c r="X541" s="33">
        <f t="shared" si="281"/>
        <v>0</v>
      </c>
    </row>
    <row r="542" spans="2:24">
      <c r="B542" s="63" t="str">
        <f t="shared" si="275"/>
        <v/>
      </c>
      <c r="C542" s="63" t="str">
        <f t="shared" si="275"/>
        <v/>
      </c>
      <c r="D542" s="52"/>
      <c r="E542" s="52"/>
      <c r="F542" s="52"/>
      <c r="G542" s="52"/>
      <c r="H542" s="52"/>
      <c r="I542" s="52"/>
      <c r="J542" s="203" t="str">
        <f t="shared" si="256"/>
        <v/>
      </c>
      <c r="K542" s="33">
        <f t="shared" ref="K542:X542" si="282">IF(ISBLANK(K495),0,K1739)</f>
        <v>0</v>
      </c>
      <c r="L542" s="33">
        <f t="shared" si="282"/>
        <v>0</v>
      </c>
      <c r="M542" s="33">
        <f t="shared" si="282"/>
        <v>0</v>
      </c>
      <c r="N542" s="33">
        <f t="shared" si="282"/>
        <v>0</v>
      </c>
      <c r="O542" s="33">
        <f t="shared" si="282"/>
        <v>0</v>
      </c>
      <c r="P542" s="33">
        <f t="shared" si="282"/>
        <v>0</v>
      </c>
      <c r="Q542" s="33">
        <f t="shared" si="282"/>
        <v>0</v>
      </c>
      <c r="R542" s="33">
        <f t="shared" si="282"/>
        <v>0</v>
      </c>
      <c r="S542" s="33">
        <f t="shared" si="282"/>
        <v>0</v>
      </c>
      <c r="T542" s="33">
        <f t="shared" si="282"/>
        <v>0</v>
      </c>
      <c r="U542" s="33">
        <f t="shared" si="282"/>
        <v>0</v>
      </c>
      <c r="V542" s="33">
        <f t="shared" si="282"/>
        <v>0</v>
      </c>
      <c r="W542" s="33">
        <f t="shared" si="282"/>
        <v>0</v>
      </c>
      <c r="X542" s="33">
        <f t="shared" si="282"/>
        <v>0</v>
      </c>
    </row>
    <row r="543" spans="2:24">
      <c r="B543" s="63" t="str">
        <f t="shared" si="275"/>
        <v/>
      </c>
      <c r="C543" s="63" t="str">
        <f t="shared" si="275"/>
        <v/>
      </c>
      <c r="D543" s="52"/>
      <c r="E543" s="52"/>
      <c r="F543" s="52"/>
      <c r="G543" s="52"/>
      <c r="H543" s="52"/>
      <c r="I543" s="52"/>
      <c r="J543" s="203" t="str">
        <f t="shared" si="256"/>
        <v/>
      </c>
      <c r="K543" s="33">
        <f t="shared" ref="K543:X543" si="283">IF(ISBLANK(K496),0,K1746)</f>
        <v>0</v>
      </c>
      <c r="L543" s="33">
        <f t="shared" si="283"/>
        <v>0</v>
      </c>
      <c r="M543" s="33">
        <f t="shared" si="283"/>
        <v>0</v>
      </c>
      <c r="N543" s="33">
        <f t="shared" si="283"/>
        <v>0</v>
      </c>
      <c r="O543" s="33">
        <f t="shared" si="283"/>
        <v>0</v>
      </c>
      <c r="P543" s="33">
        <f t="shared" si="283"/>
        <v>0</v>
      </c>
      <c r="Q543" s="33">
        <f t="shared" si="283"/>
        <v>0</v>
      </c>
      <c r="R543" s="33">
        <f t="shared" si="283"/>
        <v>0</v>
      </c>
      <c r="S543" s="33">
        <f t="shared" si="283"/>
        <v>0</v>
      </c>
      <c r="T543" s="33">
        <f t="shared" si="283"/>
        <v>0</v>
      </c>
      <c r="U543" s="33">
        <f t="shared" si="283"/>
        <v>0</v>
      </c>
      <c r="V543" s="33">
        <f t="shared" si="283"/>
        <v>0</v>
      </c>
      <c r="W543" s="33">
        <f t="shared" si="283"/>
        <v>0</v>
      </c>
      <c r="X543" s="33">
        <f t="shared" si="283"/>
        <v>0</v>
      </c>
    </row>
    <row r="544" spans="2:24">
      <c r="B544" s="63" t="str">
        <f t="shared" si="275"/>
        <v/>
      </c>
      <c r="C544" s="63" t="str">
        <f t="shared" si="275"/>
        <v/>
      </c>
      <c r="D544" s="52"/>
      <c r="E544" s="52"/>
      <c r="F544" s="52"/>
      <c r="G544" s="52"/>
      <c r="H544" s="52"/>
      <c r="I544" s="52"/>
      <c r="J544" s="203" t="str">
        <f t="shared" si="256"/>
        <v/>
      </c>
      <c r="K544" s="33">
        <f t="shared" ref="K544:X544" si="284">IF(ISBLANK(K497),0,K1753)</f>
        <v>0</v>
      </c>
      <c r="L544" s="33">
        <f t="shared" si="284"/>
        <v>0</v>
      </c>
      <c r="M544" s="33">
        <f t="shared" si="284"/>
        <v>0</v>
      </c>
      <c r="N544" s="33">
        <f t="shared" si="284"/>
        <v>0</v>
      </c>
      <c r="O544" s="33">
        <f t="shared" si="284"/>
        <v>0</v>
      </c>
      <c r="P544" s="33">
        <f t="shared" si="284"/>
        <v>0</v>
      </c>
      <c r="Q544" s="33">
        <f t="shared" si="284"/>
        <v>0</v>
      </c>
      <c r="R544" s="33">
        <f t="shared" si="284"/>
        <v>0</v>
      </c>
      <c r="S544" s="33">
        <f t="shared" si="284"/>
        <v>0</v>
      </c>
      <c r="T544" s="33">
        <f t="shared" si="284"/>
        <v>0</v>
      </c>
      <c r="U544" s="33">
        <f t="shared" si="284"/>
        <v>0</v>
      </c>
      <c r="V544" s="33">
        <f t="shared" si="284"/>
        <v>0</v>
      </c>
      <c r="W544" s="33">
        <f t="shared" si="284"/>
        <v>0</v>
      </c>
      <c r="X544" s="33">
        <f t="shared" si="284"/>
        <v>0</v>
      </c>
    </row>
    <row r="545" spans="2:24">
      <c r="B545" s="63" t="str">
        <f t="shared" si="275"/>
        <v/>
      </c>
      <c r="C545" s="63" t="str">
        <f t="shared" si="275"/>
        <v/>
      </c>
      <c r="D545" s="52"/>
      <c r="E545" s="52"/>
      <c r="F545" s="52"/>
      <c r="G545" s="52"/>
      <c r="H545" s="52"/>
      <c r="I545" s="52"/>
      <c r="J545" s="203" t="str">
        <f t="shared" si="256"/>
        <v/>
      </c>
      <c r="K545" s="33">
        <f t="shared" ref="K545:X545" si="285">IF(ISBLANK(K498),0,K1767)</f>
        <v>0</v>
      </c>
      <c r="L545" s="33">
        <f t="shared" si="285"/>
        <v>0</v>
      </c>
      <c r="M545" s="33">
        <f t="shared" si="285"/>
        <v>0</v>
      </c>
      <c r="N545" s="33">
        <f t="shared" si="285"/>
        <v>0</v>
      </c>
      <c r="O545" s="33">
        <f t="shared" si="285"/>
        <v>0</v>
      </c>
      <c r="P545" s="33">
        <f t="shared" si="285"/>
        <v>0</v>
      </c>
      <c r="Q545" s="33">
        <f t="shared" si="285"/>
        <v>0</v>
      </c>
      <c r="R545" s="33">
        <f t="shared" si="285"/>
        <v>0</v>
      </c>
      <c r="S545" s="33">
        <f t="shared" si="285"/>
        <v>0</v>
      </c>
      <c r="T545" s="33">
        <f t="shared" si="285"/>
        <v>0</v>
      </c>
      <c r="U545" s="33">
        <f t="shared" si="285"/>
        <v>0</v>
      </c>
      <c r="V545" s="33">
        <f t="shared" si="285"/>
        <v>0</v>
      </c>
      <c r="W545" s="33">
        <f t="shared" si="285"/>
        <v>0</v>
      </c>
      <c r="X545" s="33">
        <f t="shared" si="285"/>
        <v>0</v>
      </c>
    </row>
    <row r="546" spans="2:24">
      <c r="B546" s="63" t="str">
        <f t="shared" si="275"/>
        <v/>
      </c>
      <c r="C546" s="63" t="str">
        <f t="shared" si="275"/>
        <v/>
      </c>
      <c r="D546" s="52"/>
      <c r="E546" s="52"/>
      <c r="F546" s="52"/>
      <c r="G546" s="52"/>
      <c r="H546" s="52"/>
      <c r="I546" s="52"/>
      <c r="J546" s="203" t="str">
        <f t="shared" si="256"/>
        <v/>
      </c>
      <c r="K546" s="33">
        <f t="shared" ref="K546:X546" si="286">IF(ISBLANK(K499),0,K1767)</f>
        <v>0</v>
      </c>
      <c r="L546" s="33">
        <f t="shared" si="286"/>
        <v>0</v>
      </c>
      <c r="M546" s="33">
        <f t="shared" si="286"/>
        <v>0</v>
      </c>
      <c r="N546" s="33">
        <f t="shared" si="286"/>
        <v>0</v>
      </c>
      <c r="O546" s="33">
        <f t="shared" si="286"/>
        <v>0</v>
      </c>
      <c r="P546" s="33">
        <f t="shared" si="286"/>
        <v>0</v>
      </c>
      <c r="Q546" s="33">
        <f t="shared" si="286"/>
        <v>0</v>
      </c>
      <c r="R546" s="33">
        <f t="shared" si="286"/>
        <v>0</v>
      </c>
      <c r="S546" s="33">
        <f t="shared" si="286"/>
        <v>0</v>
      </c>
      <c r="T546" s="33">
        <f t="shared" si="286"/>
        <v>0</v>
      </c>
      <c r="U546" s="33">
        <f t="shared" si="286"/>
        <v>0</v>
      </c>
      <c r="V546" s="33">
        <f t="shared" si="286"/>
        <v>0</v>
      </c>
      <c r="W546" s="33">
        <f t="shared" si="286"/>
        <v>0</v>
      </c>
      <c r="X546" s="33">
        <f t="shared" si="286"/>
        <v>0</v>
      </c>
    </row>
    <row r="547" spans="2:24">
      <c r="B547" s="63" t="str">
        <f t="shared" si="275"/>
        <v/>
      </c>
      <c r="C547" s="63" t="str">
        <f t="shared" si="275"/>
        <v/>
      </c>
      <c r="D547" s="52"/>
      <c r="E547" s="52"/>
      <c r="F547" s="52"/>
      <c r="G547" s="52"/>
      <c r="H547" s="52"/>
      <c r="I547" s="52"/>
      <c r="J547" s="203" t="str">
        <f t="shared" si="256"/>
        <v/>
      </c>
      <c r="K547" s="33">
        <f t="shared" ref="K547:X547" si="287">IF(ISBLANK(K500),0,K1774)</f>
        <v>0</v>
      </c>
      <c r="L547" s="33">
        <f t="shared" si="287"/>
        <v>0</v>
      </c>
      <c r="M547" s="33">
        <f t="shared" si="287"/>
        <v>0</v>
      </c>
      <c r="N547" s="33">
        <f t="shared" si="287"/>
        <v>0</v>
      </c>
      <c r="O547" s="33">
        <f t="shared" si="287"/>
        <v>0</v>
      </c>
      <c r="P547" s="33">
        <f t="shared" si="287"/>
        <v>0</v>
      </c>
      <c r="Q547" s="33">
        <f t="shared" si="287"/>
        <v>0</v>
      </c>
      <c r="R547" s="33">
        <f t="shared" si="287"/>
        <v>0</v>
      </c>
      <c r="S547" s="33">
        <f t="shared" si="287"/>
        <v>0</v>
      </c>
      <c r="T547" s="33">
        <f t="shared" si="287"/>
        <v>0</v>
      </c>
      <c r="U547" s="33">
        <f t="shared" si="287"/>
        <v>0</v>
      </c>
      <c r="V547" s="33">
        <f t="shared" si="287"/>
        <v>0</v>
      </c>
      <c r="W547" s="33">
        <f t="shared" si="287"/>
        <v>0</v>
      </c>
      <c r="X547" s="33">
        <f t="shared" si="287"/>
        <v>0</v>
      </c>
    </row>
    <row r="548" spans="2:24">
      <c r="B548" s="63" t="str">
        <f t="shared" si="275"/>
        <v/>
      </c>
      <c r="C548" s="63" t="str">
        <f t="shared" si="275"/>
        <v/>
      </c>
      <c r="D548" s="52"/>
      <c r="E548" s="52"/>
      <c r="F548" s="52"/>
      <c r="G548" s="52"/>
      <c r="H548" s="52"/>
      <c r="I548" s="52"/>
      <c r="J548" s="203" t="str">
        <f t="shared" si="256"/>
        <v/>
      </c>
      <c r="K548" s="33">
        <f t="shared" ref="K548:X548" si="288">IF(ISBLANK(K501),0,K1781)</f>
        <v>0</v>
      </c>
      <c r="L548" s="33">
        <f t="shared" si="288"/>
        <v>0</v>
      </c>
      <c r="M548" s="33">
        <f t="shared" si="288"/>
        <v>0</v>
      </c>
      <c r="N548" s="33">
        <f t="shared" si="288"/>
        <v>0</v>
      </c>
      <c r="O548" s="33">
        <f t="shared" si="288"/>
        <v>0</v>
      </c>
      <c r="P548" s="33">
        <f t="shared" si="288"/>
        <v>0</v>
      </c>
      <c r="Q548" s="33">
        <f t="shared" si="288"/>
        <v>0</v>
      </c>
      <c r="R548" s="33">
        <f t="shared" si="288"/>
        <v>0</v>
      </c>
      <c r="S548" s="33">
        <f t="shared" si="288"/>
        <v>0</v>
      </c>
      <c r="T548" s="33">
        <f t="shared" si="288"/>
        <v>0</v>
      </c>
      <c r="U548" s="33">
        <f t="shared" si="288"/>
        <v>0</v>
      </c>
      <c r="V548" s="33">
        <f t="shared" si="288"/>
        <v>0</v>
      </c>
      <c r="W548" s="33">
        <f t="shared" si="288"/>
        <v>0</v>
      </c>
      <c r="X548" s="33">
        <f t="shared" si="288"/>
        <v>0</v>
      </c>
    </row>
    <row r="549" spans="2:24">
      <c r="B549" s="63" t="str">
        <f t="shared" si="275"/>
        <v/>
      </c>
      <c r="C549" s="63" t="str">
        <f t="shared" si="275"/>
        <v/>
      </c>
      <c r="D549" s="52"/>
      <c r="E549" s="52"/>
      <c r="F549" s="52"/>
      <c r="G549" s="52"/>
      <c r="H549" s="52"/>
      <c r="I549" s="52"/>
      <c r="J549" s="203" t="str">
        <f t="shared" si="256"/>
        <v/>
      </c>
      <c r="K549" s="33">
        <f t="shared" ref="K549:X549" si="289">IF(ISBLANK(K502),0,K1788)</f>
        <v>0</v>
      </c>
      <c r="L549" s="33">
        <f t="shared" si="289"/>
        <v>0</v>
      </c>
      <c r="M549" s="33">
        <f t="shared" si="289"/>
        <v>0</v>
      </c>
      <c r="N549" s="33">
        <f t="shared" si="289"/>
        <v>0</v>
      </c>
      <c r="O549" s="33">
        <f t="shared" si="289"/>
        <v>0</v>
      </c>
      <c r="P549" s="33">
        <f t="shared" si="289"/>
        <v>0</v>
      </c>
      <c r="Q549" s="33">
        <f t="shared" si="289"/>
        <v>0</v>
      </c>
      <c r="R549" s="33">
        <f t="shared" si="289"/>
        <v>0</v>
      </c>
      <c r="S549" s="33">
        <f t="shared" si="289"/>
        <v>0</v>
      </c>
      <c r="T549" s="33">
        <f t="shared" si="289"/>
        <v>0</v>
      </c>
      <c r="U549" s="33">
        <f t="shared" si="289"/>
        <v>0</v>
      </c>
      <c r="V549" s="33">
        <f t="shared" si="289"/>
        <v>0</v>
      </c>
      <c r="W549" s="33">
        <f t="shared" si="289"/>
        <v>0</v>
      </c>
      <c r="X549" s="33">
        <f t="shared" si="289"/>
        <v>0</v>
      </c>
    </row>
    <row r="550" spans="2:24">
      <c r="B550" s="63" t="str">
        <f t="shared" si="275"/>
        <v/>
      </c>
      <c r="C550" s="63" t="str">
        <f t="shared" si="275"/>
        <v/>
      </c>
      <c r="D550" s="52"/>
      <c r="E550" s="52"/>
      <c r="F550" s="52"/>
      <c r="G550" s="52"/>
      <c r="H550" s="52"/>
      <c r="I550" s="52"/>
      <c r="J550" s="203" t="str">
        <f t="shared" si="256"/>
        <v/>
      </c>
      <c r="K550" s="33">
        <f t="shared" ref="K550:X550" si="290">IF(ISBLANK(K503),0,K1795)</f>
        <v>0</v>
      </c>
      <c r="L550" s="33">
        <f t="shared" si="290"/>
        <v>0</v>
      </c>
      <c r="M550" s="33">
        <f t="shared" si="290"/>
        <v>0</v>
      </c>
      <c r="N550" s="33">
        <f t="shared" si="290"/>
        <v>0</v>
      </c>
      <c r="O550" s="33">
        <f t="shared" si="290"/>
        <v>0</v>
      </c>
      <c r="P550" s="33">
        <f t="shared" si="290"/>
        <v>0</v>
      </c>
      <c r="Q550" s="33">
        <f t="shared" si="290"/>
        <v>0</v>
      </c>
      <c r="R550" s="33">
        <f t="shared" si="290"/>
        <v>0</v>
      </c>
      <c r="S550" s="33">
        <f t="shared" si="290"/>
        <v>0</v>
      </c>
      <c r="T550" s="33">
        <f t="shared" si="290"/>
        <v>0</v>
      </c>
      <c r="U550" s="33">
        <f t="shared" si="290"/>
        <v>0</v>
      </c>
      <c r="V550" s="33">
        <f t="shared" si="290"/>
        <v>0</v>
      </c>
      <c r="W550" s="33">
        <f t="shared" si="290"/>
        <v>0</v>
      </c>
      <c r="X550" s="33">
        <f t="shared" si="290"/>
        <v>0</v>
      </c>
    </row>
    <row r="551" spans="2:24">
      <c r="B551" s="63" t="str">
        <f t="shared" si="275"/>
        <v/>
      </c>
      <c r="C551" s="63" t="str">
        <f t="shared" si="275"/>
        <v/>
      </c>
      <c r="D551" s="52"/>
      <c r="E551" s="52"/>
      <c r="F551" s="52"/>
      <c r="G551" s="52"/>
      <c r="H551" s="52"/>
      <c r="I551" s="52"/>
      <c r="J551" s="203" t="str">
        <f t="shared" si="256"/>
        <v/>
      </c>
      <c r="K551" s="33">
        <f t="shared" ref="K551:X551" si="291">IF(ISBLANK(K504),0,K1802)</f>
        <v>0</v>
      </c>
      <c r="L551" s="33">
        <f t="shared" si="291"/>
        <v>0</v>
      </c>
      <c r="M551" s="33">
        <f t="shared" si="291"/>
        <v>0</v>
      </c>
      <c r="N551" s="33">
        <f t="shared" si="291"/>
        <v>0</v>
      </c>
      <c r="O551" s="33">
        <f t="shared" si="291"/>
        <v>0</v>
      </c>
      <c r="P551" s="33">
        <f t="shared" si="291"/>
        <v>0</v>
      </c>
      <c r="Q551" s="33">
        <f t="shared" si="291"/>
        <v>0</v>
      </c>
      <c r="R551" s="33">
        <f t="shared" si="291"/>
        <v>0</v>
      </c>
      <c r="S551" s="33">
        <f t="shared" si="291"/>
        <v>0</v>
      </c>
      <c r="T551" s="33">
        <f t="shared" si="291"/>
        <v>0</v>
      </c>
      <c r="U551" s="33">
        <f t="shared" si="291"/>
        <v>0</v>
      </c>
      <c r="V551" s="33">
        <f t="shared" si="291"/>
        <v>0</v>
      </c>
      <c r="W551" s="33">
        <f t="shared" si="291"/>
        <v>0</v>
      </c>
      <c r="X551" s="33">
        <f t="shared" si="291"/>
        <v>0</v>
      </c>
    </row>
    <row r="552" spans="2:24">
      <c r="B552" s="63" t="str">
        <f t="shared" si="275"/>
        <v/>
      </c>
      <c r="C552" s="63" t="str">
        <f t="shared" si="275"/>
        <v/>
      </c>
      <c r="D552" s="52"/>
      <c r="E552" s="52"/>
      <c r="F552" s="52"/>
      <c r="G552" s="52"/>
      <c r="H552" s="52"/>
      <c r="I552" s="52"/>
      <c r="J552" s="203" t="str">
        <f t="shared" si="256"/>
        <v/>
      </c>
      <c r="K552" s="33">
        <f t="shared" ref="K552:X552" si="292">IF(ISBLANK(K505),0,K1809)</f>
        <v>0</v>
      </c>
      <c r="L552" s="33">
        <f t="shared" si="292"/>
        <v>0</v>
      </c>
      <c r="M552" s="33">
        <f t="shared" si="292"/>
        <v>0</v>
      </c>
      <c r="N552" s="33">
        <f t="shared" si="292"/>
        <v>0</v>
      </c>
      <c r="O552" s="33">
        <f t="shared" si="292"/>
        <v>0</v>
      </c>
      <c r="P552" s="33">
        <f t="shared" si="292"/>
        <v>0</v>
      </c>
      <c r="Q552" s="33">
        <f t="shared" si="292"/>
        <v>0</v>
      </c>
      <c r="R552" s="33">
        <f t="shared" si="292"/>
        <v>0</v>
      </c>
      <c r="S552" s="33">
        <f t="shared" si="292"/>
        <v>0</v>
      </c>
      <c r="T552" s="33">
        <f t="shared" si="292"/>
        <v>0</v>
      </c>
      <c r="U552" s="33">
        <f t="shared" si="292"/>
        <v>0</v>
      </c>
      <c r="V552" s="33">
        <f t="shared" si="292"/>
        <v>0</v>
      </c>
      <c r="W552" s="33">
        <f t="shared" si="292"/>
        <v>0</v>
      </c>
      <c r="X552" s="33">
        <f t="shared" si="292"/>
        <v>0</v>
      </c>
    </row>
    <row r="553" spans="2:24">
      <c r="B553" s="63" t="str">
        <f t="shared" si="275"/>
        <v/>
      </c>
      <c r="C553" s="63" t="str">
        <f t="shared" si="275"/>
        <v/>
      </c>
      <c r="D553" s="52"/>
      <c r="E553" s="52"/>
      <c r="F553" s="52"/>
      <c r="G553" s="52"/>
      <c r="H553" s="52"/>
      <c r="I553" s="52"/>
      <c r="J553" s="203" t="str">
        <f t="shared" si="256"/>
        <v/>
      </c>
      <c r="K553" s="33">
        <f t="shared" ref="K553:X553" si="293">IF(ISBLANK(K506),0,K1816)</f>
        <v>0</v>
      </c>
      <c r="L553" s="33">
        <f t="shared" si="293"/>
        <v>0</v>
      </c>
      <c r="M553" s="33">
        <f t="shared" si="293"/>
        <v>0</v>
      </c>
      <c r="N553" s="33">
        <f t="shared" si="293"/>
        <v>0</v>
      </c>
      <c r="O553" s="33">
        <f t="shared" si="293"/>
        <v>0</v>
      </c>
      <c r="P553" s="33">
        <f t="shared" si="293"/>
        <v>0</v>
      </c>
      <c r="Q553" s="33">
        <f t="shared" si="293"/>
        <v>0</v>
      </c>
      <c r="R553" s="33">
        <f t="shared" si="293"/>
        <v>0</v>
      </c>
      <c r="S553" s="33">
        <f t="shared" si="293"/>
        <v>0</v>
      </c>
      <c r="T553" s="33">
        <f t="shared" si="293"/>
        <v>0</v>
      </c>
      <c r="U553" s="33">
        <f t="shared" si="293"/>
        <v>0</v>
      </c>
      <c r="V553" s="33">
        <f t="shared" si="293"/>
        <v>0</v>
      </c>
      <c r="W553" s="33">
        <f t="shared" si="293"/>
        <v>0</v>
      </c>
      <c r="X553" s="33">
        <f t="shared" si="293"/>
        <v>0</v>
      </c>
    </row>
    <row r="554" spans="2:24">
      <c r="B554" s="63" t="str">
        <f t="shared" si="275"/>
        <v/>
      </c>
      <c r="C554" s="63" t="str">
        <f t="shared" si="275"/>
        <v/>
      </c>
      <c r="D554" s="52"/>
      <c r="E554" s="52"/>
      <c r="F554" s="52"/>
      <c r="G554" s="52"/>
      <c r="H554" s="52"/>
      <c r="I554" s="52"/>
      <c r="J554" s="203" t="str">
        <f t="shared" si="256"/>
        <v/>
      </c>
      <c r="K554" s="33">
        <f t="shared" ref="K554:X554" si="294">IF(ISBLANK(K507),0,K1823)</f>
        <v>0</v>
      </c>
      <c r="L554" s="33">
        <f t="shared" si="294"/>
        <v>0</v>
      </c>
      <c r="M554" s="33">
        <f t="shared" si="294"/>
        <v>0</v>
      </c>
      <c r="N554" s="33">
        <f t="shared" si="294"/>
        <v>0</v>
      </c>
      <c r="O554" s="33">
        <f t="shared" si="294"/>
        <v>0</v>
      </c>
      <c r="P554" s="33">
        <f t="shared" si="294"/>
        <v>0</v>
      </c>
      <c r="Q554" s="33">
        <f t="shared" si="294"/>
        <v>0</v>
      </c>
      <c r="R554" s="33">
        <f t="shared" si="294"/>
        <v>0</v>
      </c>
      <c r="S554" s="33">
        <f t="shared" si="294"/>
        <v>0</v>
      </c>
      <c r="T554" s="33">
        <f t="shared" si="294"/>
        <v>0</v>
      </c>
      <c r="U554" s="33">
        <f t="shared" si="294"/>
        <v>0</v>
      </c>
      <c r="V554" s="33">
        <f t="shared" si="294"/>
        <v>0</v>
      </c>
      <c r="W554" s="33">
        <f t="shared" si="294"/>
        <v>0</v>
      </c>
      <c r="X554" s="33">
        <f t="shared" si="294"/>
        <v>0</v>
      </c>
    </row>
    <row r="555" spans="2:24">
      <c r="B555" s="63" t="str">
        <f t="shared" si="275"/>
        <v/>
      </c>
      <c r="C555" s="63" t="str">
        <f t="shared" si="275"/>
        <v/>
      </c>
      <c r="D555" s="52"/>
      <c r="E555" s="52"/>
      <c r="F555" s="52"/>
      <c r="G555" s="52"/>
      <c r="H555" s="52"/>
      <c r="I555" s="52"/>
      <c r="J555" s="203" t="str">
        <f t="shared" si="256"/>
        <v/>
      </c>
      <c r="K555" s="33">
        <f t="shared" ref="K555:X555" si="295">IF(ISBLANK(K508),0,K1830)</f>
        <v>0</v>
      </c>
      <c r="L555" s="33">
        <f t="shared" si="295"/>
        <v>0</v>
      </c>
      <c r="M555" s="33">
        <f t="shared" si="295"/>
        <v>0</v>
      </c>
      <c r="N555" s="33">
        <f t="shared" si="295"/>
        <v>0</v>
      </c>
      <c r="O555" s="33">
        <f t="shared" si="295"/>
        <v>0</v>
      </c>
      <c r="P555" s="33">
        <f t="shared" si="295"/>
        <v>0</v>
      </c>
      <c r="Q555" s="33">
        <f t="shared" si="295"/>
        <v>0</v>
      </c>
      <c r="R555" s="33">
        <f t="shared" si="295"/>
        <v>0</v>
      </c>
      <c r="S555" s="33">
        <f t="shared" si="295"/>
        <v>0</v>
      </c>
      <c r="T555" s="33">
        <f t="shared" si="295"/>
        <v>0</v>
      </c>
      <c r="U555" s="33">
        <f t="shared" si="295"/>
        <v>0</v>
      </c>
      <c r="V555" s="33">
        <f t="shared" si="295"/>
        <v>0</v>
      </c>
      <c r="W555" s="33">
        <f t="shared" si="295"/>
        <v>0</v>
      </c>
      <c r="X555" s="33">
        <f t="shared" si="295"/>
        <v>0</v>
      </c>
    </row>
    <row r="556" spans="2:24">
      <c r="B556" s="63" t="str">
        <f t="shared" ref="B556:C560" si="296">B509</f>
        <v/>
      </c>
      <c r="C556" s="63" t="str">
        <f t="shared" si="296"/>
        <v/>
      </c>
      <c r="D556" s="52"/>
      <c r="E556" s="52"/>
      <c r="F556" s="52"/>
      <c r="G556" s="52"/>
      <c r="H556" s="52"/>
      <c r="I556" s="52"/>
      <c r="J556" s="203" t="str">
        <f t="shared" si="256"/>
        <v/>
      </c>
      <c r="K556" s="33">
        <f t="shared" ref="K556:X556" si="297">IF(ISBLANK(K509),0,K1849)</f>
        <v>0</v>
      </c>
      <c r="L556" s="33">
        <f t="shared" si="297"/>
        <v>0</v>
      </c>
      <c r="M556" s="33">
        <f t="shared" si="297"/>
        <v>0</v>
      </c>
      <c r="N556" s="33">
        <f t="shared" si="297"/>
        <v>0</v>
      </c>
      <c r="O556" s="33">
        <f t="shared" si="297"/>
        <v>0</v>
      </c>
      <c r="P556" s="33">
        <f t="shared" si="297"/>
        <v>0</v>
      </c>
      <c r="Q556" s="33">
        <f t="shared" si="297"/>
        <v>0</v>
      </c>
      <c r="R556" s="33">
        <f t="shared" si="297"/>
        <v>0</v>
      </c>
      <c r="S556" s="33">
        <f t="shared" si="297"/>
        <v>0</v>
      </c>
      <c r="T556" s="33">
        <f t="shared" si="297"/>
        <v>0</v>
      </c>
      <c r="U556" s="33">
        <f t="shared" si="297"/>
        <v>0</v>
      </c>
      <c r="V556" s="33">
        <f t="shared" si="297"/>
        <v>0</v>
      </c>
      <c r="W556" s="33">
        <f t="shared" si="297"/>
        <v>0</v>
      </c>
      <c r="X556" s="33">
        <f t="shared" si="297"/>
        <v>0</v>
      </c>
    </row>
    <row r="557" spans="2:24">
      <c r="B557" s="63" t="str">
        <f t="shared" si="296"/>
        <v/>
      </c>
      <c r="C557" s="63" t="str">
        <f t="shared" si="296"/>
        <v/>
      </c>
      <c r="D557" s="52"/>
      <c r="E557" s="52"/>
      <c r="F557" s="52"/>
      <c r="G557" s="52"/>
      <c r="H557" s="52"/>
      <c r="I557" s="52"/>
      <c r="J557" s="203" t="str">
        <f t="shared" si="256"/>
        <v/>
      </c>
      <c r="K557" s="33">
        <f t="shared" ref="K557:X557" si="298">IF(ISBLANK(K510),0,K1856)</f>
        <v>0</v>
      </c>
      <c r="L557" s="33">
        <f t="shared" si="298"/>
        <v>0</v>
      </c>
      <c r="M557" s="33">
        <f t="shared" si="298"/>
        <v>0</v>
      </c>
      <c r="N557" s="33">
        <f t="shared" si="298"/>
        <v>0</v>
      </c>
      <c r="O557" s="33">
        <f t="shared" si="298"/>
        <v>0</v>
      </c>
      <c r="P557" s="33">
        <f t="shared" si="298"/>
        <v>0</v>
      </c>
      <c r="Q557" s="33">
        <f t="shared" si="298"/>
        <v>0</v>
      </c>
      <c r="R557" s="33">
        <f t="shared" si="298"/>
        <v>0</v>
      </c>
      <c r="S557" s="33">
        <f t="shared" si="298"/>
        <v>0</v>
      </c>
      <c r="T557" s="33">
        <f t="shared" si="298"/>
        <v>0</v>
      </c>
      <c r="U557" s="33">
        <f t="shared" si="298"/>
        <v>0</v>
      </c>
      <c r="V557" s="33">
        <f t="shared" si="298"/>
        <v>0</v>
      </c>
      <c r="W557" s="33">
        <f t="shared" si="298"/>
        <v>0</v>
      </c>
      <c r="X557" s="33">
        <f t="shared" si="298"/>
        <v>0</v>
      </c>
    </row>
    <row r="558" spans="2:24">
      <c r="B558" s="63" t="str">
        <f t="shared" si="296"/>
        <v/>
      </c>
      <c r="C558" s="63" t="str">
        <f t="shared" si="296"/>
        <v/>
      </c>
      <c r="D558" s="52"/>
      <c r="E558" s="52"/>
      <c r="F558" s="52"/>
      <c r="G558" s="52"/>
      <c r="H558" s="52"/>
      <c r="I558" s="52"/>
      <c r="J558" s="203" t="str">
        <f t="shared" si="256"/>
        <v/>
      </c>
      <c r="K558" s="33">
        <f t="shared" ref="K558:X558" si="299">IF(ISBLANK(K511),0,K1863)</f>
        <v>0</v>
      </c>
      <c r="L558" s="33">
        <f t="shared" si="299"/>
        <v>0</v>
      </c>
      <c r="M558" s="33">
        <f t="shared" si="299"/>
        <v>0</v>
      </c>
      <c r="N558" s="33">
        <f t="shared" si="299"/>
        <v>0</v>
      </c>
      <c r="O558" s="33">
        <f t="shared" si="299"/>
        <v>0</v>
      </c>
      <c r="P558" s="33">
        <f t="shared" si="299"/>
        <v>0</v>
      </c>
      <c r="Q558" s="33">
        <f t="shared" si="299"/>
        <v>0</v>
      </c>
      <c r="R558" s="33">
        <f t="shared" si="299"/>
        <v>0</v>
      </c>
      <c r="S558" s="33">
        <f t="shared" si="299"/>
        <v>0</v>
      </c>
      <c r="T558" s="33">
        <f t="shared" si="299"/>
        <v>0</v>
      </c>
      <c r="U558" s="33">
        <f t="shared" si="299"/>
        <v>0</v>
      </c>
      <c r="V558" s="33">
        <f t="shared" si="299"/>
        <v>0</v>
      </c>
      <c r="W558" s="33">
        <f t="shared" si="299"/>
        <v>0</v>
      </c>
      <c r="X558" s="33">
        <f t="shared" si="299"/>
        <v>0</v>
      </c>
    </row>
    <row r="559" spans="2:24">
      <c r="B559" s="63" t="str">
        <f t="shared" si="296"/>
        <v/>
      </c>
      <c r="C559" s="63" t="str">
        <f t="shared" si="296"/>
        <v/>
      </c>
      <c r="D559" s="52"/>
      <c r="E559" s="52"/>
      <c r="F559" s="52"/>
      <c r="G559" s="52"/>
      <c r="H559" s="52"/>
      <c r="I559" s="52"/>
      <c r="J559" s="203" t="str">
        <f t="shared" si="256"/>
        <v/>
      </c>
      <c r="K559" s="33">
        <f t="shared" ref="K559:X559" si="300">IF(ISBLANK(K512),0,K1870)</f>
        <v>0</v>
      </c>
      <c r="L559" s="33">
        <f t="shared" si="300"/>
        <v>0</v>
      </c>
      <c r="M559" s="33">
        <f t="shared" si="300"/>
        <v>0</v>
      </c>
      <c r="N559" s="33">
        <f t="shared" si="300"/>
        <v>0</v>
      </c>
      <c r="O559" s="33">
        <f t="shared" si="300"/>
        <v>0</v>
      </c>
      <c r="P559" s="33">
        <f t="shared" si="300"/>
        <v>0</v>
      </c>
      <c r="Q559" s="33">
        <f t="shared" si="300"/>
        <v>0</v>
      </c>
      <c r="R559" s="33">
        <f t="shared" si="300"/>
        <v>0</v>
      </c>
      <c r="S559" s="33">
        <f t="shared" si="300"/>
        <v>0</v>
      </c>
      <c r="T559" s="33">
        <f t="shared" si="300"/>
        <v>0</v>
      </c>
      <c r="U559" s="33">
        <f t="shared" si="300"/>
        <v>0</v>
      </c>
      <c r="V559" s="33">
        <f t="shared" si="300"/>
        <v>0</v>
      </c>
      <c r="W559" s="33">
        <f t="shared" si="300"/>
        <v>0</v>
      </c>
      <c r="X559" s="33">
        <f t="shared" si="300"/>
        <v>0</v>
      </c>
    </row>
    <row r="560" spans="2:24">
      <c r="B560" s="63" t="str">
        <f t="shared" si="296"/>
        <v/>
      </c>
      <c r="C560" s="63" t="str">
        <f t="shared" si="296"/>
        <v/>
      </c>
      <c r="D560" s="52"/>
      <c r="E560" s="52"/>
      <c r="F560" s="52"/>
      <c r="G560" s="52"/>
      <c r="H560" s="52"/>
      <c r="I560" s="52"/>
      <c r="J560" s="203" t="str">
        <f t="shared" si="256"/>
        <v/>
      </c>
      <c r="K560" s="33">
        <f t="shared" ref="K560:X560" si="301">IF(ISBLANK(K513),0,K1877)</f>
        <v>0</v>
      </c>
      <c r="L560" s="33">
        <f t="shared" si="301"/>
        <v>0</v>
      </c>
      <c r="M560" s="33">
        <f t="shared" si="301"/>
        <v>0</v>
      </c>
      <c r="N560" s="33">
        <f t="shared" si="301"/>
        <v>0</v>
      </c>
      <c r="O560" s="33">
        <f t="shared" si="301"/>
        <v>0</v>
      </c>
      <c r="P560" s="33">
        <f t="shared" si="301"/>
        <v>0</v>
      </c>
      <c r="Q560" s="33">
        <f t="shared" si="301"/>
        <v>0</v>
      </c>
      <c r="R560" s="33">
        <f t="shared" si="301"/>
        <v>0</v>
      </c>
      <c r="S560" s="33">
        <f t="shared" si="301"/>
        <v>0</v>
      </c>
      <c r="T560" s="33">
        <f t="shared" si="301"/>
        <v>0</v>
      </c>
      <c r="U560" s="33">
        <f t="shared" si="301"/>
        <v>0</v>
      </c>
      <c r="V560" s="33">
        <f t="shared" si="301"/>
        <v>0</v>
      </c>
      <c r="W560" s="33">
        <f t="shared" si="301"/>
        <v>0</v>
      </c>
      <c r="X560" s="33">
        <f t="shared" si="301"/>
        <v>0</v>
      </c>
    </row>
    <row r="561" spans="2:24">
      <c r="B561" s="99" t="s">
        <v>335</v>
      </c>
      <c r="C561" s="99"/>
      <c r="D561" s="98"/>
      <c r="E561" s="200"/>
      <c r="F561" s="97"/>
      <c r="G561" s="98"/>
      <c r="H561" s="97"/>
      <c r="I561" s="97"/>
      <c r="J561" s="97"/>
      <c r="K561" s="98">
        <f t="shared" ref="K561:X561" si="302">SUM(K516:K560)</f>
        <v>0</v>
      </c>
      <c r="L561" s="98">
        <f t="shared" si="302"/>
        <v>0</v>
      </c>
      <c r="M561" s="98">
        <f t="shared" si="302"/>
        <v>0</v>
      </c>
      <c r="N561" s="98">
        <f t="shared" si="302"/>
        <v>0</v>
      </c>
      <c r="O561" s="98">
        <f t="shared" si="302"/>
        <v>0</v>
      </c>
      <c r="P561" s="98">
        <f t="shared" si="302"/>
        <v>0</v>
      </c>
      <c r="Q561" s="98">
        <f t="shared" si="302"/>
        <v>0</v>
      </c>
      <c r="R561" s="98">
        <f t="shared" si="302"/>
        <v>0</v>
      </c>
      <c r="S561" s="98">
        <f t="shared" si="302"/>
        <v>0</v>
      </c>
      <c r="T561" s="98">
        <f t="shared" si="302"/>
        <v>0</v>
      </c>
      <c r="U561" s="98">
        <f t="shared" si="302"/>
        <v>0</v>
      </c>
      <c r="V561" s="98">
        <f t="shared" si="302"/>
        <v>0</v>
      </c>
      <c r="W561" s="98">
        <f t="shared" si="302"/>
        <v>0</v>
      </c>
      <c r="X561" s="98">
        <f t="shared" si="302"/>
        <v>0</v>
      </c>
    </row>
    <row r="562" spans="2:24"/>
    <row r="563" spans="2:24"/>
    <row r="564" spans="2:24" ht="30.6">
      <c r="B564" s="228" t="s">
        <v>434</v>
      </c>
      <c r="C564" s="229" t="s">
        <v>296</v>
      </c>
      <c r="D564" s="230" t="s">
        <v>757</v>
      </c>
      <c r="E564" s="230" t="s">
        <v>756</v>
      </c>
      <c r="F564" s="230" t="s">
        <v>336</v>
      </c>
      <c r="G564" s="230" t="s">
        <v>781</v>
      </c>
      <c r="H564" s="230" t="s">
        <v>408</v>
      </c>
      <c r="I564" s="230" t="s">
        <v>431</v>
      </c>
      <c r="J564" s="230" t="s">
        <v>423</v>
      </c>
      <c r="K564" s="232" t="str">
        <f t="shared" ref="K564:X564" si="303">LataProjekcji</f>
        <v>Uzupełnij dane</v>
      </c>
      <c r="L564" s="232" t="str">
        <f t="shared" si="303"/>
        <v/>
      </c>
      <c r="M564" s="232" t="str">
        <f t="shared" si="303"/>
        <v/>
      </c>
      <c r="N564" s="232" t="str">
        <f t="shared" si="303"/>
        <v/>
      </c>
      <c r="O564" s="232" t="str">
        <f t="shared" si="303"/>
        <v/>
      </c>
      <c r="P564" s="232" t="str">
        <f t="shared" si="303"/>
        <v/>
      </c>
      <c r="Q564" s="232" t="str">
        <f t="shared" si="303"/>
        <v/>
      </c>
      <c r="R564" s="232" t="str">
        <f t="shared" si="303"/>
        <v/>
      </c>
      <c r="S564" s="232" t="str">
        <f t="shared" si="303"/>
        <v/>
      </c>
      <c r="T564" s="232" t="str">
        <f t="shared" si="303"/>
        <v/>
      </c>
      <c r="U564" s="232" t="str">
        <f t="shared" si="303"/>
        <v/>
      </c>
      <c r="V564" s="232" t="str">
        <f t="shared" si="303"/>
        <v/>
      </c>
      <c r="W564" s="232" t="str">
        <f t="shared" si="303"/>
        <v/>
      </c>
      <c r="X564" s="232" t="str">
        <f t="shared" si="303"/>
        <v/>
      </c>
    </row>
    <row r="565" spans="2:24">
      <c r="B565" s="305"/>
      <c r="C565" s="305"/>
      <c r="D565" s="307"/>
      <c r="E565" s="390"/>
      <c r="F565" s="391"/>
      <c r="G565" s="399"/>
      <c r="H565" s="416"/>
      <c r="I565" s="381" t="str">
        <f>IF(AND(ISBLANK(D565),ISBLANK(E565)),"",IF(OR(ISBLANK(D565),ISBLANK(E565)),"Uzupełnij dane",D458))</f>
        <v/>
      </c>
      <c r="J565" s="202" t="str" cm="1">
        <f t="array" ref="J565">IF(SUMPRODUCT(ISBLANK(B565:G565)*1)=6,"wstaw dane",IF(AND(SUMPRODUCT(ISBLANK(B565:G565)*1)&gt;0,SUMPRODUCT(ISBLANK(B565:G565)*1)&lt;6),"uzupełnij dane",IF(OR(AND(F565=nie,ISNUMBER(H565)=TRUE),AND(F565=tak,G565=tak,ISNUMBER(H565)=TRUE)),"usuń % dotacji",IF(AND(F565=nie,G565=tak),"popraw dane",IF(AND(F565=tak,G565=nie,ISBLANK(H565)=TRUE),"wstaw % dotacji","ok")))))</f>
        <v>wstaw dane</v>
      </c>
      <c r="K565" s="420"/>
      <c r="L565" s="420"/>
      <c r="M565" s="420"/>
      <c r="N565" s="420"/>
      <c r="O565" s="420"/>
      <c r="P565" s="420"/>
      <c r="Q565" s="420"/>
      <c r="R565" s="420"/>
      <c r="S565" s="420"/>
      <c r="T565" s="420"/>
      <c r="U565" s="420"/>
      <c r="V565" s="420"/>
      <c r="W565" s="420"/>
      <c r="X565" s="420"/>
    </row>
    <row r="566" spans="2:24">
      <c r="B566" s="305"/>
      <c r="C566" s="305"/>
      <c r="D566" s="307"/>
      <c r="E566" s="390"/>
      <c r="F566" s="391"/>
      <c r="G566" s="391"/>
      <c r="H566" s="417"/>
      <c r="I566" s="382" t="str">
        <f>IF(AND(ISBLANK(D566),ISBLANK(E566)),"",IF(OR(ISBLANK(D566),ISBLANK(E566)),"Uzupełnij dane",D459))</f>
        <v/>
      </c>
      <c r="J566" s="203" t="str" cm="1">
        <f t="array" ref="J566">IF(SUMPRODUCT(ISBLANK(B566:G566)*1)=6,"wstaw dane",IF(AND(SUMPRODUCT(ISBLANK(B566:G566)*1)&gt;0,SUMPRODUCT(ISBLANK(B566:G566)*1)&lt;6),"uzupełnij dane",IF(OR(AND(F566=nie,ISNUMBER(H566)=TRUE),AND(F566=tak,G566=tak,ISNUMBER(H566)=TRUE)),"usuń % dotacji",IF(AND(F566=nie,G566=tak),"popraw dane",IF(AND(F566=tak,G566=nie,ISBLANK(H566)=TRUE),"wstaw % dotacji","ok")))))</f>
        <v>wstaw dane</v>
      </c>
      <c r="K566" s="346"/>
      <c r="L566" s="346"/>
      <c r="M566" s="346"/>
      <c r="N566" s="346"/>
      <c r="O566" s="346"/>
      <c r="P566" s="346"/>
      <c r="Q566" s="346"/>
      <c r="R566" s="346"/>
      <c r="S566" s="346"/>
      <c r="T566" s="346"/>
      <c r="U566" s="346"/>
      <c r="V566" s="346"/>
      <c r="W566" s="346"/>
      <c r="X566" s="346"/>
    </row>
    <row r="567" spans="2:24">
      <c r="B567" s="305"/>
      <c r="C567" s="305"/>
      <c r="D567" s="307"/>
      <c r="E567" s="390"/>
      <c r="F567" s="391"/>
      <c r="G567" s="391"/>
      <c r="H567" s="417"/>
      <c r="I567" s="382" t="str">
        <f>IF(AND(ISBLANK(D567),ISBLANK(E567)),"",IF(OR(ISBLANK(D567),ISBLANK(E567)),"Uzupełnij dane",D460))</f>
        <v/>
      </c>
      <c r="J567" s="203" t="str" cm="1">
        <f t="array" ref="J567">IF(SUMPRODUCT(ISBLANK(B567:G567)*1)=6,"wstaw dane",IF(AND(SUMPRODUCT(ISBLANK(B567:G567)*1)&gt;0,SUMPRODUCT(ISBLANK(B567:G567)*1)&lt;6),"uzupełnij dane",IF(OR(AND(F567=nie,ISNUMBER(H567)=TRUE),AND(F567=tak,G567=tak,ISNUMBER(H567)=TRUE)),"usuń % dotacji",IF(AND(F567=nie,G567=tak),"popraw dane",IF(AND(F567=tak,G567=nie,ISBLANK(H567)=TRUE),"wstaw % dotacji","ok")))))</f>
        <v>wstaw dane</v>
      </c>
      <c r="K567" s="346"/>
      <c r="L567" s="346"/>
      <c r="M567" s="346"/>
      <c r="N567" s="346"/>
      <c r="O567" s="346"/>
      <c r="P567" s="346"/>
      <c r="Q567" s="346"/>
      <c r="R567" s="346"/>
      <c r="S567" s="346"/>
      <c r="T567" s="346"/>
      <c r="U567" s="346"/>
      <c r="V567" s="346"/>
      <c r="W567" s="346"/>
      <c r="X567" s="346"/>
    </row>
    <row r="568" spans="2:24">
      <c r="B568" s="305"/>
      <c r="C568" s="305"/>
      <c r="D568" s="307"/>
      <c r="E568" s="390"/>
      <c r="F568" s="391"/>
      <c r="G568" s="391"/>
      <c r="H568" s="417"/>
      <c r="I568" s="382" t="str">
        <f>IF(AND(ISBLANK(D568),ISBLANK(E568)),"",IF(OR(ISBLANK(D568),ISBLANK(E568)),"Uzupełnij dane",D461))</f>
        <v/>
      </c>
      <c r="J568" s="203" t="str" cm="1">
        <f t="array" ref="J568">IF(SUMPRODUCT(ISBLANK(B568:G568)*1)=6,"wstaw dane",IF(AND(SUMPRODUCT(ISBLANK(B568:G568)*1)&gt;0,SUMPRODUCT(ISBLANK(B568:G568)*1)&lt;6),"uzupełnij dane",IF(OR(AND(F568=nie,ISNUMBER(H568)=TRUE),AND(F568=tak,G568=tak,ISNUMBER(H568)=TRUE)),"usuń % dotacji",IF(AND(F568=nie,G568=tak),"popraw dane",IF(AND(F568=tak,G568=nie,ISBLANK(H568)=TRUE),"wstaw % dotacji","ok")))))</f>
        <v>wstaw dane</v>
      </c>
      <c r="K568" s="346"/>
      <c r="L568" s="346"/>
      <c r="M568" s="346"/>
      <c r="N568" s="346"/>
      <c r="O568" s="346"/>
      <c r="P568" s="346"/>
      <c r="Q568" s="346"/>
      <c r="R568" s="346"/>
      <c r="S568" s="346"/>
      <c r="T568" s="346"/>
      <c r="U568" s="346"/>
      <c r="V568" s="346"/>
      <c r="W568" s="346"/>
      <c r="X568" s="346"/>
    </row>
    <row r="569" spans="2:24">
      <c r="B569" s="305"/>
      <c r="C569" s="305"/>
      <c r="D569" s="307"/>
      <c r="E569" s="390"/>
      <c r="F569" s="391"/>
      <c r="G569" s="391"/>
      <c r="H569" s="417"/>
      <c r="I569" s="383" t="str">
        <f>IF(AND(ISBLANK(D569),ISBLANK(E569)),"",IF(OR(ISBLANK(D569),ISBLANK(E569)),"Uzupełnij dane",D462))</f>
        <v/>
      </c>
      <c r="J569" s="203" t="str" cm="1">
        <f t="array" ref="J569">IF(SUMPRODUCT(ISBLANK(B569:G569)*1)=6,"wstaw dane",IF(AND(SUMPRODUCT(ISBLANK(B569:G569)*1)&gt;0,SUMPRODUCT(ISBLANK(B569:G569)*1)&lt;6),"uzupełnij dane",IF(OR(AND(F569=nie,ISNUMBER(H569)=TRUE),AND(F569=tak,G569=tak,ISNUMBER(H569)=TRUE)),"usuń % dotacji",IF(AND(F569=nie,G569=tak),"popraw dane",IF(AND(F569=tak,G569=nie,ISBLANK(H569)=TRUE),"wstaw % dotacji","ok")))))</f>
        <v>wstaw dane</v>
      </c>
      <c r="K569" s="421"/>
      <c r="L569" s="421"/>
      <c r="M569" s="421"/>
      <c r="N569" s="421"/>
      <c r="O569" s="421"/>
      <c r="P569" s="421"/>
      <c r="Q569" s="421"/>
      <c r="R569" s="421"/>
      <c r="S569" s="421"/>
      <c r="T569" s="421"/>
      <c r="U569" s="421"/>
      <c r="V569" s="421"/>
      <c r="W569" s="421"/>
      <c r="X569" s="421"/>
    </row>
    <row r="570" spans="2:24">
      <c r="B570" s="99" t="s">
        <v>335</v>
      </c>
      <c r="C570" s="99"/>
      <c r="D570" s="98"/>
      <c r="E570" s="200"/>
      <c r="F570" s="97"/>
      <c r="G570" s="98"/>
      <c r="H570" s="97"/>
      <c r="I570" s="406">
        <f>SUM(I565:I569)</f>
        <v>0</v>
      </c>
      <c r="J570" s="98"/>
      <c r="K570" s="98">
        <f t="shared" ref="K570:X570" si="304">SUM(K565:K569)</f>
        <v>0</v>
      </c>
      <c r="L570" s="98">
        <f t="shared" si="304"/>
        <v>0</v>
      </c>
      <c r="M570" s="98">
        <f t="shared" si="304"/>
        <v>0</v>
      </c>
      <c r="N570" s="98">
        <f t="shared" si="304"/>
        <v>0</v>
      </c>
      <c r="O570" s="98">
        <f t="shared" si="304"/>
        <v>0</v>
      </c>
      <c r="P570" s="98">
        <f t="shared" si="304"/>
        <v>0</v>
      </c>
      <c r="Q570" s="98">
        <f t="shared" si="304"/>
        <v>0</v>
      </c>
      <c r="R570" s="98">
        <f t="shared" si="304"/>
        <v>0</v>
      </c>
      <c r="S570" s="98">
        <f t="shared" si="304"/>
        <v>0</v>
      </c>
      <c r="T570" s="98">
        <f t="shared" si="304"/>
        <v>0</v>
      </c>
      <c r="U570" s="98">
        <f t="shared" si="304"/>
        <v>0</v>
      </c>
      <c r="V570" s="98">
        <f t="shared" si="304"/>
        <v>0</v>
      </c>
      <c r="W570" s="98">
        <f t="shared" si="304"/>
        <v>0</v>
      </c>
      <c r="X570" s="98">
        <f t="shared" si="304"/>
        <v>0</v>
      </c>
    </row>
    <row r="571" spans="2:24"/>
    <row r="572" spans="2:24"/>
    <row r="573" spans="2:24" ht="20.399999999999999">
      <c r="B573" s="228" t="s">
        <v>392</v>
      </c>
      <c r="C573" s="229" t="s">
        <v>296</v>
      </c>
      <c r="D573" s="230" t="s">
        <v>406</v>
      </c>
      <c r="E573" s="230" t="s">
        <v>421</v>
      </c>
      <c r="F573" s="230" t="s">
        <v>336</v>
      </c>
      <c r="G573" s="230" t="s">
        <v>781</v>
      </c>
      <c r="H573" s="230" t="s">
        <v>408</v>
      </c>
      <c r="I573" s="230" t="s">
        <v>409</v>
      </c>
      <c r="J573" s="230" t="s">
        <v>423</v>
      </c>
      <c r="K573" s="232" t="str">
        <f t="shared" ref="K573:X573" si="305">LataProjekcji</f>
        <v>Uzupełnij dane</v>
      </c>
      <c r="L573" s="232" t="str">
        <f t="shared" si="305"/>
        <v/>
      </c>
      <c r="M573" s="232" t="str">
        <f t="shared" si="305"/>
        <v/>
      </c>
      <c r="N573" s="232" t="str">
        <f t="shared" si="305"/>
        <v/>
      </c>
      <c r="O573" s="232" t="str">
        <f t="shared" si="305"/>
        <v/>
      </c>
      <c r="P573" s="232" t="str">
        <f t="shared" si="305"/>
        <v/>
      </c>
      <c r="Q573" s="232" t="str">
        <f t="shared" si="305"/>
        <v/>
      </c>
      <c r="R573" s="232" t="str">
        <f t="shared" si="305"/>
        <v/>
      </c>
      <c r="S573" s="232" t="str">
        <f t="shared" si="305"/>
        <v/>
      </c>
      <c r="T573" s="232" t="str">
        <f t="shared" si="305"/>
        <v/>
      </c>
      <c r="U573" s="232" t="str">
        <f t="shared" si="305"/>
        <v/>
      </c>
      <c r="V573" s="232" t="str">
        <f t="shared" si="305"/>
        <v/>
      </c>
      <c r="W573" s="232" t="str">
        <f t="shared" si="305"/>
        <v/>
      </c>
      <c r="X573" s="232" t="str">
        <f t="shared" si="305"/>
        <v/>
      </c>
    </row>
    <row r="574" spans="2:24">
      <c r="B574" s="305"/>
      <c r="C574" s="305"/>
      <c r="D574" s="288"/>
      <c r="E574" s="390"/>
      <c r="F574" s="391"/>
      <c r="G574" s="399"/>
      <c r="H574" s="416"/>
      <c r="I574" s="341">
        <f>IF(AND(F574="tak",G574="tak"),SUM(K602:X602),IF(AND(F574="tak",G574="nie",ISNUMBER(H574)),'Rozliczenie dotacji'!F170,0))</f>
        <v>0</v>
      </c>
      <c r="J574" s="202" t="str" cm="1">
        <f t="array" ref="J574">IF(SUMPRODUCT(ISBLANK(B574:G574)*1)=6,"wstaw dane",IF(AND(SUMPRODUCT(ISBLANK(B574:G574)*1)&gt;0,SUMPRODUCT(ISBLANK(B574:G574)*1)&lt;6),"uzupełnij dane",IF(OR(AND(F574=nie,ISNUMBER(H574)=TRUE),AND(F574=tak,G574=tak,ISNUMBER(H574)=TRUE)),"usuń % dotacji",IF(AND(F574=nie,G574=tak),"popraw dane",IF(AND(F574=tak,G574=nie,ISBLANK(H574)=TRUE),"wstaw % dotacji","ok")))))</f>
        <v>wstaw dane</v>
      </c>
      <c r="K574" s="103">
        <f t="shared" ref="K574:X583" si="306">ROUND(IF(AND(YEAR($E574)=LataProjekcji,$D574&gt;0,$J574="ok"),$D574,0),0)</f>
        <v>0</v>
      </c>
      <c r="L574" s="103">
        <f t="shared" si="306"/>
        <v>0</v>
      </c>
      <c r="M574" s="103">
        <f t="shared" si="306"/>
        <v>0</v>
      </c>
      <c r="N574" s="103">
        <f t="shared" si="306"/>
        <v>0</v>
      </c>
      <c r="O574" s="103">
        <f t="shared" si="306"/>
        <v>0</v>
      </c>
      <c r="P574" s="103">
        <f t="shared" si="306"/>
        <v>0</v>
      </c>
      <c r="Q574" s="103">
        <f t="shared" si="306"/>
        <v>0</v>
      </c>
      <c r="R574" s="103">
        <f t="shared" si="306"/>
        <v>0</v>
      </c>
      <c r="S574" s="103">
        <f t="shared" si="306"/>
        <v>0</v>
      </c>
      <c r="T574" s="103">
        <f t="shared" si="306"/>
        <v>0</v>
      </c>
      <c r="U574" s="103">
        <f t="shared" si="306"/>
        <v>0</v>
      </c>
      <c r="V574" s="103">
        <f t="shared" si="306"/>
        <v>0</v>
      </c>
      <c r="W574" s="103">
        <f t="shared" si="306"/>
        <v>0</v>
      </c>
      <c r="X574" s="103">
        <f t="shared" si="306"/>
        <v>0</v>
      </c>
    </row>
    <row r="575" spans="2:24">
      <c r="B575" s="305"/>
      <c r="C575" s="305"/>
      <c r="D575" s="288"/>
      <c r="E575" s="390"/>
      <c r="F575" s="391"/>
      <c r="G575" s="391"/>
      <c r="H575" s="417"/>
      <c r="I575" s="339">
        <f>IF(AND(F575="tak",G575="tak"),SUM(K603:X603),IF(AND(F575="tak",G575="nie",ISNUMBER(H575)),'Rozliczenie dotacji'!F171,0))</f>
        <v>0</v>
      </c>
      <c r="J575" s="203" t="str" cm="1">
        <f t="array" ref="J575">IF(SUMPRODUCT(ISBLANK(B575:G575)*1)=6,"wstaw dane",IF(AND(SUMPRODUCT(ISBLANK(B575:G575)*1)&gt;0,SUMPRODUCT(ISBLANK(B575:G575)*1)&lt;6),"uzupełnij dane",IF(OR(AND(F575=nie,ISNUMBER(H575)=TRUE),AND(F575=tak,G575=tak,ISNUMBER(H575)=TRUE)),"usuń % dotacji",IF(AND(F575=nie,G575=tak),"popraw dane",IF(AND(F575=tak,G575=nie,ISBLANK(H575)=TRUE),"wstaw % dotacji","ok")))))</f>
        <v>wstaw dane</v>
      </c>
      <c r="K575" s="33">
        <f t="shared" si="306"/>
        <v>0</v>
      </c>
      <c r="L575" s="33">
        <f t="shared" si="306"/>
        <v>0</v>
      </c>
      <c r="M575" s="33">
        <f t="shared" si="306"/>
        <v>0</v>
      </c>
      <c r="N575" s="33">
        <f t="shared" si="306"/>
        <v>0</v>
      </c>
      <c r="O575" s="33">
        <f t="shared" si="306"/>
        <v>0</v>
      </c>
      <c r="P575" s="33">
        <f t="shared" si="306"/>
        <v>0</v>
      </c>
      <c r="Q575" s="33">
        <f t="shared" si="306"/>
        <v>0</v>
      </c>
      <c r="R575" s="33">
        <f t="shared" si="306"/>
        <v>0</v>
      </c>
      <c r="S575" s="33">
        <f t="shared" si="306"/>
        <v>0</v>
      </c>
      <c r="T575" s="33">
        <f t="shared" si="306"/>
        <v>0</v>
      </c>
      <c r="U575" s="33">
        <f t="shared" si="306"/>
        <v>0</v>
      </c>
      <c r="V575" s="33">
        <f t="shared" si="306"/>
        <v>0</v>
      </c>
      <c r="W575" s="33">
        <f t="shared" si="306"/>
        <v>0</v>
      </c>
      <c r="X575" s="33">
        <f t="shared" si="306"/>
        <v>0</v>
      </c>
    </row>
    <row r="576" spans="2:24">
      <c r="B576" s="305"/>
      <c r="C576" s="305"/>
      <c r="D576" s="288"/>
      <c r="E576" s="390"/>
      <c r="F576" s="391"/>
      <c r="G576" s="391"/>
      <c r="H576" s="417"/>
      <c r="I576" s="339">
        <f>IF(AND(F576="tak",G576="tak"),SUM(K604:X604),IF(AND(F576="tak",G576="nie",ISNUMBER(H576)),'Rozliczenie dotacji'!F172,0))</f>
        <v>0</v>
      </c>
      <c r="J576" s="203" t="str" cm="1">
        <f t="array" ref="J576">IF(SUMPRODUCT(ISBLANK(B576:G576)*1)=6,"wstaw dane",IF(AND(SUMPRODUCT(ISBLANK(B576:G576)*1)&gt;0,SUMPRODUCT(ISBLANK(B576:G576)*1)&lt;6),"uzupełnij dane",IF(OR(AND(F576=nie,ISNUMBER(H576)=TRUE),AND(F576=tak,G576=tak,ISNUMBER(H576)=TRUE)),"usuń % dotacji",IF(AND(F576=nie,G576=tak),"popraw dane",IF(AND(F576=tak,G576=nie,ISBLANK(H576)=TRUE),"wstaw % dotacji","ok")))))</f>
        <v>wstaw dane</v>
      </c>
      <c r="K576" s="33">
        <f t="shared" si="306"/>
        <v>0</v>
      </c>
      <c r="L576" s="33">
        <f t="shared" si="306"/>
        <v>0</v>
      </c>
      <c r="M576" s="33">
        <f t="shared" si="306"/>
        <v>0</v>
      </c>
      <c r="N576" s="33">
        <f t="shared" si="306"/>
        <v>0</v>
      </c>
      <c r="O576" s="33">
        <f t="shared" si="306"/>
        <v>0</v>
      </c>
      <c r="P576" s="33">
        <f t="shared" si="306"/>
        <v>0</v>
      </c>
      <c r="Q576" s="33">
        <f t="shared" si="306"/>
        <v>0</v>
      </c>
      <c r="R576" s="33">
        <f t="shared" si="306"/>
        <v>0</v>
      </c>
      <c r="S576" s="33">
        <f t="shared" si="306"/>
        <v>0</v>
      </c>
      <c r="T576" s="33">
        <f t="shared" si="306"/>
        <v>0</v>
      </c>
      <c r="U576" s="33">
        <f t="shared" si="306"/>
        <v>0</v>
      </c>
      <c r="V576" s="33">
        <f t="shared" si="306"/>
        <v>0</v>
      </c>
      <c r="W576" s="33">
        <f t="shared" si="306"/>
        <v>0</v>
      </c>
      <c r="X576" s="33">
        <f t="shared" si="306"/>
        <v>0</v>
      </c>
    </row>
    <row r="577" spans="2:24">
      <c r="B577" s="305"/>
      <c r="C577" s="305"/>
      <c r="D577" s="288"/>
      <c r="E577" s="390"/>
      <c r="F577" s="391"/>
      <c r="G577" s="391"/>
      <c r="H577" s="417"/>
      <c r="I577" s="339">
        <f>IF(AND(F577="tak",G577="tak"),SUM(K605:X605),IF(AND(F577="tak",G577="nie",ISNUMBER(H577)),'Rozliczenie dotacji'!F173,0))</f>
        <v>0</v>
      </c>
      <c r="J577" s="203" t="str" cm="1">
        <f t="array" ref="J577">IF(SUMPRODUCT(ISBLANK(B577:G577)*1)=6,"wstaw dane",IF(AND(SUMPRODUCT(ISBLANK(B577:G577)*1)&gt;0,SUMPRODUCT(ISBLANK(B577:G577)*1)&lt;6),"uzupełnij dane",IF(OR(AND(F577=nie,ISNUMBER(H577)=TRUE),AND(F577=tak,G577=tak,ISNUMBER(H577)=TRUE)),"usuń % dotacji",IF(AND(F577=nie,G577=tak),"popraw dane",IF(AND(F577=tak,G577=nie,ISBLANK(H577)=TRUE),"wstaw % dotacji","ok")))))</f>
        <v>wstaw dane</v>
      </c>
      <c r="K577" s="33">
        <f t="shared" si="306"/>
        <v>0</v>
      </c>
      <c r="L577" s="33">
        <f t="shared" si="306"/>
        <v>0</v>
      </c>
      <c r="M577" s="33">
        <f t="shared" si="306"/>
        <v>0</v>
      </c>
      <c r="N577" s="33">
        <f t="shared" si="306"/>
        <v>0</v>
      </c>
      <c r="O577" s="33">
        <f t="shared" si="306"/>
        <v>0</v>
      </c>
      <c r="P577" s="33">
        <f t="shared" si="306"/>
        <v>0</v>
      </c>
      <c r="Q577" s="33">
        <f t="shared" si="306"/>
        <v>0</v>
      </c>
      <c r="R577" s="33">
        <f t="shared" si="306"/>
        <v>0</v>
      </c>
      <c r="S577" s="33">
        <f t="shared" si="306"/>
        <v>0</v>
      </c>
      <c r="T577" s="33">
        <f t="shared" si="306"/>
        <v>0</v>
      </c>
      <c r="U577" s="33">
        <f t="shared" si="306"/>
        <v>0</v>
      </c>
      <c r="V577" s="33">
        <f t="shared" si="306"/>
        <v>0</v>
      </c>
      <c r="W577" s="33">
        <f t="shared" si="306"/>
        <v>0</v>
      </c>
      <c r="X577" s="33">
        <f t="shared" si="306"/>
        <v>0</v>
      </c>
    </row>
    <row r="578" spans="2:24">
      <c r="B578" s="305"/>
      <c r="C578" s="305"/>
      <c r="D578" s="288"/>
      <c r="E578" s="390"/>
      <c r="F578" s="391"/>
      <c r="G578" s="391"/>
      <c r="H578" s="417"/>
      <c r="I578" s="339">
        <f>IF(AND(F578="tak",G578="tak"),SUM(K606:X606),IF(AND(F578="tak",G578="nie",ISNUMBER(H578)),'Rozliczenie dotacji'!F174,0))</f>
        <v>0</v>
      </c>
      <c r="J578" s="203" t="str" cm="1">
        <f t="array" ref="J578">IF(SUMPRODUCT(ISBLANK(B578:G578)*1)=6,"wstaw dane",IF(AND(SUMPRODUCT(ISBLANK(B578:G578)*1)&gt;0,SUMPRODUCT(ISBLANK(B578:G578)*1)&lt;6),"uzupełnij dane",IF(OR(AND(F578=nie,ISNUMBER(H578)=TRUE),AND(F578=tak,G578=tak,ISNUMBER(H578)=TRUE)),"usuń % dotacji",IF(AND(F578=nie,G578=tak),"popraw dane",IF(AND(F578=tak,G578=nie,ISBLANK(H578)=TRUE),"wstaw % dotacji","ok")))))</f>
        <v>wstaw dane</v>
      </c>
      <c r="K578" s="33">
        <f t="shared" si="306"/>
        <v>0</v>
      </c>
      <c r="L578" s="33">
        <f t="shared" si="306"/>
        <v>0</v>
      </c>
      <c r="M578" s="33">
        <f t="shared" si="306"/>
        <v>0</v>
      </c>
      <c r="N578" s="33">
        <f t="shared" si="306"/>
        <v>0</v>
      </c>
      <c r="O578" s="33">
        <f t="shared" si="306"/>
        <v>0</v>
      </c>
      <c r="P578" s="33">
        <f t="shared" si="306"/>
        <v>0</v>
      </c>
      <c r="Q578" s="33">
        <f t="shared" si="306"/>
        <v>0</v>
      </c>
      <c r="R578" s="33">
        <f t="shared" si="306"/>
        <v>0</v>
      </c>
      <c r="S578" s="33">
        <f t="shared" si="306"/>
        <v>0</v>
      </c>
      <c r="T578" s="33">
        <f t="shared" si="306"/>
        <v>0</v>
      </c>
      <c r="U578" s="33">
        <f t="shared" si="306"/>
        <v>0</v>
      </c>
      <c r="V578" s="33">
        <f t="shared" si="306"/>
        <v>0</v>
      </c>
      <c r="W578" s="33">
        <f t="shared" si="306"/>
        <v>0</v>
      </c>
      <c r="X578" s="33">
        <f t="shared" si="306"/>
        <v>0</v>
      </c>
    </row>
    <row r="579" spans="2:24">
      <c r="B579" s="305"/>
      <c r="C579" s="305"/>
      <c r="D579" s="288"/>
      <c r="E579" s="390"/>
      <c r="F579" s="391"/>
      <c r="G579" s="391"/>
      <c r="H579" s="417"/>
      <c r="I579" s="339">
        <f>IF(AND(F579="tak",G579="tak"),SUM(K607:X607),IF(AND(F579="tak",G579="nie",ISNUMBER(H579)),'Rozliczenie dotacji'!F175,0))</f>
        <v>0</v>
      </c>
      <c r="J579" s="203" t="str" cm="1">
        <f t="array" ref="J579">IF(SUMPRODUCT(ISBLANK(B579:G579)*1)=6,"wstaw dane",IF(AND(SUMPRODUCT(ISBLANK(B579:G579)*1)&gt;0,SUMPRODUCT(ISBLANK(B579:G579)*1)&lt;6),"uzupełnij dane",IF(OR(AND(F579=nie,ISNUMBER(H579)=TRUE),AND(F579=tak,G579=tak,ISNUMBER(H579)=TRUE)),"usuń % dotacji",IF(AND(F579=nie,G579=tak),"popraw dane",IF(AND(F579=tak,G579=nie,ISBLANK(H579)=TRUE),"wstaw % dotacji","ok")))))</f>
        <v>wstaw dane</v>
      </c>
      <c r="K579" s="33">
        <f t="shared" si="306"/>
        <v>0</v>
      </c>
      <c r="L579" s="33">
        <f t="shared" si="306"/>
        <v>0</v>
      </c>
      <c r="M579" s="33">
        <f t="shared" si="306"/>
        <v>0</v>
      </c>
      <c r="N579" s="33">
        <f t="shared" si="306"/>
        <v>0</v>
      </c>
      <c r="O579" s="33">
        <f t="shared" si="306"/>
        <v>0</v>
      </c>
      <c r="P579" s="33">
        <f t="shared" si="306"/>
        <v>0</v>
      </c>
      <c r="Q579" s="33">
        <f t="shared" si="306"/>
        <v>0</v>
      </c>
      <c r="R579" s="33">
        <f t="shared" si="306"/>
        <v>0</v>
      </c>
      <c r="S579" s="33">
        <f t="shared" si="306"/>
        <v>0</v>
      </c>
      <c r="T579" s="33">
        <f t="shared" si="306"/>
        <v>0</v>
      </c>
      <c r="U579" s="33">
        <f t="shared" si="306"/>
        <v>0</v>
      </c>
      <c r="V579" s="33">
        <f t="shared" si="306"/>
        <v>0</v>
      </c>
      <c r="W579" s="33">
        <f t="shared" si="306"/>
        <v>0</v>
      </c>
      <c r="X579" s="33">
        <f t="shared" si="306"/>
        <v>0</v>
      </c>
    </row>
    <row r="580" spans="2:24">
      <c r="B580" s="305"/>
      <c r="C580" s="305"/>
      <c r="D580" s="288"/>
      <c r="E580" s="390"/>
      <c r="F580" s="391"/>
      <c r="G580" s="391"/>
      <c r="H580" s="417"/>
      <c r="I580" s="339">
        <f>IF(AND(F580="tak",G580="tak"),SUM(K608:X608),IF(AND(F580="tak",G580="nie",ISNUMBER(H580)),'Rozliczenie dotacji'!F176,0))</f>
        <v>0</v>
      </c>
      <c r="J580" s="203" t="str" cm="1">
        <f t="array" ref="J580">IF(SUMPRODUCT(ISBLANK(B580:G580)*1)=6,"wstaw dane",IF(AND(SUMPRODUCT(ISBLANK(B580:G580)*1)&gt;0,SUMPRODUCT(ISBLANK(B580:G580)*1)&lt;6),"uzupełnij dane",IF(OR(AND(F580=nie,ISNUMBER(H580)=TRUE),AND(F580=tak,G580=tak,ISNUMBER(H580)=TRUE)),"usuń % dotacji",IF(AND(F580=nie,G580=tak),"popraw dane",IF(AND(F580=tak,G580=nie,ISBLANK(H580)=TRUE),"wstaw % dotacji","ok")))))</f>
        <v>wstaw dane</v>
      </c>
      <c r="K580" s="33">
        <f t="shared" si="306"/>
        <v>0</v>
      </c>
      <c r="L580" s="33">
        <f t="shared" si="306"/>
        <v>0</v>
      </c>
      <c r="M580" s="33">
        <f t="shared" si="306"/>
        <v>0</v>
      </c>
      <c r="N580" s="33">
        <f t="shared" si="306"/>
        <v>0</v>
      </c>
      <c r="O580" s="33">
        <f t="shared" si="306"/>
        <v>0</v>
      </c>
      <c r="P580" s="33">
        <f t="shared" si="306"/>
        <v>0</v>
      </c>
      <c r="Q580" s="33">
        <f t="shared" si="306"/>
        <v>0</v>
      </c>
      <c r="R580" s="33">
        <f t="shared" si="306"/>
        <v>0</v>
      </c>
      <c r="S580" s="33">
        <f t="shared" si="306"/>
        <v>0</v>
      </c>
      <c r="T580" s="33">
        <f t="shared" si="306"/>
        <v>0</v>
      </c>
      <c r="U580" s="33">
        <f t="shared" si="306"/>
        <v>0</v>
      </c>
      <c r="V580" s="33">
        <f t="shared" si="306"/>
        <v>0</v>
      </c>
      <c r="W580" s="33">
        <f t="shared" si="306"/>
        <v>0</v>
      </c>
      <c r="X580" s="33">
        <f t="shared" si="306"/>
        <v>0</v>
      </c>
    </row>
    <row r="581" spans="2:24">
      <c r="B581" s="305"/>
      <c r="C581" s="305"/>
      <c r="D581" s="288"/>
      <c r="E581" s="390"/>
      <c r="F581" s="391"/>
      <c r="G581" s="391"/>
      <c r="H581" s="417"/>
      <c r="I581" s="339">
        <f>IF(AND(F581="tak",G581="tak"),SUM(K609:X609),IF(AND(F581="tak",G581="nie",ISNUMBER(H581)),'Rozliczenie dotacji'!F177,0))</f>
        <v>0</v>
      </c>
      <c r="J581" s="203" t="str" cm="1">
        <f t="array" ref="J581">IF(SUMPRODUCT(ISBLANK(B581:G581)*1)=6,"wstaw dane",IF(AND(SUMPRODUCT(ISBLANK(B581:G581)*1)&gt;0,SUMPRODUCT(ISBLANK(B581:G581)*1)&lt;6),"uzupełnij dane",IF(OR(AND(F581=nie,ISNUMBER(H581)=TRUE),AND(F581=tak,G581=tak,ISNUMBER(H581)=TRUE)),"usuń % dotacji",IF(AND(F581=nie,G581=tak),"popraw dane",IF(AND(F581=tak,G581=nie,ISBLANK(H581)=TRUE),"wstaw % dotacji","ok")))))</f>
        <v>wstaw dane</v>
      </c>
      <c r="K581" s="33">
        <f t="shared" si="306"/>
        <v>0</v>
      </c>
      <c r="L581" s="33">
        <f t="shared" si="306"/>
        <v>0</v>
      </c>
      <c r="M581" s="33">
        <f t="shared" si="306"/>
        <v>0</v>
      </c>
      <c r="N581" s="33">
        <f t="shared" si="306"/>
        <v>0</v>
      </c>
      <c r="O581" s="33">
        <f t="shared" si="306"/>
        <v>0</v>
      </c>
      <c r="P581" s="33">
        <f t="shared" si="306"/>
        <v>0</v>
      </c>
      <c r="Q581" s="33">
        <f t="shared" si="306"/>
        <v>0</v>
      </c>
      <c r="R581" s="33">
        <f t="shared" si="306"/>
        <v>0</v>
      </c>
      <c r="S581" s="33">
        <f t="shared" si="306"/>
        <v>0</v>
      </c>
      <c r="T581" s="33">
        <f t="shared" si="306"/>
        <v>0</v>
      </c>
      <c r="U581" s="33">
        <f t="shared" si="306"/>
        <v>0</v>
      </c>
      <c r="V581" s="33">
        <f t="shared" si="306"/>
        <v>0</v>
      </c>
      <c r="W581" s="33">
        <f t="shared" si="306"/>
        <v>0</v>
      </c>
      <c r="X581" s="33">
        <f t="shared" si="306"/>
        <v>0</v>
      </c>
    </row>
    <row r="582" spans="2:24">
      <c r="B582" s="305"/>
      <c r="C582" s="305"/>
      <c r="D582" s="288"/>
      <c r="E582" s="390"/>
      <c r="F582" s="391"/>
      <c r="G582" s="391"/>
      <c r="H582" s="417"/>
      <c r="I582" s="339">
        <f>IF(AND(F582="tak",G582="tak"),SUM(K610:X610),IF(AND(F582="tak",G582="nie",ISNUMBER(H582)),'Rozliczenie dotacji'!F178,0))</f>
        <v>0</v>
      </c>
      <c r="J582" s="203" t="str" cm="1">
        <f t="array" ref="J582">IF(SUMPRODUCT(ISBLANK(B582:G582)*1)=6,"wstaw dane",IF(AND(SUMPRODUCT(ISBLANK(B582:G582)*1)&gt;0,SUMPRODUCT(ISBLANK(B582:G582)*1)&lt;6),"uzupełnij dane",IF(OR(AND(F582=nie,ISNUMBER(H582)=TRUE),AND(F582=tak,G582=tak,ISNUMBER(H582)=TRUE)),"usuń % dotacji",IF(AND(F582=nie,G582=tak),"popraw dane",IF(AND(F582=tak,G582=nie,ISBLANK(H582)=TRUE),"wstaw % dotacji","ok")))))</f>
        <v>wstaw dane</v>
      </c>
      <c r="K582" s="33">
        <f t="shared" si="306"/>
        <v>0</v>
      </c>
      <c r="L582" s="33">
        <f t="shared" si="306"/>
        <v>0</v>
      </c>
      <c r="M582" s="33">
        <f t="shared" si="306"/>
        <v>0</v>
      </c>
      <c r="N582" s="33">
        <f t="shared" si="306"/>
        <v>0</v>
      </c>
      <c r="O582" s="33">
        <f t="shared" si="306"/>
        <v>0</v>
      </c>
      <c r="P582" s="33">
        <f t="shared" si="306"/>
        <v>0</v>
      </c>
      <c r="Q582" s="33">
        <f t="shared" si="306"/>
        <v>0</v>
      </c>
      <c r="R582" s="33">
        <f t="shared" si="306"/>
        <v>0</v>
      </c>
      <c r="S582" s="33">
        <f t="shared" si="306"/>
        <v>0</v>
      </c>
      <c r="T582" s="33">
        <f t="shared" si="306"/>
        <v>0</v>
      </c>
      <c r="U582" s="33">
        <f t="shared" si="306"/>
        <v>0</v>
      </c>
      <c r="V582" s="33">
        <f t="shared" si="306"/>
        <v>0</v>
      </c>
      <c r="W582" s="33">
        <f t="shared" si="306"/>
        <v>0</v>
      </c>
      <c r="X582" s="33">
        <f t="shared" si="306"/>
        <v>0</v>
      </c>
    </row>
    <row r="583" spans="2:24">
      <c r="B583" s="305"/>
      <c r="C583" s="305"/>
      <c r="D583" s="288"/>
      <c r="E583" s="390"/>
      <c r="F583" s="391"/>
      <c r="G583" s="391"/>
      <c r="H583" s="417"/>
      <c r="I583" s="339">
        <f>IF(AND(F583="tak",G583="tak"),SUM(K611:X611),IF(AND(F583="tak",G583="nie",ISNUMBER(H583)),'Rozliczenie dotacji'!F179,0))</f>
        <v>0</v>
      </c>
      <c r="J583" s="203" t="str" cm="1">
        <f t="array" ref="J583">IF(SUMPRODUCT(ISBLANK(B583:G583)*1)=6,"wstaw dane",IF(AND(SUMPRODUCT(ISBLANK(B583:G583)*1)&gt;0,SUMPRODUCT(ISBLANK(B583:G583)*1)&lt;6),"uzupełnij dane",IF(OR(AND(F583=nie,ISNUMBER(H583)=TRUE),AND(F583=tak,G583=tak,ISNUMBER(H583)=TRUE)),"usuń % dotacji",IF(AND(F583=nie,G583=tak),"popraw dane",IF(AND(F583=tak,G583=nie,ISBLANK(H583)=TRUE),"wstaw % dotacji","ok")))))</f>
        <v>wstaw dane</v>
      </c>
      <c r="K583" s="33">
        <f t="shared" si="306"/>
        <v>0</v>
      </c>
      <c r="L583" s="33">
        <f t="shared" si="306"/>
        <v>0</v>
      </c>
      <c r="M583" s="33">
        <f t="shared" si="306"/>
        <v>0</v>
      </c>
      <c r="N583" s="33">
        <f t="shared" si="306"/>
        <v>0</v>
      </c>
      <c r="O583" s="33">
        <f t="shared" si="306"/>
        <v>0</v>
      </c>
      <c r="P583" s="33">
        <f t="shared" si="306"/>
        <v>0</v>
      </c>
      <c r="Q583" s="33">
        <f t="shared" si="306"/>
        <v>0</v>
      </c>
      <c r="R583" s="33">
        <f t="shared" si="306"/>
        <v>0</v>
      </c>
      <c r="S583" s="33">
        <f t="shared" si="306"/>
        <v>0</v>
      </c>
      <c r="T583" s="33">
        <f t="shared" si="306"/>
        <v>0</v>
      </c>
      <c r="U583" s="33">
        <f t="shared" si="306"/>
        <v>0</v>
      </c>
      <c r="V583" s="33">
        <f t="shared" si="306"/>
        <v>0</v>
      </c>
      <c r="W583" s="33">
        <f t="shared" si="306"/>
        <v>0</v>
      </c>
      <c r="X583" s="33">
        <f t="shared" si="306"/>
        <v>0</v>
      </c>
    </row>
    <row r="584" spans="2:24">
      <c r="B584" s="99" t="s">
        <v>335</v>
      </c>
      <c r="C584" s="99"/>
      <c r="D584" s="98">
        <f>SUM(D574:D583)</f>
        <v>0</v>
      </c>
      <c r="E584" s="200"/>
      <c r="F584" s="97"/>
      <c r="G584" s="98"/>
      <c r="H584" s="97"/>
      <c r="I584" s="98">
        <f>SUM(I574:I583)</f>
        <v>0</v>
      </c>
      <c r="J584" s="97"/>
      <c r="K584" s="98">
        <f t="shared" ref="K584:X584" si="307">SUM(K574:K583)</f>
        <v>0</v>
      </c>
      <c r="L584" s="98">
        <f t="shared" si="307"/>
        <v>0</v>
      </c>
      <c r="M584" s="98">
        <f t="shared" si="307"/>
        <v>0</v>
      </c>
      <c r="N584" s="98">
        <f t="shared" si="307"/>
        <v>0</v>
      </c>
      <c r="O584" s="98">
        <f t="shared" si="307"/>
        <v>0</v>
      </c>
      <c r="P584" s="98">
        <f t="shared" si="307"/>
        <v>0</v>
      </c>
      <c r="Q584" s="98">
        <f t="shared" si="307"/>
        <v>0</v>
      </c>
      <c r="R584" s="98">
        <f t="shared" si="307"/>
        <v>0</v>
      </c>
      <c r="S584" s="98">
        <f t="shared" si="307"/>
        <v>0</v>
      </c>
      <c r="T584" s="98">
        <f t="shared" si="307"/>
        <v>0</v>
      </c>
      <c r="U584" s="98">
        <f t="shared" si="307"/>
        <v>0</v>
      </c>
      <c r="V584" s="98">
        <f t="shared" si="307"/>
        <v>0</v>
      </c>
      <c r="W584" s="98">
        <f t="shared" si="307"/>
        <v>0</v>
      </c>
      <c r="X584" s="98">
        <f t="shared" si="307"/>
        <v>0</v>
      </c>
    </row>
    <row r="585" spans="2:24">
      <c r="B585" s="104" t="s">
        <v>384</v>
      </c>
      <c r="C585" s="104"/>
      <c r="D585" s="102"/>
      <c r="E585" s="102"/>
      <c r="F585" s="102"/>
      <c r="G585" s="102"/>
      <c r="H585" s="102"/>
      <c r="I585" s="102"/>
      <c r="J585" s="102"/>
      <c r="K585" s="103">
        <f t="shared" ref="K585:X585" ca="1" si="308">K1886+K1893+K1900+K1907+K1914+K1921+K1928+K1935+K1942+K1949</f>
        <v>0</v>
      </c>
      <c r="L585" s="103">
        <f t="shared" ca="1" si="308"/>
        <v>0</v>
      </c>
      <c r="M585" s="103">
        <f t="shared" ca="1" si="308"/>
        <v>0</v>
      </c>
      <c r="N585" s="103">
        <f t="shared" ca="1" si="308"/>
        <v>0</v>
      </c>
      <c r="O585" s="103">
        <f t="shared" ca="1" si="308"/>
        <v>0</v>
      </c>
      <c r="P585" s="103">
        <f t="shared" ca="1" si="308"/>
        <v>0</v>
      </c>
      <c r="Q585" s="103">
        <f t="shared" ca="1" si="308"/>
        <v>0</v>
      </c>
      <c r="R585" s="103">
        <f t="shared" ca="1" si="308"/>
        <v>0</v>
      </c>
      <c r="S585" s="103">
        <f t="shared" ca="1" si="308"/>
        <v>0</v>
      </c>
      <c r="T585" s="103">
        <f t="shared" ca="1" si="308"/>
        <v>0</v>
      </c>
      <c r="U585" s="103">
        <f t="shared" ca="1" si="308"/>
        <v>0</v>
      </c>
      <c r="V585" s="103">
        <f t="shared" ca="1" si="308"/>
        <v>0</v>
      </c>
      <c r="W585" s="103">
        <f t="shared" ca="1" si="308"/>
        <v>0</v>
      </c>
      <c r="X585" s="103">
        <f t="shared" ca="1" si="308"/>
        <v>0</v>
      </c>
    </row>
    <row r="586" spans="2:24">
      <c r="B586" s="37" t="s">
        <v>385</v>
      </c>
      <c r="C586" s="37"/>
      <c r="D586" s="52"/>
      <c r="E586" s="52"/>
      <c r="F586" s="52"/>
      <c r="G586" s="52"/>
      <c r="H586" s="52"/>
      <c r="I586" s="52"/>
      <c r="J586" s="52"/>
      <c r="K586" s="33">
        <f t="shared" ref="K586:X586" ca="1" si="309">K1887+K1894+K1901+K1908+K1915+K1922+K1929+K1936+K1943+K1950</f>
        <v>0</v>
      </c>
      <c r="L586" s="33">
        <f t="shared" ca="1" si="309"/>
        <v>0</v>
      </c>
      <c r="M586" s="33">
        <f t="shared" ca="1" si="309"/>
        <v>0</v>
      </c>
      <c r="N586" s="33">
        <f t="shared" ca="1" si="309"/>
        <v>0</v>
      </c>
      <c r="O586" s="33">
        <f t="shared" ca="1" si="309"/>
        <v>0</v>
      </c>
      <c r="P586" s="33">
        <f t="shared" ca="1" si="309"/>
        <v>0</v>
      </c>
      <c r="Q586" s="33">
        <f t="shared" ca="1" si="309"/>
        <v>0</v>
      </c>
      <c r="R586" s="33">
        <f t="shared" ca="1" si="309"/>
        <v>0</v>
      </c>
      <c r="S586" s="33">
        <f t="shared" ca="1" si="309"/>
        <v>0</v>
      </c>
      <c r="T586" s="33">
        <f t="shared" ca="1" si="309"/>
        <v>0</v>
      </c>
      <c r="U586" s="33">
        <f t="shared" ca="1" si="309"/>
        <v>0</v>
      </c>
      <c r="V586" s="33">
        <f t="shared" ca="1" si="309"/>
        <v>0</v>
      </c>
      <c r="W586" s="33">
        <f t="shared" ca="1" si="309"/>
        <v>0</v>
      </c>
      <c r="X586" s="33">
        <f t="shared" ca="1" si="309"/>
        <v>0</v>
      </c>
    </row>
    <row r="587" spans="2:24">
      <c r="B587" s="201" t="s">
        <v>386</v>
      </c>
      <c r="C587" s="201"/>
      <c r="D587" s="52"/>
      <c r="E587" s="52"/>
      <c r="F587" s="52"/>
      <c r="G587" s="52"/>
      <c r="H587" s="52"/>
      <c r="I587" s="52"/>
      <c r="J587" s="52"/>
      <c r="K587" s="87">
        <f t="shared" ref="K587:X587" ca="1" si="310">K1888+K1895+K1902+K1909+K1916+K1923+K1930+K1937+K1944+K1951</f>
        <v>0</v>
      </c>
      <c r="L587" s="87">
        <f t="shared" ca="1" si="310"/>
        <v>0</v>
      </c>
      <c r="M587" s="87">
        <f t="shared" ca="1" si="310"/>
        <v>0</v>
      </c>
      <c r="N587" s="87">
        <f t="shared" ca="1" si="310"/>
        <v>0</v>
      </c>
      <c r="O587" s="87">
        <f t="shared" ca="1" si="310"/>
        <v>0</v>
      </c>
      <c r="P587" s="87">
        <f t="shared" ca="1" si="310"/>
        <v>0</v>
      </c>
      <c r="Q587" s="87">
        <f t="shared" ca="1" si="310"/>
        <v>0</v>
      </c>
      <c r="R587" s="87">
        <f t="shared" ca="1" si="310"/>
        <v>0</v>
      </c>
      <c r="S587" s="87">
        <f t="shared" ca="1" si="310"/>
        <v>0</v>
      </c>
      <c r="T587" s="87">
        <f t="shared" ca="1" si="310"/>
        <v>0</v>
      </c>
      <c r="U587" s="87">
        <f t="shared" ca="1" si="310"/>
        <v>0</v>
      </c>
      <c r="V587" s="87">
        <f t="shared" ca="1" si="310"/>
        <v>0</v>
      </c>
      <c r="W587" s="87">
        <f t="shared" ca="1" si="310"/>
        <v>0</v>
      </c>
      <c r="X587" s="87">
        <f t="shared" ca="1" si="310"/>
        <v>0</v>
      </c>
    </row>
    <row r="588" spans="2:24"/>
    <row r="589" spans="2:24">
      <c r="B589" s="189" t="s">
        <v>424</v>
      </c>
      <c r="C589" s="396"/>
      <c r="D589" s="190"/>
      <c r="E589" s="191"/>
      <c r="F589" s="191"/>
      <c r="G589" s="191"/>
      <c r="H589" s="191"/>
      <c r="I589" s="191"/>
      <c r="J589" s="191"/>
      <c r="K589" s="555"/>
      <c r="L589" s="556"/>
      <c r="M589" s="556"/>
      <c r="N589" s="556"/>
      <c r="O589" s="556"/>
      <c r="P589" s="556"/>
      <c r="Q589" s="556"/>
      <c r="R589" s="556"/>
      <c r="S589" s="556"/>
      <c r="T589" s="556"/>
      <c r="U589" s="556"/>
      <c r="V589" s="556"/>
      <c r="W589" s="556"/>
      <c r="X589" s="556"/>
    </row>
    <row r="590" spans="2:24">
      <c r="B590" s="63" t="str">
        <f>IF(ISBLANK(B574),"",B574)</f>
        <v/>
      </c>
      <c r="C590" s="63" t="str">
        <f>IF(ISBLANK(C574),"",C574)</f>
        <v/>
      </c>
      <c r="D590" s="102"/>
      <c r="E590" s="102"/>
      <c r="F590" s="102"/>
      <c r="G590" s="102"/>
      <c r="H590" s="102"/>
      <c r="I590" s="102"/>
      <c r="J590" s="202" t="str" cm="1">
        <f t="array" ref="J590">IF(J574="wstaw dane","",IF(OR(ISBLANK(F574)=TRUE,ISBLANK(G574)=TRUE),"uzupełnij dane",IF(OR((AND(F574="nie",SUMPRODUCT(ISNUMBER(K590:X590)*1)&gt;0)),AND(F574=tak,G574=nie,SUMPRODUCT(ISNUMBER(K590:X590)*1)&gt;0)),"usuń % dotacji",IF(AND(F574=tak,G574=tak,SUMPRODUCT(ISNUMBER(K590:X590)*1)=0),"wstaw % dotacji","ok"))))</f>
        <v/>
      </c>
      <c r="K590" s="407"/>
      <c r="L590" s="407"/>
      <c r="M590" s="407"/>
      <c r="N590" s="407"/>
      <c r="O590" s="407"/>
      <c r="P590" s="407"/>
      <c r="Q590" s="407"/>
      <c r="R590" s="407"/>
      <c r="S590" s="407"/>
      <c r="T590" s="407"/>
      <c r="U590" s="407"/>
      <c r="V590" s="407"/>
      <c r="W590" s="407"/>
      <c r="X590" s="407"/>
    </row>
    <row r="591" spans="2:24">
      <c r="B591" s="63" t="str">
        <f t="shared" ref="B591:C599" si="311">IF(ISBLANK(B575),"",B575)</f>
        <v/>
      </c>
      <c r="C591" s="63" t="str">
        <f t="shared" si="311"/>
        <v/>
      </c>
      <c r="D591" s="52"/>
      <c r="E591" s="52"/>
      <c r="F591" s="52"/>
      <c r="G591" s="52"/>
      <c r="H591" s="52"/>
      <c r="I591" s="52"/>
      <c r="J591" s="203" t="str" cm="1">
        <f t="array" ref="J591">IF(J575="wstaw dane","",IF(OR(ISBLANK(F575)=TRUE,ISBLANK(G575)=TRUE),"uzupełnij dane",IF(OR((AND(F575="nie",SUMPRODUCT(ISNUMBER(K591:X591)*1)&gt;0)),AND(F575=tak,G575=nie,SUMPRODUCT(ISNUMBER(K591:X591)*1)&gt;0)),"usuń % dotacji",IF(AND(F575=tak,G575=tak,SUMPRODUCT(ISNUMBER(K591:X591)*1)=0),"wstaw % dotacji","ok"))))</f>
        <v/>
      </c>
      <c r="K591" s="408"/>
      <c r="L591" s="408"/>
      <c r="M591" s="408"/>
      <c r="N591" s="408"/>
      <c r="O591" s="408"/>
      <c r="P591" s="408"/>
      <c r="Q591" s="408"/>
      <c r="R591" s="408"/>
      <c r="S591" s="408"/>
      <c r="T591" s="408"/>
      <c r="U591" s="408"/>
      <c r="V591" s="408"/>
      <c r="W591" s="408"/>
      <c r="X591" s="408"/>
    </row>
    <row r="592" spans="2:24">
      <c r="B592" s="63" t="str">
        <f t="shared" si="311"/>
        <v/>
      </c>
      <c r="C592" s="63" t="str">
        <f t="shared" si="311"/>
        <v/>
      </c>
      <c r="D592" s="52"/>
      <c r="E592" s="52"/>
      <c r="F592" s="52"/>
      <c r="G592" s="52"/>
      <c r="H592" s="52"/>
      <c r="I592" s="52"/>
      <c r="J592" s="203" t="str" cm="1">
        <f t="array" ref="J592">IF(J576="wstaw dane","",IF(OR(ISBLANK(F576)=TRUE,ISBLANK(G576)=TRUE),"uzupełnij dane",IF(OR((AND(F576="nie",SUMPRODUCT(ISNUMBER(K592:X592)*1)&gt;0)),AND(F576=tak,G576=nie,SUMPRODUCT(ISNUMBER(K592:X592)*1)&gt;0)),"usuń % dotacji",IF(AND(F576=tak,G576=tak,SUMPRODUCT(ISNUMBER(K592:X592)*1)=0),"wstaw % dotacji","ok"))))</f>
        <v/>
      </c>
      <c r="K592" s="408"/>
      <c r="L592" s="408"/>
      <c r="M592" s="408"/>
      <c r="N592" s="408"/>
      <c r="O592" s="408"/>
      <c r="P592" s="408"/>
      <c r="Q592" s="408"/>
      <c r="R592" s="408"/>
      <c r="S592" s="408"/>
      <c r="T592" s="408"/>
      <c r="U592" s="408"/>
      <c r="V592" s="408"/>
      <c r="W592" s="408"/>
      <c r="X592" s="408"/>
    </row>
    <row r="593" spans="2:24">
      <c r="B593" s="63" t="str">
        <f t="shared" si="311"/>
        <v/>
      </c>
      <c r="C593" s="63" t="str">
        <f t="shared" si="311"/>
        <v/>
      </c>
      <c r="D593" s="52"/>
      <c r="E593" s="52"/>
      <c r="F593" s="52"/>
      <c r="G593" s="52"/>
      <c r="H593" s="52"/>
      <c r="I593" s="52"/>
      <c r="J593" s="203" t="str" cm="1">
        <f t="array" ref="J593">IF(J577="wstaw dane","",IF(OR(ISBLANK(F577)=TRUE,ISBLANK(G577)=TRUE),"uzupełnij dane",IF(OR((AND(F577="nie",SUMPRODUCT(ISNUMBER(K593:X593)*1)&gt;0)),AND(F577=tak,G577=nie,SUMPRODUCT(ISNUMBER(K593:X593)*1)&gt;0)),"usuń % dotacji",IF(AND(F577=tak,G577=tak,SUMPRODUCT(ISNUMBER(K593:X593)*1)=0),"wstaw % dotacji","ok"))))</f>
        <v/>
      </c>
      <c r="K593" s="408"/>
      <c r="L593" s="408"/>
      <c r="M593" s="408"/>
      <c r="N593" s="408"/>
      <c r="O593" s="408"/>
      <c r="P593" s="408"/>
      <c r="Q593" s="408"/>
      <c r="R593" s="408"/>
      <c r="S593" s="408"/>
      <c r="T593" s="408"/>
      <c r="U593" s="408"/>
      <c r="V593" s="408"/>
      <c r="W593" s="408"/>
      <c r="X593" s="408"/>
    </row>
    <row r="594" spans="2:24">
      <c r="B594" s="63" t="str">
        <f t="shared" si="311"/>
        <v/>
      </c>
      <c r="C594" s="63" t="str">
        <f t="shared" si="311"/>
        <v/>
      </c>
      <c r="D594" s="52"/>
      <c r="E594" s="52"/>
      <c r="F594" s="52"/>
      <c r="G594" s="52"/>
      <c r="H594" s="52"/>
      <c r="I594" s="52"/>
      <c r="J594" s="203" t="str" cm="1">
        <f t="array" ref="J594">IF(J578="wstaw dane","",IF(OR(ISBLANK(F578)=TRUE,ISBLANK(G578)=TRUE),"uzupełnij dane",IF(OR((AND(F578="nie",SUMPRODUCT(ISNUMBER(K594:X594)*1)&gt;0)),AND(F578=tak,G578=nie,SUMPRODUCT(ISNUMBER(K594:X594)*1)&gt;0)),"usuń % dotacji",IF(AND(F578=tak,G578=tak,SUMPRODUCT(ISNUMBER(K594:X594)*1)=0),"wstaw % dotacji","ok"))))</f>
        <v/>
      </c>
      <c r="K594" s="408"/>
      <c r="L594" s="408"/>
      <c r="M594" s="408"/>
      <c r="N594" s="408"/>
      <c r="O594" s="408"/>
      <c r="P594" s="408"/>
      <c r="Q594" s="408"/>
      <c r="R594" s="408"/>
      <c r="S594" s="408"/>
      <c r="T594" s="408"/>
      <c r="U594" s="408"/>
      <c r="V594" s="408"/>
      <c r="W594" s="408"/>
      <c r="X594" s="408"/>
    </row>
    <row r="595" spans="2:24">
      <c r="B595" s="63" t="str">
        <f t="shared" si="311"/>
        <v/>
      </c>
      <c r="C595" s="63" t="str">
        <f t="shared" si="311"/>
        <v/>
      </c>
      <c r="D595" s="52"/>
      <c r="E595" s="52"/>
      <c r="F595" s="52"/>
      <c r="G595" s="52"/>
      <c r="H595" s="52"/>
      <c r="I595" s="52"/>
      <c r="J595" s="203" t="str" cm="1">
        <f t="array" ref="J595">IF(J579="wstaw dane","",IF(OR(ISBLANK(F579)=TRUE,ISBLANK(G579)=TRUE),"uzupełnij dane",IF(OR((AND(F579="nie",SUMPRODUCT(ISNUMBER(K595:X595)*1)&gt;0)),AND(F579=tak,G579=nie,SUMPRODUCT(ISNUMBER(K595:X595)*1)&gt;0)),"usuń % dotacji",IF(AND(F579=tak,G579=tak,SUMPRODUCT(ISNUMBER(K595:X595)*1)=0),"wstaw % dotacji","ok"))))</f>
        <v/>
      </c>
      <c r="K595" s="408"/>
      <c r="L595" s="408"/>
      <c r="M595" s="408"/>
      <c r="N595" s="408"/>
      <c r="O595" s="408"/>
      <c r="P595" s="408"/>
      <c r="Q595" s="408"/>
      <c r="R595" s="408"/>
      <c r="S595" s="408"/>
      <c r="T595" s="408"/>
      <c r="U595" s="408"/>
      <c r="V595" s="408"/>
      <c r="W595" s="408"/>
      <c r="X595" s="408"/>
    </row>
    <row r="596" spans="2:24">
      <c r="B596" s="63" t="str">
        <f t="shared" si="311"/>
        <v/>
      </c>
      <c r="C596" s="63" t="str">
        <f t="shared" si="311"/>
        <v/>
      </c>
      <c r="D596" s="52"/>
      <c r="E596" s="52"/>
      <c r="F596" s="52"/>
      <c r="G596" s="52"/>
      <c r="H596" s="52"/>
      <c r="I596" s="52"/>
      <c r="J596" s="203" t="str" cm="1">
        <f t="array" ref="J596">IF(J580="wstaw dane","",IF(OR(ISBLANK(F580)=TRUE,ISBLANK(G580)=TRUE),"uzupełnij dane",IF(OR((AND(F580="nie",SUMPRODUCT(ISNUMBER(K596:X596)*1)&gt;0)),AND(F580=tak,G580=nie,SUMPRODUCT(ISNUMBER(K596:X596)*1)&gt;0)),"usuń % dotacji",IF(AND(F580=tak,G580=tak,SUMPRODUCT(ISNUMBER(K596:X596)*1)=0),"wstaw % dotacji","ok"))))</f>
        <v/>
      </c>
      <c r="K596" s="408"/>
      <c r="L596" s="408"/>
      <c r="M596" s="408"/>
      <c r="N596" s="408"/>
      <c r="O596" s="408"/>
      <c r="P596" s="408"/>
      <c r="Q596" s="408"/>
      <c r="R596" s="408"/>
      <c r="S596" s="408"/>
      <c r="T596" s="408"/>
      <c r="U596" s="408"/>
      <c r="V596" s="408"/>
      <c r="W596" s="408"/>
      <c r="X596" s="408"/>
    </row>
    <row r="597" spans="2:24">
      <c r="B597" s="63" t="str">
        <f t="shared" si="311"/>
        <v/>
      </c>
      <c r="C597" s="63" t="str">
        <f t="shared" si="311"/>
        <v/>
      </c>
      <c r="D597" s="52"/>
      <c r="E597" s="52"/>
      <c r="F597" s="52"/>
      <c r="G597" s="52"/>
      <c r="H597" s="52"/>
      <c r="I597" s="52"/>
      <c r="J597" s="203" t="str" cm="1">
        <f t="array" ref="J597">IF(J581="wstaw dane","",IF(OR(ISBLANK(F581)=TRUE,ISBLANK(G581)=TRUE),"uzupełnij dane",IF(OR((AND(F581="nie",SUMPRODUCT(ISNUMBER(K597:X597)*1)&gt;0)),AND(F581=tak,G581=nie,SUMPRODUCT(ISNUMBER(K597:X597)*1)&gt;0)),"usuń % dotacji",IF(AND(F581=tak,G581=tak,SUMPRODUCT(ISNUMBER(K597:X597)*1)=0),"wstaw % dotacji","ok"))))</f>
        <v/>
      </c>
      <c r="K597" s="408"/>
      <c r="L597" s="408"/>
      <c r="M597" s="408"/>
      <c r="N597" s="408"/>
      <c r="O597" s="408"/>
      <c r="P597" s="408"/>
      <c r="Q597" s="408"/>
      <c r="R597" s="408"/>
      <c r="S597" s="408"/>
      <c r="T597" s="408"/>
      <c r="U597" s="408"/>
      <c r="V597" s="408"/>
      <c r="W597" s="408"/>
      <c r="X597" s="408"/>
    </row>
    <row r="598" spans="2:24">
      <c r="B598" s="63" t="str">
        <f t="shared" si="311"/>
        <v/>
      </c>
      <c r="C598" s="63" t="str">
        <f t="shared" si="311"/>
        <v/>
      </c>
      <c r="D598" s="52"/>
      <c r="E598" s="52"/>
      <c r="F598" s="52"/>
      <c r="G598" s="52"/>
      <c r="H598" s="52"/>
      <c r="I598" s="52"/>
      <c r="J598" s="203" t="str" cm="1">
        <f t="array" ref="J598">IF(J582="wstaw dane","",IF(OR(ISBLANK(F582)=TRUE,ISBLANK(G582)=TRUE),"uzupełnij dane",IF(OR((AND(F582="nie",SUMPRODUCT(ISNUMBER(K598:X598)*1)&gt;0)),AND(F582=tak,G582=nie,SUMPRODUCT(ISNUMBER(K598:X598)*1)&gt;0)),"usuń % dotacji",IF(AND(F582=tak,G582=tak,SUMPRODUCT(ISNUMBER(K598:X598)*1)=0),"wstaw % dotacji","ok"))))</f>
        <v/>
      </c>
      <c r="K598" s="408"/>
      <c r="L598" s="408"/>
      <c r="M598" s="408"/>
      <c r="N598" s="408"/>
      <c r="O598" s="408"/>
      <c r="P598" s="408"/>
      <c r="Q598" s="408"/>
      <c r="R598" s="408"/>
      <c r="S598" s="408"/>
      <c r="T598" s="408"/>
      <c r="U598" s="408"/>
      <c r="V598" s="408"/>
      <c r="W598" s="408"/>
      <c r="X598" s="408"/>
    </row>
    <row r="599" spans="2:24">
      <c r="B599" s="63" t="str">
        <f t="shared" si="311"/>
        <v/>
      </c>
      <c r="C599" s="63" t="str">
        <f t="shared" si="311"/>
        <v/>
      </c>
      <c r="D599" s="52"/>
      <c r="E599" s="52"/>
      <c r="F599" s="52"/>
      <c r="G599" s="52"/>
      <c r="H599" s="52"/>
      <c r="I599" s="52"/>
      <c r="J599" s="203" t="str" cm="1">
        <f t="array" ref="J599">IF(J583="wstaw dane","",IF(OR(ISBLANK(F583)=TRUE,ISBLANK(G583)=TRUE),"uzupełnij dane",IF(OR((AND(F583="nie",SUMPRODUCT(ISNUMBER(K599:X599)*1)&gt;0)),AND(F583=tak,G583=nie,SUMPRODUCT(ISNUMBER(K599:X599)*1)&gt;0)),"usuń % dotacji",IF(AND(F583=tak,G583=tak,SUMPRODUCT(ISNUMBER(K599:X599)*1)=0),"wstaw % dotacji","ok"))))</f>
        <v/>
      </c>
      <c r="K599" s="408"/>
      <c r="L599" s="408"/>
      <c r="M599" s="408"/>
      <c r="N599" s="408"/>
      <c r="O599" s="408"/>
      <c r="P599" s="408"/>
      <c r="Q599" s="408"/>
      <c r="R599" s="408"/>
      <c r="S599" s="408"/>
      <c r="T599" s="408"/>
      <c r="U599" s="408"/>
      <c r="V599" s="408"/>
      <c r="W599" s="408"/>
      <c r="X599" s="408"/>
    </row>
    <row r="600" spans="2:24">
      <c r="B600" s="40"/>
      <c r="C600" s="40"/>
      <c r="J600" s="403"/>
      <c r="K600" s="418"/>
      <c r="L600" s="418"/>
      <c r="M600" s="418"/>
      <c r="N600" s="418"/>
      <c r="O600" s="418"/>
      <c r="P600" s="418"/>
      <c r="Q600" s="418"/>
      <c r="R600" s="418"/>
      <c r="S600" s="418"/>
      <c r="T600" s="418"/>
      <c r="U600" s="418"/>
      <c r="V600" s="418"/>
      <c r="W600" s="418"/>
      <c r="X600" s="418"/>
    </row>
    <row r="601" spans="2:24">
      <c r="B601" s="189" t="s">
        <v>681</v>
      </c>
      <c r="C601" s="396"/>
      <c r="D601" s="190"/>
      <c r="E601" s="191"/>
      <c r="F601" s="191"/>
      <c r="G601" s="191"/>
      <c r="H601" s="191"/>
      <c r="I601" s="191"/>
      <c r="J601" s="191"/>
      <c r="K601" s="555"/>
      <c r="L601" s="556"/>
      <c r="M601" s="556"/>
      <c r="N601" s="556"/>
      <c r="O601" s="556"/>
      <c r="P601" s="556"/>
      <c r="Q601" s="556"/>
      <c r="R601" s="556"/>
      <c r="S601" s="556"/>
      <c r="T601" s="556"/>
      <c r="U601" s="556"/>
      <c r="V601" s="556"/>
      <c r="W601" s="556"/>
      <c r="X601" s="556"/>
    </row>
    <row r="602" spans="2:24">
      <c r="B602" s="63" t="str">
        <f>IF(ISBLANK(B574),"",B574)</f>
        <v/>
      </c>
      <c r="C602" s="63" t="str">
        <f>IF(ISBLANK(C574),"",C574)</f>
        <v/>
      </c>
      <c r="D602" s="102"/>
      <c r="E602" s="102"/>
      <c r="F602" s="102"/>
      <c r="G602" s="102"/>
      <c r="H602" s="102"/>
      <c r="I602" s="102"/>
      <c r="J602" s="202" t="str">
        <f>J590</f>
        <v/>
      </c>
      <c r="K602" s="103">
        <f t="shared" ref="K602:X602" si="312">IF(ISBLANK(K590),0,K1889)</f>
        <v>0</v>
      </c>
      <c r="L602" s="103">
        <f t="shared" si="312"/>
        <v>0</v>
      </c>
      <c r="M602" s="103">
        <f t="shared" si="312"/>
        <v>0</v>
      </c>
      <c r="N602" s="103">
        <f t="shared" si="312"/>
        <v>0</v>
      </c>
      <c r="O602" s="103">
        <f t="shared" si="312"/>
        <v>0</v>
      </c>
      <c r="P602" s="103">
        <f t="shared" si="312"/>
        <v>0</v>
      </c>
      <c r="Q602" s="103">
        <f t="shared" si="312"/>
        <v>0</v>
      </c>
      <c r="R602" s="103">
        <f t="shared" si="312"/>
        <v>0</v>
      </c>
      <c r="S602" s="103">
        <f t="shared" si="312"/>
        <v>0</v>
      </c>
      <c r="T602" s="103">
        <f t="shared" si="312"/>
        <v>0</v>
      </c>
      <c r="U602" s="103">
        <f t="shared" si="312"/>
        <v>0</v>
      </c>
      <c r="V602" s="103">
        <f t="shared" si="312"/>
        <v>0</v>
      </c>
      <c r="W602" s="103">
        <f t="shared" si="312"/>
        <v>0</v>
      </c>
      <c r="X602" s="103">
        <f t="shared" si="312"/>
        <v>0</v>
      </c>
    </row>
    <row r="603" spans="2:24">
      <c r="B603" s="63" t="str">
        <f t="shared" ref="B603:C603" si="313">IF(ISBLANK(B575),"",B575)</f>
        <v/>
      </c>
      <c r="C603" s="63" t="str">
        <f t="shared" si="313"/>
        <v/>
      </c>
      <c r="D603" s="52"/>
      <c r="E603" s="52"/>
      <c r="F603" s="52"/>
      <c r="G603" s="52"/>
      <c r="H603" s="52"/>
      <c r="I603" s="52"/>
      <c r="J603" s="203" t="str">
        <f t="shared" ref="J603:J611" si="314">J591</f>
        <v/>
      </c>
      <c r="K603" s="33">
        <f t="shared" ref="K603:X603" si="315">IF(ISBLANK(K591),0,K1896)</f>
        <v>0</v>
      </c>
      <c r="L603" s="33">
        <f t="shared" si="315"/>
        <v>0</v>
      </c>
      <c r="M603" s="33">
        <f t="shared" si="315"/>
        <v>0</v>
      </c>
      <c r="N603" s="33">
        <f t="shared" si="315"/>
        <v>0</v>
      </c>
      <c r="O603" s="33">
        <f t="shared" si="315"/>
        <v>0</v>
      </c>
      <c r="P603" s="33">
        <f t="shared" si="315"/>
        <v>0</v>
      </c>
      <c r="Q603" s="33">
        <f t="shared" si="315"/>
        <v>0</v>
      </c>
      <c r="R603" s="33">
        <f t="shared" si="315"/>
        <v>0</v>
      </c>
      <c r="S603" s="33">
        <f t="shared" si="315"/>
        <v>0</v>
      </c>
      <c r="T603" s="33">
        <f t="shared" si="315"/>
        <v>0</v>
      </c>
      <c r="U603" s="33">
        <f t="shared" si="315"/>
        <v>0</v>
      </c>
      <c r="V603" s="33">
        <f t="shared" si="315"/>
        <v>0</v>
      </c>
      <c r="W603" s="33">
        <f t="shared" si="315"/>
        <v>0</v>
      </c>
      <c r="X603" s="33">
        <f t="shared" si="315"/>
        <v>0</v>
      </c>
    </row>
    <row r="604" spans="2:24">
      <c r="B604" s="63" t="str">
        <f t="shared" ref="B604:C604" si="316">IF(ISBLANK(B576),"",B576)</f>
        <v/>
      </c>
      <c r="C604" s="63" t="str">
        <f t="shared" si="316"/>
        <v/>
      </c>
      <c r="D604" s="52"/>
      <c r="E604" s="52"/>
      <c r="F604" s="52"/>
      <c r="G604" s="52"/>
      <c r="H604" s="52"/>
      <c r="I604" s="52"/>
      <c r="J604" s="203" t="str">
        <f t="shared" si="314"/>
        <v/>
      </c>
      <c r="K604" s="33">
        <f t="shared" ref="K604:X604" si="317">IF(ISBLANK(K592),0,K1903)</f>
        <v>0</v>
      </c>
      <c r="L604" s="33">
        <f t="shared" si="317"/>
        <v>0</v>
      </c>
      <c r="M604" s="33">
        <f t="shared" si="317"/>
        <v>0</v>
      </c>
      <c r="N604" s="33">
        <f t="shared" si="317"/>
        <v>0</v>
      </c>
      <c r="O604" s="33">
        <f t="shared" si="317"/>
        <v>0</v>
      </c>
      <c r="P604" s="33">
        <f t="shared" si="317"/>
        <v>0</v>
      </c>
      <c r="Q604" s="33">
        <f t="shared" si="317"/>
        <v>0</v>
      </c>
      <c r="R604" s="33">
        <f t="shared" si="317"/>
        <v>0</v>
      </c>
      <c r="S604" s="33">
        <f t="shared" si="317"/>
        <v>0</v>
      </c>
      <c r="T604" s="33">
        <f t="shared" si="317"/>
        <v>0</v>
      </c>
      <c r="U604" s="33">
        <f t="shared" si="317"/>
        <v>0</v>
      </c>
      <c r="V604" s="33">
        <f t="shared" si="317"/>
        <v>0</v>
      </c>
      <c r="W604" s="33">
        <f t="shared" si="317"/>
        <v>0</v>
      </c>
      <c r="X604" s="33">
        <f t="shared" si="317"/>
        <v>0</v>
      </c>
    </row>
    <row r="605" spans="2:24">
      <c r="B605" s="63" t="str">
        <f t="shared" ref="B605:C605" si="318">IF(ISBLANK(B577),"",B577)</f>
        <v/>
      </c>
      <c r="C605" s="63" t="str">
        <f t="shared" si="318"/>
        <v/>
      </c>
      <c r="D605" s="52"/>
      <c r="E605" s="52"/>
      <c r="F605" s="52"/>
      <c r="G605" s="52"/>
      <c r="H605" s="52"/>
      <c r="I605" s="52"/>
      <c r="J605" s="203" t="str">
        <f t="shared" si="314"/>
        <v/>
      </c>
      <c r="K605" s="33">
        <f t="shared" ref="K605:X605" si="319">IF(ISBLANK(K593),0,K1910)</f>
        <v>0</v>
      </c>
      <c r="L605" s="33">
        <f t="shared" si="319"/>
        <v>0</v>
      </c>
      <c r="M605" s="33">
        <f t="shared" si="319"/>
        <v>0</v>
      </c>
      <c r="N605" s="33">
        <f t="shared" si="319"/>
        <v>0</v>
      </c>
      <c r="O605" s="33">
        <f t="shared" si="319"/>
        <v>0</v>
      </c>
      <c r="P605" s="33">
        <f t="shared" si="319"/>
        <v>0</v>
      </c>
      <c r="Q605" s="33">
        <f t="shared" si="319"/>
        <v>0</v>
      </c>
      <c r="R605" s="33">
        <f t="shared" si="319"/>
        <v>0</v>
      </c>
      <c r="S605" s="33">
        <f t="shared" si="319"/>
        <v>0</v>
      </c>
      <c r="T605" s="33">
        <f t="shared" si="319"/>
        <v>0</v>
      </c>
      <c r="U605" s="33">
        <f t="shared" si="319"/>
        <v>0</v>
      </c>
      <c r="V605" s="33">
        <f t="shared" si="319"/>
        <v>0</v>
      </c>
      <c r="W605" s="33">
        <f t="shared" si="319"/>
        <v>0</v>
      </c>
      <c r="X605" s="33">
        <f t="shared" si="319"/>
        <v>0</v>
      </c>
    </row>
    <row r="606" spans="2:24">
      <c r="B606" s="63" t="str">
        <f t="shared" ref="B606:C606" si="320">IF(ISBLANK(B578),"",B578)</f>
        <v/>
      </c>
      <c r="C606" s="63" t="str">
        <f t="shared" si="320"/>
        <v/>
      </c>
      <c r="D606" s="52"/>
      <c r="E606" s="52"/>
      <c r="F606" s="52"/>
      <c r="G606" s="52"/>
      <c r="H606" s="52"/>
      <c r="I606" s="52"/>
      <c r="J606" s="203" t="str">
        <f t="shared" si="314"/>
        <v/>
      </c>
      <c r="K606" s="33">
        <f t="shared" ref="K606:X606" si="321">IF(ISBLANK(K594),0,K1917)</f>
        <v>0</v>
      </c>
      <c r="L606" s="33">
        <f t="shared" si="321"/>
        <v>0</v>
      </c>
      <c r="M606" s="33">
        <f t="shared" si="321"/>
        <v>0</v>
      </c>
      <c r="N606" s="33">
        <f t="shared" si="321"/>
        <v>0</v>
      </c>
      <c r="O606" s="33">
        <f t="shared" si="321"/>
        <v>0</v>
      </c>
      <c r="P606" s="33">
        <f t="shared" si="321"/>
        <v>0</v>
      </c>
      <c r="Q606" s="33">
        <f t="shared" si="321"/>
        <v>0</v>
      </c>
      <c r="R606" s="33">
        <f t="shared" si="321"/>
        <v>0</v>
      </c>
      <c r="S606" s="33">
        <f t="shared" si="321"/>
        <v>0</v>
      </c>
      <c r="T606" s="33">
        <f t="shared" si="321"/>
        <v>0</v>
      </c>
      <c r="U606" s="33">
        <f t="shared" si="321"/>
        <v>0</v>
      </c>
      <c r="V606" s="33">
        <f t="shared" si="321"/>
        <v>0</v>
      </c>
      <c r="W606" s="33">
        <f t="shared" si="321"/>
        <v>0</v>
      </c>
      <c r="X606" s="33">
        <f t="shared" si="321"/>
        <v>0</v>
      </c>
    </row>
    <row r="607" spans="2:24">
      <c r="B607" s="63" t="str">
        <f t="shared" ref="B607:C607" si="322">IF(ISBLANK(B579),"",B579)</f>
        <v/>
      </c>
      <c r="C607" s="63" t="str">
        <f t="shared" si="322"/>
        <v/>
      </c>
      <c r="D607" s="52"/>
      <c r="E607" s="52"/>
      <c r="F607" s="52"/>
      <c r="G607" s="52"/>
      <c r="H607" s="52"/>
      <c r="I607" s="52"/>
      <c r="J607" s="203" t="str">
        <f t="shared" si="314"/>
        <v/>
      </c>
      <c r="K607" s="33">
        <f t="shared" ref="K607:X607" si="323">IF(ISBLANK(K595),0,K1924)</f>
        <v>0</v>
      </c>
      <c r="L607" s="33">
        <f t="shared" si="323"/>
        <v>0</v>
      </c>
      <c r="M607" s="33">
        <f t="shared" si="323"/>
        <v>0</v>
      </c>
      <c r="N607" s="33">
        <f t="shared" si="323"/>
        <v>0</v>
      </c>
      <c r="O607" s="33">
        <f t="shared" si="323"/>
        <v>0</v>
      </c>
      <c r="P607" s="33">
        <f t="shared" si="323"/>
        <v>0</v>
      </c>
      <c r="Q607" s="33">
        <f t="shared" si="323"/>
        <v>0</v>
      </c>
      <c r="R607" s="33">
        <f t="shared" si="323"/>
        <v>0</v>
      </c>
      <c r="S607" s="33">
        <f t="shared" si="323"/>
        <v>0</v>
      </c>
      <c r="T607" s="33">
        <f t="shared" si="323"/>
        <v>0</v>
      </c>
      <c r="U607" s="33">
        <f t="shared" si="323"/>
        <v>0</v>
      </c>
      <c r="V607" s="33">
        <f t="shared" si="323"/>
        <v>0</v>
      </c>
      <c r="W607" s="33">
        <f t="shared" si="323"/>
        <v>0</v>
      </c>
      <c r="X607" s="33">
        <f t="shared" si="323"/>
        <v>0</v>
      </c>
    </row>
    <row r="608" spans="2:24">
      <c r="B608" s="63" t="str">
        <f t="shared" ref="B608:C608" si="324">IF(ISBLANK(B580),"",B580)</f>
        <v/>
      </c>
      <c r="C608" s="63" t="str">
        <f t="shared" si="324"/>
        <v/>
      </c>
      <c r="D608" s="52"/>
      <c r="E608" s="52"/>
      <c r="F608" s="52"/>
      <c r="G608" s="52"/>
      <c r="H608" s="52"/>
      <c r="I608" s="52"/>
      <c r="J608" s="203" t="str">
        <f t="shared" si="314"/>
        <v/>
      </c>
      <c r="K608" s="33">
        <f t="shared" ref="K608:X608" si="325">IF(ISBLANK(K596),0,K1931)</f>
        <v>0</v>
      </c>
      <c r="L608" s="33">
        <f t="shared" si="325"/>
        <v>0</v>
      </c>
      <c r="M608" s="33">
        <f t="shared" si="325"/>
        <v>0</v>
      </c>
      <c r="N608" s="33">
        <f t="shared" si="325"/>
        <v>0</v>
      </c>
      <c r="O608" s="33">
        <f t="shared" si="325"/>
        <v>0</v>
      </c>
      <c r="P608" s="33">
        <f t="shared" si="325"/>
        <v>0</v>
      </c>
      <c r="Q608" s="33">
        <f t="shared" si="325"/>
        <v>0</v>
      </c>
      <c r="R608" s="33">
        <f t="shared" si="325"/>
        <v>0</v>
      </c>
      <c r="S608" s="33">
        <f t="shared" si="325"/>
        <v>0</v>
      </c>
      <c r="T608" s="33">
        <f t="shared" si="325"/>
        <v>0</v>
      </c>
      <c r="U608" s="33">
        <f t="shared" si="325"/>
        <v>0</v>
      </c>
      <c r="V608" s="33">
        <f t="shared" si="325"/>
        <v>0</v>
      </c>
      <c r="W608" s="33">
        <f t="shared" si="325"/>
        <v>0</v>
      </c>
      <c r="X608" s="33">
        <f t="shared" si="325"/>
        <v>0</v>
      </c>
    </row>
    <row r="609" spans="2:24">
      <c r="B609" s="63" t="str">
        <f t="shared" ref="B609:C609" si="326">IF(ISBLANK(B581),"",B581)</f>
        <v/>
      </c>
      <c r="C609" s="63" t="str">
        <f t="shared" si="326"/>
        <v/>
      </c>
      <c r="D609" s="52"/>
      <c r="E609" s="52"/>
      <c r="F609" s="52"/>
      <c r="G609" s="52"/>
      <c r="H609" s="52"/>
      <c r="I609" s="52"/>
      <c r="J609" s="203" t="str">
        <f t="shared" si="314"/>
        <v/>
      </c>
      <c r="K609" s="33">
        <f t="shared" ref="K609:X609" si="327">IF(ISBLANK(K597),0,K1938)</f>
        <v>0</v>
      </c>
      <c r="L609" s="33">
        <f t="shared" si="327"/>
        <v>0</v>
      </c>
      <c r="M609" s="33">
        <f t="shared" si="327"/>
        <v>0</v>
      </c>
      <c r="N609" s="33">
        <f t="shared" si="327"/>
        <v>0</v>
      </c>
      <c r="O609" s="33">
        <f t="shared" si="327"/>
        <v>0</v>
      </c>
      <c r="P609" s="33">
        <f t="shared" si="327"/>
        <v>0</v>
      </c>
      <c r="Q609" s="33">
        <f t="shared" si="327"/>
        <v>0</v>
      </c>
      <c r="R609" s="33">
        <f t="shared" si="327"/>
        <v>0</v>
      </c>
      <c r="S609" s="33">
        <f t="shared" si="327"/>
        <v>0</v>
      </c>
      <c r="T609" s="33">
        <f t="shared" si="327"/>
        <v>0</v>
      </c>
      <c r="U609" s="33">
        <f t="shared" si="327"/>
        <v>0</v>
      </c>
      <c r="V609" s="33">
        <f t="shared" si="327"/>
        <v>0</v>
      </c>
      <c r="W609" s="33">
        <f t="shared" si="327"/>
        <v>0</v>
      </c>
      <c r="X609" s="33">
        <f t="shared" si="327"/>
        <v>0</v>
      </c>
    </row>
    <row r="610" spans="2:24">
      <c r="B610" s="63" t="str">
        <f t="shared" ref="B610:C610" si="328">IF(ISBLANK(B582),"",B582)</f>
        <v/>
      </c>
      <c r="C610" s="63" t="str">
        <f t="shared" si="328"/>
        <v/>
      </c>
      <c r="D610" s="52"/>
      <c r="E610" s="52"/>
      <c r="F610" s="52"/>
      <c r="G610" s="52"/>
      <c r="H610" s="52"/>
      <c r="I610" s="52"/>
      <c r="J610" s="203" t="str">
        <f t="shared" si="314"/>
        <v/>
      </c>
      <c r="K610" s="33">
        <f t="shared" ref="K610:X610" si="329">IF(ISBLANK(K598),0,K1945)</f>
        <v>0</v>
      </c>
      <c r="L610" s="33">
        <f t="shared" si="329"/>
        <v>0</v>
      </c>
      <c r="M610" s="33">
        <f t="shared" si="329"/>
        <v>0</v>
      </c>
      <c r="N610" s="33">
        <f t="shared" si="329"/>
        <v>0</v>
      </c>
      <c r="O610" s="33">
        <f t="shared" si="329"/>
        <v>0</v>
      </c>
      <c r="P610" s="33">
        <f t="shared" si="329"/>
        <v>0</v>
      </c>
      <c r="Q610" s="33">
        <f t="shared" si="329"/>
        <v>0</v>
      </c>
      <c r="R610" s="33">
        <f t="shared" si="329"/>
        <v>0</v>
      </c>
      <c r="S610" s="33">
        <f t="shared" si="329"/>
        <v>0</v>
      </c>
      <c r="T610" s="33">
        <f t="shared" si="329"/>
        <v>0</v>
      </c>
      <c r="U610" s="33">
        <f t="shared" si="329"/>
        <v>0</v>
      </c>
      <c r="V610" s="33">
        <f t="shared" si="329"/>
        <v>0</v>
      </c>
      <c r="W610" s="33">
        <f t="shared" si="329"/>
        <v>0</v>
      </c>
      <c r="X610" s="33">
        <f t="shared" si="329"/>
        <v>0</v>
      </c>
    </row>
    <row r="611" spans="2:24">
      <c r="B611" s="63" t="str">
        <f t="shared" ref="B611:C611" si="330">IF(ISBLANK(B583),"",B583)</f>
        <v/>
      </c>
      <c r="C611" s="63" t="str">
        <f t="shared" si="330"/>
        <v/>
      </c>
      <c r="D611" s="52"/>
      <c r="E611" s="52"/>
      <c r="F611" s="52"/>
      <c r="G611" s="52"/>
      <c r="H611" s="52"/>
      <c r="I611" s="52"/>
      <c r="J611" s="203" t="str">
        <f t="shared" si="314"/>
        <v/>
      </c>
      <c r="K611" s="33">
        <f t="shared" ref="K611:X611" si="331">IF(ISBLANK(K599),0,K1952)</f>
        <v>0</v>
      </c>
      <c r="L611" s="33">
        <f t="shared" si="331"/>
        <v>0</v>
      </c>
      <c r="M611" s="33">
        <f t="shared" si="331"/>
        <v>0</v>
      </c>
      <c r="N611" s="33">
        <f t="shared" si="331"/>
        <v>0</v>
      </c>
      <c r="O611" s="33">
        <f t="shared" si="331"/>
        <v>0</v>
      </c>
      <c r="P611" s="33">
        <f t="shared" si="331"/>
        <v>0</v>
      </c>
      <c r="Q611" s="33">
        <f t="shared" si="331"/>
        <v>0</v>
      </c>
      <c r="R611" s="33">
        <f t="shared" si="331"/>
        <v>0</v>
      </c>
      <c r="S611" s="33">
        <f t="shared" si="331"/>
        <v>0</v>
      </c>
      <c r="T611" s="33">
        <f t="shared" si="331"/>
        <v>0</v>
      </c>
      <c r="U611" s="33">
        <f t="shared" si="331"/>
        <v>0</v>
      </c>
      <c r="V611" s="33">
        <f t="shared" si="331"/>
        <v>0</v>
      </c>
      <c r="W611" s="33">
        <f t="shared" si="331"/>
        <v>0</v>
      </c>
      <c r="X611" s="33">
        <f t="shared" si="331"/>
        <v>0</v>
      </c>
    </row>
    <row r="612" spans="2:24">
      <c r="B612" s="99" t="s">
        <v>335</v>
      </c>
      <c r="C612" s="99"/>
      <c r="D612" s="98"/>
      <c r="E612" s="200"/>
      <c r="F612" s="97"/>
      <c r="G612" s="98"/>
      <c r="H612" s="97"/>
      <c r="I612" s="98"/>
      <c r="J612" s="97"/>
      <c r="K612" s="98">
        <f t="shared" ref="K612:X612" si="332">SUM(K602:K611)</f>
        <v>0</v>
      </c>
      <c r="L612" s="98">
        <f t="shared" si="332"/>
        <v>0</v>
      </c>
      <c r="M612" s="98">
        <f t="shared" si="332"/>
        <v>0</v>
      </c>
      <c r="N612" s="98">
        <f t="shared" si="332"/>
        <v>0</v>
      </c>
      <c r="O612" s="98">
        <f t="shared" si="332"/>
        <v>0</v>
      </c>
      <c r="P612" s="98">
        <f t="shared" si="332"/>
        <v>0</v>
      </c>
      <c r="Q612" s="98">
        <f t="shared" si="332"/>
        <v>0</v>
      </c>
      <c r="R612" s="98">
        <f t="shared" si="332"/>
        <v>0</v>
      </c>
      <c r="S612" s="98">
        <f t="shared" si="332"/>
        <v>0</v>
      </c>
      <c r="T612" s="98">
        <f t="shared" si="332"/>
        <v>0</v>
      </c>
      <c r="U612" s="98">
        <f t="shared" si="332"/>
        <v>0</v>
      </c>
      <c r="V612" s="98">
        <f t="shared" si="332"/>
        <v>0</v>
      </c>
      <c r="W612" s="98">
        <f t="shared" si="332"/>
        <v>0</v>
      </c>
      <c r="X612" s="98">
        <f t="shared" si="332"/>
        <v>0</v>
      </c>
    </row>
    <row r="613" spans="2:24">
      <c r="B613" s="40"/>
      <c r="C613" s="40"/>
      <c r="J613" s="403"/>
      <c r="K613" s="418"/>
      <c r="L613" s="418"/>
      <c r="M613" s="418"/>
      <c r="N613" s="418"/>
      <c r="O613" s="418"/>
      <c r="P613" s="418"/>
      <c r="Q613" s="418"/>
      <c r="R613" s="418"/>
      <c r="S613" s="418"/>
      <c r="T613" s="418"/>
      <c r="U613" s="418"/>
      <c r="V613" s="418"/>
      <c r="W613" s="418"/>
      <c r="X613" s="418"/>
    </row>
    <row r="614" spans="2:24"/>
    <row r="615" spans="2:24" ht="24">
      <c r="B615" s="228" t="s">
        <v>393</v>
      </c>
      <c r="C615" s="229" t="s">
        <v>296</v>
      </c>
      <c r="D615" s="229" t="s">
        <v>406</v>
      </c>
      <c r="E615" s="230" t="s">
        <v>421</v>
      </c>
      <c r="F615" s="230" t="s">
        <v>336</v>
      </c>
      <c r="G615" s="230" t="s">
        <v>781</v>
      </c>
      <c r="H615" s="230" t="s">
        <v>408</v>
      </c>
      <c r="I615" s="230" t="s">
        <v>409</v>
      </c>
      <c r="J615" s="230" t="s">
        <v>423</v>
      </c>
      <c r="K615" s="232" t="str">
        <f t="shared" ref="K615:X615" si="333">LataProjekcji</f>
        <v>Uzupełnij dane</v>
      </c>
      <c r="L615" s="232" t="str">
        <f t="shared" si="333"/>
        <v/>
      </c>
      <c r="M615" s="232" t="str">
        <f t="shared" si="333"/>
        <v/>
      </c>
      <c r="N615" s="232" t="str">
        <f t="shared" si="333"/>
        <v/>
      </c>
      <c r="O615" s="232" t="str">
        <f t="shared" si="333"/>
        <v/>
      </c>
      <c r="P615" s="232" t="str">
        <f t="shared" si="333"/>
        <v/>
      </c>
      <c r="Q615" s="232" t="str">
        <f t="shared" si="333"/>
        <v/>
      </c>
      <c r="R615" s="232" t="str">
        <f t="shared" si="333"/>
        <v/>
      </c>
      <c r="S615" s="232" t="str">
        <f t="shared" si="333"/>
        <v/>
      </c>
      <c r="T615" s="232" t="str">
        <f t="shared" si="333"/>
        <v/>
      </c>
      <c r="U615" s="232" t="str">
        <f t="shared" si="333"/>
        <v/>
      </c>
      <c r="V615" s="232" t="str">
        <f t="shared" si="333"/>
        <v/>
      </c>
      <c r="W615" s="232" t="str">
        <f t="shared" si="333"/>
        <v/>
      </c>
      <c r="X615" s="232" t="str">
        <f t="shared" si="333"/>
        <v/>
      </c>
    </row>
    <row r="616" spans="2:24">
      <c r="B616" s="305"/>
      <c r="C616" s="305"/>
      <c r="D616" s="288"/>
      <c r="E616" s="390"/>
      <c r="F616" s="391"/>
      <c r="G616" s="399"/>
      <c r="H616" s="416"/>
      <c r="I616" s="341">
        <f>IF(AND(F616="tak",G616="tak"),SUM(K644:X644),IF(AND(F616="tak",G616="nie",ISNUMBER(H616)),'Rozliczenie dotacji'!F188,0))</f>
        <v>0</v>
      </c>
      <c r="J616" s="202" t="str" cm="1">
        <f t="array" ref="J616">IF(SUMPRODUCT(ISBLANK(B616:G616)*1)=6,"wstaw dane",IF(AND(SUMPRODUCT(ISBLANK(B616:G616)*1)&gt;0,SUMPRODUCT(ISBLANK(B616:G616)*1)&lt;6),"uzupełnij dane",IF(OR(AND(F616=nie,ISNUMBER(H616)=TRUE),AND(F616=tak,G616=tak,ISNUMBER(H616)=TRUE)),"usuń % dotacji",IF(AND(F616=nie,G616=tak),"popraw dane",IF(AND(F616=tak,G616=nie,ISBLANK(H616)=TRUE),"wstaw % dotacji","ok")))))</f>
        <v>wstaw dane</v>
      </c>
      <c r="K616" s="103">
        <f t="shared" ref="K616:X625" si="334">ROUND(IF(AND(YEAR($E616)=LataProjekcji,$D616&gt;0,$J616="ok"),$D616,0),0)</f>
        <v>0</v>
      </c>
      <c r="L616" s="103">
        <f t="shared" si="334"/>
        <v>0</v>
      </c>
      <c r="M616" s="103">
        <f t="shared" si="334"/>
        <v>0</v>
      </c>
      <c r="N616" s="103">
        <f t="shared" si="334"/>
        <v>0</v>
      </c>
      <c r="O616" s="103">
        <f t="shared" si="334"/>
        <v>0</v>
      </c>
      <c r="P616" s="103">
        <f t="shared" si="334"/>
        <v>0</v>
      </c>
      <c r="Q616" s="103">
        <f t="shared" si="334"/>
        <v>0</v>
      </c>
      <c r="R616" s="103">
        <f t="shared" si="334"/>
        <v>0</v>
      </c>
      <c r="S616" s="103">
        <f t="shared" si="334"/>
        <v>0</v>
      </c>
      <c r="T616" s="103">
        <f t="shared" si="334"/>
        <v>0</v>
      </c>
      <c r="U616" s="103">
        <f t="shared" si="334"/>
        <v>0</v>
      </c>
      <c r="V616" s="103">
        <f t="shared" si="334"/>
        <v>0</v>
      </c>
      <c r="W616" s="103">
        <f t="shared" si="334"/>
        <v>0</v>
      </c>
      <c r="X616" s="103">
        <f t="shared" si="334"/>
        <v>0</v>
      </c>
    </row>
    <row r="617" spans="2:24">
      <c r="B617" s="305"/>
      <c r="C617" s="305"/>
      <c r="D617" s="288"/>
      <c r="E617" s="390"/>
      <c r="F617" s="391"/>
      <c r="G617" s="391"/>
      <c r="H617" s="417"/>
      <c r="I617" s="339">
        <f>IF(AND(F617="tak",G617="tak"),SUM(K645:X645),IF(AND(F617="tak",G617="nie",ISNUMBER(H617)),'Rozliczenie dotacji'!F189,0))</f>
        <v>0</v>
      </c>
      <c r="J617" s="203" t="str" cm="1">
        <f t="array" ref="J617">IF(SUMPRODUCT(ISBLANK(B617:G617)*1)=6,"wstaw dane",IF(AND(SUMPRODUCT(ISBLANK(B617:G617)*1)&gt;0,SUMPRODUCT(ISBLANK(B617:G617)*1)&lt;6),"uzupełnij dane",IF(OR(AND(F617=nie,ISNUMBER(H617)=TRUE),AND(F617=tak,G617=tak,ISNUMBER(H617)=TRUE)),"usuń % dotacji",IF(AND(F617=nie,G617=tak),"popraw dane",IF(AND(F617=tak,G617=nie,ISBLANK(H617)=TRUE),"wstaw % dotacji","ok")))))</f>
        <v>wstaw dane</v>
      </c>
      <c r="K617" s="33">
        <f t="shared" si="334"/>
        <v>0</v>
      </c>
      <c r="L617" s="33">
        <f t="shared" si="334"/>
        <v>0</v>
      </c>
      <c r="M617" s="33">
        <f t="shared" si="334"/>
        <v>0</v>
      </c>
      <c r="N617" s="33">
        <f t="shared" si="334"/>
        <v>0</v>
      </c>
      <c r="O617" s="33">
        <f t="shared" si="334"/>
        <v>0</v>
      </c>
      <c r="P617" s="33">
        <f t="shared" si="334"/>
        <v>0</v>
      </c>
      <c r="Q617" s="33">
        <f t="shared" si="334"/>
        <v>0</v>
      </c>
      <c r="R617" s="33">
        <f t="shared" si="334"/>
        <v>0</v>
      </c>
      <c r="S617" s="33">
        <f t="shared" si="334"/>
        <v>0</v>
      </c>
      <c r="T617" s="33">
        <f t="shared" si="334"/>
        <v>0</v>
      </c>
      <c r="U617" s="33">
        <f t="shared" si="334"/>
        <v>0</v>
      </c>
      <c r="V617" s="33">
        <f t="shared" si="334"/>
        <v>0</v>
      </c>
      <c r="W617" s="33">
        <f t="shared" si="334"/>
        <v>0</v>
      </c>
      <c r="X617" s="33">
        <f t="shared" si="334"/>
        <v>0</v>
      </c>
    </row>
    <row r="618" spans="2:24">
      <c r="B618" s="305"/>
      <c r="C618" s="305"/>
      <c r="D618" s="288"/>
      <c r="E618" s="390"/>
      <c r="F618" s="391"/>
      <c r="G618" s="391"/>
      <c r="H618" s="417"/>
      <c r="I618" s="339">
        <f>IF(AND(F618="tak",G618="tak"),SUM(K646:X646),IF(AND(F618="tak",G618="nie",ISNUMBER(H618)),'Rozliczenie dotacji'!F190,0))</f>
        <v>0</v>
      </c>
      <c r="J618" s="203" t="str" cm="1">
        <f t="array" ref="J618">IF(SUMPRODUCT(ISBLANK(B618:G618)*1)=6,"wstaw dane",IF(AND(SUMPRODUCT(ISBLANK(B618:G618)*1)&gt;0,SUMPRODUCT(ISBLANK(B618:G618)*1)&lt;6),"uzupełnij dane",IF(OR(AND(F618=nie,ISNUMBER(H618)=TRUE),AND(F618=tak,G618=tak,ISNUMBER(H618)=TRUE)),"usuń % dotacji",IF(AND(F618=nie,G618=tak),"popraw dane",IF(AND(F618=tak,G618=nie,ISBLANK(H618)=TRUE),"wstaw % dotacji","ok")))))</f>
        <v>wstaw dane</v>
      </c>
      <c r="K618" s="33">
        <f t="shared" si="334"/>
        <v>0</v>
      </c>
      <c r="L618" s="33">
        <f t="shared" si="334"/>
        <v>0</v>
      </c>
      <c r="M618" s="33">
        <f t="shared" si="334"/>
        <v>0</v>
      </c>
      <c r="N618" s="33">
        <f t="shared" si="334"/>
        <v>0</v>
      </c>
      <c r="O618" s="33">
        <f t="shared" si="334"/>
        <v>0</v>
      </c>
      <c r="P618" s="33">
        <f t="shared" si="334"/>
        <v>0</v>
      </c>
      <c r="Q618" s="33">
        <f t="shared" si="334"/>
        <v>0</v>
      </c>
      <c r="R618" s="33">
        <f t="shared" si="334"/>
        <v>0</v>
      </c>
      <c r="S618" s="33">
        <f t="shared" si="334"/>
        <v>0</v>
      </c>
      <c r="T618" s="33">
        <f t="shared" si="334"/>
        <v>0</v>
      </c>
      <c r="U618" s="33">
        <f t="shared" si="334"/>
        <v>0</v>
      </c>
      <c r="V618" s="33">
        <f t="shared" si="334"/>
        <v>0</v>
      </c>
      <c r="W618" s="33">
        <f t="shared" si="334"/>
        <v>0</v>
      </c>
      <c r="X618" s="33">
        <f t="shared" si="334"/>
        <v>0</v>
      </c>
    </row>
    <row r="619" spans="2:24">
      <c r="B619" s="305"/>
      <c r="C619" s="305"/>
      <c r="D619" s="288"/>
      <c r="E619" s="390"/>
      <c r="F619" s="391"/>
      <c r="G619" s="391"/>
      <c r="H619" s="417"/>
      <c r="I619" s="339">
        <f>IF(AND(F619="tak",G619="tak"),SUM(K647:X647),IF(AND(F619="tak",G619="nie",ISNUMBER(H619)),'Rozliczenie dotacji'!F191,0))</f>
        <v>0</v>
      </c>
      <c r="J619" s="203" t="str" cm="1">
        <f t="array" ref="J619">IF(SUMPRODUCT(ISBLANK(B619:G619)*1)=6,"wstaw dane",IF(AND(SUMPRODUCT(ISBLANK(B619:G619)*1)&gt;0,SUMPRODUCT(ISBLANK(B619:G619)*1)&lt;6),"uzupełnij dane",IF(OR(AND(F619=nie,ISNUMBER(H619)=TRUE),AND(F619=tak,G619=tak,ISNUMBER(H619)=TRUE)),"usuń % dotacji",IF(AND(F619=nie,G619=tak),"popraw dane",IF(AND(F619=tak,G619=nie,ISBLANK(H619)=TRUE),"wstaw % dotacji","ok")))))</f>
        <v>wstaw dane</v>
      </c>
      <c r="K619" s="33">
        <f t="shared" si="334"/>
        <v>0</v>
      </c>
      <c r="L619" s="33">
        <f t="shared" si="334"/>
        <v>0</v>
      </c>
      <c r="M619" s="33">
        <f t="shared" si="334"/>
        <v>0</v>
      </c>
      <c r="N619" s="33">
        <f t="shared" si="334"/>
        <v>0</v>
      </c>
      <c r="O619" s="33">
        <f t="shared" si="334"/>
        <v>0</v>
      </c>
      <c r="P619" s="33">
        <f t="shared" si="334"/>
        <v>0</v>
      </c>
      <c r="Q619" s="33">
        <f t="shared" si="334"/>
        <v>0</v>
      </c>
      <c r="R619" s="33">
        <f t="shared" si="334"/>
        <v>0</v>
      </c>
      <c r="S619" s="33">
        <f t="shared" si="334"/>
        <v>0</v>
      </c>
      <c r="T619" s="33">
        <f t="shared" si="334"/>
        <v>0</v>
      </c>
      <c r="U619" s="33">
        <f t="shared" si="334"/>
        <v>0</v>
      </c>
      <c r="V619" s="33">
        <f t="shared" si="334"/>
        <v>0</v>
      </c>
      <c r="W619" s="33">
        <f t="shared" si="334"/>
        <v>0</v>
      </c>
      <c r="X619" s="33">
        <f t="shared" si="334"/>
        <v>0</v>
      </c>
    </row>
    <row r="620" spans="2:24">
      <c r="B620" s="305"/>
      <c r="C620" s="305"/>
      <c r="D620" s="288"/>
      <c r="E620" s="390"/>
      <c r="F620" s="391"/>
      <c r="G620" s="391"/>
      <c r="H620" s="417"/>
      <c r="I620" s="339">
        <f>IF(AND(F620="tak",G620="tak"),SUM(K648:X648),IF(AND(F620="tak",G620="nie",ISNUMBER(H620)),'Rozliczenie dotacji'!F192,0))</f>
        <v>0</v>
      </c>
      <c r="J620" s="203" t="str" cm="1">
        <f t="array" ref="J620">IF(SUMPRODUCT(ISBLANK(B620:G620)*1)=6,"wstaw dane",IF(AND(SUMPRODUCT(ISBLANK(B620:G620)*1)&gt;0,SUMPRODUCT(ISBLANK(B620:G620)*1)&lt;6),"uzupełnij dane",IF(OR(AND(F620=nie,ISNUMBER(H620)=TRUE),AND(F620=tak,G620=tak,ISNUMBER(H620)=TRUE)),"usuń % dotacji",IF(AND(F620=nie,G620=tak),"popraw dane",IF(AND(F620=tak,G620=nie,ISBLANK(H620)=TRUE),"wstaw % dotacji","ok")))))</f>
        <v>wstaw dane</v>
      </c>
      <c r="K620" s="33">
        <f t="shared" si="334"/>
        <v>0</v>
      </c>
      <c r="L620" s="33">
        <f t="shared" si="334"/>
        <v>0</v>
      </c>
      <c r="M620" s="33">
        <f t="shared" si="334"/>
        <v>0</v>
      </c>
      <c r="N620" s="33">
        <f t="shared" si="334"/>
        <v>0</v>
      </c>
      <c r="O620" s="33">
        <f t="shared" si="334"/>
        <v>0</v>
      </c>
      <c r="P620" s="33">
        <f t="shared" si="334"/>
        <v>0</v>
      </c>
      <c r="Q620" s="33">
        <f t="shared" si="334"/>
        <v>0</v>
      </c>
      <c r="R620" s="33">
        <f t="shared" si="334"/>
        <v>0</v>
      </c>
      <c r="S620" s="33">
        <f t="shared" si="334"/>
        <v>0</v>
      </c>
      <c r="T620" s="33">
        <f t="shared" si="334"/>
        <v>0</v>
      </c>
      <c r="U620" s="33">
        <f t="shared" si="334"/>
        <v>0</v>
      </c>
      <c r="V620" s="33">
        <f t="shared" si="334"/>
        <v>0</v>
      </c>
      <c r="W620" s="33">
        <f t="shared" si="334"/>
        <v>0</v>
      </c>
      <c r="X620" s="33">
        <f t="shared" si="334"/>
        <v>0</v>
      </c>
    </row>
    <row r="621" spans="2:24">
      <c r="B621" s="305"/>
      <c r="C621" s="305"/>
      <c r="D621" s="288"/>
      <c r="E621" s="390"/>
      <c r="F621" s="391"/>
      <c r="G621" s="391"/>
      <c r="H621" s="417"/>
      <c r="I621" s="339">
        <f>IF(AND(F621="tak",G621="tak"),SUM(K649:X649),IF(AND(F621="tak",G621="nie",ISNUMBER(H621)),'Rozliczenie dotacji'!F193,0))</f>
        <v>0</v>
      </c>
      <c r="J621" s="203" t="str" cm="1">
        <f t="array" ref="J621">IF(SUMPRODUCT(ISBLANK(B621:G621)*1)=6,"wstaw dane",IF(AND(SUMPRODUCT(ISBLANK(B621:G621)*1)&gt;0,SUMPRODUCT(ISBLANK(B621:G621)*1)&lt;6),"uzupełnij dane",IF(OR(AND(F621=nie,ISNUMBER(H621)=TRUE),AND(F621=tak,G621=tak,ISNUMBER(H621)=TRUE)),"usuń % dotacji",IF(AND(F621=nie,G621=tak),"popraw dane",IF(AND(F621=tak,G621=nie,ISBLANK(H621)=TRUE),"wstaw % dotacji","ok")))))</f>
        <v>wstaw dane</v>
      </c>
      <c r="K621" s="33">
        <f t="shared" si="334"/>
        <v>0</v>
      </c>
      <c r="L621" s="33">
        <f t="shared" si="334"/>
        <v>0</v>
      </c>
      <c r="M621" s="33">
        <f t="shared" si="334"/>
        <v>0</v>
      </c>
      <c r="N621" s="33">
        <f t="shared" si="334"/>
        <v>0</v>
      </c>
      <c r="O621" s="33">
        <f t="shared" si="334"/>
        <v>0</v>
      </c>
      <c r="P621" s="33">
        <f t="shared" si="334"/>
        <v>0</v>
      </c>
      <c r="Q621" s="33">
        <f t="shared" si="334"/>
        <v>0</v>
      </c>
      <c r="R621" s="33">
        <f t="shared" si="334"/>
        <v>0</v>
      </c>
      <c r="S621" s="33">
        <f t="shared" si="334"/>
        <v>0</v>
      </c>
      <c r="T621" s="33">
        <f t="shared" si="334"/>
        <v>0</v>
      </c>
      <c r="U621" s="33">
        <f t="shared" si="334"/>
        <v>0</v>
      </c>
      <c r="V621" s="33">
        <f t="shared" si="334"/>
        <v>0</v>
      </c>
      <c r="W621" s="33">
        <f t="shared" si="334"/>
        <v>0</v>
      </c>
      <c r="X621" s="33">
        <f t="shared" si="334"/>
        <v>0</v>
      </c>
    </row>
    <row r="622" spans="2:24">
      <c r="B622" s="305"/>
      <c r="C622" s="305"/>
      <c r="D622" s="288"/>
      <c r="E622" s="390"/>
      <c r="F622" s="391"/>
      <c r="G622" s="391"/>
      <c r="H622" s="417"/>
      <c r="I622" s="339">
        <f>IF(AND(F622="tak",G622="tak"),SUM(K650:X650),IF(AND(F622="tak",G622="nie",ISNUMBER(H622)),'Rozliczenie dotacji'!F194,0))</f>
        <v>0</v>
      </c>
      <c r="J622" s="203" t="str" cm="1">
        <f t="array" ref="J622">IF(SUMPRODUCT(ISBLANK(B622:G622)*1)=6,"wstaw dane",IF(AND(SUMPRODUCT(ISBLANK(B622:G622)*1)&gt;0,SUMPRODUCT(ISBLANK(B622:G622)*1)&lt;6),"uzupełnij dane",IF(OR(AND(F622=nie,ISNUMBER(H622)=TRUE),AND(F622=tak,G622=tak,ISNUMBER(H622)=TRUE)),"usuń % dotacji",IF(AND(F622=nie,G622=tak),"popraw dane",IF(AND(F622=tak,G622=nie,ISBLANK(H622)=TRUE),"wstaw % dotacji","ok")))))</f>
        <v>wstaw dane</v>
      </c>
      <c r="K622" s="33">
        <f t="shared" si="334"/>
        <v>0</v>
      </c>
      <c r="L622" s="33">
        <f t="shared" si="334"/>
        <v>0</v>
      </c>
      <c r="M622" s="33">
        <f t="shared" si="334"/>
        <v>0</v>
      </c>
      <c r="N622" s="33">
        <f t="shared" si="334"/>
        <v>0</v>
      </c>
      <c r="O622" s="33">
        <f t="shared" si="334"/>
        <v>0</v>
      </c>
      <c r="P622" s="33">
        <f t="shared" si="334"/>
        <v>0</v>
      </c>
      <c r="Q622" s="33">
        <f t="shared" si="334"/>
        <v>0</v>
      </c>
      <c r="R622" s="33">
        <f t="shared" si="334"/>
        <v>0</v>
      </c>
      <c r="S622" s="33">
        <f t="shared" si="334"/>
        <v>0</v>
      </c>
      <c r="T622" s="33">
        <f t="shared" si="334"/>
        <v>0</v>
      </c>
      <c r="U622" s="33">
        <f t="shared" si="334"/>
        <v>0</v>
      </c>
      <c r="V622" s="33">
        <f t="shared" si="334"/>
        <v>0</v>
      </c>
      <c r="W622" s="33">
        <f t="shared" si="334"/>
        <v>0</v>
      </c>
      <c r="X622" s="33">
        <f t="shared" si="334"/>
        <v>0</v>
      </c>
    </row>
    <row r="623" spans="2:24">
      <c r="B623" s="305"/>
      <c r="C623" s="305"/>
      <c r="D623" s="288"/>
      <c r="E623" s="390"/>
      <c r="F623" s="391"/>
      <c r="G623" s="391"/>
      <c r="H623" s="417"/>
      <c r="I623" s="339">
        <f>IF(AND(F623="tak",G623="tak"),SUM(K651:X651),IF(AND(F623="tak",G623="nie",ISNUMBER(H623)),'Rozliczenie dotacji'!F195,0))</f>
        <v>0</v>
      </c>
      <c r="J623" s="203" t="str" cm="1">
        <f t="array" ref="J623">IF(SUMPRODUCT(ISBLANK(B623:G623)*1)=6,"wstaw dane",IF(AND(SUMPRODUCT(ISBLANK(B623:G623)*1)&gt;0,SUMPRODUCT(ISBLANK(B623:G623)*1)&lt;6),"uzupełnij dane",IF(OR(AND(F623=nie,ISNUMBER(H623)=TRUE),AND(F623=tak,G623=tak,ISNUMBER(H623)=TRUE)),"usuń % dotacji",IF(AND(F623=nie,G623=tak),"popraw dane",IF(AND(F623=tak,G623=nie,ISBLANK(H623)=TRUE),"wstaw % dotacji","ok")))))</f>
        <v>wstaw dane</v>
      </c>
      <c r="K623" s="33">
        <f t="shared" si="334"/>
        <v>0</v>
      </c>
      <c r="L623" s="33">
        <f t="shared" si="334"/>
        <v>0</v>
      </c>
      <c r="M623" s="33">
        <f t="shared" si="334"/>
        <v>0</v>
      </c>
      <c r="N623" s="33">
        <f t="shared" si="334"/>
        <v>0</v>
      </c>
      <c r="O623" s="33">
        <f t="shared" si="334"/>
        <v>0</v>
      </c>
      <c r="P623" s="33">
        <f t="shared" si="334"/>
        <v>0</v>
      </c>
      <c r="Q623" s="33">
        <f t="shared" si="334"/>
        <v>0</v>
      </c>
      <c r="R623" s="33">
        <f t="shared" si="334"/>
        <v>0</v>
      </c>
      <c r="S623" s="33">
        <f t="shared" si="334"/>
        <v>0</v>
      </c>
      <c r="T623" s="33">
        <f t="shared" si="334"/>
        <v>0</v>
      </c>
      <c r="U623" s="33">
        <f t="shared" si="334"/>
        <v>0</v>
      </c>
      <c r="V623" s="33">
        <f t="shared" si="334"/>
        <v>0</v>
      </c>
      <c r="W623" s="33">
        <f t="shared" si="334"/>
        <v>0</v>
      </c>
      <c r="X623" s="33">
        <f t="shared" si="334"/>
        <v>0</v>
      </c>
    </row>
    <row r="624" spans="2:24">
      <c r="B624" s="305"/>
      <c r="C624" s="305"/>
      <c r="D624" s="288"/>
      <c r="E624" s="390"/>
      <c r="F624" s="391"/>
      <c r="G624" s="391"/>
      <c r="H624" s="417"/>
      <c r="I624" s="339">
        <f>IF(AND(F624="tak",G624="tak"),SUM(K652:X652),IF(AND(F624="tak",G624="nie",ISNUMBER(H624)),'Rozliczenie dotacji'!F196,0))</f>
        <v>0</v>
      </c>
      <c r="J624" s="203" t="str" cm="1">
        <f t="array" ref="J624">IF(SUMPRODUCT(ISBLANK(B624:G624)*1)=6,"wstaw dane",IF(AND(SUMPRODUCT(ISBLANK(B624:G624)*1)&gt;0,SUMPRODUCT(ISBLANK(B624:G624)*1)&lt;6),"uzupełnij dane",IF(OR(AND(F624=nie,ISNUMBER(H624)=TRUE),AND(F624=tak,G624=tak,ISNUMBER(H624)=TRUE)),"usuń % dotacji",IF(AND(F624=nie,G624=tak),"popraw dane",IF(AND(F624=tak,G624=nie,ISBLANK(H624)=TRUE),"wstaw % dotacji","ok")))))</f>
        <v>wstaw dane</v>
      </c>
      <c r="K624" s="33">
        <f t="shared" si="334"/>
        <v>0</v>
      </c>
      <c r="L624" s="33">
        <f t="shared" si="334"/>
        <v>0</v>
      </c>
      <c r="M624" s="33">
        <f t="shared" si="334"/>
        <v>0</v>
      </c>
      <c r="N624" s="33">
        <f t="shared" si="334"/>
        <v>0</v>
      </c>
      <c r="O624" s="33">
        <f t="shared" si="334"/>
        <v>0</v>
      </c>
      <c r="P624" s="33">
        <f t="shared" si="334"/>
        <v>0</v>
      </c>
      <c r="Q624" s="33">
        <f t="shared" si="334"/>
        <v>0</v>
      </c>
      <c r="R624" s="33">
        <f t="shared" si="334"/>
        <v>0</v>
      </c>
      <c r="S624" s="33">
        <f t="shared" si="334"/>
        <v>0</v>
      </c>
      <c r="T624" s="33">
        <f t="shared" si="334"/>
        <v>0</v>
      </c>
      <c r="U624" s="33">
        <f t="shared" si="334"/>
        <v>0</v>
      </c>
      <c r="V624" s="33">
        <f t="shared" si="334"/>
        <v>0</v>
      </c>
      <c r="W624" s="33">
        <f t="shared" si="334"/>
        <v>0</v>
      </c>
      <c r="X624" s="33">
        <f t="shared" si="334"/>
        <v>0</v>
      </c>
    </row>
    <row r="625" spans="2:24">
      <c r="B625" s="305"/>
      <c r="C625" s="305"/>
      <c r="D625" s="288"/>
      <c r="E625" s="390"/>
      <c r="F625" s="391"/>
      <c r="G625" s="391"/>
      <c r="H625" s="417"/>
      <c r="I625" s="339">
        <f>IF(AND(F625="tak",G625="tak"),SUM(K653:X653),IF(AND(F625="tak",G625="nie",ISNUMBER(H625)),'Rozliczenie dotacji'!F197,0))</f>
        <v>0</v>
      </c>
      <c r="J625" s="203" t="str" cm="1">
        <f t="array" ref="J625">IF(SUMPRODUCT(ISBLANK(B625:G625)*1)=6,"wstaw dane",IF(AND(SUMPRODUCT(ISBLANK(B625:G625)*1)&gt;0,SUMPRODUCT(ISBLANK(B625:G625)*1)&lt;6),"uzupełnij dane",IF(OR(AND(F625=nie,ISNUMBER(H625)=TRUE),AND(F625=tak,G625=tak,ISNUMBER(H625)=TRUE)),"usuń % dotacji",IF(AND(F625=nie,G625=tak),"popraw dane",IF(AND(F625=tak,G625=nie,ISBLANK(H625)=TRUE),"wstaw % dotacji","ok")))))</f>
        <v>wstaw dane</v>
      </c>
      <c r="K625" s="33">
        <f t="shared" si="334"/>
        <v>0</v>
      </c>
      <c r="L625" s="33">
        <f t="shared" si="334"/>
        <v>0</v>
      </c>
      <c r="M625" s="33">
        <f t="shared" si="334"/>
        <v>0</v>
      </c>
      <c r="N625" s="33">
        <f t="shared" si="334"/>
        <v>0</v>
      </c>
      <c r="O625" s="33">
        <f t="shared" si="334"/>
        <v>0</v>
      </c>
      <c r="P625" s="33">
        <f t="shared" si="334"/>
        <v>0</v>
      </c>
      <c r="Q625" s="33">
        <f t="shared" si="334"/>
        <v>0</v>
      </c>
      <c r="R625" s="33">
        <f t="shared" si="334"/>
        <v>0</v>
      </c>
      <c r="S625" s="33">
        <f t="shared" si="334"/>
        <v>0</v>
      </c>
      <c r="T625" s="33">
        <f t="shared" si="334"/>
        <v>0</v>
      </c>
      <c r="U625" s="33">
        <f t="shared" si="334"/>
        <v>0</v>
      </c>
      <c r="V625" s="33">
        <f t="shared" si="334"/>
        <v>0</v>
      </c>
      <c r="W625" s="33">
        <f t="shared" si="334"/>
        <v>0</v>
      </c>
      <c r="X625" s="33">
        <f t="shared" si="334"/>
        <v>0</v>
      </c>
    </row>
    <row r="626" spans="2:24">
      <c r="B626" s="99" t="s">
        <v>335</v>
      </c>
      <c r="C626" s="99"/>
      <c r="D626" s="98">
        <f>SUM(D616:D625)</f>
        <v>0</v>
      </c>
      <c r="E626" s="200"/>
      <c r="F626" s="97"/>
      <c r="G626" s="98"/>
      <c r="H626" s="97"/>
      <c r="I626" s="98">
        <f>SUM(I616:I625)</f>
        <v>0</v>
      </c>
      <c r="J626" s="97"/>
      <c r="K626" s="98">
        <f t="shared" ref="K626:X626" si="335">SUM(K616:K625)</f>
        <v>0</v>
      </c>
      <c r="L626" s="98">
        <f t="shared" si="335"/>
        <v>0</v>
      </c>
      <c r="M626" s="98">
        <f t="shared" si="335"/>
        <v>0</v>
      </c>
      <c r="N626" s="98">
        <f t="shared" si="335"/>
        <v>0</v>
      </c>
      <c r="O626" s="98">
        <f t="shared" si="335"/>
        <v>0</v>
      </c>
      <c r="P626" s="98">
        <f t="shared" si="335"/>
        <v>0</v>
      </c>
      <c r="Q626" s="98">
        <f t="shared" si="335"/>
        <v>0</v>
      </c>
      <c r="R626" s="98">
        <f t="shared" si="335"/>
        <v>0</v>
      </c>
      <c r="S626" s="98">
        <f t="shared" si="335"/>
        <v>0</v>
      </c>
      <c r="T626" s="98">
        <f t="shared" si="335"/>
        <v>0</v>
      </c>
      <c r="U626" s="98">
        <f t="shared" si="335"/>
        <v>0</v>
      </c>
      <c r="V626" s="98">
        <f t="shared" si="335"/>
        <v>0</v>
      </c>
      <c r="W626" s="98">
        <f t="shared" si="335"/>
        <v>0</v>
      </c>
      <c r="X626" s="98">
        <f t="shared" si="335"/>
        <v>0</v>
      </c>
    </row>
    <row r="627" spans="2:24">
      <c r="B627" s="104" t="s">
        <v>384</v>
      </c>
      <c r="C627" s="104"/>
      <c r="D627" s="102"/>
      <c r="E627" s="102"/>
      <c r="F627" s="102"/>
      <c r="G627" s="102"/>
      <c r="H627" s="102"/>
      <c r="I627" s="102"/>
      <c r="J627" s="102"/>
      <c r="K627" s="103">
        <f t="shared" ref="K627:X627" ca="1" si="336">K1961+K1968+K1975+K1982+K1989+K1996+K2003+K2010+K2017+K2024</f>
        <v>0</v>
      </c>
      <c r="L627" s="103">
        <f t="shared" ca="1" si="336"/>
        <v>0</v>
      </c>
      <c r="M627" s="103">
        <f t="shared" ca="1" si="336"/>
        <v>0</v>
      </c>
      <c r="N627" s="103">
        <f t="shared" ca="1" si="336"/>
        <v>0</v>
      </c>
      <c r="O627" s="103">
        <f t="shared" ca="1" si="336"/>
        <v>0</v>
      </c>
      <c r="P627" s="103">
        <f t="shared" ca="1" si="336"/>
        <v>0</v>
      </c>
      <c r="Q627" s="103">
        <f t="shared" ca="1" si="336"/>
        <v>0</v>
      </c>
      <c r="R627" s="103">
        <f t="shared" ca="1" si="336"/>
        <v>0</v>
      </c>
      <c r="S627" s="103">
        <f t="shared" ca="1" si="336"/>
        <v>0</v>
      </c>
      <c r="T627" s="103">
        <f t="shared" ca="1" si="336"/>
        <v>0</v>
      </c>
      <c r="U627" s="103">
        <f t="shared" ca="1" si="336"/>
        <v>0</v>
      </c>
      <c r="V627" s="103">
        <f t="shared" ca="1" si="336"/>
        <v>0</v>
      </c>
      <c r="W627" s="103">
        <f t="shared" ca="1" si="336"/>
        <v>0</v>
      </c>
      <c r="X627" s="103">
        <f t="shared" ca="1" si="336"/>
        <v>0</v>
      </c>
    </row>
    <row r="628" spans="2:24">
      <c r="B628" s="37" t="s">
        <v>385</v>
      </c>
      <c r="C628" s="37"/>
      <c r="D628" s="52"/>
      <c r="E628" s="52"/>
      <c r="F628" s="52"/>
      <c r="G628" s="52"/>
      <c r="H628" s="52"/>
      <c r="I628" s="52"/>
      <c r="J628" s="52"/>
      <c r="K628" s="33">
        <f t="shared" ref="K628:X628" ca="1" si="337">K1962+K1969+K1976+K1983+K1990+K1997+K2004+K2011+K2018+K2025</f>
        <v>0</v>
      </c>
      <c r="L628" s="33">
        <f t="shared" ca="1" si="337"/>
        <v>0</v>
      </c>
      <c r="M628" s="33">
        <f t="shared" ca="1" si="337"/>
        <v>0</v>
      </c>
      <c r="N628" s="33">
        <f t="shared" ca="1" si="337"/>
        <v>0</v>
      </c>
      <c r="O628" s="33">
        <f t="shared" ca="1" si="337"/>
        <v>0</v>
      </c>
      <c r="P628" s="33">
        <f t="shared" ca="1" si="337"/>
        <v>0</v>
      </c>
      <c r="Q628" s="33">
        <f t="shared" ca="1" si="337"/>
        <v>0</v>
      </c>
      <c r="R628" s="33">
        <f t="shared" ca="1" si="337"/>
        <v>0</v>
      </c>
      <c r="S628" s="33">
        <f t="shared" ca="1" si="337"/>
        <v>0</v>
      </c>
      <c r="T628" s="33">
        <f t="shared" ca="1" si="337"/>
        <v>0</v>
      </c>
      <c r="U628" s="33">
        <f t="shared" ca="1" si="337"/>
        <v>0</v>
      </c>
      <c r="V628" s="33">
        <f t="shared" ca="1" si="337"/>
        <v>0</v>
      </c>
      <c r="W628" s="33">
        <f t="shared" ca="1" si="337"/>
        <v>0</v>
      </c>
      <c r="X628" s="33">
        <f t="shared" ca="1" si="337"/>
        <v>0</v>
      </c>
    </row>
    <row r="629" spans="2:24">
      <c r="B629" s="201" t="s">
        <v>386</v>
      </c>
      <c r="C629" s="201"/>
      <c r="D629" s="52"/>
      <c r="E629" s="52"/>
      <c r="F629" s="52"/>
      <c r="G629" s="52"/>
      <c r="H629" s="52"/>
      <c r="I629" s="52"/>
      <c r="J629" s="52"/>
      <c r="K629" s="87">
        <f t="shared" ref="K629:X629" ca="1" si="338">K1963+K1970+K1977+K1984+K1991+K1998+K2005+K2012+K2019+K2026</f>
        <v>0</v>
      </c>
      <c r="L629" s="87">
        <f t="shared" ca="1" si="338"/>
        <v>0</v>
      </c>
      <c r="M629" s="87">
        <f t="shared" ca="1" si="338"/>
        <v>0</v>
      </c>
      <c r="N629" s="87">
        <f t="shared" ca="1" si="338"/>
        <v>0</v>
      </c>
      <c r="O629" s="87">
        <f t="shared" ca="1" si="338"/>
        <v>0</v>
      </c>
      <c r="P629" s="87">
        <f t="shared" ca="1" si="338"/>
        <v>0</v>
      </c>
      <c r="Q629" s="87">
        <f t="shared" ca="1" si="338"/>
        <v>0</v>
      </c>
      <c r="R629" s="87">
        <f t="shared" ca="1" si="338"/>
        <v>0</v>
      </c>
      <c r="S629" s="87">
        <f t="shared" ca="1" si="338"/>
        <v>0</v>
      </c>
      <c r="T629" s="87">
        <f t="shared" ca="1" si="338"/>
        <v>0</v>
      </c>
      <c r="U629" s="87">
        <f t="shared" ca="1" si="338"/>
        <v>0</v>
      </c>
      <c r="V629" s="87">
        <f t="shared" ca="1" si="338"/>
        <v>0</v>
      </c>
      <c r="W629" s="87">
        <f t="shared" ca="1" si="338"/>
        <v>0</v>
      </c>
      <c r="X629" s="87">
        <f t="shared" ca="1" si="338"/>
        <v>0</v>
      </c>
    </row>
    <row r="630" spans="2:24"/>
    <row r="631" spans="2:24">
      <c r="B631" s="189" t="s">
        <v>424</v>
      </c>
      <c r="C631" s="396"/>
      <c r="D631" s="190"/>
      <c r="E631" s="191"/>
      <c r="F631" s="191"/>
      <c r="G631" s="191"/>
      <c r="H631" s="191"/>
      <c r="I631" s="191"/>
      <c r="J631" s="191"/>
      <c r="K631" s="555"/>
      <c r="L631" s="556"/>
      <c r="M631" s="556"/>
      <c r="N631" s="556"/>
      <c r="O631" s="556"/>
      <c r="P631" s="556"/>
      <c r="Q631" s="556"/>
      <c r="R631" s="556"/>
      <c r="S631" s="556"/>
      <c r="T631" s="556"/>
      <c r="U631" s="556"/>
      <c r="V631" s="556"/>
      <c r="W631" s="556"/>
      <c r="X631" s="556"/>
    </row>
    <row r="632" spans="2:24">
      <c r="B632" s="63" t="str">
        <f t="shared" ref="B632:C641" si="339">IF(ISBLANK(B616),"",B616)</f>
        <v/>
      </c>
      <c r="C632" s="63" t="str">
        <f t="shared" si="339"/>
        <v/>
      </c>
      <c r="D632" s="102"/>
      <c r="E632" s="102"/>
      <c r="F632" s="102"/>
      <c r="G632" s="102"/>
      <c r="H632" s="102"/>
      <c r="I632" s="102"/>
      <c r="J632" s="202" t="str" cm="1">
        <f t="array" ref="J632">IF(J616="wstaw dane","",IF(OR(ISBLANK(F616)=TRUE,ISBLANK(G616)=TRUE),"uzupełnij dane",IF(OR((AND(F616="nie",SUMPRODUCT(ISNUMBER(K632:X632)*1)&gt;0)),AND(F616=tak,G616=nie,SUMPRODUCT(ISNUMBER(K632:X632)*1)&gt;0)),"usuń % dotacji",IF(AND(F616=tak,G616=tak,SUMPRODUCT(ISNUMBER(K632:X632)*1)=0),"wstaw % dotacji","ok"))))</f>
        <v/>
      </c>
      <c r="K632" s="407"/>
      <c r="L632" s="407"/>
      <c r="M632" s="407"/>
      <c r="N632" s="407"/>
      <c r="O632" s="407"/>
      <c r="P632" s="407"/>
      <c r="Q632" s="407"/>
      <c r="R632" s="407"/>
      <c r="S632" s="407"/>
      <c r="T632" s="407"/>
      <c r="U632" s="407"/>
      <c r="V632" s="407"/>
      <c r="W632" s="407"/>
      <c r="X632" s="407"/>
    </row>
    <row r="633" spans="2:24">
      <c r="B633" s="63" t="str">
        <f t="shared" si="339"/>
        <v/>
      </c>
      <c r="C633" s="63" t="str">
        <f t="shared" si="339"/>
        <v/>
      </c>
      <c r="D633" s="52"/>
      <c r="E633" s="52"/>
      <c r="F633" s="52"/>
      <c r="G633" s="52"/>
      <c r="H633" s="52"/>
      <c r="I633" s="52"/>
      <c r="J633" s="203" t="str" cm="1">
        <f t="array" ref="J633">IF(J617="wstaw dane","",IF(OR(ISBLANK(F617)=TRUE,ISBLANK(G617)=TRUE),"uzupełnij dane",IF(OR((AND(F617="nie",SUMPRODUCT(ISNUMBER(K633:X633)*1)&gt;0)),AND(F617=tak,G617=nie,SUMPRODUCT(ISNUMBER(K633:X633)*1)&gt;0)),"usuń % dotacji",IF(AND(F617=tak,G617=tak,SUMPRODUCT(ISNUMBER(K633:X633)*1)=0),"wstaw % dotacji","ok"))))</f>
        <v/>
      </c>
      <c r="K633" s="408"/>
      <c r="L633" s="408"/>
      <c r="M633" s="408"/>
      <c r="N633" s="408"/>
      <c r="O633" s="408"/>
      <c r="P633" s="408"/>
      <c r="Q633" s="408"/>
      <c r="R633" s="408"/>
      <c r="S633" s="408"/>
      <c r="T633" s="408"/>
      <c r="U633" s="408"/>
      <c r="V633" s="408"/>
      <c r="W633" s="408"/>
      <c r="X633" s="408"/>
    </row>
    <row r="634" spans="2:24">
      <c r="B634" s="63" t="str">
        <f t="shared" si="339"/>
        <v/>
      </c>
      <c r="C634" s="63" t="str">
        <f t="shared" si="339"/>
        <v/>
      </c>
      <c r="D634" s="52"/>
      <c r="E634" s="52"/>
      <c r="F634" s="52"/>
      <c r="G634" s="52"/>
      <c r="H634" s="52"/>
      <c r="I634" s="52"/>
      <c r="J634" s="203" t="str" cm="1">
        <f t="array" ref="J634">IF(J618="wstaw dane","",IF(OR(ISBLANK(F618)=TRUE,ISBLANK(G618)=TRUE),"uzupełnij dane",IF(OR((AND(F618="nie",SUMPRODUCT(ISNUMBER(K634:X634)*1)&gt;0)),AND(F618=tak,G618=nie,SUMPRODUCT(ISNUMBER(K634:X634)*1)&gt;0)),"usuń % dotacji",IF(AND(F618=tak,G618=tak,SUMPRODUCT(ISNUMBER(K634:X634)*1)=0),"wstaw % dotacji","ok"))))</f>
        <v/>
      </c>
      <c r="K634" s="408"/>
      <c r="L634" s="408"/>
      <c r="M634" s="408"/>
      <c r="N634" s="408"/>
      <c r="O634" s="408"/>
      <c r="P634" s="408"/>
      <c r="Q634" s="408"/>
      <c r="R634" s="408"/>
      <c r="S634" s="408"/>
      <c r="T634" s="408"/>
      <c r="U634" s="408"/>
      <c r="V634" s="408"/>
      <c r="W634" s="408"/>
      <c r="X634" s="408"/>
    </row>
    <row r="635" spans="2:24">
      <c r="B635" s="63" t="str">
        <f t="shared" si="339"/>
        <v/>
      </c>
      <c r="C635" s="63" t="str">
        <f t="shared" si="339"/>
        <v/>
      </c>
      <c r="D635" s="52"/>
      <c r="E635" s="52"/>
      <c r="F635" s="52"/>
      <c r="G635" s="52"/>
      <c r="H635" s="52"/>
      <c r="I635" s="52"/>
      <c r="J635" s="203" t="str" cm="1">
        <f t="array" ref="J635">IF(J619="wstaw dane","",IF(OR(ISBLANK(F619)=TRUE,ISBLANK(G619)=TRUE),"uzupełnij dane",IF(OR((AND(F619="nie",SUMPRODUCT(ISNUMBER(K635:X635)*1)&gt;0)),AND(F619=tak,G619=nie,SUMPRODUCT(ISNUMBER(K635:X635)*1)&gt;0)),"usuń % dotacji",IF(AND(F619=tak,G619=tak,SUMPRODUCT(ISNUMBER(K635:X635)*1)=0),"wstaw % dotacji","ok"))))</f>
        <v/>
      </c>
      <c r="K635" s="408"/>
      <c r="L635" s="408"/>
      <c r="M635" s="408"/>
      <c r="N635" s="408"/>
      <c r="O635" s="408"/>
      <c r="P635" s="408"/>
      <c r="Q635" s="408"/>
      <c r="R635" s="408"/>
      <c r="S635" s="408"/>
      <c r="T635" s="408"/>
      <c r="U635" s="408"/>
      <c r="V635" s="408"/>
      <c r="W635" s="408"/>
      <c r="X635" s="408"/>
    </row>
    <row r="636" spans="2:24">
      <c r="B636" s="63" t="str">
        <f t="shared" si="339"/>
        <v/>
      </c>
      <c r="C636" s="63" t="str">
        <f t="shared" si="339"/>
        <v/>
      </c>
      <c r="D636" s="52"/>
      <c r="E636" s="52"/>
      <c r="F636" s="52"/>
      <c r="G636" s="52"/>
      <c r="H636" s="52"/>
      <c r="I636" s="52"/>
      <c r="J636" s="203" t="str" cm="1">
        <f t="array" ref="J636">IF(J620="wstaw dane","",IF(OR(ISBLANK(F620)=TRUE,ISBLANK(G620)=TRUE),"uzupełnij dane",IF(OR((AND(F620="nie",SUMPRODUCT(ISNUMBER(K636:X636)*1)&gt;0)),AND(F620=tak,G620=nie,SUMPRODUCT(ISNUMBER(K636:X636)*1)&gt;0)),"usuń % dotacji",IF(AND(F620=tak,G620=tak,SUMPRODUCT(ISNUMBER(K636:X636)*1)=0),"wstaw % dotacji","ok"))))</f>
        <v/>
      </c>
      <c r="K636" s="408"/>
      <c r="L636" s="408"/>
      <c r="M636" s="408"/>
      <c r="N636" s="408"/>
      <c r="O636" s="408"/>
      <c r="P636" s="408"/>
      <c r="Q636" s="408"/>
      <c r="R636" s="408"/>
      <c r="S636" s="408"/>
      <c r="T636" s="408"/>
      <c r="U636" s="408"/>
      <c r="V636" s="408"/>
      <c r="W636" s="408"/>
      <c r="X636" s="408"/>
    </row>
    <row r="637" spans="2:24">
      <c r="B637" s="63" t="str">
        <f t="shared" si="339"/>
        <v/>
      </c>
      <c r="C637" s="63" t="str">
        <f t="shared" si="339"/>
        <v/>
      </c>
      <c r="D637" s="52"/>
      <c r="E637" s="52"/>
      <c r="F637" s="52"/>
      <c r="G637" s="52"/>
      <c r="H637" s="52"/>
      <c r="I637" s="52"/>
      <c r="J637" s="203" t="str" cm="1">
        <f t="array" ref="J637">IF(J621="wstaw dane","",IF(OR(ISBLANK(F621)=TRUE,ISBLANK(G621)=TRUE),"uzupełnij dane",IF(OR((AND(F621="nie",SUMPRODUCT(ISNUMBER(K637:X637)*1)&gt;0)),AND(F621=tak,G621=nie,SUMPRODUCT(ISNUMBER(K637:X637)*1)&gt;0)),"usuń % dotacji",IF(AND(F621=tak,G621=tak,SUMPRODUCT(ISNUMBER(K637:X637)*1)=0),"wstaw % dotacji","ok"))))</f>
        <v/>
      </c>
      <c r="K637" s="408"/>
      <c r="L637" s="408"/>
      <c r="M637" s="408"/>
      <c r="N637" s="408"/>
      <c r="O637" s="408"/>
      <c r="P637" s="408"/>
      <c r="Q637" s="408"/>
      <c r="R637" s="408"/>
      <c r="S637" s="408"/>
      <c r="T637" s="408"/>
      <c r="U637" s="408"/>
      <c r="V637" s="408"/>
      <c r="W637" s="408"/>
      <c r="X637" s="408"/>
    </row>
    <row r="638" spans="2:24">
      <c r="B638" s="63" t="str">
        <f t="shared" si="339"/>
        <v/>
      </c>
      <c r="C638" s="63" t="str">
        <f t="shared" si="339"/>
        <v/>
      </c>
      <c r="D638" s="52"/>
      <c r="E638" s="52"/>
      <c r="F638" s="52"/>
      <c r="G638" s="52"/>
      <c r="H638" s="52"/>
      <c r="I638" s="52"/>
      <c r="J638" s="203" t="str" cm="1">
        <f t="array" ref="J638">IF(J622="wstaw dane","",IF(OR(ISBLANK(F622)=TRUE,ISBLANK(G622)=TRUE),"uzupełnij dane",IF(OR((AND(F622="nie",SUMPRODUCT(ISNUMBER(K638:X638)*1)&gt;0)),AND(F622=tak,G622=nie,SUMPRODUCT(ISNUMBER(K638:X638)*1)&gt;0)),"usuń % dotacji",IF(AND(F622=tak,G622=tak,SUMPRODUCT(ISNUMBER(K638:X638)*1)=0),"wstaw % dotacji","ok"))))</f>
        <v/>
      </c>
      <c r="K638" s="408"/>
      <c r="L638" s="408"/>
      <c r="M638" s="408"/>
      <c r="N638" s="408"/>
      <c r="O638" s="408"/>
      <c r="P638" s="408"/>
      <c r="Q638" s="408"/>
      <c r="R638" s="408"/>
      <c r="S638" s="408"/>
      <c r="T638" s="408"/>
      <c r="U638" s="408"/>
      <c r="V638" s="408"/>
      <c r="W638" s="408"/>
      <c r="X638" s="408"/>
    </row>
    <row r="639" spans="2:24">
      <c r="B639" s="63" t="str">
        <f t="shared" si="339"/>
        <v/>
      </c>
      <c r="C639" s="63" t="str">
        <f t="shared" si="339"/>
        <v/>
      </c>
      <c r="D639" s="52"/>
      <c r="E639" s="52"/>
      <c r="F639" s="52"/>
      <c r="G639" s="52"/>
      <c r="H639" s="52"/>
      <c r="I639" s="52"/>
      <c r="J639" s="203" t="str" cm="1">
        <f t="array" ref="J639">IF(J623="wstaw dane","",IF(OR(ISBLANK(F623)=TRUE,ISBLANK(G623)=TRUE),"uzupełnij dane",IF(OR((AND(F623="nie",SUMPRODUCT(ISNUMBER(K639:X639)*1)&gt;0)),AND(F623=tak,G623=nie,SUMPRODUCT(ISNUMBER(K639:X639)*1)&gt;0)),"usuń % dotacji",IF(AND(F623=tak,G623=tak,SUMPRODUCT(ISNUMBER(K639:X639)*1)=0),"wstaw % dotacji","ok"))))</f>
        <v/>
      </c>
      <c r="K639" s="408"/>
      <c r="L639" s="408"/>
      <c r="M639" s="408"/>
      <c r="N639" s="408"/>
      <c r="O639" s="408"/>
      <c r="P639" s="408"/>
      <c r="Q639" s="408"/>
      <c r="R639" s="408"/>
      <c r="S639" s="408"/>
      <c r="T639" s="408"/>
      <c r="U639" s="408"/>
      <c r="V639" s="408"/>
      <c r="W639" s="408"/>
      <c r="X639" s="408"/>
    </row>
    <row r="640" spans="2:24">
      <c r="B640" s="63" t="str">
        <f t="shared" si="339"/>
        <v/>
      </c>
      <c r="C640" s="63" t="str">
        <f t="shared" si="339"/>
        <v/>
      </c>
      <c r="D640" s="52"/>
      <c r="E640" s="52"/>
      <c r="F640" s="52"/>
      <c r="G640" s="52"/>
      <c r="H640" s="52"/>
      <c r="I640" s="52"/>
      <c r="J640" s="203" t="str" cm="1">
        <f t="array" ref="J640">IF(J624="wstaw dane","",IF(OR(ISBLANK(F624)=TRUE,ISBLANK(G624)=TRUE),"uzupełnij dane",IF(OR((AND(F624="nie",SUMPRODUCT(ISNUMBER(K640:X640)*1)&gt;0)),AND(F624=tak,G624=nie,SUMPRODUCT(ISNUMBER(K640:X640)*1)&gt;0)),"usuń % dotacji",IF(AND(F624=tak,G624=tak,SUMPRODUCT(ISNUMBER(K640:X640)*1)=0),"wstaw % dotacji","ok"))))</f>
        <v/>
      </c>
      <c r="K640" s="408"/>
      <c r="L640" s="408"/>
      <c r="M640" s="408"/>
      <c r="N640" s="408"/>
      <c r="O640" s="408"/>
      <c r="P640" s="408"/>
      <c r="Q640" s="408"/>
      <c r="R640" s="408"/>
      <c r="S640" s="408"/>
      <c r="T640" s="408"/>
      <c r="U640" s="408"/>
      <c r="V640" s="408"/>
      <c r="W640" s="408"/>
      <c r="X640" s="408"/>
    </row>
    <row r="641" spans="2:26">
      <c r="B641" s="63" t="str">
        <f t="shared" si="339"/>
        <v/>
      </c>
      <c r="C641" s="63" t="str">
        <f t="shared" si="339"/>
        <v/>
      </c>
      <c r="D641" s="52"/>
      <c r="E641" s="52"/>
      <c r="F641" s="52"/>
      <c r="G641" s="52"/>
      <c r="H641" s="52"/>
      <c r="I641" s="52"/>
      <c r="J641" s="203" t="str" cm="1">
        <f t="array" ref="J641">IF(J625="wstaw dane","",IF(OR(ISBLANK(F625)=TRUE,ISBLANK(G625)=TRUE),"uzupełnij dane",IF(OR((AND(F625="nie",SUMPRODUCT(ISNUMBER(K641:X641)*1)&gt;0)),AND(F625=tak,G625=nie,SUMPRODUCT(ISNUMBER(K641:X641)*1)&gt;0)),"usuń % dotacji",IF(AND(F625=tak,G625=tak,SUMPRODUCT(ISNUMBER(K641:X641)*1)=0),"wstaw % dotacji","ok"))))</f>
        <v/>
      </c>
      <c r="K641" s="408"/>
      <c r="L641" s="408"/>
      <c r="M641" s="408"/>
      <c r="N641" s="408"/>
      <c r="O641" s="408"/>
      <c r="P641" s="408"/>
      <c r="Q641" s="408"/>
      <c r="R641" s="408"/>
      <c r="S641" s="408"/>
      <c r="T641" s="408"/>
      <c r="U641" s="408"/>
      <c r="V641" s="408"/>
      <c r="W641" s="408"/>
      <c r="X641" s="408"/>
    </row>
    <row r="642" spans="2:26">
      <c r="B642" s="40"/>
      <c r="C642" s="40"/>
      <c r="J642" s="403"/>
      <c r="K642" s="418"/>
      <c r="L642" s="418"/>
      <c r="M642" s="418"/>
      <c r="N642" s="418"/>
      <c r="O642" s="418"/>
      <c r="P642" s="418"/>
      <c r="Q642" s="418"/>
      <c r="R642" s="418"/>
      <c r="S642" s="418"/>
      <c r="T642" s="418"/>
      <c r="U642" s="418"/>
      <c r="V642" s="418"/>
      <c r="W642" s="418"/>
      <c r="X642" s="418"/>
    </row>
    <row r="643" spans="2:26">
      <c r="B643" s="189" t="s">
        <v>681</v>
      </c>
      <c r="C643" s="396"/>
      <c r="D643" s="190"/>
      <c r="E643" s="191"/>
      <c r="F643" s="191"/>
      <c r="G643" s="191"/>
      <c r="H643" s="191"/>
      <c r="I643" s="191"/>
      <c r="J643" s="191"/>
      <c r="K643" s="555"/>
      <c r="L643" s="556"/>
      <c r="M643" s="556"/>
      <c r="N643" s="556"/>
      <c r="O643" s="556"/>
      <c r="P643" s="556"/>
      <c r="Q643" s="556"/>
      <c r="R643" s="556"/>
      <c r="S643" s="556"/>
      <c r="T643" s="556"/>
      <c r="U643" s="556"/>
      <c r="V643" s="556"/>
      <c r="W643" s="556"/>
      <c r="X643" s="556"/>
    </row>
    <row r="644" spans="2:26">
      <c r="B644" s="63" t="str">
        <f>IF(ISBLANK(B616),"",B616)</f>
        <v/>
      </c>
      <c r="C644" s="63" t="str">
        <f>IF(ISBLANK(C616),"",C616)</f>
        <v/>
      </c>
      <c r="D644" s="102"/>
      <c r="E644" s="102"/>
      <c r="F644" s="102"/>
      <c r="G644" s="102"/>
      <c r="H644" s="102"/>
      <c r="I644" s="102"/>
      <c r="J644" s="202" t="str">
        <f>J632</f>
        <v/>
      </c>
      <c r="K644" s="103">
        <f t="shared" ref="K644:X644" si="340">IF(ISBLANK(K632),0,K1964)</f>
        <v>0</v>
      </c>
      <c r="L644" s="103">
        <f t="shared" si="340"/>
        <v>0</v>
      </c>
      <c r="M644" s="103">
        <f t="shared" si="340"/>
        <v>0</v>
      </c>
      <c r="N644" s="103">
        <f t="shared" si="340"/>
        <v>0</v>
      </c>
      <c r="O644" s="103">
        <f t="shared" si="340"/>
        <v>0</v>
      </c>
      <c r="P644" s="103">
        <f t="shared" si="340"/>
        <v>0</v>
      </c>
      <c r="Q644" s="103">
        <f t="shared" si="340"/>
        <v>0</v>
      </c>
      <c r="R644" s="103">
        <f t="shared" si="340"/>
        <v>0</v>
      </c>
      <c r="S644" s="103">
        <f t="shared" si="340"/>
        <v>0</v>
      </c>
      <c r="T644" s="103">
        <f t="shared" si="340"/>
        <v>0</v>
      </c>
      <c r="U644" s="103">
        <f t="shared" si="340"/>
        <v>0</v>
      </c>
      <c r="V644" s="103">
        <f t="shared" si="340"/>
        <v>0</v>
      </c>
      <c r="W644" s="103">
        <f t="shared" si="340"/>
        <v>0</v>
      </c>
      <c r="X644" s="103">
        <f t="shared" si="340"/>
        <v>0</v>
      </c>
      <c r="Z644" s="5"/>
    </row>
    <row r="645" spans="2:26">
      <c r="B645" s="63" t="str">
        <f t="shared" ref="B645:C645" si="341">IF(ISBLANK(B617),"",B617)</f>
        <v/>
      </c>
      <c r="C645" s="63" t="str">
        <f t="shared" si="341"/>
        <v/>
      </c>
      <c r="D645" s="52"/>
      <c r="E645" s="52"/>
      <c r="F645" s="52"/>
      <c r="G645" s="52"/>
      <c r="H645" s="52"/>
      <c r="I645" s="52"/>
      <c r="J645" s="203" t="str">
        <f t="shared" ref="J645:J653" si="342">J633</f>
        <v/>
      </c>
      <c r="K645" s="33">
        <f t="shared" ref="K645:X645" si="343">IF(ISBLANK(K633),0,K1971)</f>
        <v>0</v>
      </c>
      <c r="L645" s="33">
        <f t="shared" si="343"/>
        <v>0</v>
      </c>
      <c r="M645" s="33">
        <f t="shared" si="343"/>
        <v>0</v>
      </c>
      <c r="N645" s="33">
        <f t="shared" si="343"/>
        <v>0</v>
      </c>
      <c r="O645" s="33">
        <f t="shared" si="343"/>
        <v>0</v>
      </c>
      <c r="P645" s="33">
        <f t="shared" si="343"/>
        <v>0</v>
      </c>
      <c r="Q645" s="33">
        <f t="shared" si="343"/>
        <v>0</v>
      </c>
      <c r="R645" s="33">
        <f t="shared" si="343"/>
        <v>0</v>
      </c>
      <c r="S645" s="33">
        <f t="shared" si="343"/>
        <v>0</v>
      </c>
      <c r="T645" s="33">
        <f t="shared" si="343"/>
        <v>0</v>
      </c>
      <c r="U645" s="33">
        <f t="shared" si="343"/>
        <v>0</v>
      </c>
      <c r="V645" s="33">
        <f t="shared" si="343"/>
        <v>0</v>
      </c>
      <c r="W645" s="33">
        <f t="shared" si="343"/>
        <v>0</v>
      </c>
      <c r="X645" s="33">
        <f t="shared" si="343"/>
        <v>0</v>
      </c>
      <c r="Z645" s="5"/>
    </row>
    <row r="646" spans="2:26">
      <c r="B646" s="63" t="str">
        <f t="shared" ref="B646:C646" si="344">IF(ISBLANK(B618),"",B618)</f>
        <v/>
      </c>
      <c r="C646" s="63" t="str">
        <f t="shared" si="344"/>
        <v/>
      </c>
      <c r="D646" s="52"/>
      <c r="E646" s="52"/>
      <c r="F646" s="52"/>
      <c r="G646" s="52"/>
      <c r="H646" s="52"/>
      <c r="I646" s="52"/>
      <c r="J646" s="203" t="str">
        <f t="shared" si="342"/>
        <v/>
      </c>
      <c r="K646" s="33">
        <f t="shared" ref="K646:X646" si="345">IF(ISBLANK(K634),0,K1978)</f>
        <v>0</v>
      </c>
      <c r="L646" s="33">
        <f t="shared" si="345"/>
        <v>0</v>
      </c>
      <c r="M646" s="33">
        <f t="shared" si="345"/>
        <v>0</v>
      </c>
      <c r="N646" s="33">
        <f t="shared" si="345"/>
        <v>0</v>
      </c>
      <c r="O646" s="33">
        <f t="shared" si="345"/>
        <v>0</v>
      </c>
      <c r="P646" s="33">
        <f t="shared" si="345"/>
        <v>0</v>
      </c>
      <c r="Q646" s="33">
        <f t="shared" si="345"/>
        <v>0</v>
      </c>
      <c r="R646" s="33">
        <f t="shared" si="345"/>
        <v>0</v>
      </c>
      <c r="S646" s="33">
        <f t="shared" si="345"/>
        <v>0</v>
      </c>
      <c r="T646" s="33">
        <f t="shared" si="345"/>
        <v>0</v>
      </c>
      <c r="U646" s="33">
        <f t="shared" si="345"/>
        <v>0</v>
      </c>
      <c r="V646" s="33">
        <f t="shared" si="345"/>
        <v>0</v>
      </c>
      <c r="W646" s="33">
        <f t="shared" si="345"/>
        <v>0</v>
      </c>
      <c r="X646" s="33">
        <f t="shared" si="345"/>
        <v>0</v>
      </c>
      <c r="Z646" s="5"/>
    </row>
    <row r="647" spans="2:26">
      <c r="B647" s="63" t="str">
        <f t="shared" ref="B647:C647" si="346">IF(ISBLANK(B619),"",B619)</f>
        <v/>
      </c>
      <c r="C647" s="63" t="str">
        <f t="shared" si="346"/>
        <v/>
      </c>
      <c r="D647" s="52"/>
      <c r="E647" s="52"/>
      <c r="F647" s="52"/>
      <c r="G647" s="52"/>
      <c r="H647" s="52"/>
      <c r="I647" s="52"/>
      <c r="J647" s="203" t="str">
        <f t="shared" si="342"/>
        <v/>
      </c>
      <c r="K647" s="33">
        <f t="shared" ref="K647:X647" si="347">IF(ISBLANK(K635),0,K1985)</f>
        <v>0</v>
      </c>
      <c r="L647" s="33">
        <f t="shared" si="347"/>
        <v>0</v>
      </c>
      <c r="M647" s="33">
        <f t="shared" si="347"/>
        <v>0</v>
      </c>
      <c r="N647" s="33">
        <f t="shared" si="347"/>
        <v>0</v>
      </c>
      <c r="O647" s="33">
        <f t="shared" si="347"/>
        <v>0</v>
      </c>
      <c r="P647" s="33">
        <f t="shared" si="347"/>
        <v>0</v>
      </c>
      <c r="Q647" s="33">
        <f t="shared" si="347"/>
        <v>0</v>
      </c>
      <c r="R647" s="33">
        <f t="shared" si="347"/>
        <v>0</v>
      </c>
      <c r="S647" s="33">
        <f t="shared" si="347"/>
        <v>0</v>
      </c>
      <c r="T647" s="33">
        <f t="shared" si="347"/>
        <v>0</v>
      </c>
      <c r="U647" s="33">
        <f t="shared" si="347"/>
        <v>0</v>
      </c>
      <c r="V647" s="33">
        <f t="shared" si="347"/>
        <v>0</v>
      </c>
      <c r="W647" s="33">
        <f t="shared" si="347"/>
        <v>0</v>
      </c>
      <c r="X647" s="33">
        <f t="shared" si="347"/>
        <v>0</v>
      </c>
      <c r="Z647" s="5"/>
    </row>
    <row r="648" spans="2:26">
      <c r="B648" s="63" t="str">
        <f t="shared" ref="B648:C648" si="348">IF(ISBLANK(B620),"",B620)</f>
        <v/>
      </c>
      <c r="C648" s="63" t="str">
        <f t="shared" si="348"/>
        <v/>
      </c>
      <c r="D648" s="52"/>
      <c r="E648" s="52"/>
      <c r="F648" s="52"/>
      <c r="G648" s="52"/>
      <c r="H648" s="52"/>
      <c r="I648" s="52"/>
      <c r="J648" s="203" t="str">
        <f t="shared" si="342"/>
        <v/>
      </c>
      <c r="K648" s="33">
        <f t="shared" ref="K648:X648" si="349">IF(ISBLANK(K636),0,K1992)</f>
        <v>0</v>
      </c>
      <c r="L648" s="33">
        <f t="shared" si="349"/>
        <v>0</v>
      </c>
      <c r="M648" s="33">
        <f t="shared" si="349"/>
        <v>0</v>
      </c>
      <c r="N648" s="33">
        <f t="shared" si="349"/>
        <v>0</v>
      </c>
      <c r="O648" s="33">
        <f t="shared" si="349"/>
        <v>0</v>
      </c>
      <c r="P648" s="33">
        <f t="shared" si="349"/>
        <v>0</v>
      </c>
      <c r="Q648" s="33">
        <f t="shared" si="349"/>
        <v>0</v>
      </c>
      <c r="R648" s="33">
        <f t="shared" si="349"/>
        <v>0</v>
      </c>
      <c r="S648" s="33">
        <f t="shared" si="349"/>
        <v>0</v>
      </c>
      <c r="T648" s="33">
        <f t="shared" si="349"/>
        <v>0</v>
      </c>
      <c r="U648" s="33">
        <f t="shared" si="349"/>
        <v>0</v>
      </c>
      <c r="V648" s="33">
        <f t="shared" si="349"/>
        <v>0</v>
      </c>
      <c r="W648" s="33">
        <f t="shared" si="349"/>
        <v>0</v>
      </c>
      <c r="X648" s="33">
        <f t="shared" si="349"/>
        <v>0</v>
      </c>
      <c r="Z648" s="5"/>
    </row>
    <row r="649" spans="2:26">
      <c r="B649" s="63" t="str">
        <f t="shared" ref="B649:C649" si="350">IF(ISBLANK(B621),"",B621)</f>
        <v/>
      </c>
      <c r="C649" s="63" t="str">
        <f t="shared" si="350"/>
        <v/>
      </c>
      <c r="D649" s="52"/>
      <c r="E649" s="52"/>
      <c r="F649" s="52"/>
      <c r="G649" s="52"/>
      <c r="H649" s="52"/>
      <c r="I649" s="52"/>
      <c r="J649" s="203" t="str">
        <f t="shared" si="342"/>
        <v/>
      </c>
      <c r="K649" s="33">
        <f t="shared" ref="K649:X649" si="351">IF(ISBLANK(K637),0,K1999)</f>
        <v>0</v>
      </c>
      <c r="L649" s="33">
        <f t="shared" si="351"/>
        <v>0</v>
      </c>
      <c r="M649" s="33">
        <f t="shared" si="351"/>
        <v>0</v>
      </c>
      <c r="N649" s="33">
        <f t="shared" si="351"/>
        <v>0</v>
      </c>
      <c r="O649" s="33">
        <f t="shared" si="351"/>
        <v>0</v>
      </c>
      <c r="P649" s="33">
        <f t="shared" si="351"/>
        <v>0</v>
      </c>
      <c r="Q649" s="33">
        <f t="shared" si="351"/>
        <v>0</v>
      </c>
      <c r="R649" s="33">
        <f t="shared" si="351"/>
        <v>0</v>
      </c>
      <c r="S649" s="33">
        <f t="shared" si="351"/>
        <v>0</v>
      </c>
      <c r="T649" s="33">
        <f t="shared" si="351"/>
        <v>0</v>
      </c>
      <c r="U649" s="33">
        <f t="shared" si="351"/>
        <v>0</v>
      </c>
      <c r="V649" s="33">
        <f t="shared" si="351"/>
        <v>0</v>
      </c>
      <c r="W649" s="33">
        <f t="shared" si="351"/>
        <v>0</v>
      </c>
      <c r="X649" s="33">
        <f t="shared" si="351"/>
        <v>0</v>
      </c>
      <c r="Z649" s="5"/>
    </row>
    <row r="650" spans="2:26">
      <c r="B650" s="63" t="str">
        <f t="shared" ref="B650:C650" si="352">IF(ISBLANK(B622),"",B622)</f>
        <v/>
      </c>
      <c r="C650" s="63" t="str">
        <f t="shared" si="352"/>
        <v/>
      </c>
      <c r="D650" s="52"/>
      <c r="E650" s="52"/>
      <c r="F650" s="52"/>
      <c r="G650" s="52"/>
      <c r="H650" s="52"/>
      <c r="I650" s="52"/>
      <c r="J650" s="203" t="str">
        <f t="shared" si="342"/>
        <v/>
      </c>
      <c r="K650" s="33">
        <f t="shared" ref="K650:X650" si="353">IF(ISBLANK(K638),0,K2006)</f>
        <v>0</v>
      </c>
      <c r="L650" s="33">
        <f t="shared" si="353"/>
        <v>0</v>
      </c>
      <c r="M650" s="33">
        <f t="shared" si="353"/>
        <v>0</v>
      </c>
      <c r="N650" s="33">
        <f t="shared" si="353"/>
        <v>0</v>
      </c>
      <c r="O650" s="33">
        <f t="shared" si="353"/>
        <v>0</v>
      </c>
      <c r="P650" s="33">
        <f t="shared" si="353"/>
        <v>0</v>
      </c>
      <c r="Q650" s="33">
        <f t="shared" si="353"/>
        <v>0</v>
      </c>
      <c r="R650" s="33">
        <f t="shared" si="353"/>
        <v>0</v>
      </c>
      <c r="S650" s="33">
        <f t="shared" si="353"/>
        <v>0</v>
      </c>
      <c r="T650" s="33">
        <f t="shared" si="353"/>
        <v>0</v>
      </c>
      <c r="U650" s="33">
        <f t="shared" si="353"/>
        <v>0</v>
      </c>
      <c r="V650" s="33">
        <f t="shared" si="353"/>
        <v>0</v>
      </c>
      <c r="W650" s="33">
        <f t="shared" si="353"/>
        <v>0</v>
      </c>
      <c r="X650" s="33">
        <f t="shared" si="353"/>
        <v>0</v>
      </c>
      <c r="Z650" s="5"/>
    </row>
    <row r="651" spans="2:26">
      <c r="B651" s="63" t="str">
        <f t="shared" ref="B651:C651" si="354">IF(ISBLANK(B623),"",B623)</f>
        <v/>
      </c>
      <c r="C651" s="63" t="str">
        <f t="shared" si="354"/>
        <v/>
      </c>
      <c r="D651" s="52"/>
      <c r="E651" s="52"/>
      <c r="F651" s="52"/>
      <c r="G651" s="52"/>
      <c r="H651" s="52"/>
      <c r="I651" s="52"/>
      <c r="J651" s="203" t="str">
        <f t="shared" si="342"/>
        <v/>
      </c>
      <c r="K651" s="33">
        <f t="shared" ref="K651:X651" si="355">IF(ISBLANK(K639),0,K2013)</f>
        <v>0</v>
      </c>
      <c r="L651" s="33">
        <f t="shared" si="355"/>
        <v>0</v>
      </c>
      <c r="M651" s="33">
        <f t="shared" si="355"/>
        <v>0</v>
      </c>
      <c r="N651" s="33">
        <f t="shared" si="355"/>
        <v>0</v>
      </c>
      <c r="O651" s="33">
        <f t="shared" si="355"/>
        <v>0</v>
      </c>
      <c r="P651" s="33">
        <f t="shared" si="355"/>
        <v>0</v>
      </c>
      <c r="Q651" s="33">
        <f t="shared" si="355"/>
        <v>0</v>
      </c>
      <c r="R651" s="33">
        <f t="shared" si="355"/>
        <v>0</v>
      </c>
      <c r="S651" s="33">
        <f t="shared" si="355"/>
        <v>0</v>
      </c>
      <c r="T651" s="33">
        <f t="shared" si="355"/>
        <v>0</v>
      </c>
      <c r="U651" s="33">
        <f t="shared" si="355"/>
        <v>0</v>
      </c>
      <c r="V651" s="33">
        <f t="shared" si="355"/>
        <v>0</v>
      </c>
      <c r="W651" s="33">
        <f t="shared" si="355"/>
        <v>0</v>
      </c>
      <c r="X651" s="33">
        <f t="shared" si="355"/>
        <v>0</v>
      </c>
      <c r="Z651" s="5"/>
    </row>
    <row r="652" spans="2:26">
      <c r="B652" s="63" t="str">
        <f t="shared" ref="B652:C652" si="356">IF(ISBLANK(B624),"",B624)</f>
        <v/>
      </c>
      <c r="C652" s="63" t="str">
        <f t="shared" si="356"/>
        <v/>
      </c>
      <c r="D652" s="52"/>
      <c r="E652" s="52"/>
      <c r="F652" s="52"/>
      <c r="G652" s="52"/>
      <c r="H652" s="52"/>
      <c r="I652" s="52"/>
      <c r="J652" s="203" t="str">
        <f t="shared" si="342"/>
        <v/>
      </c>
      <c r="K652" s="33">
        <f t="shared" ref="K652:X652" si="357">IF(ISBLANK(K640),0,K2020)</f>
        <v>0</v>
      </c>
      <c r="L652" s="33">
        <f t="shared" si="357"/>
        <v>0</v>
      </c>
      <c r="M652" s="33">
        <f t="shared" si="357"/>
        <v>0</v>
      </c>
      <c r="N652" s="33">
        <f t="shared" si="357"/>
        <v>0</v>
      </c>
      <c r="O652" s="33">
        <f t="shared" si="357"/>
        <v>0</v>
      </c>
      <c r="P652" s="33">
        <f t="shared" si="357"/>
        <v>0</v>
      </c>
      <c r="Q652" s="33">
        <f t="shared" si="357"/>
        <v>0</v>
      </c>
      <c r="R652" s="33">
        <f t="shared" si="357"/>
        <v>0</v>
      </c>
      <c r="S652" s="33">
        <f t="shared" si="357"/>
        <v>0</v>
      </c>
      <c r="T652" s="33">
        <f t="shared" si="357"/>
        <v>0</v>
      </c>
      <c r="U652" s="33">
        <f t="shared" si="357"/>
        <v>0</v>
      </c>
      <c r="V652" s="33">
        <f t="shared" si="357"/>
        <v>0</v>
      </c>
      <c r="W652" s="33">
        <f t="shared" si="357"/>
        <v>0</v>
      </c>
      <c r="X652" s="33">
        <f t="shared" si="357"/>
        <v>0</v>
      </c>
      <c r="Z652" s="5"/>
    </row>
    <row r="653" spans="2:26">
      <c r="B653" s="63" t="str">
        <f t="shared" ref="B653:C653" si="358">IF(ISBLANK(B625),"",B625)</f>
        <v/>
      </c>
      <c r="C653" s="63" t="str">
        <f t="shared" si="358"/>
        <v/>
      </c>
      <c r="D653" s="52"/>
      <c r="E653" s="52"/>
      <c r="F653" s="52"/>
      <c r="G653" s="52"/>
      <c r="H653" s="52"/>
      <c r="I653" s="52"/>
      <c r="J653" s="203" t="str">
        <f t="shared" si="342"/>
        <v/>
      </c>
      <c r="K653" s="33">
        <f t="shared" ref="K653:X653" si="359">IF(ISBLANK(K641),0,K2027)</f>
        <v>0</v>
      </c>
      <c r="L653" s="33">
        <f t="shared" si="359"/>
        <v>0</v>
      </c>
      <c r="M653" s="33">
        <f t="shared" si="359"/>
        <v>0</v>
      </c>
      <c r="N653" s="33">
        <f t="shared" si="359"/>
        <v>0</v>
      </c>
      <c r="O653" s="33">
        <f t="shared" si="359"/>
        <v>0</v>
      </c>
      <c r="P653" s="33">
        <f t="shared" si="359"/>
        <v>0</v>
      </c>
      <c r="Q653" s="33">
        <f t="shared" si="359"/>
        <v>0</v>
      </c>
      <c r="R653" s="33">
        <f t="shared" si="359"/>
        <v>0</v>
      </c>
      <c r="S653" s="33">
        <f t="shared" si="359"/>
        <v>0</v>
      </c>
      <c r="T653" s="33">
        <f t="shared" si="359"/>
        <v>0</v>
      </c>
      <c r="U653" s="33">
        <f t="shared" si="359"/>
        <v>0</v>
      </c>
      <c r="V653" s="33">
        <f t="shared" si="359"/>
        <v>0</v>
      </c>
      <c r="W653" s="33">
        <f t="shared" si="359"/>
        <v>0</v>
      </c>
      <c r="X653" s="33">
        <f t="shared" si="359"/>
        <v>0</v>
      </c>
      <c r="Z653" s="5"/>
    </row>
    <row r="654" spans="2:26">
      <c r="B654" s="99" t="s">
        <v>335</v>
      </c>
      <c r="C654" s="99"/>
      <c r="D654" s="98"/>
      <c r="E654" s="200"/>
      <c r="F654" s="97"/>
      <c r="G654" s="98"/>
      <c r="H654" s="97"/>
      <c r="I654" s="98"/>
      <c r="J654" s="97"/>
      <c r="K654" s="98">
        <f t="shared" ref="K654:X654" si="360">SUM(K644:K653)</f>
        <v>0</v>
      </c>
      <c r="L654" s="98">
        <f t="shared" si="360"/>
        <v>0</v>
      </c>
      <c r="M654" s="98">
        <f t="shared" si="360"/>
        <v>0</v>
      </c>
      <c r="N654" s="98">
        <f t="shared" si="360"/>
        <v>0</v>
      </c>
      <c r="O654" s="98">
        <f t="shared" si="360"/>
        <v>0</v>
      </c>
      <c r="P654" s="98">
        <f t="shared" si="360"/>
        <v>0</v>
      </c>
      <c r="Q654" s="98">
        <f t="shared" si="360"/>
        <v>0</v>
      </c>
      <c r="R654" s="98">
        <f t="shared" si="360"/>
        <v>0</v>
      </c>
      <c r="S654" s="98">
        <f t="shared" si="360"/>
        <v>0</v>
      </c>
      <c r="T654" s="98">
        <f t="shared" si="360"/>
        <v>0</v>
      </c>
      <c r="U654" s="98">
        <f t="shared" si="360"/>
        <v>0</v>
      </c>
      <c r="V654" s="98">
        <f t="shared" si="360"/>
        <v>0</v>
      </c>
      <c r="W654" s="98">
        <f t="shared" si="360"/>
        <v>0</v>
      </c>
      <c r="X654" s="98">
        <f t="shared" si="360"/>
        <v>0</v>
      </c>
    </row>
    <row r="655" spans="2:26">
      <c r="B655" s="40"/>
      <c r="C655" s="40"/>
      <c r="J655" s="403"/>
      <c r="K655" s="418"/>
      <c r="L655" s="418"/>
      <c r="M655" s="418"/>
      <c r="N655" s="418"/>
      <c r="O655" s="418"/>
      <c r="P655" s="418"/>
      <c r="Q655" s="418"/>
      <c r="R655" s="418"/>
      <c r="S655" s="418"/>
      <c r="T655" s="418"/>
      <c r="U655" s="418"/>
      <c r="V655" s="418"/>
      <c r="W655" s="418"/>
      <c r="X655" s="418"/>
    </row>
    <row r="656" spans="2:26"/>
    <row r="657" spans="2:24" ht="30.6">
      <c r="B657" s="228" t="s">
        <v>680</v>
      </c>
      <c r="C657" s="229" t="s">
        <v>296</v>
      </c>
      <c r="D657" s="337" t="s">
        <v>682</v>
      </c>
      <c r="E657" s="338"/>
      <c r="F657" s="230" t="s">
        <v>336</v>
      </c>
      <c r="G657" s="230" t="s">
        <v>781</v>
      </c>
      <c r="H657" s="338" t="s">
        <v>685</v>
      </c>
      <c r="I657" s="338"/>
      <c r="J657" s="230" t="s">
        <v>423</v>
      </c>
      <c r="K657" s="232" t="str">
        <f t="shared" ref="K657:X657" si="361">LataProjekcji</f>
        <v>Uzupełnij dane</v>
      </c>
      <c r="L657" s="232" t="str">
        <f t="shared" si="361"/>
        <v/>
      </c>
      <c r="M657" s="232" t="str">
        <f t="shared" si="361"/>
        <v/>
      </c>
      <c r="N657" s="232" t="str">
        <f t="shared" si="361"/>
        <v/>
      </c>
      <c r="O657" s="232" t="str">
        <f t="shared" si="361"/>
        <v/>
      </c>
      <c r="P657" s="232" t="str">
        <f t="shared" si="361"/>
        <v/>
      </c>
      <c r="Q657" s="232" t="str">
        <f t="shared" si="361"/>
        <v/>
      </c>
      <c r="R657" s="232" t="str">
        <f t="shared" si="361"/>
        <v/>
      </c>
      <c r="S657" s="232" t="str">
        <f t="shared" si="361"/>
        <v/>
      </c>
      <c r="T657" s="232" t="str">
        <f t="shared" si="361"/>
        <v/>
      </c>
      <c r="U657" s="232" t="str">
        <f t="shared" si="361"/>
        <v/>
      </c>
      <c r="V657" s="232" t="str">
        <f t="shared" si="361"/>
        <v/>
      </c>
      <c r="W657" s="232" t="str">
        <f t="shared" si="361"/>
        <v/>
      </c>
      <c r="X657" s="232" t="str">
        <f t="shared" si="361"/>
        <v/>
      </c>
    </row>
    <row r="658" spans="2:24">
      <c r="B658" s="305"/>
      <c r="C658" s="305"/>
      <c r="D658" s="339"/>
      <c r="E658" s="339">
        <f t="shared" ref="E658:E697" si="362">IF(J658="ok",SUMIFS(K658:X658,$K$657:$X$657,"&gt;="&amp;Poczatek,$K$657:$X$657,"&lt;="&amp;Koniec_Projekt),0)</f>
        <v>0</v>
      </c>
      <c r="F658" s="391"/>
      <c r="G658" s="391"/>
      <c r="H658" s="340"/>
      <c r="I658" s="341">
        <f t="shared" ref="I658:I697" si="363">IF(J658="ok",SUM(K744:X744),0)</f>
        <v>0</v>
      </c>
      <c r="J658" s="202" t="str" cm="1">
        <f t="array" ref="J658">IF((SUMPRODUCT(ISBLANK(B658:C658)*1)+SUMPRODUCT(ISBLANK(F658:G658)*1))=4, "wstaw dane", IF( AND( (SUMPRODUCT(ISBLANK(B658:C658)*1)+SUMPRODUCT(ISBLANK(F658:G658)*1))&gt;0, (SUMPRODUCT(ISBLANK(B658:C658)*1)+SUMPRODUCT(ISBLANK(F658:G658)*1))&lt;4), "uzupełnij dane", IF( AND(F658=nie,G658=tak), "popraw dane","ok")))</f>
        <v>wstaw dane</v>
      </c>
      <c r="K658" s="346"/>
      <c r="L658" s="346"/>
      <c r="M658" s="346"/>
      <c r="N658" s="346"/>
      <c r="O658" s="346"/>
      <c r="P658" s="346"/>
      <c r="Q658" s="346"/>
      <c r="R658" s="346"/>
      <c r="S658" s="346"/>
      <c r="T658" s="346"/>
      <c r="U658" s="346"/>
      <c r="V658" s="346"/>
      <c r="W658" s="346"/>
      <c r="X658" s="346"/>
    </row>
    <row r="659" spans="2:24">
      <c r="B659" s="305"/>
      <c r="C659" s="305"/>
      <c r="D659" s="339"/>
      <c r="E659" s="339">
        <f t="shared" si="362"/>
        <v>0</v>
      </c>
      <c r="F659" s="391"/>
      <c r="G659" s="391"/>
      <c r="H659" s="342"/>
      <c r="I659" s="339">
        <f t="shared" si="363"/>
        <v>0</v>
      </c>
      <c r="J659" s="203" t="str" cm="1">
        <f t="array" ref="J659">IF((SUMPRODUCT(ISBLANK(B659:C659)*1)+SUMPRODUCT(ISBLANK(F659:G659)*1))=4, "wstaw dane", IF( AND( (SUMPRODUCT(ISBLANK(B659:C659)*1)+SUMPRODUCT(ISBLANK(F659:G659)*1))&gt;0, (SUMPRODUCT(ISBLANK(B659:C659)*1)+SUMPRODUCT(ISBLANK(F659:G659)*1))&lt;4), "uzupełnij dane", IF( AND(F659=nie,G659=tak), "popraw dane","ok")))</f>
        <v>wstaw dane</v>
      </c>
      <c r="K659" s="346"/>
      <c r="L659" s="346"/>
      <c r="M659" s="346"/>
      <c r="N659" s="346"/>
      <c r="O659" s="346"/>
      <c r="P659" s="346"/>
      <c r="Q659" s="346"/>
      <c r="R659" s="346"/>
      <c r="S659" s="346"/>
      <c r="T659" s="346"/>
      <c r="U659" s="346"/>
      <c r="V659" s="346"/>
      <c r="W659" s="346"/>
      <c r="X659" s="346"/>
    </row>
    <row r="660" spans="2:24">
      <c r="B660" s="305"/>
      <c r="C660" s="305"/>
      <c r="D660" s="339"/>
      <c r="E660" s="339">
        <f t="shared" si="362"/>
        <v>0</v>
      </c>
      <c r="F660" s="391"/>
      <c r="G660" s="391"/>
      <c r="H660" s="342"/>
      <c r="I660" s="339">
        <f t="shared" si="363"/>
        <v>0</v>
      </c>
      <c r="J660" s="203" t="str" cm="1">
        <f t="array" ref="J660">IF((SUMPRODUCT(ISBLANK(B660:C660)*1)+SUMPRODUCT(ISBLANK(F660:G660)*1))=4, "wstaw dane", IF( AND( (SUMPRODUCT(ISBLANK(B660:C660)*1)+SUMPRODUCT(ISBLANK(F660:G660)*1))&gt;0, (SUMPRODUCT(ISBLANK(B660:C660)*1)+SUMPRODUCT(ISBLANK(F660:G660)*1))&lt;4), "uzupełnij dane", IF( AND(F660=nie,G660=tak), "popraw dane","ok")))</f>
        <v>wstaw dane</v>
      </c>
      <c r="K660" s="346"/>
      <c r="L660" s="346"/>
      <c r="M660" s="346"/>
      <c r="N660" s="346"/>
      <c r="O660" s="346"/>
      <c r="P660" s="346"/>
      <c r="Q660" s="346"/>
      <c r="R660" s="346"/>
      <c r="S660" s="346"/>
      <c r="T660" s="346"/>
      <c r="U660" s="346"/>
      <c r="V660" s="346"/>
      <c r="W660" s="346"/>
      <c r="X660" s="346"/>
    </row>
    <row r="661" spans="2:24">
      <c r="B661" s="305"/>
      <c r="C661" s="305"/>
      <c r="D661" s="339"/>
      <c r="E661" s="339">
        <f t="shared" si="362"/>
        <v>0</v>
      </c>
      <c r="F661" s="391"/>
      <c r="G661" s="391"/>
      <c r="H661" s="342"/>
      <c r="I661" s="339">
        <f t="shared" si="363"/>
        <v>0</v>
      </c>
      <c r="J661" s="203" t="str" cm="1">
        <f t="array" ref="J661">IF((SUMPRODUCT(ISBLANK(B661:C661)*1)+SUMPRODUCT(ISBLANK(F661:G661)*1))=4, "wstaw dane", IF( AND( (SUMPRODUCT(ISBLANK(B661:C661)*1)+SUMPRODUCT(ISBLANK(F661:G661)*1))&gt;0, (SUMPRODUCT(ISBLANK(B661:C661)*1)+SUMPRODUCT(ISBLANK(F661:G661)*1))&lt;4), "uzupełnij dane", IF( AND(F661=nie,G661=tak), "popraw dane","ok")))</f>
        <v>wstaw dane</v>
      </c>
      <c r="K661" s="346"/>
      <c r="L661" s="346"/>
      <c r="M661" s="346"/>
      <c r="N661" s="346"/>
      <c r="O661" s="346"/>
      <c r="P661" s="346"/>
      <c r="Q661" s="346"/>
      <c r="R661" s="346"/>
      <c r="S661" s="346"/>
      <c r="T661" s="346"/>
      <c r="U661" s="346"/>
      <c r="V661" s="346"/>
      <c r="W661" s="346"/>
      <c r="X661" s="346"/>
    </row>
    <row r="662" spans="2:24">
      <c r="B662" s="305"/>
      <c r="C662" s="305"/>
      <c r="D662" s="339"/>
      <c r="E662" s="339">
        <f t="shared" si="362"/>
        <v>0</v>
      </c>
      <c r="F662" s="391"/>
      <c r="G662" s="391"/>
      <c r="H662" s="342"/>
      <c r="I662" s="339">
        <f t="shared" si="363"/>
        <v>0</v>
      </c>
      <c r="J662" s="203" t="str" cm="1">
        <f t="array" ref="J662">IF((SUMPRODUCT(ISBLANK(B662:C662)*1)+SUMPRODUCT(ISBLANK(F662:G662)*1))=4, "wstaw dane", IF( AND( (SUMPRODUCT(ISBLANK(B662:C662)*1)+SUMPRODUCT(ISBLANK(F662:G662)*1))&gt;0, (SUMPRODUCT(ISBLANK(B662:C662)*1)+SUMPRODUCT(ISBLANK(F662:G662)*1))&lt;4), "uzupełnij dane", IF( AND(F662=nie,G662=tak), "popraw dane","ok")))</f>
        <v>wstaw dane</v>
      </c>
      <c r="K662" s="346"/>
      <c r="L662" s="346"/>
      <c r="M662" s="346"/>
      <c r="N662" s="346"/>
      <c r="O662" s="346"/>
      <c r="P662" s="346"/>
      <c r="Q662" s="346"/>
      <c r="R662" s="346"/>
      <c r="S662" s="346"/>
      <c r="T662" s="346"/>
      <c r="U662" s="346"/>
      <c r="V662" s="346"/>
      <c r="W662" s="346"/>
      <c r="X662" s="346"/>
    </row>
    <row r="663" spans="2:24">
      <c r="B663" s="305"/>
      <c r="C663" s="305"/>
      <c r="D663" s="339"/>
      <c r="E663" s="339">
        <f t="shared" si="362"/>
        <v>0</v>
      </c>
      <c r="F663" s="391"/>
      <c r="G663" s="391"/>
      <c r="H663" s="342"/>
      <c r="I663" s="339">
        <f t="shared" si="363"/>
        <v>0</v>
      </c>
      <c r="J663" s="203" t="str" cm="1">
        <f t="array" ref="J663">IF((SUMPRODUCT(ISBLANK(B663:C663)*1)+SUMPRODUCT(ISBLANK(F663:G663)*1))=4, "wstaw dane", IF( AND( (SUMPRODUCT(ISBLANK(B663:C663)*1)+SUMPRODUCT(ISBLANK(F663:G663)*1))&gt;0, (SUMPRODUCT(ISBLANK(B663:C663)*1)+SUMPRODUCT(ISBLANK(F663:G663)*1))&lt;4), "uzupełnij dane", IF( AND(F663=nie,G663=tak), "popraw dane","ok")))</f>
        <v>wstaw dane</v>
      </c>
      <c r="K663" s="346"/>
      <c r="L663" s="346"/>
      <c r="M663" s="346"/>
      <c r="N663" s="346"/>
      <c r="O663" s="346"/>
      <c r="P663" s="346"/>
      <c r="Q663" s="346"/>
      <c r="R663" s="346"/>
      <c r="S663" s="346"/>
      <c r="T663" s="346"/>
      <c r="U663" s="346"/>
      <c r="V663" s="346"/>
      <c r="W663" s="346"/>
      <c r="X663" s="346"/>
    </row>
    <row r="664" spans="2:24">
      <c r="B664" s="305"/>
      <c r="C664" s="305"/>
      <c r="D664" s="339"/>
      <c r="E664" s="339">
        <f t="shared" si="362"/>
        <v>0</v>
      </c>
      <c r="F664" s="391"/>
      <c r="G664" s="391"/>
      <c r="H664" s="342"/>
      <c r="I664" s="339">
        <f t="shared" si="363"/>
        <v>0</v>
      </c>
      <c r="J664" s="203" t="str" cm="1">
        <f t="array" ref="J664">IF((SUMPRODUCT(ISBLANK(B664:C664)*1)+SUMPRODUCT(ISBLANK(F664:G664)*1))=4, "wstaw dane", IF( AND( (SUMPRODUCT(ISBLANK(B664:C664)*1)+SUMPRODUCT(ISBLANK(F664:G664)*1))&gt;0, (SUMPRODUCT(ISBLANK(B664:C664)*1)+SUMPRODUCT(ISBLANK(F664:G664)*1))&lt;4), "uzupełnij dane", IF( AND(F664=nie,G664=tak), "popraw dane","ok")))</f>
        <v>wstaw dane</v>
      </c>
      <c r="K664" s="346"/>
      <c r="L664" s="346"/>
      <c r="M664" s="346"/>
      <c r="N664" s="346"/>
      <c r="O664" s="346"/>
      <c r="P664" s="346"/>
      <c r="Q664" s="346"/>
      <c r="R664" s="346"/>
      <c r="S664" s="346"/>
      <c r="T664" s="346"/>
      <c r="U664" s="346"/>
      <c r="V664" s="346"/>
      <c r="W664" s="346"/>
      <c r="X664" s="346"/>
    </row>
    <row r="665" spans="2:24">
      <c r="B665" s="305"/>
      <c r="C665" s="305"/>
      <c r="D665" s="339"/>
      <c r="E665" s="339">
        <f t="shared" si="362"/>
        <v>0</v>
      </c>
      <c r="F665" s="391"/>
      <c r="G665" s="391"/>
      <c r="H665" s="342"/>
      <c r="I665" s="339">
        <f t="shared" si="363"/>
        <v>0</v>
      </c>
      <c r="J665" s="203" t="str" cm="1">
        <f t="array" ref="J665">IF((SUMPRODUCT(ISBLANK(B665:C665)*1)+SUMPRODUCT(ISBLANK(F665:G665)*1))=4, "wstaw dane", IF( AND( (SUMPRODUCT(ISBLANK(B665:C665)*1)+SUMPRODUCT(ISBLANK(F665:G665)*1))&gt;0, (SUMPRODUCT(ISBLANK(B665:C665)*1)+SUMPRODUCT(ISBLANK(F665:G665)*1))&lt;4), "uzupełnij dane", IF( AND(F665=nie,G665=tak), "popraw dane","ok")))</f>
        <v>wstaw dane</v>
      </c>
      <c r="K665" s="346"/>
      <c r="L665" s="346"/>
      <c r="M665" s="346"/>
      <c r="N665" s="346"/>
      <c r="O665" s="346"/>
      <c r="P665" s="346"/>
      <c r="Q665" s="346"/>
      <c r="R665" s="346"/>
      <c r="S665" s="346"/>
      <c r="T665" s="346"/>
      <c r="U665" s="346"/>
      <c r="V665" s="346"/>
      <c r="W665" s="346"/>
      <c r="X665" s="346"/>
    </row>
    <row r="666" spans="2:24">
      <c r="B666" s="305"/>
      <c r="C666" s="305"/>
      <c r="D666" s="339"/>
      <c r="E666" s="339">
        <f t="shared" si="362"/>
        <v>0</v>
      </c>
      <c r="F666" s="391"/>
      <c r="G666" s="391"/>
      <c r="H666" s="342"/>
      <c r="I666" s="339">
        <f t="shared" si="363"/>
        <v>0</v>
      </c>
      <c r="J666" s="203" t="str" cm="1">
        <f t="array" ref="J666">IF((SUMPRODUCT(ISBLANK(B666:C666)*1)+SUMPRODUCT(ISBLANK(F666:G666)*1))=4, "wstaw dane", IF( AND( (SUMPRODUCT(ISBLANK(B666:C666)*1)+SUMPRODUCT(ISBLANK(F666:G666)*1))&gt;0, (SUMPRODUCT(ISBLANK(B666:C666)*1)+SUMPRODUCT(ISBLANK(F666:G666)*1))&lt;4), "uzupełnij dane", IF( AND(F666=nie,G666=tak), "popraw dane","ok")))</f>
        <v>wstaw dane</v>
      </c>
      <c r="K666" s="346"/>
      <c r="L666" s="346"/>
      <c r="M666" s="346"/>
      <c r="N666" s="346"/>
      <c r="O666" s="346"/>
      <c r="P666" s="346"/>
      <c r="Q666" s="346"/>
      <c r="R666" s="346"/>
      <c r="S666" s="346"/>
      <c r="T666" s="346"/>
      <c r="U666" s="346"/>
      <c r="V666" s="346"/>
      <c r="W666" s="346"/>
      <c r="X666" s="346"/>
    </row>
    <row r="667" spans="2:24">
      <c r="B667" s="305"/>
      <c r="C667" s="305"/>
      <c r="D667" s="339"/>
      <c r="E667" s="339">
        <f t="shared" si="362"/>
        <v>0</v>
      </c>
      <c r="F667" s="391"/>
      <c r="G667" s="391"/>
      <c r="H667" s="342"/>
      <c r="I667" s="339">
        <f t="shared" si="363"/>
        <v>0</v>
      </c>
      <c r="J667" s="203" t="str" cm="1">
        <f t="array" ref="J667">IF((SUMPRODUCT(ISBLANK(B667:C667)*1)+SUMPRODUCT(ISBLANK(F667:G667)*1))=4, "wstaw dane", IF( AND( (SUMPRODUCT(ISBLANK(B667:C667)*1)+SUMPRODUCT(ISBLANK(F667:G667)*1))&gt;0, (SUMPRODUCT(ISBLANK(B667:C667)*1)+SUMPRODUCT(ISBLANK(F667:G667)*1))&lt;4), "uzupełnij dane", IF( AND(F667=nie,G667=tak), "popraw dane","ok")))</f>
        <v>wstaw dane</v>
      </c>
      <c r="K667" s="346"/>
      <c r="L667" s="346"/>
      <c r="M667" s="346"/>
      <c r="N667" s="346"/>
      <c r="O667" s="346"/>
      <c r="P667" s="346"/>
      <c r="Q667" s="346"/>
      <c r="R667" s="346"/>
      <c r="S667" s="346"/>
      <c r="T667" s="346"/>
      <c r="U667" s="346"/>
      <c r="V667" s="346"/>
      <c r="W667" s="346"/>
      <c r="X667" s="346"/>
    </row>
    <row r="668" spans="2:24">
      <c r="B668" s="305"/>
      <c r="C668" s="305"/>
      <c r="D668" s="339"/>
      <c r="E668" s="339">
        <f t="shared" si="362"/>
        <v>0</v>
      </c>
      <c r="F668" s="391"/>
      <c r="G668" s="391"/>
      <c r="H668" s="342"/>
      <c r="I668" s="339">
        <f t="shared" si="363"/>
        <v>0</v>
      </c>
      <c r="J668" s="203" t="str" cm="1">
        <f t="array" ref="J668">IF((SUMPRODUCT(ISBLANK(B668:C668)*1)+SUMPRODUCT(ISBLANK(F668:G668)*1))=4, "wstaw dane", IF( AND( (SUMPRODUCT(ISBLANK(B668:C668)*1)+SUMPRODUCT(ISBLANK(F668:G668)*1))&gt;0, (SUMPRODUCT(ISBLANK(B668:C668)*1)+SUMPRODUCT(ISBLANK(F668:G668)*1))&lt;4), "uzupełnij dane", IF( AND(F668=nie,G668=tak), "popraw dane","ok")))</f>
        <v>wstaw dane</v>
      </c>
      <c r="K668" s="346"/>
      <c r="L668" s="346"/>
      <c r="M668" s="346"/>
      <c r="N668" s="346"/>
      <c r="O668" s="346"/>
      <c r="P668" s="346"/>
      <c r="Q668" s="346"/>
      <c r="R668" s="346"/>
      <c r="S668" s="346"/>
      <c r="T668" s="346"/>
      <c r="U668" s="346"/>
      <c r="V668" s="346"/>
      <c r="W668" s="346"/>
      <c r="X668" s="346"/>
    </row>
    <row r="669" spans="2:24">
      <c r="B669" s="305"/>
      <c r="C669" s="305"/>
      <c r="D669" s="339"/>
      <c r="E669" s="339">
        <f t="shared" si="362"/>
        <v>0</v>
      </c>
      <c r="F669" s="391"/>
      <c r="G669" s="391"/>
      <c r="H669" s="342"/>
      <c r="I669" s="339">
        <f t="shared" si="363"/>
        <v>0</v>
      </c>
      <c r="J669" s="203" t="str" cm="1">
        <f t="array" ref="J669">IF((SUMPRODUCT(ISBLANK(B669:C669)*1)+SUMPRODUCT(ISBLANK(F669:G669)*1))=4, "wstaw dane", IF( AND( (SUMPRODUCT(ISBLANK(B669:C669)*1)+SUMPRODUCT(ISBLANK(F669:G669)*1))&gt;0, (SUMPRODUCT(ISBLANK(B669:C669)*1)+SUMPRODUCT(ISBLANK(F669:G669)*1))&lt;4), "uzupełnij dane", IF( AND(F669=nie,G669=tak), "popraw dane","ok")))</f>
        <v>wstaw dane</v>
      </c>
      <c r="K669" s="346"/>
      <c r="L669" s="346"/>
      <c r="M669" s="346"/>
      <c r="N669" s="346"/>
      <c r="O669" s="346"/>
      <c r="P669" s="346"/>
      <c r="Q669" s="346"/>
      <c r="R669" s="346"/>
      <c r="S669" s="346"/>
      <c r="T669" s="346"/>
      <c r="U669" s="346"/>
      <c r="V669" s="346"/>
      <c r="W669" s="346"/>
      <c r="X669" s="346"/>
    </row>
    <row r="670" spans="2:24">
      <c r="B670" s="305"/>
      <c r="C670" s="305"/>
      <c r="D670" s="339"/>
      <c r="E670" s="339">
        <f t="shared" si="362"/>
        <v>0</v>
      </c>
      <c r="F670" s="391"/>
      <c r="G670" s="391"/>
      <c r="H670" s="342"/>
      <c r="I670" s="339">
        <f t="shared" si="363"/>
        <v>0</v>
      </c>
      <c r="J670" s="203" t="str" cm="1">
        <f t="array" ref="J670">IF((SUMPRODUCT(ISBLANK(B670:C670)*1)+SUMPRODUCT(ISBLANK(F670:G670)*1))=4, "wstaw dane", IF( AND( (SUMPRODUCT(ISBLANK(B670:C670)*1)+SUMPRODUCT(ISBLANK(F670:G670)*1))&gt;0, (SUMPRODUCT(ISBLANK(B670:C670)*1)+SUMPRODUCT(ISBLANK(F670:G670)*1))&lt;4), "uzupełnij dane", IF( AND(F670=nie,G670=tak), "popraw dane","ok")))</f>
        <v>wstaw dane</v>
      </c>
      <c r="K670" s="346"/>
      <c r="L670" s="346"/>
      <c r="M670" s="346"/>
      <c r="N670" s="346"/>
      <c r="O670" s="346"/>
      <c r="P670" s="346"/>
      <c r="Q670" s="346"/>
      <c r="R670" s="346"/>
      <c r="S670" s="346"/>
      <c r="T670" s="346"/>
      <c r="U670" s="346"/>
      <c r="V670" s="346"/>
      <c r="W670" s="346"/>
      <c r="X670" s="346"/>
    </row>
    <row r="671" spans="2:24">
      <c r="B671" s="305"/>
      <c r="C671" s="305"/>
      <c r="D671" s="339"/>
      <c r="E671" s="339">
        <f t="shared" si="362"/>
        <v>0</v>
      </c>
      <c r="F671" s="391"/>
      <c r="G671" s="391"/>
      <c r="H671" s="342"/>
      <c r="I671" s="339">
        <f t="shared" si="363"/>
        <v>0</v>
      </c>
      <c r="J671" s="203" t="str" cm="1">
        <f t="array" ref="J671">IF((SUMPRODUCT(ISBLANK(B671:C671)*1)+SUMPRODUCT(ISBLANK(F671:G671)*1))=4, "wstaw dane", IF( AND( (SUMPRODUCT(ISBLANK(B671:C671)*1)+SUMPRODUCT(ISBLANK(F671:G671)*1))&gt;0, (SUMPRODUCT(ISBLANK(B671:C671)*1)+SUMPRODUCT(ISBLANK(F671:G671)*1))&lt;4), "uzupełnij dane", IF( AND(F671=nie,G671=tak), "popraw dane","ok")))</f>
        <v>wstaw dane</v>
      </c>
      <c r="K671" s="346"/>
      <c r="L671" s="346"/>
      <c r="M671" s="346"/>
      <c r="N671" s="346"/>
      <c r="O671" s="346"/>
      <c r="P671" s="346"/>
      <c r="Q671" s="346"/>
      <c r="R671" s="346"/>
      <c r="S671" s="346"/>
      <c r="T671" s="346"/>
      <c r="U671" s="346"/>
      <c r="V671" s="346"/>
      <c r="W671" s="346"/>
      <c r="X671" s="346"/>
    </row>
    <row r="672" spans="2:24">
      <c r="B672" s="305"/>
      <c r="C672" s="305"/>
      <c r="D672" s="339"/>
      <c r="E672" s="339">
        <f t="shared" si="362"/>
        <v>0</v>
      </c>
      <c r="F672" s="391"/>
      <c r="G672" s="391"/>
      <c r="H672" s="342"/>
      <c r="I672" s="339">
        <f t="shared" si="363"/>
        <v>0</v>
      </c>
      <c r="J672" s="203" t="str" cm="1">
        <f t="array" ref="J672">IF((SUMPRODUCT(ISBLANK(B672:C672)*1)+SUMPRODUCT(ISBLANK(F672:G672)*1))=4, "wstaw dane", IF( AND( (SUMPRODUCT(ISBLANK(B672:C672)*1)+SUMPRODUCT(ISBLANK(F672:G672)*1))&gt;0, (SUMPRODUCT(ISBLANK(B672:C672)*1)+SUMPRODUCT(ISBLANK(F672:G672)*1))&lt;4), "uzupełnij dane", IF( AND(F672=nie,G672=tak), "popraw dane","ok")))</f>
        <v>wstaw dane</v>
      </c>
      <c r="K672" s="346"/>
      <c r="L672" s="346"/>
      <c r="M672" s="346"/>
      <c r="N672" s="346"/>
      <c r="O672" s="346"/>
      <c r="P672" s="346"/>
      <c r="Q672" s="346"/>
      <c r="R672" s="346"/>
      <c r="S672" s="346"/>
      <c r="T672" s="346"/>
      <c r="U672" s="346"/>
      <c r="V672" s="346"/>
      <c r="W672" s="346"/>
      <c r="X672" s="346"/>
    </row>
    <row r="673" spans="2:24">
      <c r="B673" s="305"/>
      <c r="C673" s="305"/>
      <c r="D673" s="339"/>
      <c r="E673" s="339">
        <f t="shared" si="362"/>
        <v>0</v>
      </c>
      <c r="F673" s="391"/>
      <c r="G673" s="391"/>
      <c r="H673" s="342"/>
      <c r="I673" s="339">
        <f t="shared" si="363"/>
        <v>0</v>
      </c>
      <c r="J673" s="203" t="str" cm="1">
        <f t="array" ref="J673">IF((SUMPRODUCT(ISBLANK(B673:C673)*1)+SUMPRODUCT(ISBLANK(F673:G673)*1))=4, "wstaw dane", IF( AND( (SUMPRODUCT(ISBLANK(B673:C673)*1)+SUMPRODUCT(ISBLANK(F673:G673)*1))&gt;0, (SUMPRODUCT(ISBLANK(B673:C673)*1)+SUMPRODUCT(ISBLANK(F673:G673)*1))&lt;4), "uzupełnij dane", IF( AND(F673=nie,G673=tak), "popraw dane","ok")))</f>
        <v>wstaw dane</v>
      </c>
      <c r="K673" s="346"/>
      <c r="L673" s="346"/>
      <c r="M673" s="346"/>
      <c r="N673" s="346"/>
      <c r="O673" s="346"/>
      <c r="P673" s="346"/>
      <c r="Q673" s="346"/>
      <c r="R673" s="346"/>
      <c r="S673" s="346"/>
      <c r="T673" s="346"/>
      <c r="U673" s="346"/>
      <c r="V673" s="346"/>
      <c r="W673" s="346"/>
      <c r="X673" s="346"/>
    </row>
    <row r="674" spans="2:24">
      <c r="B674" s="305"/>
      <c r="C674" s="305"/>
      <c r="D674" s="339"/>
      <c r="E674" s="339">
        <f t="shared" si="362"/>
        <v>0</v>
      </c>
      <c r="F674" s="391"/>
      <c r="G674" s="391"/>
      <c r="H674" s="342"/>
      <c r="I674" s="339">
        <f t="shared" si="363"/>
        <v>0</v>
      </c>
      <c r="J674" s="203" t="str" cm="1">
        <f t="array" ref="J674">IF((SUMPRODUCT(ISBLANK(B674:C674)*1)+SUMPRODUCT(ISBLANK(F674:G674)*1))=4, "wstaw dane", IF( AND( (SUMPRODUCT(ISBLANK(B674:C674)*1)+SUMPRODUCT(ISBLANK(F674:G674)*1))&gt;0, (SUMPRODUCT(ISBLANK(B674:C674)*1)+SUMPRODUCT(ISBLANK(F674:G674)*1))&lt;4), "uzupełnij dane", IF( AND(F674=nie,G674=tak), "popraw dane","ok")))</f>
        <v>wstaw dane</v>
      </c>
      <c r="K674" s="346"/>
      <c r="L674" s="346"/>
      <c r="M674" s="346"/>
      <c r="N674" s="346"/>
      <c r="O674" s="346"/>
      <c r="P674" s="346"/>
      <c r="Q674" s="346"/>
      <c r="R674" s="346"/>
      <c r="S674" s="346"/>
      <c r="T674" s="346"/>
      <c r="U674" s="346"/>
      <c r="V674" s="346"/>
      <c r="W674" s="346"/>
      <c r="X674" s="346"/>
    </row>
    <row r="675" spans="2:24">
      <c r="B675" s="305"/>
      <c r="C675" s="305"/>
      <c r="D675" s="339"/>
      <c r="E675" s="339">
        <f t="shared" si="362"/>
        <v>0</v>
      </c>
      <c r="F675" s="391"/>
      <c r="G675" s="391"/>
      <c r="H675" s="342"/>
      <c r="I675" s="339">
        <f t="shared" si="363"/>
        <v>0</v>
      </c>
      <c r="J675" s="203" t="str" cm="1">
        <f t="array" ref="J675">IF((SUMPRODUCT(ISBLANK(B675:C675)*1)+SUMPRODUCT(ISBLANK(F675:G675)*1))=4, "wstaw dane", IF( AND( (SUMPRODUCT(ISBLANK(B675:C675)*1)+SUMPRODUCT(ISBLANK(F675:G675)*1))&gt;0, (SUMPRODUCT(ISBLANK(B675:C675)*1)+SUMPRODUCT(ISBLANK(F675:G675)*1))&lt;4), "uzupełnij dane", IF( AND(F675=nie,G675=tak), "popraw dane","ok")))</f>
        <v>wstaw dane</v>
      </c>
      <c r="K675" s="346"/>
      <c r="L675" s="346"/>
      <c r="M675" s="346"/>
      <c r="N675" s="346"/>
      <c r="O675" s="346"/>
      <c r="P675" s="346"/>
      <c r="Q675" s="346"/>
      <c r="R675" s="346"/>
      <c r="S675" s="346"/>
      <c r="T675" s="346"/>
      <c r="U675" s="346"/>
      <c r="V675" s="346"/>
      <c r="W675" s="346"/>
      <c r="X675" s="346"/>
    </row>
    <row r="676" spans="2:24">
      <c r="B676" s="305"/>
      <c r="C676" s="305"/>
      <c r="D676" s="339"/>
      <c r="E676" s="339">
        <f t="shared" si="362"/>
        <v>0</v>
      </c>
      <c r="F676" s="391"/>
      <c r="G676" s="391"/>
      <c r="H676" s="342"/>
      <c r="I676" s="339">
        <f t="shared" si="363"/>
        <v>0</v>
      </c>
      <c r="J676" s="203" t="str" cm="1">
        <f t="array" ref="J676">IF((SUMPRODUCT(ISBLANK(B676:C676)*1)+SUMPRODUCT(ISBLANK(F676:G676)*1))=4, "wstaw dane", IF( AND( (SUMPRODUCT(ISBLANK(B676:C676)*1)+SUMPRODUCT(ISBLANK(F676:G676)*1))&gt;0, (SUMPRODUCT(ISBLANK(B676:C676)*1)+SUMPRODUCT(ISBLANK(F676:G676)*1))&lt;4), "uzupełnij dane", IF( AND(F676=nie,G676=tak), "popraw dane","ok")))</f>
        <v>wstaw dane</v>
      </c>
      <c r="K676" s="346"/>
      <c r="L676" s="346"/>
      <c r="M676" s="346"/>
      <c r="N676" s="346"/>
      <c r="O676" s="346"/>
      <c r="P676" s="346"/>
      <c r="Q676" s="346"/>
      <c r="R676" s="346"/>
      <c r="S676" s="346"/>
      <c r="T676" s="346"/>
      <c r="U676" s="346"/>
      <c r="V676" s="346"/>
      <c r="W676" s="346"/>
      <c r="X676" s="346"/>
    </row>
    <row r="677" spans="2:24">
      <c r="B677" s="305"/>
      <c r="C677" s="305"/>
      <c r="D677" s="339"/>
      <c r="E677" s="339">
        <f t="shared" si="362"/>
        <v>0</v>
      </c>
      <c r="F677" s="391"/>
      <c r="G677" s="391"/>
      <c r="H677" s="342"/>
      <c r="I677" s="339">
        <f t="shared" si="363"/>
        <v>0</v>
      </c>
      <c r="J677" s="203" t="str" cm="1">
        <f t="array" ref="J677">IF((SUMPRODUCT(ISBLANK(B677:C677)*1)+SUMPRODUCT(ISBLANK(F677:G677)*1))=4, "wstaw dane", IF( AND( (SUMPRODUCT(ISBLANK(B677:C677)*1)+SUMPRODUCT(ISBLANK(F677:G677)*1))&gt;0, (SUMPRODUCT(ISBLANK(B677:C677)*1)+SUMPRODUCT(ISBLANK(F677:G677)*1))&lt;4), "uzupełnij dane", IF( AND(F677=nie,G677=tak), "popraw dane","ok")))</f>
        <v>wstaw dane</v>
      </c>
      <c r="K677" s="346"/>
      <c r="L677" s="346"/>
      <c r="M677" s="346"/>
      <c r="N677" s="346"/>
      <c r="O677" s="346"/>
      <c r="P677" s="346"/>
      <c r="Q677" s="346"/>
      <c r="R677" s="346"/>
      <c r="S677" s="346"/>
      <c r="T677" s="346"/>
      <c r="U677" s="346"/>
      <c r="V677" s="346"/>
      <c r="W677" s="346"/>
      <c r="X677" s="346"/>
    </row>
    <row r="678" spans="2:24">
      <c r="B678" s="305"/>
      <c r="C678" s="305"/>
      <c r="D678" s="339"/>
      <c r="E678" s="339">
        <f t="shared" si="362"/>
        <v>0</v>
      </c>
      <c r="F678" s="391"/>
      <c r="G678" s="391"/>
      <c r="H678" s="342"/>
      <c r="I678" s="339">
        <f t="shared" si="363"/>
        <v>0</v>
      </c>
      <c r="J678" s="203" t="str" cm="1">
        <f t="array" ref="J678">IF((SUMPRODUCT(ISBLANK(B678:C678)*1)+SUMPRODUCT(ISBLANK(F678:G678)*1))=4, "wstaw dane", IF( AND( (SUMPRODUCT(ISBLANK(B678:C678)*1)+SUMPRODUCT(ISBLANK(F678:G678)*1))&gt;0, (SUMPRODUCT(ISBLANK(B678:C678)*1)+SUMPRODUCT(ISBLANK(F678:G678)*1))&lt;4), "uzupełnij dane", IF( AND(F678=nie,G678=tak), "popraw dane","ok")))</f>
        <v>wstaw dane</v>
      </c>
      <c r="K678" s="346"/>
      <c r="L678" s="346"/>
      <c r="M678" s="346"/>
      <c r="N678" s="346"/>
      <c r="O678" s="346"/>
      <c r="P678" s="346"/>
      <c r="Q678" s="346"/>
      <c r="R678" s="346"/>
      <c r="S678" s="346"/>
      <c r="T678" s="346"/>
      <c r="U678" s="346"/>
      <c r="V678" s="346"/>
      <c r="W678" s="346"/>
      <c r="X678" s="346"/>
    </row>
    <row r="679" spans="2:24">
      <c r="B679" s="305"/>
      <c r="C679" s="305"/>
      <c r="D679" s="339"/>
      <c r="E679" s="339">
        <f t="shared" si="362"/>
        <v>0</v>
      </c>
      <c r="F679" s="391"/>
      <c r="G679" s="391"/>
      <c r="H679" s="342"/>
      <c r="I679" s="339">
        <f t="shared" si="363"/>
        <v>0</v>
      </c>
      <c r="J679" s="203" t="str" cm="1">
        <f t="array" ref="J679">IF((SUMPRODUCT(ISBLANK(B679:C679)*1)+SUMPRODUCT(ISBLANK(F679:G679)*1))=4, "wstaw dane", IF( AND( (SUMPRODUCT(ISBLANK(B679:C679)*1)+SUMPRODUCT(ISBLANK(F679:G679)*1))&gt;0, (SUMPRODUCT(ISBLANK(B679:C679)*1)+SUMPRODUCT(ISBLANK(F679:G679)*1))&lt;4), "uzupełnij dane", IF( AND(F679=nie,G679=tak), "popraw dane","ok")))</f>
        <v>wstaw dane</v>
      </c>
      <c r="K679" s="346"/>
      <c r="L679" s="346"/>
      <c r="M679" s="346"/>
      <c r="N679" s="346"/>
      <c r="O679" s="346"/>
      <c r="P679" s="346"/>
      <c r="Q679" s="346"/>
      <c r="R679" s="346"/>
      <c r="S679" s="346"/>
      <c r="T679" s="346"/>
      <c r="U679" s="346"/>
      <c r="V679" s="346"/>
      <c r="W679" s="346"/>
      <c r="X679" s="346"/>
    </row>
    <row r="680" spans="2:24">
      <c r="B680" s="305"/>
      <c r="C680" s="305"/>
      <c r="D680" s="339"/>
      <c r="E680" s="339">
        <f t="shared" si="362"/>
        <v>0</v>
      </c>
      <c r="F680" s="391"/>
      <c r="G680" s="391"/>
      <c r="H680" s="342"/>
      <c r="I680" s="339">
        <f t="shared" si="363"/>
        <v>0</v>
      </c>
      <c r="J680" s="203" t="str" cm="1">
        <f t="array" ref="J680">IF((SUMPRODUCT(ISBLANK(B680:C680)*1)+SUMPRODUCT(ISBLANK(F680:G680)*1))=4, "wstaw dane", IF( AND( (SUMPRODUCT(ISBLANK(B680:C680)*1)+SUMPRODUCT(ISBLANK(F680:G680)*1))&gt;0, (SUMPRODUCT(ISBLANK(B680:C680)*1)+SUMPRODUCT(ISBLANK(F680:G680)*1))&lt;4), "uzupełnij dane", IF( AND(F680=nie,G680=tak), "popraw dane","ok")))</f>
        <v>wstaw dane</v>
      </c>
      <c r="K680" s="346"/>
      <c r="L680" s="346"/>
      <c r="M680" s="346"/>
      <c r="N680" s="346"/>
      <c r="O680" s="346"/>
      <c r="P680" s="346"/>
      <c r="Q680" s="346"/>
      <c r="R680" s="346"/>
      <c r="S680" s="346"/>
      <c r="T680" s="346"/>
      <c r="U680" s="346"/>
      <c r="V680" s="346"/>
      <c r="W680" s="346"/>
      <c r="X680" s="346"/>
    </row>
    <row r="681" spans="2:24">
      <c r="B681" s="305"/>
      <c r="C681" s="305"/>
      <c r="D681" s="339"/>
      <c r="E681" s="339">
        <f t="shared" si="362"/>
        <v>0</v>
      </c>
      <c r="F681" s="391"/>
      <c r="G681" s="391"/>
      <c r="H681" s="342"/>
      <c r="I681" s="339">
        <f t="shared" si="363"/>
        <v>0</v>
      </c>
      <c r="J681" s="203" t="str" cm="1">
        <f t="array" ref="J681">IF((SUMPRODUCT(ISBLANK(B681:C681)*1)+SUMPRODUCT(ISBLANK(F681:G681)*1))=4, "wstaw dane", IF( AND( (SUMPRODUCT(ISBLANK(B681:C681)*1)+SUMPRODUCT(ISBLANK(F681:G681)*1))&gt;0, (SUMPRODUCT(ISBLANK(B681:C681)*1)+SUMPRODUCT(ISBLANK(F681:G681)*1))&lt;4), "uzupełnij dane", IF( AND(F681=nie,G681=tak), "popraw dane","ok")))</f>
        <v>wstaw dane</v>
      </c>
      <c r="K681" s="346"/>
      <c r="L681" s="346"/>
      <c r="M681" s="346"/>
      <c r="N681" s="346"/>
      <c r="O681" s="346"/>
      <c r="P681" s="346"/>
      <c r="Q681" s="346"/>
      <c r="R681" s="346"/>
      <c r="S681" s="346"/>
      <c r="T681" s="346"/>
      <c r="U681" s="346"/>
      <c r="V681" s="346"/>
      <c r="W681" s="346"/>
      <c r="X681" s="346"/>
    </row>
    <row r="682" spans="2:24">
      <c r="B682" s="305"/>
      <c r="C682" s="305"/>
      <c r="D682" s="339"/>
      <c r="E682" s="339">
        <f t="shared" si="362"/>
        <v>0</v>
      </c>
      <c r="F682" s="391"/>
      <c r="G682" s="391"/>
      <c r="H682" s="342"/>
      <c r="I682" s="339">
        <f t="shared" si="363"/>
        <v>0</v>
      </c>
      <c r="J682" s="203" t="str" cm="1">
        <f t="array" ref="J682">IF((SUMPRODUCT(ISBLANK(B682:C682)*1)+SUMPRODUCT(ISBLANK(F682:G682)*1))=4, "wstaw dane", IF( AND( (SUMPRODUCT(ISBLANK(B682:C682)*1)+SUMPRODUCT(ISBLANK(F682:G682)*1))&gt;0, (SUMPRODUCT(ISBLANK(B682:C682)*1)+SUMPRODUCT(ISBLANK(F682:G682)*1))&lt;4), "uzupełnij dane", IF( AND(F682=nie,G682=tak), "popraw dane","ok")))</f>
        <v>wstaw dane</v>
      </c>
      <c r="K682" s="346"/>
      <c r="L682" s="346"/>
      <c r="M682" s="346"/>
      <c r="N682" s="346"/>
      <c r="O682" s="346"/>
      <c r="P682" s="346"/>
      <c r="Q682" s="346"/>
      <c r="R682" s="346"/>
      <c r="S682" s="346"/>
      <c r="T682" s="346"/>
      <c r="U682" s="346"/>
      <c r="V682" s="346"/>
      <c r="W682" s="346"/>
      <c r="X682" s="346"/>
    </row>
    <row r="683" spans="2:24">
      <c r="B683" s="305"/>
      <c r="C683" s="305"/>
      <c r="D683" s="339"/>
      <c r="E683" s="339">
        <f t="shared" si="362"/>
        <v>0</v>
      </c>
      <c r="F683" s="391"/>
      <c r="G683" s="391"/>
      <c r="H683" s="342"/>
      <c r="I683" s="339">
        <f t="shared" si="363"/>
        <v>0</v>
      </c>
      <c r="J683" s="203" t="str" cm="1">
        <f t="array" ref="J683">IF((SUMPRODUCT(ISBLANK(B683:C683)*1)+SUMPRODUCT(ISBLANK(F683:G683)*1))=4, "wstaw dane", IF( AND( (SUMPRODUCT(ISBLANK(B683:C683)*1)+SUMPRODUCT(ISBLANK(F683:G683)*1))&gt;0, (SUMPRODUCT(ISBLANK(B683:C683)*1)+SUMPRODUCT(ISBLANK(F683:G683)*1))&lt;4), "uzupełnij dane", IF( AND(F683=nie,G683=tak), "popraw dane","ok")))</f>
        <v>wstaw dane</v>
      </c>
      <c r="K683" s="346"/>
      <c r="L683" s="346"/>
      <c r="M683" s="346"/>
      <c r="N683" s="346"/>
      <c r="O683" s="346"/>
      <c r="P683" s="346"/>
      <c r="Q683" s="346"/>
      <c r="R683" s="346"/>
      <c r="S683" s="346"/>
      <c r="T683" s="346"/>
      <c r="U683" s="346"/>
      <c r="V683" s="346"/>
      <c r="W683" s="346"/>
      <c r="X683" s="346"/>
    </row>
    <row r="684" spans="2:24">
      <c r="B684" s="305"/>
      <c r="C684" s="305"/>
      <c r="D684" s="339"/>
      <c r="E684" s="339">
        <f t="shared" si="362"/>
        <v>0</v>
      </c>
      <c r="F684" s="391"/>
      <c r="G684" s="391"/>
      <c r="H684" s="342"/>
      <c r="I684" s="339">
        <f t="shared" si="363"/>
        <v>0</v>
      </c>
      <c r="J684" s="203" t="str" cm="1">
        <f t="array" ref="J684">IF((SUMPRODUCT(ISBLANK(B684:C684)*1)+SUMPRODUCT(ISBLANK(F684:G684)*1))=4, "wstaw dane", IF( AND( (SUMPRODUCT(ISBLANK(B684:C684)*1)+SUMPRODUCT(ISBLANK(F684:G684)*1))&gt;0, (SUMPRODUCT(ISBLANK(B684:C684)*1)+SUMPRODUCT(ISBLANK(F684:G684)*1))&lt;4), "uzupełnij dane", IF( AND(F684=nie,G684=tak), "popraw dane","ok")))</f>
        <v>wstaw dane</v>
      </c>
      <c r="K684" s="346"/>
      <c r="L684" s="346"/>
      <c r="M684" s="346"/>
      <c r="N684" s="346"/>
      <c r="O684" s="346"/>
      <c r="P684" s="346"/>
      <c r="Q684" s="346"/>
      <c r="R684" s="346"/>
      <c r="S684" s="346"/>
      <c r="T684" s="346"/>
      <c r="U684" s="346"/>
      <c r="V684" s="346"/>
      <c r="W684" s="346"/>
      <c r="X684" s="346"/>
    </row>
    <row r="685" spans="2:24">
      <c r="B685" s="305"/>
      <c r="C685" s="305"/>
      <c r="D685" s="339"/>
      <c r="E685" s="339">
        <f t="shared" si="362"/>
        <v>0</v>
      </c>
      <c r="F685" s="391"/>
      <c r="G685" s="391"/>
      <c r="H685" s="342"/>
      <c r="I685" s="339">
        <f t="shared" si="363"/>
        <v>0</v>
      </c>
      <c r="J685" s="203" t="str" cm="1">
        <f t="array" ref="J685">IF((SUMPRODUCT(ISBLANK(B685:C685)*1)+SUMPRODUCT(ISBLANK(F685:G685)*1))=4, "wstaw dane", IF( AND( (SUMPRODUCT(ISBLANK(B685:C685)*1)+SUMPRODUCT(ISBLANK(F685:G685)*1))&gt;0, (SUMPRODUCT(ISBLANK(B685:C685)*1)+SUMPRODUCT(ISBLANK(F685:G685)*1))&lt;4), "uzupełnij dane", IF( AND(F685=nie,G685=tak), "popraw dane","ok")))</f>
        <v>wstaw dane</v>
      </c>
      <c r="K685" s="346"/>
      <c r="L685" s="346"/>
      <c r="M685" s="346"/>
      <c r="N685" s="346"/>
      <c r="O685" s="346"/>
      <c r="P685" s="346"/>
      <c r="Q685" s="346"/>
      <c r="R685" s="346"/>
      <c r="S685" s="346"/>
      <c r="T685" s="346"/>
      <c r="U685" s="346"/>
      <c r="V685" s="346"/>
      <c r="W685" s="346"/>
      <c r="X685" s="346"/>
    </row>
    <row r="686" spans="2:24">
      <c r="B686" s="305"/>
      <c r="C686" s="305"/>
      <c r="D686" s="339"/>
      <c r="E686" s="339">
        <f t="shared" si="362"/>
        <v>0</v>
      </c>
      <c r="F686" s="391"/>
      <c r="G686" s="391"/>
      <c r="H686" s="342"/>
      <c r="I686" s="339">
        <f t="shared" si="363"/>
        <v>0</v>
      </c>
      <c r="J686" s="203" t="str" cm="1">
        <f t="array" ref="J686">IF((SUMPRODUCT(ISBLANK(B686:C686)*1)+SUMPRODUCT(ISBLANK(F686:G686)*1))=4, "wstaw dane", IF( AND( (SUMPRODUCT(ISBLANK(B686:C686)*1)+SUMPRODUCT(ISBLANK(F686:G686)*1))&gt;0, (SUMPRODUCT(ISBLANK(B686:C686)*1)+SUMPRODUCT(ISBLANK(F686:G686)*1))&lt;4), "uzupełnij dane", IF( AND(F686=nie,G686=tak), "popraw dane","ok")))</f>
        <v>wstaw dane</v>
      </c>
      <c r="K686" s="346"/>
      <c r="L686" s="346"/>
      <c r="M686" s="346"/>
      <c r="N686" s="346"/>
      <c r="O686" s="346"/>
      <c r="P686" s="346"/>
      <c r="Q686" s="346"/>
      <c r="R686" s="346"/>
      <c r="S686" s="346"/>
      <c r="T686" s="346"/>
      <c r="U686" s="346"/>
      <c r="V686" s="346"/>
      <c r="W686" s="346"/>
      <c r="X686" s="346"/>
    </row>
    <row r="687" spans="2:24">
      <c r="B687" s="305"/>
      <c r="C687" s="305"/>
      <c r="D687" s="339"/>
      <c r="E687" s="339">
        <f t="shared" si="362"/>
        <v>0</v>
      </c>
      <c r="F687" s="391"/>
      <c r="G687" s="391"/>
      <c r="H687" s="342"/>
      <c r="I687" s="339">
        <f t="shared" si="363"/>
        <v>0</v>
      </c>
      <c r="J687" s="203" t="str" cm="1">
        <f t="array" ref="J687">IF((SUMPRODUCT(ISBLANK(B687:C687)*1)+SUMPRODUCT(ISBLANK(F687:G687)*1))=4, "wstaw dane", IF( AND( (SUMPRODUCT(ISBLANK(B687:C687)*1)+SUMPRODUCT(ISBLANK(F687:G687)*1))&gt;0, (SUMPRODUCT(ISBLANK(B687:C687)*1)+SUMPRODUCT(ISBLANK(F687:G687)*1))&lt;4), "uzupełnij dane", IF( AND(F687=nie,G687=tak), "popraw dane","ok")))</f>
        <v>wstaw dane</v>
      </c>
      <c r="K687" s="346"/>
      <c r="L687" s="346"/>
      <c r="M687" s="346"/>
      <c r="N687" s="346"/>
      <c r="O687" s="346"/>
      <c r="P687" s="346"/>
      <c r="Q687" s="346"/>
      <c r="R687" s="346"/>
      <c r="S687" s="346"/>
      <c r="T687" s="346"/>
      <c r="U687" s="346"/>
      <c r="V687" s="346"/>
      <c r="W687" s="346"/>
      <c r="X687" s="346"/>
    </row>
    <row r="688" spans="2:24">
      <c r="B688" s="305"/>
      <c r="C688" s="305"/>
      <c r="D688" s="339"/>
      <c r="E688" s="339">
        <f t="shared" si="362"/>
        <v>0</v>
      </c>
      <c r="F688" s="391"/>
      <c r="G688" s="391"/>
      <c r="H688" s="342"/>
      <c r="I688" s="339">
        <f t="shared" si="363"/>
        <v>0</v>
      </c>
      <c r="J688" s="203" t="str" cm="1">
        <f t="array" ref="J688">IF((SUMPRODUCT(ISBLANK(B688:C688)*1)+SUMPRODUCT(ISBLANK(F688:G688)*1))=4, "wstaw dane", IF( AND( (SUMPRODUCT(ISBLANK(B688:C688)*1)+SUMPRODUCT(ISBLANK(F688:G688)*1))&gt;0, (SUMPRODUCT(ISBLANK(B688:C688)*1)+SUMPRODUCT(ISBLANK(F688:G688)*1))&lt;4), "uzupełnij dane", IF( AND(F688=nie,G688=tak), "popraw dane","ok")))</f>
        <v>wstaw dane</v>
      </c>
      <c r="K688" s="346"/>
      <c r="L688" s="346"/>
      <c r="M688" s="346"/>
      <c r="N688" s="346"/>
      <c r="O688" s="346"/>
      <c r="P688" s="346"/>
      <c r="Q688" s="346"/>
      <c r="R688" s="346"/>
      <c r="S688" s="346"/>
      <c r="T688" s="346"/>
      <c r="U688" s="346"/>
      <c r="V688" s="346"/>
      <c r="W688" s="346"/>
      <c r="X688" s="346"/>
    </row>
    <row r="689" spans="2:24">
      <c r="B689" s="305"/>
      <c r="C689" s="305"/>
      <c r="D689" s="339"/>
      <c r="E689" s="339">
        <f t="shared" si="362"/>
        <v>0</v>
      </c>
      <c r="F689" s="391"/>
      <c r="G689" s="391"/>
      <c r="H689" s="342"/>
      <c r="I689" s="339">
        <f t="shared" si="363"/>
        <v>0</v>
      </c>
      <c r="J689" s="203" t="str" cm="1">
        <f t="array" ref="J689">IF((SUMPRODUCT(ISBLANK(B689:C689)*1)+SUMPRODUCT(ISBLANK(F689:G689)*1))=4, "wstaw dane", IF( AND( (SUMPRODUCT(ISBLANK(B689:C689)*1)+SUMPRODUCT(ISBLANK(F689:G689)*1))&gt;0, (SUMPRODUCT(ISBLANK(B689:C689)*1)+SUMPRODUCT(ISBLANK(F689:G689)*1))&lt;4), "uzupełnij dane", IF( AND(F689=nie,G689=tak), "popraw dane","ok")))</f>
        <v>wstaw dane</v>
      </c>
      <c r="K689" s="346"/>
      <c r="L689" s="346"/>
      <c r="M689" s="346"/>
      <c r="N689" s="346"/>
      <c r="O689" s="346"/>
      <c r="P689" s="346"/>
      <c r="Q689" s="346"/>
      <c r="R689" s="346"/>
      <c r="S689" s="346"/>
      <c r="T689" s="346"/>
      <c r="U689" s="346"/>
      <c r="V689" s="346"/>
      <c r="W689" s="346"/>
      <c r="X689" s="346"/>
    </row>
    <row r="690" spans="2:24">
      <c r="B690" s="305"/>
      <c r="C690" s="305"/>
      <c r="D690" s="339"/>
      <c r="E690" s="339">
        <f t="shared" si="362"/>
        <v>0</v>
      </c>
      <c r="F690" s="391"/>
      <c r="G690" s="391"/>
      <c r="H690" s="342"/>
      <c r="I690" s="339">
        <f t="shared" si="363"/>
        <v>0</v>
      </c>
      <c r="J690" s="203" t="str" cm="1">
        <f t="array" ref="J690">IF((SUMPRODUCT(ISBLANK(B690:C690)*1)+SUMPRODUCT(ISBLANK(F690:G690)*1))=4, "wstaw dane", IF( AND( (SUMPRODUCT(ISBLANK(B690:C690)*1)+SUMPRODUCT(ISBLANK(F690:G690)*1))&gt;0, (SUMPRODUCT(ISBLANK(B690:C690)*1)+SUMPRODUCT(ISBLANK(F690:G690)*1))&lt;4), "uzupełnij dane", IF( AND(F690=nie,G690=tak), "popraw dane","ok")))</f>
        <v>wstaw dane</v>
      </c>
      <c r="K690" s="346"/>
      <c r="L690" s="346"/>
      <c r="M690" s="346"/>
      <c r="N690" s="346"/>
      <c r="O690" s="346"/>
      <c r="P690" s="346"/>
      <c r="Q690" s="346"/>
      <c r="R690" s="346"/>
      <c r="S690" s="346"/>
      <c r="T690" s="346"/>
      <c r="U690" s="346"/>
      <c r="V690" s="346"/>
      <c r="W690" s="346"/>
      <c r="X690" s="346"/>
    </row>
    <row r="691" spans="2:24">
      <c r="B691" s="305"/>
      <c r="C691" s="305"/>
      <c r="D691" s="339"/>
      <c r="E691" s="339">
        <f t="shared" si="362"/>
        <v>0</v>
      </c>
      <c r="F691" s="391"/>
      <c r="G691" s="391"/>
      <c r="H691" s="342"/>
      <c r="I691" s="339">
        <f t="shared" si="363"/>
        <v>0</v>
      </c>
      <c r="J691" s="203" t="str" cm="1">
        <f t="array" ref="J691">IF((SUMPRODUCT(ISBLANK(B691:C691)*1)+SUMPRODUCT(ISBLANK(F691:G691)*1))=4, "wstaw dane", IF( AND( (SUMPRODUCT(ISBLANK(B691:C691)*1)+SUMPRODUCT(ISBLANK(F691:G691)*1))&gt;0, (SUMPRODUCT(ISBLANK(B691:C691)*1)+SUMPRODUCT(ISBLANK(F691:G691)*1))&lt;4), "uzupełnij dane", IF( AND(F691=nie,G691=tak), "popraw dane","ok")))</f>
        <v>wstaw dane</v>
      </c>
      <c r="K691" s="346"/>
      <c r="L691" s="346"/>
      <c r="M691" s="346"/>
      <c r="N691" s="346"/>
      <c r="O691" s="346"/>
      <c r="P691" s="346"/>
      <c r="Q691" s="346"/>
      <c r="R691" s="346"/>
      <c r="S691" s="346"/>
      <c r="T691" s="346"/>
      <c r="U691" s="346"/>
      <c r="V691" s="346"/>
      <c r="W691" s="346"/>
      <c r="X691" s="346"/>
    </row>
    <row r="692" spans="2:24">
      <c r="B692" s="305"/>
      <c r="C692" s="305"/>
      <c r="D692" s="339"/>
      <c r="E692" s="339">
        <f t="shared" si="362"/>
        <v>0</v>
      </c>
      <c r="F692" s="391"/>
      <c r="G692" s="391"/>
      <c r="H692" s="342"/>
      <c r="I692" s="339">
        <f t="shared" si="363"/>
        <v>0</v>
      </c>
      <c r="J692" s="203" t="str" cm="1">
        <f t="array" ref="J692">IF((SUMPRODUCT(ISBLANK(B692:C692)*1)+SUMPRODUCT(ISBLANK(F692:G692)*1))=4, "wstaw dane", IF( AND( (SUMPRODUCT(ISBLANK(B692:C692)*1)+SUMPRODUCT(ISBLANK(F692:G692)*1))&gt;0, (SUMPRODUCT(ISBLANK(B692:C692)*1)+SUMPRODUCT(ISBLANK(F692:G692)*1))&lt;4), "uzupełnij dane", IF( AND(F692=nie,G692=tak), "popraw dane","ok")))</f>
        <v>wstaw dane</v>
      </c>
      <c r="K692" s="346"/>
      <c r="L692" s="346"/>
      <c r="M692" s="346"/>
      <c r="N692" s="346"/>
      <c r="O692" s="346"/>
      <c r="P692" s="346"/>
      <c r="Q692" s="346"/>
      <c r="R692" s="346"/>
      <c r="S692" s="346"/>
      <c r="T692" s="346"/>
      <c r="U692" s="346"/>
      <c r="V692" s="346"/>
      <c r="W692" s="346"/>
      <c r="X692" s="346"/>
    </row>
    <row r="693" spans="2:24">
      <c r="B693" s="305"/>
      <c r="C693" s="305"/>
      <c r="D693" s="339"/>
      <c r="E693" s="339">
        <f t="shared" si="362"/>
        <v>0</v>
      </c>
      <c r="F693" s="391"/>
      <c r="G693" s="391"/>
      <c r="H693" s="342"/>
      <c r="I693" s="339">
        <f t="shared" si="363"/>
        <v>0</v>
      </c>
      <c r="J693" s="203" t="str" cm="1">
        <f t="array" ref="J693">IF((SUMPRODUCT(ISBLANK(B693:C693)*1)+SUMPRODUCT(ISBLANK(F693:G693)*1))=4, "wstaw dane", IF( AND( (SUMPRODUCT(ISBLANK(B693:C693)*1)+SUMPRODUCT(ISBLANK(F693:G693)*1))&gt;0, (SUMPRODUCT(ISBLANK(B693:C693)*1)+SUMPRODUCT(ISBLANK(F693:G693)*1))&lt;4), "uzupełnij dane", IF( AND(F693=nie,G693=tak), "popraw dane","ok")))</f>
        <v>wstaw dane</v>
      </c>
      <c r="K693" s="346"/>
      <c r="L693" s="346"/>
      <c r="M693" s="346"/>
      <c r="N693" s="346"/>
      <c r="O693" s="346"/>
      <c r="P693" s="346"/>
      <c r="Q693" s="346"/>
      <c r="R693" s="346"/>
      <c r="S693" s="346"/>
      <c r="T693" s="346"/>
      <c r="U693" s="346"/>
      <c r="V693" s="346"/>
      <c r="W693" s="346"/>
      <c r="X693" s="346"/>
    </row>
    <row r="694" spans="2:24">
      <c r="B694" s="305"/>
      <c r="C694" s="305"/>
      <c r="D694" s="339"/>
      <c r="E694" s="339">
        <f t="shared" si="362"/>
        <v>0</v>
      </c>
      <c r="F694" s="391"/>
      <c r="G694" s="391"/>
      <c r="H694" s="342"/>
      <c r="I694" s="339">
        <f t="shared" si="363"/>
        <v>0</v>
      </c>
      <c r="J694" s="203" t="str" cm="1">
        <f t="array" ref="J694">IF((SUMPRODUCT(ISBLANK(B694:C694)*1)+SUMPRODUCT(ISBLANK(F694:G694)*1))=4, "wstaw dane", IF( AND( (SUMPRODUCT(ISBLANK(B694:C694)*1)+SUMPRODUCT(ISBLANK(F694:G694)*1))&gt;0, (SUMPRODUCT(ISBLANK(B694:C694)*1)+SUMPRODUCT(ISBLANK(F694:G694)*1))&lt;4), "uzupełnij dane", IF( AND(F694=nie,G694=tak), "popraw dane","ok")))</f>
        <v>wstaw dane</v>
      </c>
      <c r="K694" s="346"/>
      <c r="L694" s="346"/>
      <c r="M694" s="346"/>
      <c r="N694" s="346"/>
      <c r="O694" s="346"/>
      <c r="P694" s="346"/>
      <c r="Q694" s="346"/>
      <c r="R694" s="346"/>
      <c r="S694" s="346"/>
      <c r="T694" s="346"/>
      <c r="U694" s="346"/>
      <c r="V694" s="346"/>
      <c r="W694" s="346"/>
      <c r="X694" s="346"/>
    </row>
    <row r="695" spans="2:24">
      <c r="B695" s="305"/>
      <c r="C695" s="305"/>
      <c r="D695" s="339"/>
      <c r="E695" s="339">
        <f t="shared" si="362"/>
        <v>0</v>
      </c>
      <c r="F695" s="391"/>
      <c r="G695" s="391"/>
      <c r="H695" s="342"/>
      <c r="I695" s="339">
        <f t="shared" si="363"/>
        <v>0</v>
      </c>
      <c r="J695" s="203" t="str" cm="1">
        <f t="array" ref="J695">IF((SUMPRODUCT(ISBLANK(B695:C695)*1)+SUMPRODUCT(ISBLANK(F695:G695)*1))=4, "wstaw dane", IF( AND( (SUMPRODUCT(ISBLANK(B695:C695)*1)+SUMPRODUCT(ISBLANK(F695:G695)*1))&gt;0, (SUMPRODUCT(ISBLANK(B695:C695)*1)+SUMPRODUCT(ISBLANK(F695:G695)*1))&lt;4), "uzupełnij dane", IF( AND(F695=nie,G695=tak), "popraw dane","ok")))</f>
        <v>wstaw dane</v>
      </c>
      <c r="K695" s="346"/>
      <c r="L695" s="346"/>
      <c r="M695" s="346"/>
      <c r="N695" s="346"/>
      <c r="O695" s="346"/>
      <c r="P695" s="346"/>
      <c r="Q695" s="346"/>
      <c r="R695" s="346"/>
      <c r="S695" s="346"/>
      <c r="T695" s="346"/>
      <c r="U695" s="346"/>
      <c r="V695" s="346"/>
      <c r="W695" s="346"/>
      <c r="X695" s="346"/>
    </row>
    <row r="696" spans="2:24">
      <c r="B696" s="305"/>
      <c r="C696" s="305"/>
      <c r="D696" s="339"/>
      <c r="E696" s="339">
        <f t="shared" si="362"/>
        <v>0</v>
      </c>
      <c r="F696" s="391"/>
      <c r="G696" s="391"/>
      <c r="H696" s="342"/>
      <c r="I696" s="339">
        <f t="shared" si="363"/>
        <v>0</v>
      </c>
      <c r="J696" s="203" t="str" cm="1">
        <f t="array" ref="J696">IF((SUMPRODUCT(ISBLANK(B696:C696)*1)+SUMPRODUCT(ISBLANK(F696:G696)*1))=4, "wstaw dane", IF( AND( (SUMPRODUCT(ISBLANK(B696:C696)*1)+SUMPRODUCT(ISBLANK(F696:G696)*1))&gt;0, (SUMPRODUCT(ISBLANK(B696:C696)*1)+SUMPRODUCT(ISBLANK(F696:G696)*1))&lt;4), "uzupełnij dane", IF( AND(F696=nie,G696=tak), "popraw dane","ok")))</f>
        <v>wstaw dane</v>
      </c>
      <c r="K696" s="346"/>
      <c r="L696" s="346"/>
      <c r="M696" s="346"/>
      <c r="N696" s="346"/>
      <c r="O696" s="346"/>
      <c r="P696" s="346"/>
      <c r="Q696" s="346"/>
      <c r="R696" s="346"/>
      <c r="S696" s="346"/>
      <c r="T696" s="346"/>
      <c r="U696" s="346"/>
      <c r="V696" s="346"/>
      <c r="W696" s="346"/>
      <c r="X696" s="346"/>
    </row>
    <row r="697" spans="2:24">
      <c r="B697" s="305"/>
      <c r="C697" s="305"/>
      <c r="D697" s="339"/>
      <c r="E697" s="339">
        <f t="shared" si="362"/>
        <v>0</v>
      </c>
      <c r="F697" s="391"/>
      <c r="G697" s="391"/>
      <c r="H697" s="342"/>
      <c r="I697" s="339">
        <f t="shared" si="363"/>
        <v>0</v>
      </c>
      <c r="J697" s="203" t="str" cm="1">
        <f t="array" ref="J697">IF((SUMPRODUCT(ISBLANK(B697:C697)*1)+SUMPRODUCT(ISBLANK(F697:G697)*1))=4, "wstaw dane", IF( AND( (SUMPRODUCT(ISBLANK(B697:C697)*1)+SUMPRODUCT(ISBLANK(F697:G697)*1))&gt;0, (SUMPRODUCT(ISBLANK(B697:C697)*1)+SUMPRODUCT(ISBLANK(F697:G697)*1))&lt;4), "uzupełnij dane", IF( AND(F697=nie,G697=tak), "popraw dane","ok")))</f>
        <v>wstaw dane</v>
      </c>
      <c r="K697" s="346"/>
      <c r="L697" s="346"/>
      <c r="M697" s="346"/>
      <c r="N697" s="346"/>
      <c r="O697" s="346"/>
      <c r="P697" s="346"/>
      <c r="Q697" s="346"/>
      <c r="R697" s="346"/>
      <c r="S697" s="346"/>
      <c r="T697" s="346"/>
      <c r="U697" s="346"/>
      <c r="V697" s="346"/>
      <c r="W697" s="346"/>
      <c r="X697" s="346"/>
    </row>
    <row r="698" spans="2:24">
      <c r="B698" s="99" t="s">
        <v>683</v>
      </c>
      <c r="C698" s="99"/>
      <c r="D698" s="98"/>
      <c r="E698" s="98">
        <f>SUM(E658:E697)</f>
        <v>0</v>
      </c>
      <c r="F698" s="97"/>
      <c r="G698" s="98"/>
      <c r="H698" s="97"/>
      <c r="I698" s="98">
        <f>SUM(I658:I697)</f>
        <v>0</v>
      </c>
      <c r="J698" s="97"/>
      <c r="K698" s="98">
        <f t="shared" ref="K698:X698" si="364">IF(AND(LataProjekcji&gt;=Poczatek,LataProjekcji&lt;=Koniec_Projekt),ROUND(SUM(K658:K697),0),0)</f>
        <v>0</v>
      </c>
      <c r="L698" s="98">
        <f t="shared" si="364"/>
        <v>0</v>
      </c>
      <c r="M698" s="98">
        <f t="shared" si="364"/>
        <v>0</v>
      </c>
      <c r="N698" s="98">
        <f t="shared" si="364"/>
        <v>0</v>
      </c>
      <c r="O698" s="98">
        <f t="shared" si="364"/>
        <v>0</v>
      </c>
      <c r="P698" s="98">
        <f t="shared" si="364"/>
        <v>0</v>
      </c>
      <c r="Q698" s="98">
        <f t="shared" si="364"/>
        <v>0</v>
      </c>
      <c r="R698" s="98">
        <f t="shared" si="364"/>
        <v>0</v>
      </c>
      <c r="S698" s="98">
        <f t="shared" si="364"/>
        <v>0</v>
      </c>
      <c r="T698" s="98">
        <f t="shared" si="364"/>
        <v>0</v>
      </c>
      <c r="U698" s="98">
        <f t="shared" si="364"/>
        <v>0</v>
      </c>
      <c r="V698" s="98">
        <f t="shared" si="364"/>
        <v>0</v>
      </c>
      <c r="W698" s="98">
        <f t="shared" si="364"/>
        <v>0</v>
      </c>
      <c r="X698" s="98">
        <f t="shared" si="364"/>
        <v>0</v>
      </c>
    </row>
    <row r="699" spans="2:24">
      <c r="B699" s="412" t="s">
        <v>684</v>
      </c>
      <c r="C699" s="412"/>
      <c r="D699" s="413"/>
      <c r="E699" s="413"/>
      <c r="F699" s="414"/>
      <c r="G699" s="413"/>
      <c r="H699" s="414"/>
      <c r="I699" s="413"/>
      <c r="J699" s="414"/>
      <c r="K699" s="413">
        <f>ROUND(SUM(K744:K783),0)</f>
        <v>0</v>
      </c>
      <c r="L699" s="413">
        <f t="shared" ref="L699:X699" si="365">ROUND(SUM(L744:L783),0)</f>
        <v>0</v>
      </c>
      <c r="M699" s="413">
        <f t="shared" si="365"/>
        <v>0</v>
      </c>
      <c r="N699" s="413">
        <f t="shared" si="365"/>
        <v>0</v>
      </c>
      <c r="O699" s="413">
        <f t="shared" si="365"/>
        <v>0</v>
      </c>
      <c r="P699" s="413">
        <f t="shared" si="365"/>
        <v>0</v>
      </c>
      <c r="Q699" s="413">
        <f t="shared" si="365"/>
        <v>0</v>
      </c>
      <c r="R699" s="413">
        <f t="shared" si="365"/>
        <v>0</v>
      </c>
      <c r="S699" s="413">
        <f t="shared" si="365"/>
        <v>0</v>
      </c>
      <c r="T699" s="413">
        <f t="shared" si="365"/>
        <v>0</v>
      </c>
      <c r="U699" s="413">
        <f t="shared" si="365"/>
        <v>0</v>
      </c>
      <c r="V699" s="413">
        <f t="shared" si="365"/>
        <v>0</v>
      </c>
      <c r="W699" s="413">
        <f t="shared" si="365"/>
        <v>0</v>
      </c>
      <c r="X699" s="413">
        <f t="shared" si="365"/>
        <v>0</v>
      </c>
    </row>
    <row r="700" spans="2:24"/>
    <row r="701" spans="2:24">
      <c r="B701" s="189" t="s">
        <v>424</v>
      </c>
      <c r="C701" s="396"/>
      <c r="D701" s="190"/>
      <c r="E701" s="191"/>
      <c r="F701" s="191"/>
      <c r="G701" s="191"/>
      <c r="H701" s="191"/>
      <c r="I701" s="191"/>
      <c r="J701" s="191"/>
      <c r="K701" s="555"/>
      <c r="L701" s="556"/>
      <c r="M701" s="556"/>
      <c r="N701" s="556"/>
      <c r="O701" s="556"/>
      <c r="P701" s="556"/>
      <c r="Q701" s="556"/>
      <c r="R701" s="556"/>
      <c r="S701" s="556"/>
      <c r="T701" s="556"/>
      <c r="U701" s="556"/>
      <c r="V701" s="556"/>
      <c r="W701" s="556"/>
      <c r="X701" s="556"/>
    </row>
    <row r="702" spans="2:24">
      <c r="B702" s="63" t="str">
        <f t="shared" ref="B702:C721" si="366">IF(ISBLANK(B658),"",B658)</f>
        <v/>
      </c>
      <c r="C702" s="63" t="str">
        <f t="shared" si="366"/>
        <v/>
      </c>
      <c r="D702" s="102"/>
      <c r="E702" s="102"/>
      <c r="F702" s="102"/>
      <c r="G702" s="102"/>
      <c r="H702" s="102"/>
      <c r="I702" s="102"/>
      <c r="J702" s="202" t="str" cm="1">
        <f t="array" ref="J702">IF(J658="wstaw dane","",IF(OR(ISBLANK(F658)=TRUE,ISBLANK(G658)=TRUE),"uzupełnij dane",IF(OR((AND(F658="nie",SUMPRODUCT(ISNUMBER(K702:X702)*1)&gt;0)),AND(F658=tak,G658=nie,SUMPRODUCT(ISNUMBER(K702:X702)*1)&gt;0)),"usuń % dotacji",IF(AND(F658=tak,G658=tak,SUMPRODUCT(ISNUMBER(K702:X702)*1)=0),"wstaw % dotacji","ok"))))</f>
        <v/>
      </c>
      <c r="K702" s="416"/>
      <c r="L702" s="416"/>
      <c r="M702" s="416"/>
      <c r="N702" s="416"/>
      <c r="O702" s="416"/>
      <c r="P702" s="416"/>
      <c r="Q702" s="416"/>
      <c r="R702" s="416"/>
      <c r="S702" s="416"/>
      <c r="T702" s="416"/>
      <c r="U702" s="416"/>
      <c r="V702" s="416"/>
      <c r="W702" s="416"/>
      <c r="X702" s="416"/>
    </row>
    <row r="703" spans="2:24">
      <c r="B703" s="63" t="str">
        <f t="shared" si="366"/>
        <v/>
      </c>
      <c r="C703" s="63" t="str">
        <f t="shared" si="366"/>
        <v/>
      </c>
      <c r="D703" s="52"/>
      <c r="E703" s="52"/>
      <c r="F703" s="52"/>
      <c r="G703" s="52"/>
      <c r="H703" s="52"/>
      <c r="I703" s="52"/>
      <c r="J703" s="203" t="str" cm="1">
        <f t="array" ref="J703">IF(J659="wstaw dane","",IF(OR(ISBLANK(F659)=TRUE,ISBLANK(G659)=TRUE),"uzupełnij dane",IF(OR((AND(F659="nie",SUMPRODUCT(ISNUMBER(K703:X703)*1)&gt;0)),AND(F659=tak,G659=nie,SUMPRODUCT(ISNUMBER(K703:X703)*1)&gt;0)),"usuń % dotacji",IF(AND(F659=tak,G659=tak,SUMPRODUCT(ISNUMBER(K703:X703)*1)=0),"wstaw % dotacji","ok"))))</f>
        <v/>
      </c>
      <c r="K703" s="417"/>
      <c r="L703" s="417"/>
      <c r="M703" s="417"/>
      <c r="N703" s="417"/>
      <c r="O703" s="417"/>
      <c r="P703" s="417"/>
      <c r="Q703" s="417"/>
      <c r="R703" s="417"/>
      <c r="S703" s="417"/>
      <c r="T703" s="417"/>
      <c r="U703" s="417"/>
      <c r="V703" s="417"/>
      <c r="W703" s="417"/>
      <c r="X703" s="417"/>
    </row>
    <row r="704" spans="2:24">
      <c r="B704" s="63" t="str">
        <f t="shared" si="366"/>
        <v/>
      </c>
      <c r="C704" s="63" t="str">
        <f t="shared" si="366"/>
        <v/>
      </c>
      <c r="D704" s="52"/>
      <c r="E704" s="52"/>
      <c r="F704" s="52"/>
      <c r="G704" s="52"/>
      <c r="H704" s="52"/>
      <c r="I704" s="52"/>
      <c r="J704" s="203" t="str" cm="1">
        <f t="array" ref="J704">IF(J660="wstaw dane","",IF(OR(ISBLANK(F660)=TRUE,ISBLANK(G660)=TRUE),"uzupełnij dane",IF(OR((AND(F660="nie",SUMPRODUCT(ISNUMBER(K704:X704)*1)&gt;0)),AND(F660=tak,G660=nie,SUMPRODUCT(ISNUMBER(K704:X704)*1)&gt;0)),"usuń % dotacji",IF(AND(F660=tak,G660=tak,SUMPRODUCT(ISNUMBER(K704:X704)*1)=0),"wstaw % dotacji","ok"))))</f>
        <v/>
      </c>
      <c r="K704" s="417"/>
      <c r="L704" s="417"/>
      <c r="M704" s="417"/>
      <c r="N704" s="417"/>
      <c r="O704" s="417"/>
      <c r="P704" s="417"/>
      <c r="Q704" s="417"/>
      <c r="R704" s="417"/>
      <c r="S704" s="417"/>
      <c r="T704" s="417"/>
      <c r="U704" s="417"/>
      <c r="V704" s="417"/>
      <c r="W704" s="417"/>
      <c r="X704" s="417"/>
    </row>
    <row r="705" spans="2:24">
      <c r="B705" s="63" t="str">
        <f t="shared" si="366"/>
        <v/>
      </c>
      <c r="C705" s="63" t="str">
        <f t="shared" si="366"/>
        <v/>
      </c>
      <c r="D705" s="52"/>
      <c r="E705" s="52"/>
      <c r="F705" s="52"/>
      <c r="G705" s="52"/>
      <c r="H705" s="52"/>
      <c r="I705" s="52"/>
      <c r="J705" s="203" t="str" cm="1">
        <f t="array" ref="J705">IF(J661="wstaw dane","",IF(OR(ISBLANK(F661)=TRUE,ISBLANK(G661)=TRUE),"uzupełnij dane",IF(OR((AND(F661="nie",SUMPRODUCT(ISNUMBER(K705:X705)*1)&gt;0)),AND(F661=tak,G661=nie,SUMPRODUCT(ISNUMBER(K705:X705)*1)&gt;0)),"usuń % dotacji",IF(AND(F661=tak,G661=tak,SUMPRODUCT(ISNUMBER(K705:X705)*1)=0),"wstaw % dotacji","ok"))))</f>
        <v/>
      </c>
      <c r="K705" s="417"/>
      <c r="L705" s="417"/>
      <c r="M705" s="417"/>
      <c r="N705" s="417"/>
      <c r="O705" s="417"/>
      <c r="P705" s="417"/>
      <c r="Q705" s="417"/>
      <c r="R705" s="417"/>
      <c r="S705" s="417"/>
      <c r="T705" s="417"/>
      <c r="U705" s="417"/>
      <c r="V705" s="417"/>
      <c r="W705" s="417"/>
      <c r="X705" s="417"/>
    </row>
    <row r="706" spans="2:24">
      <c r="B706" s="63" t="str">
        <f t="shared" si="366"/>
        <v/>
      </c>
      <c r="C706" s="63" t="str">
        <f t="shared" si="366"/>
        <v/>
      </c>
      <c r="D706" s="52"/>
      <c r="E706" s="52"/>
      <c r="F706" s="52"/>
      <c r="G706" s="52"/>
      <c r="H706" s="52"/>
      <c r="I706" s="52"/>
      <c r="J706" s="203" t="str" cm="1">
        <f t="array" ref="J706">IF(J662="wstaw dane","",IF(OR(ISBLANK(F662)=TRUE,ISBLANK(G662)=TRUE),"uzupełnij dane",IF(OR((AND(F662="nie",SUMPRODUCT(ISNUMBER(K706:X706)*1)&gt;0)),AND(F662=tak,G662=nie,SUMPRODUCT(ISNUMBER(K706:X706)*1)&gt;0)),"usuń % dotacji",IF(AND(F662=tak,G662=tak,SUMPRODUCT(ISNUMBER(K706:X706)*1)=0),"wstaw % dotacji","ok"))))</f>
        <v/>
      </c>
      <c r="K706" s="417"/>
      <c r="L706" s="417"/>
      <c r="M706" s="417"/>
      <c r="N706" s="417"/>
      <c r="O706" s="417"/>
      <c r="P706" s="417"/>
      <c r="Q706" s="417"/>
      <c r="R706" s="417"/>
      <c r="S706" s="417"/>
      <c r="T706" s="417"/>
      <c r="U706" s="417"/>
      <c r="V706" s="417"/>
      <c r="W706" s="417"/>
      <c r="X706" s="417"/>
    </row>
    <row r="707" spans="2:24">
      <c r="B707" s="63" t="str">
        <f t="shared" si="366"/>
        <v/>
      </c>
      <c r="C707" s="63" t="str">
        <f t="shared" si="366"/>
        <v/>
      </c>
      <c r="D707" s="52"/>
      <c r="E707" s="52"/>
      <c r="F707" s="52"/>
      <c r="G707" s="52"/>
      <c r="H707" s="52"/>
      <c r="I707" s="52"/>
      <c r="J707" s="203" t="str" cm="1">
        <f t="array" ref="J707">IF(J663="wstaw dane","",IF(OR(ISBLANK(F663)=TRUE,ISBLANK(G663)=TRUE),"uzupełnij dane",IF(OR((AND(F663="nie",SUMPRODUCT(ISNUMBER(K707:X707)*1)&gt;0)),AND(F663=tak,G663=nie,SUMPRODUCT(ISNUMBER(K707:X707)*1)&gt;0)),"usuń % dotacji",IF(AND(F663=tak,G663=tak,SUMPRODUCT(ISNUMBER(K707:X707)*1)=0),"wstaw % dotacji","ok"))))</f>
        <v/>
      </c>
      <c r="K707" s="417"/>
      <c r="L707" s="417"/>
      <c r="M707" s="417"/>
      <c r="N707" s="417"/>
      <c r="O707" s="417"/>
      <c r="P707" s="417"/>
      <c r="Q707" s="417"/>
      <c r="R707" s="417"/>
      <c r="S707" s="417"/>
      <c r="T707" s="417"/>
      <c r="U707" s="417"/>
      <c r="V707" s="417"/>
      <c r="W707" s="417"/>
      <c r="X707" s="417"/>
    </row>
    <row r="708" spans="2:24">
      <c r="B708" s="63" t="str">
        <f t="shared" si="366"/>
        <v/>
      </c>
      <c r="C708" s="63" t="str">
        <f t="shared" si="366"/>
        <v/>
      </c>
      <c r="D708" s="52"/>
      <c r="E708" s="52"/>
      <c r="F708" s="52"/>
      <c r="G708" s="52"/>
      <c r="H708" s="52"/>
      <c r="I708" s="52"/>
      <c r="J708" s="203" t="str" cm="1">
        <f t="array" ref="J708">IF(J664="wstaw dane","",IF(OR(ISBLANK(F664)=TRUE,ISBLANK(G664)=TRUE),"uzupełnij dane",IF(OR((AND(F664="nie",SUMPRODUCT(ISNUMBER(K708:X708)*1)&gt;0)),AND(F664=tak,G664=nie,SUMPRODUCT(ISNUMBER(K708:X708)*1)&gt;0)),"usuń % dotacji",IF(AND(F664=tak,G664=tak,SUMPRODUCT(ISNUMBER(K708:X708)*1)=0),"wstaw % dotacji","ok"))))</f>
        <v/>
      </c>
      <c r="K708" s="417"/>
      <c r="L708" s="417"/>
      <c r="M708" s="417"/>
      <c r="N708" s="417"/>
      <c r="O708" s="417"/>
      <c r="P708" s="417"/>
      <c r="Q708" s="417"/>
      <c r="R708" s="417"/>
      <c r="S708" s="417"/>
      <c r="T708" s="417"/>
      <c r="U708" s="417"/>
      <c r="V708" s="417"/>
      <c r="W708" s="417"/>
      <c r="X708" s="417"/>
    </row>
    <row r="709" spans="2:24">
      <c r="B709" s="63" t="str">
        <f t="shared" si="366"/>
        <v/>
      </c>
      <c r="C709" s="63" t="str">
        <f t="shared" si="366"/>
        <v/>
      </c>
      <c r="D709" s="52"/>
      <c r="E709" s="52"/>
      <c r="F709" s="52"/>
      <c r="G709" s="52"/>
      <c r="H709" s="52"/>
      <c r="I709" s="52"/>
      <c r="J709" s="203" t="str" cm="1">
        <f t="array" ref="J709">IF(J665="wstaw dane","",IF(OR(ISBLANK(F665)=TRUE,ISBLANK(G665)=TRUE),"uzupełnij dane",IF(OR((AND(F665="nie",SUMPRODUCT(ISNUMBER(K709:X709)*1)&gt;0)),AND(F665=tak,G665=nie,SUMPRODUCT(ISNUMBER(K709:X709)*1)&gt;0)),"usuń % dotacji",IF(AND(F665=tak,G665=tak,SUMPRODUCT(ISNUMBER(K709:X709)*1)=0),"wstaw % dotacji","ok"))))</f>
        <v/>
      </c>
      <c r="K709" s="417"/>
      <c r="L709" s="417"/>
      <c r="M709" s="417"/>
      <c r="N709" s="417"/>
      <c r="O709" s="417"/>
      <c r="P709" s="417"/>
      <c r="Q709" s="417"/>
      <c r="R709" s="417"/>
      <c r="S709" s="417"/>
      <c r="T709" s="417"/>
      <c r="U709" s="417"/>
      <c r="V709" s="417"/>
      <c r="W709" s="417"/>
      <c r="X709" s="417"/>
    </row>
    <row r="710" spans="2:24">
      <c r="B710" s="63" t="str">
        <f t="shared" si="366"/>
        <v/>
      </c>
      <c r="C710" s="63" t="str">
        <f t="shared" si="366"/>
        <v/>
      </c>
      <c r="D710" s="52"/>
      <c r="E710" s="52"/>
      <c r="F710" s="52"/>
      <c r="G710" s="52"/>
      <c r="H710" s="52"/>
      <c r="I710" s="52"/>
      <c r="J710" s="203" t="str" cm="1">
        <f t="array" ref="J710">IF(J666="wstaw dane","",IF(OR(ISBLANK(F666)=TRUE,ISBLANK(G666)=TRUE),"uzupełnij dane",IF(OR((AND(F666="nie",SUMPRODUCT(ISNUMBER(K710:X710)*1)&gt;0)),AND(F666=tak,G666=nie,SUMPRODUCT(ISNUMBER(K710:X710)*1)&gt;0)),"usuń % dotacji",IF(AND(F666=tak,G666=tak,SUMPRODUCT(ISNUMBER(K710:X710)*1)=0),"wstaw % dotacji","ok"))))</f>
        <v/>
      </c>
      <c r="K710" s="417"/>
      <c r="L710" s="417"/>
      <c r="M710" s="417"/>
      <c r="N710" s="417"/>
      <c r="O710" s="417"/>
      <c r="P710" s="417"/>
      <c r="Q710" s="417"/>
      <c r="R710" s="417"/>
      <c r="S710" s="417"/>
      <c r="T710" s="417"/>
      <c r="U710" s="417"/>
      <c r="V710" s="417"/>
      <c r="W710" s="417"/>
      <c r="X710" s="417"/>
    </row>
    <row r="711" spans="2:24">
      <c r="B711" s="63" t="str">
        <f t="shared" si="366"/>
        <v/>
      </c>
      <c r="C711" s="63" t="str">
        <f t="shared" si="366"/>
        <v/>
      </c>
      <c r="D711" s="52"/>
      <c r="E711" s="52"/>
      <c r="F711" s="52"/>
      <c r="G711" s="52"/>
      <c r="H711" s="52"/>
      <c r="I711" s="52"/>
      <c r="J711" s="203" t="str" cm="1">
        <f t="array" ref="J711">IF(J667="wstaw dane","",IF(OR(ISBLANK(F667)=TRUE,ISBLANK(G667)=TRUE),"uzupełnij dane",IF(OR((AND(F667="nie",SUMPRODUCT(ISNUMBER(K711:X711)*1)&gt;0)),AND(F667=tak,G667=nie,SUMPRODUCT(ISNUMBER(K711:X711)*1)&gt;0)),"usuń % dotacji",IF(AND(F667=tak,G667=tak,SUMPRODUCT(ISNUMBER(K711:X711)*1)=0),"wstaw % dotacji","ok"))))</f>
        <v/>
      </c>
      <c r="K711" s="417"/>
      <c r="L711" s="417"/>
      <c r="M711" s="417"/>
      <c r="N711" s="417"/>
      <c r="O711" s="417"/>
      <c r="P711" s="417"/>
      <c r="Q711" s="417"/>
      <c r="R711" s="417"/>
      <c r="S711" s="417"/>
      <c r="T711" s="417"/>
      <c r="U711" s="417"/>
      <c r="V711" s="417"/>
      <c r="W711" s="417"/>
      <c r="X711" s="417"/>
    </row>
    <row r="712" spans="2:24">
      <c r="B712" s="63" t="str">
        <f t="shared" si="366"/>
        <v/>
      </c>
      <c r="C712" s="63" t="str">
        <f t="shared" si="366"/>
        <v/>
      </c>
      <c r="D712" s="52"/>
      <c r="E712" s="52"/>
      <c r="F712" s="52"/>
      <c r="G712" s="52"/>
      <c r="H712" s="52"/>
      <c r="I712" s="52"/>
      <c r="J712" s="203" t="str" cm="1">
        <f t="array" ref="J712">IF(J668="wstaw dane","",IF(OR(ISBLANK(F668)=TRUE,ISBLANK(G668)=TRUE),"uzupełnij dane",IF(OR((AND(F668="nie",SUMPRODUCT(ISNUMBER(K712:X712)*1)&gt;0)),AND(F668=tak,G668=nie,SUMPRODUCT(ISNUMBER(K712:X712)*1)&gt;0)),"usuń % dotacji",IF(AND(F668=tak,G668=tak,SUMPRODUCT(ISNUMBER(K712:X712)*1)=0),"wstaw % dotacji","ok"))))</f>
        <v/>
      </c>
      <c r="K712" s="417"/>
      <c r="L712" s="417"/>
      <c r="M712" s="417"/>
      <c r="N712" s="417"/>
      <c r="O712" s="417"/>
      <c r="P712" s="417"/>
      <c r="Q712" s="417"/>
      <c r="R712" s="417"/>
      <c r="S712" s="417"/>
      <c r="T712" s="417"/>
      <c r="U712" s="417"/>
      <c r="V712" s="417"/>
      <c r="W712" s="417"/>
      <c r="X712" s="417"/>
    </row>
    <row r="713" spans="2:24">
      <c r="B713" s="63" t="str">
        <f t="shared" si="366"/>
        <v/>
      </c>
      <c r="C713" s="63" t="str">
        <f t="shared" si="366"/>
        <v/>
      </c>
      <c r="D713" s="52"/>
      <c r="E713" s="52"/>
      <c r="F713" s="52"/>
      <c r="G713" s="52"/>
      <c r="H713" s="52"/>
      <c r="I713" s="52"/>
      <c r="J713" s="203" t="str" cm="1">
        <f t="array" ref="J713">IF(J669="wstaw dane","",IF(OR(ISBLANK(F669)=TRUE,ISBLANK(G669)=TRUE),"uzupełnij dane",IF(OR((AND(F669="nie",SUMPRODUCT(ISNUMBER(K713:X713)*1)&gt;0)),AND(F669=tak,G669=nie,SUMPRODUCT(ISNUMBER(K713:X713)*1)&gt;0)),"usuń % dotacji",IF(AND(F669=tak,G669=tak,SUMPRODUCT(ISNUMBER(K713:X713)*1)=0),"wstaw % dotacji","ok"))))</f>
        <v/>
      </c>
      <c r="K713" s="417"/>
      <c r="L713" s="417"/>
      <c r="M713" s="417"/>
      <c r="N713" s="417"/>
      <c r="O713" s="417"/>
      <c r="P713" s="417"/>
      <c r="Q713" s="417"/>
      <c r="R713" s="417"/>
      <c r="S713" s="417"/>
      <c r="T713" s="417"/>
      <c r="U713" s="417"/>
      <c r="V713" s="417"/>
      <c r="W713" s="417"/>
      <c r="X713" s="417"/>
    </row>
    <row r="714" spans="2:24">
      <c r="B714" s="63" t="str">
        <f t="shared" si="366"/>
        <v/>
      </c>
      <c r="C714" s="63" t="str">
        <f t="shared" si="366"/>
        <v/>
      </c>
      <c r="D714" s="52"/>
      <c r="E714" s="52"/>
      <c r="F714" s="52"/>
      <c r="G714" s="52"/>
      <c r="H714" s="52"/>
      <c r="I714" s="52"/>
      <c r="J714" s="203" t="str" cm="1">
        <f t="array" ref="J714">IF(J670="wstaw dane","",IF(OR(ISBLANK(F670)=TRUE,ISBLANK(G670)=TRUE),"uzupełnij dane",IF(OR((AND(F670="nie",SUMPRODUCT(ISNUMBER(K714:X714)*1)&gt;0)),AND(F670=tak,G670=nie,SUMPRODUCT(ISNUMBER(K714:X714)*1)&gt;0)),"usuń % dotacji",IF(AND(F670=tak,G670=tak,SUMPRODUCT(ISNUMBER(K714:X714)*1)=0),"wstaw % dotacji","ok"))))</f>
        <v/>
      </c>
      <c r="K714" s="417"/>
      <c r="L714" s="417"/>
      <c r="M714" s="417"/>
      <c r="N714" s="417"/>
      <c r="O714" s="417"/>
      <c r="P714" s="417"/>
      <c r="Q714" s="417"/>
      <c r="R714" s="417"/>
      <c r="S714" s="417"/>
      <c r="T714" s="417"/>
      <c r="U714" s="417"/>
      <c r="V714" s="417"/>
      <c r="W714" s="417"/>
      <c r="X714" s="417"/>
    </row>
    <row r="715" spans="2:24">
      <c r="B715" s="63" t="str">
        <f t="shared" si="366"/>
        <v/>
      </c>
      <c r="C715" s="63" t="str">
        <f t="shared" si="366"/>
        <v/>
      </c>
      <c r="D715" s="52"/>
      <c r="E715" s="52"/>
      <c r="F715" s="52"/>
      <c r="G715" s="52"/>
      <c r="H715" s="52"/>
      <c r="I715" s="52"/>
      <c r="J715" s="203" t="str" cm="1">
        <f t="array" ref="J715">IF(J671="wstaw dane","",IF(OR(ISBLANK(F671)=TRUE,ISBLANK(G671)=TRUE),"uzupełnij dane",IF(OR((AND(F671="nie",SUMPRODUCT(ISNUMBER(K715:X715)*1)&gt;0)),AND(F671=tak,G671=nie,SUMPRODUCT(ISNUMBER(K715:X715)*1)&gt;0)),"usuń % dotacji",IF(AND(F671=tak,G671=tak,SUMPRODUCT(ISNUMBER(K715:X715)*1)=0),"wstaw % dotacji","ok"))))</f>
        <v/>
      </c>
      <c r="K715" s="417"/>
      <c r="L715" s="417"/>
      <c r="M715" s="417"/>
      <c r="N715" s="417"/>
      <c r="O715" s="417"/>
      <c r="P715" s="417"/>
      <c r="Q715" s="417"/>
      <c r="R715" s="417"/>
      <c r="S715" s="417"/>
      <c r="T715" s="417"/>
      <c r="U715" s="417"/>
      <c r="V715" s="417"/>
      <c r="W715" s="417"/>
      <c r="X715" s="417"/>
    </row>
    <row r="716" spans="2:24">
      <c r="B716" s="63" t="str">
        <f t="shared" si="366"/>
        <v/>
      </c>
      <c r="C716" s="63" t="str">
        <f t="shared" si="366"/>
        <v/>
      </c>
      <c r="D716" s="52"/>
      <c r="E716" s="52"/>
      <c r="F716" s="52"/>
      <c r="G716" s="52"/>
      <c r="H716" s="52"/>
      <c r="I716" s="52"/>
      <c r="J716" s="203" t="str" cm="1">
        <f t="array" ref="J716">IF(J672="wstaw dane","",IF(OR(ISBLANK(F672)=TRUE,ISBLANK(G672)=TRUE),"uzupełnij dane",IF(OR((AND(F672="nie",SUMPRODUCT(ISNUMBER(K716:X716)*1)&gt;0)),AND(F672=tak,G672=nie,SUMPRODUCT(ISNUMBER(K716:X716)*1)&gt;0)),"usuń % dotacji",IF(AND(F672=tak,G672=tak,SUMPRODUCT(ISNUMBER(K716:X716)*1)=0),"wstaw % dotacji","ok"))))</f>
        <v/>
      </c>
      <c r="K716" s="417"/>
      <c r="L716" s="417"/>
      <c r="M716" s="417"/>
      <c r="N716" s="417"/>
      <c r="O716" s="417"/>
      <c r="P716" s="417"/>
      <c r="Q716" s="417"/>
      <c r="R716" s="417"/>
      <c r="S716" s="417"/>
      <c r="T716" s="417"/>
      <c r="U716" s="417"/>
      <c r="V716" s="417"/>
      <c r="W716" s="417"/>
      <c r="X716" s="417"/>
    </row>
    <row r="717" spans="2:24">
      <c r="B717" s="63" t="str">
        <f t="shared" si="366"/>
        <v/>
      </c>
      <c r="C717" s="63" t="str">
        <f t="shared" si="366"/>
        <v/>
      </c>
      <c r="D717" s="52"/>
      <c r="E717" s="52"/>
      <c r="F717" s="52"/>
      <c r="G717" s="52"/>
      <c r="H717" s="52"/>
      <c r="I717" s="52"/>
      <c r="J717" s="203" t="str" cm="1">
        <f t="array" ref="J717">IF(J673="wstaw dane","",IF(OR(ISBLANK(F673)=TRUE,ISBLANK(G673)=TRUE),"uzupełnij dane",IF(OR((AND(F673="nie",SUMPRODUCT(ISNUMBER(K717:X717)*1)&gt;0)),AND(F673=tak,G673=nie,SUMPRODUCT(ISNUMBER(K717:X717)*1)&gt;0)),"usuń % dotacji",IF(AND(F673=tak,G673=tak,SUMPRODUCT(ISNUMBER(K717:X717)*1)=0),"wstaw % dotacji","ok"))))</f>
        <v/>
      </c>
      <c r="K717" s="417"/>
      <c r="L717" s="417"/>
      <c r="M717" s="417"/>
      <c r="N717" s="417"/>
      <c r="O717" s="417"/>
      <c r="P717" s="417"/>
      <c r="Q717" s="417"/>
      <c r="R717" s="417"/>
      <c r="S717" s="417"/>
      <c r="T717" s="417"/>
      <c r="U717" s="417"/>
      <c r="V717" s="417"/>
      <c r="W717" s="417"/>
      <c r="X717" s="417"/>
    </row>
    <row r="718" spans="2:24">
      <c r="B718" s="63" t="str">
        <f t="shared" si="366"/>
        <v/>
      </c>
      <c r="C718" s="63" t="str">
        <f t="shared" si="366"/>
        <v/>
      </c>
      <c r="D718" s="52"/>
      <c r="E718" s="52"/>
      <c r="F718" s="52"/>
      <c r="G718" s="52"/>
      <c r="H718" s="52"/>
      <c r="I718" s="52"/>
      <c r="J718" s="203" t="str" cm="1">
        <f t="array" ref="J718">IF(J674="wstaw dane","",IF(OR(ISBLANK(F674)=TRUE,ISBLANK(G674)=TRUE),"uzupełnij dane",IF(OR((AND(F674="nie",SUMPRODUCT(ISNUMBER(K718:X718)*1)&gt;0)),AND(F674=tak,G674=nie,SUMPRODUCT(ISNUMBER(K718:X718)*1)&gt;0)),"usuń % dotacji",IF(AND(F674=tak,G674=tak,SUMPRODUCT(ISNUMBER(K718:X718)*1)=0),"wstaw % dotacji","ok"))))</f>
        <v/>
      </c>
      <c r="K718" s="417"/>
      <c r="L718" s="417"/>
      <c r="M718" s="417"/>
      <c r="N718" s="417"/>
      <c r="O718" s="417"/>
      <c r="P718" s="417"/>
      <c r="Q718" s="417"/>
      <c r="R718" s="417"/>
      <c r="S718" s="417"/>
      <c r="T718" s="417"/>
      <c r="U718" s="417"/>
      <c r="V718" s="417"/>
      <c r="W718" s="417"/>
      <c r="X718" s="417"/>
    </row>
    <row r="719" spans="2:24">
      <c r="B719" s="63" t="str">
        <f t="shared" si="366"/>
        <v/>
      </c>
      <c r="C719" s="63" t="str">
        <f t="shared" si="366"/>
        <v/>
      </c>
      <c r="D719" s="52"/>
      <c r="E719" s="52"/>
      <c r="F719" s="52"/>
      <c r="G719" s="52"/>
      <c r="H719" s="52"/>
      <c r="I719" s="52"/>
      <c r="J719" s="203" t="str" cm="1">
        <f t="array" ref="J719">IF(J675="wstaw dane","",IF(OR(ISBLANK(F675)=TRUE,ISBLANK(G675)=TRUE),"uzupełnij dane",IF(OR((AND(F675="nie",SUMPRODUCT(ISNUMBER(K719:X719)*1)&gt;0)),AND(F675=tak,G675=nie,SUMPRODUCT(ISNUMBER(K719:X719)*1)&gt;0)),"usuń % dotacji",IF(AND(F675=tak,G675=tak,SUMPRODUCT(ISNUMBER(K719:X719)*1)=0),"wstaw % dotacji","ok"))))</f>
        <v/>
      </c>
      <c r="K719" s="417"/>
      <c r="L719" s="417"/>
      <c r="M719" s="417"/>
      <c r="N719" s="417"/>
      <c r="O719" s="417"/>
      <c r="P719" s="417"/>
      <c r="Q719" s="417"/>
      <c r="R719" s="417"/>
      <c r="S719" s="417"/>
      <c r="T719" s="417"/>
      <c r="U719" s="417"/>
      <c r="V719" s="417"/>
      <c r="W719" s="417"/>
      <c r="X719" s="417"/>
    </row>
    <row r="720" spans="2:24">
      <c r="B720" s="63" t="str">
        <f t="shared" si="366"/>
        <v/>
      </c>
      <c r="C720" s="63" t="str">
        <f t="shared" si="366"/>
        <v/>
      </c>
      <c r="D720" s="52"/>
      <c r="E720" s="52"/>
      <c r="F720" s="52"/>
      <c r="G720" s="52"/>
      <c r="H720" s="52"/>
      <c r="I720" s="52"/>
      <c r="J720" s="203" t="str" cm="1">
        <f t="array" ref="J720">IF(J676="wstaw dane","",IF(OR(ISBLANK(F676)=TRUE,ISBLANK(G676)=TRUE),"uzupełnij dane",IF(OR((AND(F676="nie",SUMPRODUCT(ISNUMBER(K720:X720)*1)&gt;0)),AND(F676=tak,G676=nie,SUMPRODUCT(ISNUMBER(K720:X720)*1)&gt;0)),"usuń % dotacji",IF(AND(F676=tak,G676=tak,SUMPRODUCT(ISNUMBER(K720:X720)*1)=0),"wstaw % dotacji","ok"))))</f>
        <v/>
      </c>
      <c r="K720" s="417"/>
      <c r="L720" s="417"/>
      <c r="M720" s="417"/>
      <c r="N720" s="417"/>
      <c r="O720" s="417"/>
      <c r="P720" s="417"/>
      <c r="Q720" s="417"/>
      <c r="R720" s="417"/>
      <c r="S720" s="417"/>
      <c r="T720" s="417"/>
      <c r="U720" s="417"/>
      <c r="V720" s="417"/>
      <c r="W720" s="417"/>
      <c r="X720" s="417"/>
    </row>
    <row r="721" spans="2:24">
      <c r="B721" s="63" t="str">
        <f t="shared" si="366"/>
        <v/>
      </c>
      <c r="C721" s="63" t="str">
        <f t="shared" si="366"/>
        <v/>
      </c>
      <c r="D721" s="52"/>
      <c r="E721" s="52"/>
      <c r="F721" s="52"/>
      <c r="G721" s="52"/>
      <c r="H721" s="52"/>
      <c r="I721" s="52"/>
      <c r="J721" s="203" t="str" cm="1">
        <f t="array" ref="J721">IF(J677="wstaw dane","",IF(OR(ISBLANK(F677)=TRUE,ISBLANK(G677)=TRUE),"uzupełnij dane",IF(OR((AND(F677="nie",SUMPRODUCT(ISNUMBER(K721:X721)*1)&gt;0)),AND(F677=tak,G677=nie,SUMPRODUCT(ISNUMBER(K721:X721)*1)&gt;0)),"usuń % dotacji",IF(AND(F677=tak,G677=tak,SUMPRODUCT(ISNUMBER(K721:X721)*1)=0),"wstaw % dotacji","ok"))))</f>
        <v/>
      </c>
      <c r="K721" s="417"/>
      <c r="L721" s="417"/>
      <c r="M721" s="417"/>
      <c r="N721" s="417"/>
      <c r="O721" s="417"/>
      <c r="P721" s="417"/>
      <c r="Q721" s="417"/>
      <c r="R721" s="417"/>
      <c r="S721" s="417"/>
      <c r="T721" s="417"/>
      <c r="U721" s="417"/>
      <c r="V721" s="417"/>
      <c r="W721" s="417"/>
      <c r="X721" s="417"/>
    </row>
    <row r="722" spans="2:24">
      <c r="B722" s="63" t="str">
        <f t="shared" ref="B722:C741" si="367">IF(ISBLANK(B678),"",B678)</f>
        <v/>
      </c>
      <c r="C722" s="63" t="str">
        <f t="shared" si="367"/>
        <v/>
      </c>
      <c r="D722" s="52"/>
      <c r="E722" s="52"/>
      <c r="F722" s="52"/>
      <c r="G722" s="52"/>
      <c r="H722" s="52"/>
      <c r="I722" s="52"/>
      <c r="J722" s="203" t="str" cm="1">
        <f t="array" ref="J722">IF(J678="wstaw dane","",IF(OR(ISBLANK(F678)=TRUE,ISBLANK(G678)=TRUE),"uzupełnij dane",IF(OR((AND(F678="nie",SUMPRODUCT(ISNUMBER(K722:X722)*1)&gt;0)),AND(F678=tak,G678=nie,SUMPRODUCT(ISNUMBER(K722:X722)*1)&gt;0)),"usuń % dotacji",IF(AND(F678=tak,G678=tak,SUMPRODUCT(ISNUMBER(K722:X722)*1)=0),"wstaw % dotacji","ok"))))</f>
        <v/>
      </c>
      <c r="K722" s="417"/>
      <c r="L722" s="417"/>
      <c r="M722" s="417"/>
      <c r="N722" s="417"/>
      <c r="O722" s="417"/>
      <c r="P722" s="417"/>
      <c r="Q722" s="417"/>
      <c r="R722" s="417"/>
      <c r="S722" s="417"/>
      <c r="T722" s="417"/>
      <c r="U722" s="417"/>
      <c r="V722" s="417"/>
      <c r="W722" s="417"/>
      <c r="X722" s="417"/>
    </row>
    <row r="723" spans="2:24">
      <c r="B723" s="63" t="str">
        <f t="shared" si="367"/>
        <v/>
      </c>
      <c r="C723" s="63" t="str">
        <f t="shared" si="367"/>
        <v/>
      </c>
      <c r="D723" s="52"/>
      <c r="E723" s="52"/>
      <c r="F723" s="52"/>
      <c r="G723" s="52"/>
      <c r="H723" s="52"/>
      <c r="I723" s="52"/>
      <c r="J723" s="203" t="str" cm="1">
        <f t="array" ref="J723">IF(J679="wstaw dane","",IF(OR(ISBLANK(F679)=TRUE,ISBLANK(G679)=TRUE),"uzupełnij dane",IF(OR((AND(F679="nie",SUMPRODUCT(ISNUMBER(K723:X723)*1)&gt;0)),AND(F679=tak,G679=nie,SUMPRODUCT(ISNUMBER(K723:X723)*1)&gt;0)),"usuń % dotacji",IF(AND(F679=tak,G679=tak,SUMPRODUCT(ISNUMBER(K723:X723)*1)=0),"wstaw % dotacji","ok"))))</f>
        <v/>
      </c>
      <c r="K723" s="417"/>
      <c r="L723" s="417"/>
      <c r="M723" s="417"/>
      <c r="N723" s="417"/>
      <c r="O723" s="417"/>
      <c r="P723" s="417"/>
      <c r="Q723" s="417"/>
      <c r="R723" s="417"/>
      <c r="S723" s="417"/>
      <c r="T723" s="417"/>
      <c r="U723" s="417"/>
      <c r="V723" s="417"/>
      <c r="W723" s="417"/>
      <c r="X723" s="417"/>
    </row>
    <row r="724" spans="2:24">
      <c r="B724" s="63" t="str">
        <f t="shared" si="367"/>
        <v/>
      </c>
      <c r="C724" s="63" t="str">
        <f t="shared" si="367"/>
        <v/>
      </c>
      <c r="D724" s="52"/>
      <c r="E724" s="52"/>
      <c r="F724" s="52"/>
      <c r="G724" s="52"/>
      <c r="H724" s="52"/>
      <c r="I724" s="52"/>
      <c r="J724" s="203" t="str" cm="1">
        <f t="array" ref="J724">IF(J680="wstaw dane","",IF(OR(ISBLANK(F680)=TRUE,ISBLANK(G680)=TRUE),"uzupełnij dane",IF(OR((AND(F680="nie",SUMPRODUCT(ISNUMBER(K724:X724)*1)&gt;0)),AND(F680=tak,G680=nie,SUMPRODUCT(ISNUMBER(K724:X724)*1)&gt;0)),"usuń % dotacji",IF(AND(F680=tak,G680=tak,SUMPRODUCT(ISNUMBER(K724:X724)*1)=0),"wstaw % dotacji","ok"))))</f>
        <v/>
      </c>
      <c r="K724" s="417"/>
      <c r="L724" s="417"/>
      <c r="M724" s="417"/>
      <c r="N724" s="417"/>
      <c r="O724" s="417"/>
      <c r="P724" s="417"/>
      <c r="Q724" s="417"/>
      <c r="R724" s="417"/>
      <c r="S724" s="417"/>
      <c r="T724" s="417"/>
      <c r="U724" s="417"/>
      <c r="V724" s="417"/>
      <c r="W724" s="417"/>
      <c r="X724" s="417"/>
    </row>
    <row r="725" spans="2:24">
      <c r="B725" s="63" t="str">
        <f t="shared" si="367"/>
        <v/>
      </c>
      <c r="C725" s="63" t="str">
        <f t="shared" si="367"/>
        <v/>
      </c>
      <c r="D725" s="52"/>
      <c r="E725" s="52"/>
      <c r="F725" s="52"/>
      <c r="G725" s="52"/>
      <c r="H725" s="52"/>
      <c r="I725" s="52"/>
      <c r="J725" s="203" t="str" cm="1">
        <f t="array" ref="J725">IF(J681="wstaw dane","",IF(OR(ISBLANK(F681)=TRUE,ISBLANK(G681)=TRUE),"uzupełnij dane",IF(OR((AND(F681="nie",SUMPRODUCT(ISNUMBER(K725:X725)*1)&gt;0)),AND(F681=tak,G681=nie,SUMPRODUCT(ISNUMBER(K725:X725)*1)&gt;0)),"usuń % dotacji",IF(AND(F681=tak,G681=tak,SUMPRODUCT(ISNUMBER(K725:X725)*1)=0),"wstaw % dotacji","ok"))))</f>
        <v/>
      </c>
      <c r="K725" s="417"/>
      <c r="L725" s="417"/>
      <c r="M725" s="417"/>
      <c r="N725" s="417"/>
      <c r="O725" s="417"/>
      <c r="P725" s="417"/>
      <c r="Q725" s="417"/>
      <c r="R725" s="417"/>
      <c r="S725" s="417"/>
      <c r="T725" s="417"/>
      <c r="U725" s="417"/>
      <c r="V725" s="417"/>
      <c r="W725" s="417"/>
      <c r="X725" s="417"/>
    </row>
    <row r="726" spans="2:24">
      <c r="B726" s="63" t="str">
        <f t="shared" si="367"/>
        <v/>
      </c>
      <c r="C726" s="63" t="str">
        <f t="shared" si="367"/>
        <v/>
      </c>
      <c r="D726" s="52"/>
      <c r="E726" s="52"/>
      <c r="F726" s="52"/>
      <c r="G726" s="52"/>
      <c r="H726" s="52"/>
      <c r="I726" s="52"/>
      <c r="J726" s="203" t="str" cm="1">
        <f t="array" ref="J726">IF(J682="wstaw dane","",IF(OR(ISBLANK(F682)=TRUE,ISBLANK(G682)=TRUE),"uzupełnij dane",IF(OR((AND(F682="nie",SUMPRODUCT(ISNUMBER(K726:X726)*1)&gt;0)),AND(F682=tak,G682=nie,SUMPRODUCT(ISNUMBER(K726:X726)*1)&gt;0)),"usuń % dotacji",IF(AND(F682=tak,G682=tak,SUMPRODUCT(ISNUMBER(K726:X726)*1)=0),"wstaw % dotacji","ok"))))</f>
        <v/>
      </c>
      <c r="K726" s="417"/>
      <c r="L726" s="417"/>
      <c r="M726" s="417"/>
      <c r="N726" s="417"/>
      <c r="O726" s="417"/>
      <c r="P726" s="417"/>
      <c r="Q726" s="417"/>
      <c r="R726" s="417"/>
      <c r="S726" s="417"/>
      <c r="T726" s="417"/>
      <c r="U726" s="417"/>
      <c r="V726" s="417"/>
      <c r="W726" s="417"/>
      <c r="X726" s="417"/>
    </row>
    <row r="727" spans="2:24">
      <c r="B727" s="63" t="str">
        <f t="shared" si="367"/>
        <v/>
      </c>
      <c r="C727" s="63" t="str">
        <f t="shared" si="367"/>
        <v/>
      </c>
      <c r="D727" s="52"/>
      <c r="E727" s="52"/>
      <c r="F727" s="52"/>
      <c r="G727" s="52"/>
      <c r="H727" s="52"/>
      <c r="I727" s="52"/>
      <c r="J727" s="203" t="str" cm="1">
        <f t="array" ref="J727">IF(J683="wstaw dane","",IF(OR(ISBLANK(F683)=TRUE,ISBLANK(G683)=TRUE),"uzupełnij dane",IF(OR((AND(F683="nie",SUMPRODUCT(ISNUMBER(K727:X727)*1)&gt;0)),AND(F683=tak,G683=nie,SUMPRODUCT(ISNUMBER(K727:X727)*1)&gt;0)),"usuń % dotacji",IF(AND(F683=tak,G683=tak,SUMPRODUCT(ISNUMBER(K727:X727)*1)=0),"wstaw % dotacji","ok"))))</f>
        <v/>
      </c>
      <c r="K727" s="417"/>
      <c r="L727" s="417"/>
      <c r="M727" s="417"/>
      <c r="N727" s="417"/>
      <c r="O727" s="417"/>
      <c r="P727" s="417"/>
      <c r="Q727" s="417"/>
      <c r="R727" s="417"/>
      <c r="S727" s="417"/>
      <c r="T727" s="417"/>
      <c r="U727" s="417"/>
      <c r="V727" s="417"/>
      <c r="W727" s="417"/>
      <c r="X727" s="417"/>
    </row>
    <row r="728" spans="2:24">
      <c r="B728" s="63" t="str">
        <f t="shared" si="367"/>
        <v/>
      </c>
      <c r="C728" s="63" t="str">
        <f t="shared" si="367"/>
        <v/>
      </c>
      <c r="D728" s="52"/>
      <c r="E728" s="52"/>
      <c r="F728" s="52"/>
      <c r="G728" s="52"/>
      <c r="H728" s="52"/>
      <c r="I728" s="52"/>
      <c r="J728" s="203" t="str" cm="1">
        <f t="array" ref="J728">IF(J684="wstaw dane","",IF(OR(ISBLANK(F684)=TRUE,ISBLANK(G684)=TRUE),"uzupełnij dane",IF(OR((AND(F684="nie",SUMPRODUCT(ISNUMBER(K728:X728)*1)&gt;0)),AND(F684=tak,G684=nie,SUMPRODUCT(ISNUMBER(K728:X728)*1)&gt;0)),"usuń % dotacji",IF(AND(F684=tak,G684=tak,SUMPRODUCT(ISNUMBER(K728:X728)*1)=0),"wstaw % dotacji","ok"))))</f>
        <v/>
      </c>
      <c r="K728" s="417"/>
      <c r="L728" s="417"/>
      <c r="M728" s="417"/>
      <c r="N728" s="417"/>
      <c r="O728" s="417"/>
      <c r="P728" s="417"/>
      <c r="Q728" s="417"/>
      <c r="R728" s="417"/>
      <c r="S728" s="417"/>
      <c r="T728" s="417"/>
      <c r="U728" s="417"/>
      <c r="V728" s="417"/>
      <c r="W728" s="417"/>
      <c r="X728" s="417"/>
    </row>
    <row r="729" spans="2:24">
      <c r="B729" s="63" t="str">
        <f t="shared" si="367"/>
        <v/>
      </c>
      <c r="C729" s="63" t="str">
        <f t="shared" si="367"/>
        <v/>
      </c>
      <c r="D729" s="52"/>
      <c r="E729" s="52"/>
      <c r="F729" s="52"/>
      <c r="G729" s="52"/>
      <c r="H729" s="52"/>
      <c r="I729" s="52"/>
      <c r="J729" s="203" t="str" cm="1">
        <f t="array" ref="J729">IF(J685="wstaw dane","",IF(OR(ISBLANK(F685)=TRUE,ISBLANK(G685)=TRUE),"uzupełnij dane",IF(OR((AND(F685="nie",SUMPRODUCT(ISNUMBER(K729:X729)*1)&gt;0)),AND(F685=tak,G685=nie,SUMPRODUCT(ISNUMBER(K729:X729)*1)&gt;0)),"usuń % dotacji",IF(AND(F685=tak,G685=tak,SUMPRODUCT(ISNUMBER(K729:X729)*1)=0),"wstaw % dotacji","ok"))))</f>
        <v/>
      </c>
      <c r="K729" s="417"/>
      <c r="L729" s="417"/>
      <c r="M729" s="417"/>
      <c r="N729" s="417"/>
      <c r="O729" s="417"/>
      <c r="P729" s="417"/>
      <c r="Q729" s="417"/>
      <c r="R729" s="417"/>
      <c r="S729" s="417"/>
      <c r="T729" s="417"/>
      <c r="U729" s="417"/>
      <c r="V729" s="417"/>
      <c r="W729" s="417"/>
      <c r="X729" s="417"/>
    </row>
    <row r="730" spans="2:24">
      <c r="B730" s="63" t="str">
        <f t="shared" si="367"/>
        <v/>
      </c>
      <c r="C730" s="63" t="str">
        <f t="shared" si="367"/>
        <v/>
      </c>
      <c r="D730" s="52"/>
      <c r="E730" s="52"/>
      <c r="F730" s="52"/>
      <c r="G730" s="52"/>
      <c r="H730" s="52"/>
      <c r="I730" s="52"/>
      <c r="J730" s="203" t="str" cm="1">
        <f t="array" ref="J730">IF(J686="wstaw dane","",IF(OR(ISBLANK(F686)=TRUE,ISBLANK(G686)=TRUE),"uzupełnij dane",IF(OR((AND(F686="nie",SUMPRODUCT(ISNUMBER(K730:X730)*1)&gt;0)),AND(F686=tak,G686=nie,SUMPRODUCT(ISNUMBER(K730:X730)*1)&gt;0)),"usuń % dotacji",IF(AND(F686=tak,G686=tak,SUMPRODUCT(ISNUMBER(K730:X730)*1)=0),"wstaw % dotacji","ok"))))</f>
        <v/>
      </c>
      <c r="K730" s="417"/>
      <c r="L730" s="417"/>
      <c r="M730" s="417"/>
      <c r="N730" s="417"/>
      <c r="O730" s="417"/>
      <c r="P730" s="417"/>
      <c r="Q730" s="417"/>
      <c r="R730" s="417"/>
      <c r="S730" s="417"/>
      <c r="T730" s="417"/>
      <c r="U730" s="417"/>
      <c r="V730" s="417"/>
      <c r="W730" s="417"/>
      <c r="X730" s="417"/>
    </row>
    <row r="731" spans="2:24">
      <c r="B731" s="63" t="str">
        <f t="shared" si="367"/>
        <v/>
      </c>
      <c r="C731" s="63" t="str">
        <f t="shared" si="367"/>
        <v/>
      </c>
      <c r="D731" s="52"/>
      <c r="E731" s="52"/>
      <c r="F731" s="52"/>
      <c r="G731" s="52"/>
      <c r="H731" s="52"/>
      <c r="I731" s="52"/>
      <c r="J731" s="203" t="str" cm="1">
        <f t="array" ref="J731">IF(J687="wstaw dane","",IF(OR(ISBLANK(F687)=TRUE,ISBLANK(G687)=TRUE),"uzupełnij dane",IF(OR((AND(F687="nie",SUMPRODUCT(ISNUMBER(K731:X731)*1)&gt;0)),AND(F687=tak,G687=nie,SUMPRODUCT(ISNUMBER(K731:X731)*1)&gt;0)),"usuń % dotacji",IF(AND(F687=tak,G687=tak,SUMPRODUCT(ISNUMBER(K731:X731)*1)=0),"wstaw % dotacji","ok"))))</f>
        <v/>
      </c>
      <c r="K731" s="417"/>
      <c r="L731" s="417"/>
      <c r="M731" s="417"/>
      <c r="N731" s="417"/>
      <c r="O731" s="417"/>
      <c r="P731" s="417"/>
      <c r="Q731" s="417"/>
      <c r="R731" s="417"/>
      <c r="S731" s="417"/>
      <c r="T731" s="417"/>
      <c r="U731" s="417"/>
      <c r="V731" s="417"/>
      <c r="W731" s="417"/>
      <c r="X731" s="417"/>
    </row>
    <row r="732" spans="2:24">
      <c r="B732" s="63" t="str">
        <f t="shared" si="367"/>
        <v/>
      </c>
      <c r="C732" s="63" t="str">
        <f t="shared" si="367"/>
        <v/>
      </c>
      <c r="D732" s="52"/>
      <c r="E732" s="52"/>
      <c r="F732" s="52"/>
      <c r="G732" s="52"/>
      <c r="H732" s="52"/>
      <c r="I732" s="52"/>
      <c r="J732" s="203" t="str" cm="1">
        <f t="array" ref="J732">IF(J688="wstaw dane","",IF(OR(ISBLANK(F688)=TRUE,ISBLANK(G688)=TRUE),"uzupełnij dane",IF(OR((AND(F688="nie",SUMPRODUCT(ISNUMBER(K732:X732)*1)&gt;0)),AND(F688=tak,G688=nie,SUMPRODUCT(ISNUMBER(K732:X732)*1)&gt;0)),"usuń % dotacji",IF(AND(F688=tak,G688=tak,SUMPRODUCT(ISNUMBER(K732:X732)*1)=0),"wstaw % dotacji","ok"))))</f>
        <v/>
      </c>
      <c r="K732" s="417"/>
      <c r="L732" s="417"/>
      <c r="M732" s="417"/>
      <c r="N732" s="417"/>
      <c r="O732" s="417"/>
      <c r="P732" s="417"/>
      <c r="Q732" s="417"/>
      <c r="R732" s="417"/>
      <c r="S732" s="417"/>
      <c r="T732" s="417"/>
      <c r="U732" s="417"/>
      <c r="V732" s="417"/>
      <c r="W732" s="417"/>
      <c r="X732" s="417"/>
    </row>
    <row r="733" spans="2:24">
      <c r="B733" s="63" t="str">
        <f t="shared" si="367"/>
        <v/>
      </c>
      <c r="C733" s="63" t="str">
        <f t="shared" si="367"/>
        <v/>
      </c>
      <c r="D733" s="52"/>
      <c r="E733" s="52"/>
      <c r="F733" s="52"/>
      <c r="G733" s="52"/>
      <c r="H733" s="52"/>
      <c r="I733" s="52"/>
      <c r="J733" s="203" t="str" cm="1">
        <f t="array" ref="J733">IF(J689="wstaw dane","",IF(OR(ISBLANK(F689)=TRUE,ISBLANK(G689)=TRUE),"uzupełnij dane",IF(OR((AND(F689="nie",SUMPRODUCT(ISNUMBER(K733:X733)*1)&gt;0)),AND(F689=tak,G689=nie,SUMPRODUCT(ISNUMBER(K733:X733)*1)&gt;0)),"usuń % dotacji",IF(AND(F689=tak,G689=tak,SUMPRODUCT(ISNUMBER(K733:X733)*1)=0),"wstaw % dotacji","ok"))))</f>
        <v/>
      </c>
      <c r="K733" s="417"/>
      <c r="L733" s="417"/>
      <c r="M733" s="417"/>
      <c r="N733" s="417"/>
      <c r="O733" s="417"/>
      <c r="P733" s="417"/>
      <c r="Q733" s="417"/>
      <c r="R733" s="417"/>
      <c r="S733" s="417"/>
      <c r="T733" s="417"/>
      <c r="U733" s="417"/>
      <c r="V733" s="417"/>
      <c r="W733" s="417"/>
      <c r="X733" s="417"/>
    </row>
    <row r="734" spans="2:24">
      <c r="B734" s="63" t="str">
        <f t="shared" si="367"/>
        <v/>
      </c>
      <c r="C734" s="63" t="str">
        <f t="shared" si="367"/>
        <v/>
      </c>
      <c r="D734" s="52"/>
      <c r="E734" s="52"/>
      <c r="F734" s="52"/>
      <c r="G734" s="52"/>
      <c r="H734" s="52"/>
      <c r="I734" s="52"/>
      <c r="J734" s="203" t="str" cm="1">
        <f t="array" ref="J734">IF(J690="wstaw dane","",IF(OR(ISBLANK(F690)=TRUE,ISBLANK(G690)=TRUE),"uzupełnij dane",IF(OR((AND(F690="nie",SUMPRODUCT(ISNUMBER(K734:X734)*1)&gt;0)),AND(F690=tak,G690=nie,SUMPRODUCT(ISNUMBER(K734:X734)*1)&gt;0)),"usuń % dotacji",IF(AND(F690=tak,G690=tak,SUMPRODUCT(ISNUMBER(K734:X734)*1)=0),"wstaw % dotacji","ok"))))</f>
        <v/>
      </c>
      <c r="K734" s="417"/>
      <c r="L734" s="417"/>
      <c r="M734" s="417"/>
      <c r="N734" s="417"/>
      <c r="O734" s="417"/>
      <c r="P734" s="417"/>
      <c r="Q734" s="417"/>
      <c r="R734" s="417"/>
      <c r="S734" s="417"/>
      <c r="T734" s="417"/>
      <c r="U734" s="417"/>
      <c r="V734" s="417"/>
      <c r="W734" s="417"/>
      <c r="X734" s="417"/>
    </row>
    <row r="735" spans="2:24">
      <c r="B735" s="63" t="str">
        <f t="shared" si="367"/>
        <v/>
      </c>
      <c r="C735" s="63" t="str">
        <f t="shared" si="367"/>
        <v/>
      </c>
      <c r="D735" s="52"/>
      <c r="E735" s="52"/>
      <c r="F735" s="52"/>
      <c r="G735" s="52"/>
      <c r="H735" s="52"/>
      <c r="I735" s="52"/>
      <c r="J735" s="203" t="str" cm="1">
        <f t="array" ref="J735">IF(J691="wstaw dane","",IF(OR(ISBLANK(F691)=TRUE,ISBLANK(G691)=TRUE),"uzupełnij dane",IF(OR((AND(F691="nie",SUMPRODUCT(ISNUMBER(K735:X735)*1)&gt;0)),AND(F691=tak,G691=nie,SUMPRODUCT(ISNUMBER(K735:X735)*1)&gt;0)),"usuń % dotacji",IF(AND(F691=tak,G691=tak,SUMPRODUCT(ISNUMBER(K735:X735)*1)=0),"wstaw % dotacji","ok"))))</f>
        <v/>
      </c>
      <c r="K735" s="417"/>
      <c r="L735" s="417"/>
      <c r="M735" s="417"/>
      <c r="N735" s="417"/>
      <c r="O735" s="417"/>
      <c r="P735" s="417"/>
      <c r="Q735" s="417"/>
      <c r="R735" s="417"/>
      <c r="S735" s="417"/>
      <c r="T735" s="417"/>
      <c r="U735" s="417"/>
      <c r="V735" s="417"/>
      <c r="W735" s="417"/>
      <c r="X735" s="417"/>
    </row>
    <row r="736" spans="2:24">
      <c r="B736" s="63" t="str">
        <f t="shared" si="367"/>
        <v/>
      </c>
      <c r="C736" s="63" t="str">
        <f t="shared" si="367"/>
        <v/>
      </c>
      <c r="D736" s="52"/>
      <c r="E736" s="52"/>
      <c r="F736" s="52"/>
      <c r="G736" s="52"/>
      <c r="H736" s="52"/>
      <c r="I736" s="52"/>
      <c r="J736" s="203" t="str" cm="1">
        <f t="array" ref="J736">IF(J692="wstaw dane","",IF(OR(ISBLANK(F692)=TRUE,ISBLANK(G692)=TRUE),"uzupełnij dane",IF(OR((AND(F692="nie",SUMPRODUCT(ISNUMBER(K736:X736)*1)&gt;0)),AND(F692=tak,G692=nie,SUMPRODUCT(ISNUMBER(K736:X736)*1)&gt;0)),"usuń % dotacji",IF(AND(F692=tak,G692=tak,SUMPRODUCT(ISNUMBER(K736:X736)*1)=0),"wstaw % dotacji","ok"))))</f>
        <v/>
      </c>
      <c r="K736" s="417"/>
      <c r="L736" s="417"/>
      <c r="M736" s="417"/>
      <c r="N736" s="417"/>
      <c r="O736" s="417"/>
      <c r="P736" s="417"/>
      <c r="Q736" s="417"/>
      <c r="R736" s="417"/>
      <c r="S736" s="417"/>
      <c r="T736" s="417"/>
      <c r="U736" s="417"/>
      <c r="V736" s="417"/>
      <c r="W736" s="417"/>
      <c r="X736" s="417"/>
    </row>
    <row r="737" spans="2:24">
      <c r="B737" s="63" t="str">
        <f t="shared" si="367"/>
        <v/>
      </c>
      <c r="C737" s="63" t="str">
        <f t="shared" si="367"/>
        <v/>
      </c>
      <c r="D737" s="52"/>
      <c r="E737" s="52"/>
      <c r="F737" s="52"/>
      <c r="G737" s="52"/>
      <c r="H737" s="52"/>
      <c r="I737" s="52"/>
      <c r="J737" s="203" t="str" cm="1">
        <f t="array" ref="J737">IF(J693="wstaw dane","",IF(OR(ISBLANK(F693)=TRUE,ISBLANK(G693)=TRUE),"uzupełnij dane",IF(OR((AND(F693="nie",SUMPRODUCT(ISNUMBER(K737:X737)*1)&gt;0)),AND(F693=tak,G693=nie,SUMPRODUCT(ISNUMBER(K737:X737)*1)&gt;0)),"usuń % dotacji",IF(AND(F693=tak,G693=tak,SUMPRODUCT(ISNUMBER(K737:X737)*1)=0),"wstaw % dotacji","ok"))))</f>
        <v/>
      </c>
      <c r="K737" s="417"/>
      <c r="L737" s="417"/>
      <c r="M737" s="417"/>
      <c r="N737" s="417"/>
      <c r="O737" s="417"/>
      <c r="P737" s="417"/>
      <c r="Q737" s="417"/>
      <c r="R737" s="417"/>
      <c r="S737" s="417"/>
      <c r="T737" s="417"/>
      <c r="U737" s="417"/>
      <c r="V737" s="417"/>
      <c r="W737" s="417"/>
      <c r="X737" s="417"/>
    </row>
    <row r="738" spans="2:24">
      <c r="B738" s="63" t="str">
        <f t="shared" si="367"/>
        <v/>
      </c>
      <c r="C738" s="63" t="str">
        <f t="shared" si="367"/>
        <v/>
      </c>
      <c r="D738" s="52"/>
      <c r="E738" s="52"/>
      <c r="F738" s="52"/>
      <c r="G738" s="52"/>
      <c r="H738" s="52"/>
      <c r="I738" s="52"/>
      <c r="J738" s="203" t="str" cm="1">
        <f t="array" ref="J738">IF(J694="wstaw dane","",IF(OR(ISBLANK(F694)=TRUE,ISBLANK(G694)=TRUE),"uzupełnij dane",IF(OR((AND(F694="nie",SUMPRODUCT(ISNUMBER(K738:X738)*1)&gt;0)),AND(F694=tak,G694=nie,SUMPRODUCT(ISNUMBER(K738:X738)*1)&gt;0)),"usuń % dotacji",IF(AND(F694=tak,G694=tak,SUMPRODUCT(ISNUMBER(K738:X738)*1)=0),"wstaw % dotacji","ok"))))</f>
        <v/>
      </c>
      <c r="K738" s="417"/>
      <c r="L738" s="417"/>
      <c r="M738" s="417"/>
      <c r="N738" s="417"/>
      <c r="O738" s="417"/>
      <c r="P738" s="417"/>
      <c r="Q738" s="417"/>
      <c r="R738" s="417"/>
      <c r="S738" s="417"/>
      <c r="T738" s="417"/>
      <c r="U738" s="417"/>
      <c r="V738" s="417"/>
      <c r="W738" s="417"/>
      <c r="X738" s="417"/>
    </row>
    <row r="739" spans="2:24">
      <c r="B739" s="63" t="str">
        <f t="shared" si="367"/>
        <v/>
      </c>
      <c r="C739" s="63" t="str">
        <f t="shared" si="367"/>
        <v/>
      </c>
      <c r="D739" s="52"/>
      <c r="E739" s="52"/>
      <c r="F739" s="52"/>
      <c r="G739" s="52"/>
      <c r="H739" s="52"/>
      <c r="I739" s="52"/>
      <c r="J739" s="203" t="str" cm="1">
        <f t="array" ref="J739">IF(J695="wstaw dane","",IF(OR(ISBLANK(F695)=TRUE,ISBLANK(G695)=TRUE),"uzupełnij dane",IF(OR((AND(F695="nie",SUMPRODUCT(ISNUMBER(K739:X739)*1)&gt;0)),AND(F695=tak,G695=nie,SUMPRODUCT(ISNUMBER(K739:X739)*1)&gt;0)),"usuń % dotacji",IF(AND(F695=tak,G695=tak,SUMPRODUCT(ISNUMBER(K739:X739)*1)=0),"wstaw % dotacji","ok"))))</f>
        <v/>
      </c>
      <c r="K739" s="417"/>
      <c r="L739" s="417"/>
      <c r="M739" s="417"/>
      <c r="N739" s="417"/>
      <c r="O739" s="417"/>
      <c r="P739" s="417"/>
      <c r="Q739" s="417"/>
      <c r="R739" s="417"/>
      <c r="S739" s="417"/>
      <c r="T739" s="417"/>
      <c r="U739" s="417"/>
      <c r="V739" s="417"/>
      <c r="W739" s="417"/>
      <c r="X739" s="417"/>
    </row>
    <row r="740" spans="2:24">
      <c r="B740" s="63" t="str">
        <f t="shared" si="367"/>
        <v/>
      </c>
      <c r="C740" s="63" t="str">
        <f t="shared" si="367"/>
        <v/>
      </c>
      <c r="D740" s="52"/>
      <c r="E740" s="52"/>
      <c r="F740" s="52"/>
      <c r="G740" s="52"/>
      <c r="H740" s="52"/>
      <c r="I740" s="52"/>
      <c r="J740" s="203" t="str" cm="1">
        <f t="array" ref="J740">IF(J696="wstaw dane","",IF(OR(ISBLANK(F696)=TRUE,ISBLANK(G696)=TRUE),"uzupełnij dane",IF(OR((AND(F696="nie",SUMPRODUCT(ISNUMBER(K740:X740)*1)&gt;0)),AND(F696=tak,G696=nie,SUMPRODUCT(ISNUMBER(K740:X740)*1)&gt;0)),"usuń % dotacji",IF(AND(F696=tak,G696=tak,SUMPRODUCT(ISNUMBER(K740:X740)*1)=0),"wstaw % dotacji","ok"))))</f>
        <v/>
      </c>
      <c r="K740" s="417"/>
      <c r="L740" s="417"/>
      <c r="M740" s="417"/>
      <c r="N740" s="417"/>
      <c r="O740" s="417"/>
      <c r="P740" s="417"/>
      <c r="Q740" s="417"/>
      <c r="R740" s="417"/>
      <c r="S740" s="417"/>
      <c r="T740" s="417"/>
      <c r="U740" s="417"/>
      <c r="V740" s="417"/>
      <c r="W740" s="417"/>
      <c r="X740" s="417"/>
    </row>
    <row r="741" spans="2:24">
      <c r="B741" s="63" t="str">
        <f t="shared" si="367"/>
        <v/>
      </c>
      <c r="C741" s="63" t="str">
        <f t="shared" si="367"/>
        <v/>
      </c>
      <c r="D741" s="52"/>
      <c r="E741" s="52"/>
      <c r="F741" s="52"/>
      <c r="G741" s="52"/>
      <c r="H741" s="52"/>
      <c r="I741" s="52"/>
      <c r="J741" s="203" t="str" cm="1">
        <f t="array" ref="J741">IF(J697="wstaw dane","",IF(OR(ISBLANK(F697)=TRUE,ISBLANK(G697)=TRUE),"uzupełnij dane",IF(OR((AND(F697="nie",SUMPRODUCT(ISNUMBER(K741:X741)*1)&gt;0)),AND(F697=tak,G697=nie,SUMPRODUCT(ISNUMBER(K741:X741)*1)&gt;0)),"usuń % dotacji",IF(AND(F697=tak,G697=tak,SUMPRODUCT(ISNUMBER(K741:X741)*1)=0),"wstaw % dotacji","ok"))))</f>
        <v/>
      </c>
      <c r="K741" s="417"/>
      <c r="L741" s="417"/>
      <c r="M741" s="417"/>
      <c r="N741" s="417"/>
      <c r="O741" s="417"/>
      <c r="P741" s="417"/>
      <c r="Q741" s="417"/>
      <c r="R741" s="417"/>
      <c r="S741" s="417"/>
      <c r="T741" s="417"/>
      <c r="U741" s="417"/>
      <c r="V741" s="417"/>
      <c r="W741" s="417"/>
      <c r="X741" s="417"/>
    </row>
    <row r="742" spans="2:24"/>
    <row r="743" spans="2:24">
      <c r="B743" s="189" t="s">
        <v>681</v>
      </c>
      <c r="C743" s="396"/>
      <c r="D743" s="190"/>
      <c r="E743" s="191"/>
      <c r="F743" s="191"/>
      <c r="G743" s="191"/>
      <c r="H743" s="191"/>
      <c r="I743" s="191"/>
      <c r="J743" s="191"/>
      <c r="K743" s="555"/>
      <c r="L743" s="556"/>
      <c r="M743" s="556"/>
      <c r="N743" s="556"/>
      <c r="O743" s="556"/>
      <c r="P743" s="556"/>
      <c r="Q743" s="556"/>
      <c r="R743" s="556"/>
      <c r="S743" s="556"/>
      <c r="T743" s="556"/>
      <c r="U743" s="556"/>
      <c r="V743" s="556"/>
      <c r="W743" s="556"/>
      <c r="X743" s="556"/>
    </row>
    <row r="744" spans="2:24">
      <c r="B744" s="63" t="str">
        <f t="shared" ref="B744:C763" si="368">B702</f>
        <v/>
      </c>
      <c r="C744" s="63" t="str">
        <f t="shared" si="368"/>
        <v/>
      </c>
      <c r="D744" s="102"/>
      <c r="E744" s="102"/>
      <c r="F744" s="102"/>
      <c r="G744" s="102"/>
      <c r="H744" s="102"/>
      <c r="I744" s="102"/>
      <c r="J744" s="202" t="str">
        <f t="shared" ref="J744:J783" si="369">J702</f>
        <v/>
      </c>
      <c r="K744" s="103">
        <f t="shared" ref="K744:X744" si="370">IF(AND(ISBLANK(K702)=FALSE,K$657&gt;=Poczatek,K$657&lt;=Koniec_Projekt,$F658="tak",$G658="tak"),ROUND(K702*K658,0),0)</f>
        <v>0</v>
      </c>
      <c r="L744" s="103">
        <f t="shared" si="370"/>
        <v>0</v>
      </c>
      <c r="M744" s="103">
        <f t="shared" si="370"/>
        <v>0</v>
      </c>
      <c r="N744" s="103">
        <f t="shared" si="370"/>
        <v>0</v>
      </c>
      <c r="O744" s="103">
        <f t="shared" si="370"/>
        <v>0</v>
      </c>
      <c r="P744" s="103">
        <f t="shared" si="370"/>
        <v>0</v>
      </c>
      <c r="Q744" s="103">
        <f t="shared" si="370"/>
        <v>0</v>
      </c>
      <c r="R744" s="103">
        <f t="shared" si="370"/>
        <v>0</v>
      </c>
      <c r="S744" s="103">
        <f t="shared" si="370"/>
        <v>0</v>
      </c>
      <c r="T744" s="103">
        <f t="shared" si="370"/>
        <v>0</v>
      </c>
      <c r="U744" s="103">
        <f t="shared" si="370"/>
        <v>0</v>
      </c>
      <c r="V744" s="103">
        <f t="shared" si="370"/>
        <v>0</v>
      </c>
      <c r="W744" s="103">
        <f t="shared" si="370"/>
        <v>0</v>
      </c>
      <c r="X744" s="103">
        <f t="shared" si="370"/>
        <v>0</v>
      </c>
    </row>
    <row r="745" spans="2:24">
      <c r="B745" s="63" t="str">
        <f t="shared" si="368"/>
        <v/>
      </c>
      <c r="C745" s="63" t="str">
        <f t="shared" si="368"/>
        <v/>
      </c>
      <c r="D745" s="52"/>
      <c r="E745" s="52"/>
      <c r="F745" s="52"/>
      <c r="G745" s="52"/>
      <c r="H745" s="52"/>
      <c r="I745" s="52"/>
      <c r="J745" s="203" t="str">
        <f t="shared" si="369"/>
        <v/>
      </c>
      <c r="K745" s="33">
        <f t="shared" ref="K745:X745" si="371">IF(AND(ISBLANK(K703)=FALSE,K$657&gt;=Poczatek,K$657&lt;=Koniec_Projekt,$F659="tak",$G659="tak"),ROUND(K703*K659,0),0)</f>
        <v>0</v>
      </c>
      <c r="L745" s="33">
        <f t="shared" si="371"/>
        <v>0</v>
      </c>
      <c r="M745" s="33">
        <f t="shared" si="371"/>
        <v>0</v>
      </c>
      <c r="N745" s="33">
        <f t="shared" si="371"/>
        <v>0</v>
      </c>
      <c r="O745" s="33">
        <f t="shared" si="371"/>
        <v>0</v>
      </c>
      <c r="P745" s="33">
        <f t="shared" si="371"/>
        <v>0</v>
      </c>
      <c r="Q745" s="33">
        <f t="shared" si="371"/>
        <v>0</v>
      </c>
      <c r="R745" s="33">
        <f t="shared" si="371"/>
        <v>0</v>
      </c>
      <c r="S745" s="33">
        <f t="shared" si="371"/>
        <v>0</v>
      </c>
      <c r="T745" s="33">
        <f t="shared" si="371"/>
        <v>0</v>
      </c>
      <c r="U745" s="33">
        <f t="shared" si="371"/>
        <v>0</v>
      </c>
      <c r="V745" s="33">
        <f t="shared" si="371"/>
        <v>0</v>
      </c>
      <c r="W745" s="33">
        <f t="shared" si="371"/>
        <v>0</v>
      </c>
      <c r="X745" s="33">
        <f t="shared" si="371"/>
        <v>0</v>
      </c>
    </row>
    <row r="746" spans="2:24">
      <c r="B746" s="63" t="str">
        <f t="shared" si="368"/>
        <v/>
      </c>
      <c r="C746" s="63" t="str">
        <f t="shared" si="368"/>
        <v/>
      </c>
      <c r="D746" s="52"/>
      <c r="E746" s="52"/>
      <c r="F746" s="52"/>
      <c r="G746" s="52"/>
      <c r="H746" s="52"/>
      <c r="I746" s="52"/>
      <c r="J746" s="203" t="str">
        <f t="shared" si="369"/>
        <v/>
      </c>
      <c r="K746" s="33">
        <f t="shared" ref="K746:X746" si="372">IF(AND(ISBLANK(K704)=FALSE,K$657&gt;=Poczatek,K$657&lt;=Koniec_Projekt,$F660="tak",$G660="tak"),ROUND(K704*K660,0),0)</f>
        <v>0</v>
      </c>
      <c r="L746" s="33">
        <f t="shared" si="372"/>
        <v>0</v>
      </c>
      <c r="M746" s="33">
        <f t="shared" si="372"/>
        <v>0</v>
      </c>
      <c r="N746" s="33">
        <f t="shared" si="372"/>
        <v>0</v>
      </c>
      <c r="O746" s="33">
        <f t="shared" si="372"/>
        <v>0</v>
      </c>
      <c r="P746" s="33">
        <f t="shared" si="372"/>
        <v>0</v>
      </c>
      <c r="Q746" s="33">
        <f t="shared" si="372"/>
        <v>0</v>
      </c>
      <c r="R746" s="33">
        <f t="shared" si="372"/>
        <v>0</v>
      </c>
      <c r="S746" s="33">
        <f t="shared" si="372"/>
        <v>0</v>
      </c>
      <c r="T746" s="33">
        <f t="shared" si="372"/>
        <v>0</v>
      </c>
      <c r="U746" s="33">
        <f t="shared" si="372"/>
        <v>0</v>
      </c>
      <c r="V746" s="33">
        <f t="shared" si="372"/>
        <v>0</v>
      </c>
      <c r="W746" s="33">
        <f t="shared" si="372"/>
        <v>0</v>
      </c>
      <c r="X746" s="33">
        <f t="shared" si="372"/>
        <v>0</v>
      </c>
    </row>
    <row r="747" spans="2:24">
      <c r="B747" s="63" t="str">
        <f t="shared" si="368"/>
        <v/>
      </c>
      <c r="C747" s="63" t="str">
        <f t="shared" si="368"/>
        <v/>
      </c>
      <c r="D747" s="52"/>
      <c r="E747" s="52"/>
      <c r="F747" s="52"/>
      <c r="G747" s="52"/>
      <c r="H747" s="52"/>
      <c r="I747" s="52"/>
      <c r="J747" s="203" t="str">
        <f t="shared" si="369"/>
        <v/>
      </c>
      <c r="K747" s="33">
        <f t="shared" ref="K747:X747" si="373">IF(AND(ISBLANK(K705)=FALSE,K$657&gt;=Poczatek,K$657&lt;=Koniec_Projekt,$F661="tak",$G661="tak"),ROUND(K705*K661,0),0)</f>
        <v>0</v>
      </c>
      <c r="L747" s="33">
        <f t="shared" si="373"/>
        <v>0</v>
      </c>
      <c r="M747" s="33">
        <f t="shared" si="373"/>
        <v>0</v>
      </c>
      <c r="N747" s="33">
        <f t="shared" si="373"/>
        <v>0</v>
      </c>
      <c r="O747" s="33">
        <f t="shared" si="373"/>
        <v>0</v>
      </c>
      <c r="P747" s="33">
        <f t="shared" si="373"/>
        <v>0</v>
      </c>
      <c r="Q747" s="33">
        <f t="shared" si="373"/>
        <v>0</v>
      </c>
      <c r="R747" s="33">
        <f t="shared" si="373"/>
        <v>0</v>
      </c>
      <c r="S747" s="33">
        <f t="shared" si="373"/>
        <v>0</v>
      </c>
      <c r="T747" s="33">
        <f t="shared" si="373"/>
        <v>0</v>
      </c>
      <c r="U747" s="33">
        <f t="shared" si="373"/>
        <v>0</v>
      </c>
      <c r="V747" s="33">
        <f t="shared" si="373"/>
        <v>0</v>
      </c>
      <c r="W747" s="33">
        <f t="shared" si="373"/>
        <v>0</v>
      </c>
      <c r="X747" s="33">
        <f t="shared" si="373"/>
        <v>0</v>
      </c>
    </row>
    <row r="748" spans="2:24">
      <c r="B748" s="63" t="str">
        <f t="shared" si="368"/>
        <v/>
      </c>
      <c r="C748" s="63" t="str">
        <f t="shared" si="368"/>
        <v/>
      </c>
      <c r="D748" s="52"/>
      <c r="E748" s="52"/>
      <c r="F748" s="52"/>
      <c r="G748" s="52"/>
      <c r="H748" s="52"/>
      <c r="I748" s="52"/>
      <c r="J748" s="203" t="str">
        <f t="shared" si="369"/>
        <v/>
      </c>
      <c r="K748" s="33">
        <f t="shared" ref="K748:X748" si="374">IF(AND(ISBLANK(K706)=FALSE,K$657&gt;=Poczatek,K$657&lt;=Koniec_Projekt,$F662="tak",$G662="tak"),ROUND(K706*K662,0),0)</f>
        <v>0</v>
      </c>
      <c r="L748" s="33">
        <f t="shared" si="374"/>
        <v>0</v>
      </c>
      <c r="M748" s="33">
        <f t="shared" si="374"/>
        <v>0</v>
      </c>
      <c r="N748" s="33">
        <f t="shared" si="374"/>
        <v>0</v>
      </c>
      <c r="O748" s="33">
        <f t="shared" si="374"/>
        <v>0</v>
      </c>
      <c r="P748" s="33">
        <f t="shared" si="374"/>
        <v>0</v>
      </c>
      <c r="Q748" s="33">
        <f t="shared" si="374"/>
        <v>0</v>
      </c>
      <c r="R748" s="33">
        <f t="shared" si="374"/>
        <v>0</v>
      </c>
      <c r="S748" s="33">
        <f t="shared" si="374"/>
        <v>0</v>
      </c>
      <c r="T748" s="33">
        <f t="shared" si="374"/>
        <v>0</v>
      </c>
      <c r="U748" s="33">
        <f t="shared" si="374"/>
        <v>0</v>
      </c>
      <c r="V748" s="33">
        <f t="shared" si="374"/>
        <v>0</v>
      </c>
      <c r="W748" s="33">
        <f t="shared" si="374"/>
        <v>0</v>
      </c>
      <c r="X748" s="33">
        <f t="shared" si="374"/>
        <v>0</v>
      </c>
    </row>
    <row r="749" spans="2:24">
      <c r="B749" s="63" t="str">
        <f t="shared" si="368"/>
        <v/>
      </c>
      <c r="C749" s="63" t="str">
        <f t="shared" si="368"/>
        <v/>
      </c>
      <c r="D749" s="52"/>
      <c r="E749" s="52"/>
      <c r="F749" s="52"/>
      <c r="G749" s="52"/>
      <c r="H749" s="52"/>
      <c r="I749" s="52"/>
      <c r="J749" s="203" t="str">
        <f t="shared" si="369"/>
        <v/>
      </c>
      <c r="K749" s="33">
        <f t="shared" ref="K749:X749" si="375">IF(AND(ISBLANK(K707)=FALSE,K$657&gt;=Poczatek,K$657&lt;=Koniec_Projekt,$F663="tak",$G663="tak"),ROUND(K707*K663,0),0)</f>
        <v>0</v>
      </c>
      <c r="L749" s="33">
        <f t="shared" si="375"/>
        <v>0</v>
      </c>
      <c r="M749" s="33">
        <f t="shared" si="375"/>
        <v>0</v>
      </c>
      <c r="N749" s="33">
        <f t="shared" si="375"/>
        <v>0</v>
      </c>
      <c r="O749" s="33">
        <f t="shared" si="375"/>
        <v>0</v>
      </c>
      <c r="P749" s="33">
        <f t="shared" si="375"/>
        <v>0</v>
      </c>
      <c r="Q749" s="33">
        <f t="shared" si="375"/>
        <v>0</v>
      </c>
      <c r="R749" s="33">
        <f t="shared" si="375"/>
        <v>0</v>
      </c>
      <c r="S749" s="33">
        <f t="shared" si="375"/>
        <v>0</v>
      </c>
      <c r="T749" s="33">
        <f t="shared" si="375"/>
        <v>0</v>
      </c>
      <c r="U749" s="33">
        <f t="shared" si="375"/>
        <v>0</v>
      </c>
      <c r="V749" s="33">
        <f t="shared" si="375"/>
        <v>0</v>
      </c>
      <c r="W749" s="33">
        <f t="shared" si="375"/>
        <v>0</v>
      </c>
      <c r="X749" s="33">
        <f t="shared" si="375"/>
        <v>0</v>
      </c>
    </row>
    <row r="750" spans="2:24">
      <c r="B750" s="63" t="str">
        <f t="shared" si="368"/>
        <v/>
      </c>
      <c r="C750" s="63" t="str">
        <f t="shared" si="368"/>
        <v/>
      </c>
      <c r="D750" s="52"/>
      <c r="E750" s="52"/>
      <c r="F750" s="52"/>
      <c r="G750" s="52"/>
      <c r="H750" s="52"/>
      <c r="I750" s="52"/>
      <c r="J750" s="203" t="str">
        <f t="shared" si="369"/>
        <v/>
      </c>
      <c r="K750" s="33">
        <f t="shared" ref="K750:X750" si="376">IF(AND(ISBLANK(K708)=FALSE,K$657&gt;=Poczatek,K$657&lt;=Koniec_Projekt,$F664="tak",$G664="tak"),ROUND(K708*K664,0),0)</f>
        <v>0</v>
      </c>
      <c r="L750" s="33">
        <f t="shared" si="376"/>
        <v>0</v>
      </c>
      <c r="M750" s="33">
        <f t="shared" si="376"/>
        <v>0</v>
      </c>
      <c r="N750" s="33">
        <f t="shared" si="376"/>
        <v>0</v>
      </c>
      <c r="O750" s="33">
        <f t="shared" si="376"/>
        <v>0</v>
      </c>
      <c r="P750" s="33">
        <f t="shared" si="376"/>
        <v>0</v>
      </c>
      <c r="Q750" s="33">
        <f t="shared" si="376"/>
        <v>0</v>
      </c>
      <c r="R750" s="33">
        <f t="shared" si="376"/>
        <v>0</v>
      </c>
      <c r="S750" s="33">
        <f t="shared" si="376"/>
        <v>0</v>
      </c>
      <c r="T750" s="33">
        <f t="shared" si="376"/>
        <v>0</v>
      </c>
      <c r="U750" s="33">
        <f t="shared" si="376"/>
        <v>0</v>
      </c>
      <c r="V750" s="33">
        <f t="shared" si="376"/>
        <v>0</v>
      </c>
      <c r="W750" s="33">
        <f t="shared" si="376"/>
        <v>0</v>
      </c>
      <c r="X750" s="33">
        <f t="shared" si="376"/>
        <v>0</v>
      </c>
    </row>
    <row r="751" spans="2:24">
      <c r="B751" s="63" t="str">
        <f t="shared" si="368"/>
        <v/>
      </c>
      <c r="C751" s="63" t="str">
        <f t="shared" si="368"/>
        <v/>
      </c>
      <c r="D751" s="52"/>
      <c r="E751" s="52"/>
      <c r="F751" s="52"/>
      <c r="G751" s="52"/>
      <c r="H751" s="52"/>
      <c r="I751" s="52"/>
      <c r="J751" s="203" t="str">
        <f t="shared" si="369"/>
        <v/>
      </c>
      <c r="K751" s="33">
        <f t="shared" ref="K751:X751" si="377">IF(AND(ISBLANK(K709)=FALSE,K$657&gt;=Poczatek,K$657&lt;=Koniec_Projekt,$F665="tak",$G665="tak"),ROUND(K709*K665,0),0)</f>
        <v>0</v>
      </c>
      <c r="L751" s="33">
        <f t="shared" si="377"/>
        <v>0</v>
      </c>
      <c r="M751" s="33">
        <f t="shared" si="377"/>
        <v>0</v>
      </c>
      <c r="N751" s="33">
        <f t="shared" si="377"/>
        <v>0</v>
      </c>
      <c r="O751" s="33">
        <f t="shared" si="377"/>
        <v>0</v>
      </c>
      <c r="P751" s="33">
        <f t="shared" si="377"/>
        <v>0</v>
      </c>
      <c r="Q751" s="33">
        <f t="shared" si="377"/>
        <v>0</v>
      </c>
      <c r="R751" s="33">
        <f t="shared" si="377"/>
        <v>0</v>
      </c>
      <c r="S751" s="33">
        <f t="shared" si="377"/>
        <v>0</v>
      </c>
      <c r="T751" s="33">
        <f t="shared" si="377"/>
        <v>0</v>
      </c>
      <c r="U751" s="33">
        <f t="shared" si="377"/>
        <v>0</v>
      </c>
      <c r="V751" s="33">
        <f t="shared" si="377"/>
        <v>0</v>
      </c>
      <c r="W751" s="33">
        <f t="shared" si="377"/>
        <v>0</v>
      </c>
      <c r="X751" s="33">
        <f t="shared" si="377"/>
        <v>0</v>
      </c>
    </row>
    <row r="752" spans="2:24">
      <c r="B752" s="63" t="str">
        <f t="shared" si="368"/>
        <v/>
      </c>
      <c r="C752" s="63" t="str">
        <f t="shared" si="368"/>
        <v/>
      </c>
      <c r="D752" s="52"/>
      <c r="E752" s="52"/>
      <c r="F752" s="52"/>
      <c r="G752" s="52"/>
      <c r="H752" s="52"/>
      <c r="I752" s="52"/>
      <c r="J752" s="203" t="str">
        <f t="shared" si="369"/>
        <v/>
      </c>
      <c r="K752" s="33">
        <f t="shared" ref="K752:X752" si="378">IF(AND(ISBLANK(K710)=FALSE,K$657&gt;=Poczatek,K$657&lt;=Koniec_Projekt,$F666="tak",$G666="tak"),ROUND(K710*K666,0),0)</f>
        <v>0</v>
      </c>
      <c r="L752" s="33">
        <f t="shared" si="378"/>
        <v>0</v>
      </c>
      <c r="M752" s="33">
        <f t="shared" si="378"/>
        <v>0</v>
      </c>
      <c r="N752" s="33">
        <f t="shared" si="378"/>
        <v>0</v>
      </c>
      <c r="O752" s="33">
        <f t="shared" si="378"/>
        <v>0</v>
      </c>
      <c r="P752" s="33">
        <f t="shared" si="378"/>
        <v>0</v>
      </c>
      <c r="Q752" s="33">
        <f t="shared" si="378"/>
        <v>0</v>
      </c>
      <c r="R752" s="33">
        <f t="shared" si="378"/>
        <v>0</v>
      </c>
      <c r="S752" s="33">
        <f t="shared" si="378"/>
        <v>0</v>
      </c>
      <c r="T752" s="33">
        <f t="shared" si="378"/>
        <v>0</v>
      </c>
      <c r="U752" s="33">
        <f t="shared" si="378"/>
        <v>0</v>
      </c>
      <c r="V752" s="33">
        <f t="shared" si="378"/>
        <v>0</v>
      </c>
      <c r="W752" s="33">
        <f t="shared" si="378"/>
        <v>0</v>
      </c>
      <c r="X752" s="33">
        <f t="shared" si="378"/>
        <v>0</v>
      </c>
    </row>
    <row r="753" spans="2:24">
      <c r="B753" s="63" t="str">
        <f t="shared" si="368"/>
        <v/>
      </c>
      <c r="C753" s="63" t="str">
        <f t="shared" si="368"/>
        <v/>
      </c>
      <c r="D753" s="52"/>
      <c r="E753" s="52"/>
      <c r="F753" s="52"/>
      <c r="G753" s="52"/>
      <c r="H753" s="52"/>
      <c r="I753" s="52"/>
      <c r="J753" s="203" t="str">
        <f t="shared" si="369"/>
        <v/>
      </c>
      <c r="K753" s="33">
        <f t="shared" ref="K753:X753" si="379">IF(AND(ISBLANK(K711)=FALSE,K$657&gt;=Poczatek,K$657&lt;=Koniec_Projekt,$F667="tak",$G667="tak"),ROUND(K711*K667,0),0)</f>
        <v>0</v>
      </c>
      <c r="L753" s="33">
        <f t="shared" si="379"/>
        <v>0</v>
      </c>
      <c r="M753" s="33">
        <f t="shared" si="379"/>
        <v>0</v>
      </c>
      <c r="N753" s="33">
        <f t="shared" si="379"/>
        <v>0</v>
      </c>
      <c r="O753" s="33">
        <f t="shared" si="379"/>
        <v>0</v>
      </c>
      <c r="P753" s="33">
        <f t="shared" si="379"/>
        <v>0</v>
      </c>
      <c r="Q753" s="33">
        <f t="shared" si="379"/>
        <v>0</v>
      </c>
      <c r="R753" s="33">
        <f t="shared" si="379"/>
        <v>0</v>
      </c>
      <c r="S753" s="33">
        <f t="shared" si="379"/>
        <v>0</v>
      </c>
      <c r="T753" s="33">
        <f t="shared" si="379"/>
        <v>0</v>
      </c>
      <c r="U753" s="33">
        <f t="shared" si="379"/>
        <v>0</v>
      </c>
      <c r="V753" s="33">
        <f t="shared" si="379"/>
        <v>0</v>
      </c>
      <c r="W753" s="33">
        <f t="shared" si="379"/>
        <v>0</v>
      </c>
      <c r="X753" s="33">
        <f t="shared" si="379"/>
        <v>0</v>
      </c>
    </row>
    <row r="754" spans="2:24">
      <c r="B754" s="63" t="str">
        <f t="shared" si="368"/>
        <v/>
      </c>
      <c r="C754" s="63" t="str">
        <f t="shared" si="368"/>
        <v/>
      </c>
      <c r="D754" s="52"/>
      <c r="E754" s="52"/>
      <c r="F754" s="52"/>
      <c r="G754" s="52"/>
      <c r="H754" s="52"/>
      <c r="I754" s="52"/>
      <c r="J754" s="203" t="str">
        <f t="shared" si="369"/>
        <v/>
      </c>
      <c r="K754" s="33">
        <f t="shared" ref="K754:X754" si="380">IF(AND(ISBLANK(K712)=FALSE,K$657&gt;=Poczatek,K$657&lt;=Koniec_Projekt,$F668="tak",$G668="tak"),ROUND(K712*K668,0),0)</f>
        <v>0</v>
      </c>
      <c r="L754" s="33">
        <f t="shared" si="380"/>
        <v>0</v>
      </c>
      <c r="M754" s="33">
        <f t="shared" si="380"/>
        <v>0</v>
      </c>
      <c r="N754" s="33">
        <f t="shared" si="380"/>
        <v>0</v>
      </c>
      <c r="O754" s="33">
        <f t="shared" si="380"/>
        <v>0</v>
      </c>
      <c r="P754" s="33">
        <f t="shared" si="380"/>
        <v>0</v>
      </c>
      <c r="Q754" s="33">
        <f t="shared" si="380"/>
        <v>0</v>
      </c>
      <c r="R754" s="33">
        <f t="shared" si="380"/>
        <v>0</v>
      </c>
      <c r="S754" s="33">
        <f t="shared" si="380"/>
        <v>0</v>
      </c>
      <c r="T754" s="33">
        <f t="shared" si="380"/>
        <v>0</v>
      </c>
      <c r="U754" s="33">
        <f t="shared" si="380"/>
        <v>0</v>
      </c>
      <c r="V754" s="33">
        <f t="shared" si="380"/>
        <v>0</v>
      </c>
      <c r="W754" s="33">
        <f t="shared" si="380"/>
        <v>0</v>
      </c>
      <c r="X754" s="33">
        <f t="shared" si="380"/>
        <v>0</v>
      </c>
    </row>
    <row r="755" spans="2:24">
      <c r="B755" s="63" t="str">
        <f t="shared" si="368"/>
        <v/>
      </c>
      <c r="C755" s="63" t="str">
        <f t="shared" si="368"/>
        <v/>
      </c>
      <c r="D755" s="52"/>
      <c r="E755" s="52"/>
      <c r="F755" s="52"/>
      <c r="G755" s="52"/>
      <c r="H755" s="52"/>
      <c r="I755" s="52"/>
      <c r="J755" s="203" t="str">
        <f t="shared" si="369"/>
        <v/>
      </c>
      <c r="K755" s="33">
        <f t="shared" ref="K755:X755" si="381">IF(AND(ISBLANK(K713)=FALSE,K$657&gt;=Poczatek,K$657&lt;=Koniec_Projekt,$F669="tak",$G669="tak"),ROUND(K713*K669,0),0)</f>
        <v>0</v>
      </c>
      <c r="L755" s="33">
        <f t="shared" si="381"/>
        <v>0</v>
      </c>
      <c r="M755" s="33">
        <f t="shared" si="381"/>
        <v>0</v>
      </c>
      <c r="N755" s="33">
        <f t="shared" si="381"/>
        <v>0</v>
      </c>
      <c r="O755" s="33">
        <f t="shared" si="381"/>
        <v>0</v>
      </c>
      <c r="P755" s="33">
        <f t="shared" si="381"/>
        <v>0</v>
      </c>
      <c r="Q755" s="33">
        <f t="shared" si="381"/>
        <v>0</v>
      </c>
      <c r="R755" s="33">
        <f t="shared" si="381"/>
        <v>0</v>
      </c>
      <c r="S755" s="33">
        <f t="shared" si="381"/>
        <v>0</v>
      </c>
      <c r="T755" s="33">
        <f t="shared" si="381"/>
        <v>0</v>
      </c>
      <c r="U755" s="33">
        <f t="shared" si="381"/>
        <v>0</v>
      </c>
      <c r="V755" s="33">
        <f t="shared" si="381"/>
        <v>0</v>
      </c>
      <c r="W755" s="33">
        <f t="shared" si="381"/>
        <v>0</v>
      </c>
      <c r="X755" s="33">
        <f t="shared" si="381"/>
        <v>0</v>
      </c>
    </row>
    <row r="756" spans="2:24">
      <c r="B756" s="63" t="str">
        <f t="shared" si="368"/>
        <v/>
      </c>
      <c r="C756" s="63" t="str">
        <f t="shared" si="368"/>
        <v/>
      </c>
      <c r="D756" s="52"/>
      <c r="E756" s="52"/>
      <c r="F756" s="52"/>
      <c r="G756" s="52"/>
      <c r="H756" s="52"/>
      <c r="I756" s="52"/>
      <c r="J756" s="203" t="str">
        <f t="shared" si="369"/>
        <v/>
      </c>
      <c r="K756" s="33">
        <f t="shared" ref="K756:X756" si="382">IF(AND(ISBLANK(K714)=FALSE,K$657&gt;=Poczatek,K$657&lt;=Koniec_Projekt,$F670="tak",$G670="tak"),ROUND(K714*K670,0),0)</f>
        <v>0</v>
      </c>
      <c r="L756" s="33">
        <f t="shared" si="382"/>
        <v>0</v>
      </c>
      <c r="M756" s="33">
        <f t="shared" si="382"/>
        <v>0</v>
      </c>
      <c r="N756" s="33">
        <f t="shared" si="382"/>
        <v>0</v>
      </c>
      <c r="O756" s="33">
        <f t="shared" si="382"/>
        <v>0</v>
      </c>
      <c r="P756" s="33">
        <f t="shared" si="382"/>
        <v>0</v>
      </c>
      <c r="Q756" s="33">
        <f t="shared" si="382"/>
        <v>0</v>
      </c>
      <c r="R756" s="33">
        <f t="shared" si="382"/>
        <v>0</v>
      </c>
      <c r="S756" s="33">
        <f t="shared" si="382"/>
        <v>0</v>
      </c>
      <c r="T756" s="33">
        <f t="shared" si="382"/>
        <v>0</v>
      </c>
      <c r="U756" s="33">
        <f t="shared" si="382"/>
        <v>0</v>
      </c>
      <c r="V756" s="33">
        <f t="shared" si="382"/>
        <v>0</v>
      </c>
      <c r="W756" s="33">
        <f t="shared" si="382"/>
        <v>0</v>
      </c>
      <c r="X756" s="33">
        <f t="shared" si="382"/>
        <v>0</v>
      </c>
    </row>
    <row r="757" spans="2:24">
      <c r="B757" s="63" t="str">
        <f t="shared" si="368"/>
        <v/>
      </c>
      <c r="C757" s="63" t="str">
        <f t="shared" si="368"/>
        <v/>
      </c>
      <c r="D757" s="52"/>
      <c r="E757" s="52"/>
      <c r="F757" s="52"/>
      <c r="G757" s="52"/>
      <c r="H757" s="52"/>
      <c r="I757" s="52"/>
      <c r="J757" s="203" t="str">
        <f t="shared" si="369"/>
        <v/>
      </c>
      <c r="K757" s="33">
        <f t="shared" ref="K757:X757" si="383">IF(AND(ISBLANK(K715)=FALSE,K$657&gt;=Poczatek,K$657&lt;=Koniec_Projekt,$F671="tak",$G671="tak"),ROUND(K715*K671,0),0)</f>
        <v>0</v>
      </c>
      <c r="L757" s="33">
        <f t="shared" si="383"/>
        <v>0</v>
      </c>
      <c r="M757" s="33">
        <f t="shared" si="383"/>
        <v>0</v>
      </c>
      <c r="N757" s="33">
        <f t="shared" si="383"/>
        <v>0</v>
      </c>
      <c r="O757" s="33">
        <f t="shared" si="383"/>
        <v>0</v>
      </c>
      <c r="P757" s="33">
        <f t="shared" si="383"/>
        <v>0</v>
      </c>
      <c r="Q757" s="33">
        <f t="shared" si="383"/>
        <v>0</v>
      </c>
      <c r="R757" s="33">
        <f t="shared" si="383"/>
        <v>0</v>
      </c>
      <c r="S757" s="33">
        <f t="shared" si="383"/>
        <v>0</v>
      </c>
      <c r="T757" s="33">
        <f t="shared" si="383"/>
        <v>0</v>
      </c>
      <c r="U757" s="33">
        <f t="shared" si="383"/>
        <v>0</v>
      </c>
      <c r="V757" s="33">
        <f t="shared" si="383"/>
        <v>0</v>
      </c>
      <c r="W757" s="33">
        <f t="shared" si="383"/>
        <v>0</v>
      </c>
      <c r="X757" s="33">
        <f t="shared" si="383"/>
        <v>0</v>
      </c>
    </row>
    <row r="758" spans="2:24">
      <c r="B758" s="63" t="str">
        <f t="shared" si="368"/>
        <v/>
      </c>
      <c r="C758" s="63" t="str">
        <f t="shared" si="368"/>
        <v/>
      </c>
      <c r="D758" s="52"/>
      <c r="E758" s="52"/>
      <c r="F758" s="52"/>
      <c r="G758" s="52"/>
      <c r="H758" s="52"/>
      <c r="I758" s="52"/>
      <c r="J758" s="203" t="str">
        <f t="shared" si="369"/>
        <v/>
      </c>
      <c r="K758" s="33">
        <f t="shared" ref="K758:X758" si="384">IF(AND(ISBLANK(K716)=FALSE,K$657&gt;=Poczatek,K$657&lt;=Koniec_Projekt,$F672="tak",$G672="tak"),ROUND(K716*K672,0),0)</f>
        <v>0</v>
      </c>
      <c r="L758" s="33">
        <f t="shared" si="384"/>
        <v>0</v>
      </c>
      <c r="M758" s="33">
        <f t="shared" si="384"/>
        <v>0</v>
      </c>
      <c r="N758" s="33">
        <f t="shared" si="384"/>
        <v>0</v>
      </c>
      <c r="O758" s="33">
        <f t="shared" si="384"/>
        <v>0</v>
      </c>
      <c r="P758" s="33">
        <f t="shared" si="384"/>
        <v>0</v>
      </c>
      <c r="Q758" s="33">
        <f t="shared" si="384"/>
        <v>0</v>
      </c>
      <c r="R758" s="33">
        <f t="shared" si="384"/>
        <v>0</v>
      </c>
      <c r="S758" s="33">
        <f t="shared" si="384"/>
        <v>0</v>
      </c>
      <c r="T758" s="33">
        <f t="shared" si="384"/>
        <v>0</v>
      </c>
      <c r="U758" s="33">
        <f t="shared" si="384"/>
        <v>0</v>
      </c>
      <c r="V758" s="33">
        <f t="shared" si="384"/>
        <v>0</v>
      </c>
      <c r="W758" s="33">
        <f t="shared" si="384"/>
        <v>0</v>
      </c>
      <c r="X758" s="33">
        <f t="shared" si="384"/>
        <v>0</v>
      </c>
    </row>
    <row r="759" spans="2:24">
      <c r="B759" s="63" t="str">
        <f t="shared" si="368"/>
        <v/>
      </c>
      <c r="C759" s="63" t="str">
        <f t="shared" si="368"/>
        <v/>
      </c>
      <c r="D759" s="52"/>
      <c r="E759" s="52"/>
      <c r="F759" s="52"/>
      <c r="G759" s="52"/>
      <c r="H759" s="52"/>
      <c r="I759" s="52"/>
      <c r="J759" s="203" t="str">
        <f t="shared" si="369"/>
        <v/>
      </c>
      <c r="K759" s="33">
        <f t="shared" ref="K759:X759" si="385">IF(AND(ISBLANK(K717)=FALSE,K$657&gt;=Poczatek,K$657&lt;=Koniec_Projekt,$F673="tak",$G673="tak"),ROUND(K717*K673,0),0)</f>
        <v>0</v>
      </c>
      <c r="L759" s="33">
        <f t="shared" si="385"/>
        <v>0</v>
      </c>
      <c r="M759" s="33">
        <f t="shared" si="385"/>
        <v>0</v>
      </c>
      <c r="N759" s="33">
        <f t="shared" si="385"/>
        <v>0</v>
      </c>
      <c r="O759" s="33">
        <f t="shared" si="385"/>
        <v>0</v>
      </c>
      <c r="P759" s="33">
        <f t="shared" si="385"/>
        <v>0</v>
      </c>
      <c r="Q759" s="33">
        <f t="shared" si="385"/>
        <v>0</v>
      </c>
      <c r="R759" s="33">
        <f t="shared" si="385"/>
        <v>0</v>
      </c>
      <c r="S759" s="33">
        <f t="shared" si="385"/>
        <v>0</v>
      </c>
      <c r="T759" s="33">
        <f t="shared" si="385"/>
        <v>0</v>
      </c>
      <c r="U759" s="33">
        <f t="shared" si="385"/>
        <v>0</v>
      </c>
      <c r="V759" s="33">
        <f t="shared" si="385"/>
        <v>0</v>
      </c>
      <c r="W759" s="33">
        <f t="shared" si="385"/>
        <v>0</v>
      </c>
      <c r="X759" s="33">
        <f t="shared" si="385"/>
        <v>0</v>
      </c>
    </row>
    <row r="760" spans="2:24">
      <c r="B760" s="63" t="str">
        <f t="shared" si="368"/>
        <v/>
      </c>
      <c r="C760" s="63" t="str">
        <f t="shared" si="368"/>
        <v/>
      </c>
      <c r="D760" s="52"/>
      <c r="E760" s="52"/>
      <c r="F760" s="52"/>
      <c r="G760" s="52"/>
      <c r="H760" s="52"/>
      <c r="I760" s="52"/>
      <c r="J760" s="203" t="str">
        <f t="shared" si="369"/>
        <v/>
      </c>
      <c r="K760" s="33">
        <f t="shared" ref="K760:X760" si="386">IF(AND(ISBLANK(K718)=FALSE,K$657&gt;=Poczatek,K$657&lt;=Koniec_Projekt,$F674="tak",$G674="tak"),ROUND(K718*K674,0),0)</f>
        <v>0</v>
      </c>
      <c r="L760" s="33">
        <f t="shared" si="386"/>
        <v>0</v>
      </c>
      <c r="M760" s="33">
        <f t="shared" si="386"/>
        <v>0</v>
      </c>
      <c r="N760" s="33">
        <f t="shared" si="386"/>
        <v>0</v>
      </c>
      <c r="O760" s="33">
        <f t="shared" si="386"/>
        <v>0</v>
      </c>
      <c r="P760" s="33">
        <f t="shared" si="386"/>
        <v>0</v>
      </c>
      <c r="Q760" s="33">
        <f t="shared" si="386"/>
        <v>0</v>
      </c>
      <c r="R760" s="33">
        <f t="shared" si="386"/>
        <v>0</v>
      </c>
      <c r="S760" s="33">
        <f t="shared" si="386"/>
        <v>0</v>
      </c>
      <c r="T760" s="33">
        <f t="shared" si="386"/>
        <v>0</v>
      </c>
      <c r="U760" s="33">
        <f t="shared" si="386"/>
        <v>0</v>
      </c>
      <c r="V760" s="33">
        <f t="shared" si="386"/>
        <v>0</v>
      </c>
      <c r="W760" s="33">
        <f t="shared" si="386"/>
        <v>0</v>
      </c>
      <c r="X760" s="33">
        <f t="shared" si="386"/>
        <v>0</v>
      </c>
    </row>
    <row r="761" spans="2:24">
      <c r="B761" s="63" t="str">
        <f t="shared" si="368"/>
        <v/>
      </c>
      <c r="C761" s="63" t="str">
        <f t="shared" si="368"/>
        <v/>
      </c>
      <c r="D761" s="52"/>
      <c r="E761" s="52"/>
      <c r="F761" s="52"/>
      <c r="G761" s="52"/>
      <c r="H761" s="52"/>
      <c r="I761" s="52"/>
      <c r="J761" s="203" t="str">
        <f t="shared" si="369"/>
        <v/>
      </c>
      <c r="K761" s="33">
        <f t="shared" ref="K761:X761" si="387">IF(AND(ISBLANK(K719)=FALSE,K$657&gt;=Poczatek,K$657&lt;=Koniec_Projekt,$F675="tak",$G675="tak"),ROUND(K719*K675,0),0)</f>
        <v>0</v>
      </c>
      <c r="L761" s="33">
        <f t="shared" si="387"/>
        <v>0</v>
      </c>
      <c r="M761" s="33">
        <f t="shared" si="387"/>
        <v>0</v>
      </c>
      <c r="N761" s="33">
        <f t="shared" si="387"/>
        <v>0</v>
      </c>
      <c r="O761" s="33">
        <f t="shared" si="387"/>
        <v>0</v>
      </c>
      <c r="P761" s="33">
        <f t="shared" si="387"/>
        <v>0</v>
      </c>
      <c r="Q761" s="33">
        <f t="shared" si="387"/>
        <v>0</v>
      </c>
      <c r="R761" s="33">
        <f t="shared" si="387"/>
        <v>0</v>
      </c>
      <c r="S761" s="33">
        <f t="shared" si="387"/>
        <v>0</v>
      </c>
      <c r="T761" s="33">
        <f t="shared" si="387"/>
        <v>0</v>
      </c>
      <c r="U761" s="33">
        <f t="shared" si="387"/>
        <v>0</v>
      </c>
      <c r="V761" s="33">
        <f t="shared" si="387"/>
        <v>0</v>
      </c>
      <c r="W761" s="33">
        <f t="shared" si="387"/>
        <v>0</v>
      </c>
      <c r="X761" s="33">
        <f t="shared" si="387"/>
        <v>0</v>
      </c>
    </row>
    <row r="762" spans="2:24">
      <c r="B762" s="63" t="str">
        <f t="shared" si="368"/>
        <v/>
      </c>
      <c r="C762" s="63" t="str">
        <f t="shared" si="368"/>
        <v/>
      </c>
      <c r="D762" s="52"/>
      <c r="E762" s="52"/>
      <c r="F762" s="52"/>
      <c r="G762" s="52"/>
      <c r="H762" s="52"/>
      <c r="I762" s="52"/>
      <c r="J762" s="203" t="str">
        <f t="shared" si="369"/>
        <v/>
      </c>
      <c r="K762" s="33">
        <f t="shared" ref="K762:X762" si="388">IF(AND(ISBLANK(K720)=FALSE,K$657&gt;=Poczatek,K$657&lt;=Koniec_Projekt,$F676="tak",$G676="tak"),ROUND(K720*K676,0),0)</f>
        <v>0</v>
      </c>
      <c r="L762" s="33">
        <f t="shared" si="388"/>
        <v>0</v>
      </c>
      <c r="M762" s="33">
        <f t="shared" si="388"/>
        <v>0</v>
      </c>
      <c r="N762" s="33">
        <f t="shared" si="388"/>
        <v>0</v>
      </c>
      <c r="O762" s="33">
        <f t="shared" si="388"/>
        <v>0</v>
      </c>
      <c r="P762" s="33">
        <f t="shared" si="388"/>
        <v>0</v>
      </c>
      <c r="Q762" s="33">
        <f t="shared" si="388"/>
        <v>0</v>
      </c>
      <c r="R762" s="33">
        <f t="shared" si="388"/>
        <v>0</v>
      </c>
      <c r="S762" s="33">
        <f t="shared" si="388"/>
        <v>0</v>
      </c>
      <c r="T762" s="33">
        <f t="shared" si="388"/>
        <v>0</v>
      </c>
      <c r="U762" s="33">
        <f t="shared" si="388"/>
        <v>0</v>
      </c>
      <c r="V762" s="33">
        <f t="shared" si="388"/>
        <v>0</v>
      </c>
      <c r="W762" s="33">
        <f t="shared" si="388"/>
        <v>0</v>
      </c>
      <c r="X762" s="33">
        <f t="shared" si="388"/>
        <v>0</v>
      </c>
    </row>
    <row r="763" spans="2:24">
      <c r="B763" s="63" t="str">
        <f t="shared" si="368"/>
        <v/>
      </c>
      <c r="C763" s="63" t="str">
        <f t="shared" si="368"/>
        <v/>
      </c>
      <c r="D763" s="52"/>
      <c r="E763" s="52"/>
      <c r="F763" s="52"/>
      <c r="G763" s="52"/>
      <c r="H763" s="52"/>
      <c r="I763" s="52"/>
      <c r="J763" s="203" t="str">
        <f t="shared" si="369"/>
        <v/>
      </c>
      <c r="K763" s="33">
        <f t="shared" ref="K763:X763" si="389">IF(AND(ISBLANK(K721)=FALSE,K$657&gt;=Poczatek,K$657&lt;=Koniec_Projekt,$F677="tak",$G677="tak"),ROUND(K721*K677,0),0)</f>
        <v>0</v>
      </c>
      <c r="L763" s="33">
        <f t="shared" si="389"/>
        <v>0</v>
      </c>
      <c r="M763" s="33">
        <f t="shared" si="389"/>
        <v>0</v>
      </c>
      <c r="N763" s="33">
        <f t="shared" si="389"/>
        <v>0</v>
      </c>
      <c r="O763" s="33">
        <f t="shared" si="389"/>
        <v>0</v>
      </c>
      <c r="P763" s="33">
        <f t="shared" si="389"/>
        <v>0</v>
      </c>
      <c r="Q763" s="33">
        <f t="shared" si="389"/>
        <v>0</v>
      </c>
      <c r="R763" s="33">
        <f t="shared" si="389"/>
        <v>0</v>
      </c>
      <c r="S763" s="33">
        <f t="shared" si="389"/>
        <v>0</v>
      </c>
      <c r="T763" s="33">
        <f t="shared" si="389"/>
        <v>0</v>
      </c>
      <c r="U763" s="33">
        <f t="shared" si="389"/>
        <v>0</v>
      </c>
      <c r="V763" s="33">
        <f t="shared" si="389"/>
        <v>0</v>
      </c>
      <c r="W763" s="33">
        <f t="shared" si="389"/>
        <v>0</v>
      </c>
      <c r="X763" s="33">
        <f t="shared" si="389"/>
        <v>0</v>
      </c>
    </row>
    <row r="764" spans="2:24">
      <c r="B764" s="63" t="str">
        <f t="shared" ref="B764:C783" si="390">B722</f>
        <v/>
      </c>
      <c r="C764" s="63" t="str">
        <f t="shared" si="390"/>
        <v/>
      </c>
      <c r="D764" s="52"/>
      <c r="E764" s="52"/>
      <c r="F764" s="52"/>
      <c r="G764" s="52"/>
      <c r="H764" s="52"/>
      <c r="I764" s="52"/>
      <c r="J764" s="203" t="str">
        <f t="shared" si="369"/>
        <v/>
      </c>
      <c r="K764" s="33">
        <f t="shared" ref="K764:X764" si="391">IF(AND(ISBLANK(K722)=FALSE,K$657&gt;=Poczatek,K$657&lt;=Koniec_Projekt,$F678="tak",$G678="tak"),ROUND(K722*K678,0),0)</f>
        <v>0</v>
      </c>
      <c r="L764" s="33">
        <f t="shared" si="391"/>
        <v>0</v>
      </c>
      <c r="M764" s="33">
        <f t="shared" si="391"/>
        <v>0</v>
      </c>
      <c r="N764" s="33">
        <f t="shared" si="391"/>
        <v>0</v>
      </c>
      <c r="O764" s="33">
        <f t="shared" si="391"/>
        <v>0</v>
      </c>
      <c r="P764" s="33">
        <f t="shared" si="391"/>
        <v>0</v>
      </c>
      <c r="Q764" s="33">
        <f t="shared" si="391"/>
        <v>0</v>
      </c>
      <c r="R764" s="33">
        <f t="shared" si="391"/>
        <v>0</v>
      </c>
      <c r="S764" s="33">
        <f t="shared" si="391"/>
        <v>0</v>
      </c>
      <c r="T764" s="33">
        <f t="shared" si="391"/>
        <v>0</v>
      </c>
      <c r="U764" s="33">
        <f t="shared" si="391"/>
        <v>0</v>
      </c>
      <c r="V764" s="33">
        <f t="shared" si="391"/>
        <v>0</v>
      </c>
      <c r="W764" s="33">
        <f t="shared" si="391"/>
        <v>0</v>
      </c>
      <c r="X764" s="33">
        <f t="shared" si="391"/>
        <v>0</v>
      </c>
    </row>
    <row r="765" spans="2:24">
      <c r="B765" s="63" t="str">
        <f t="shared" si="390"/>
        <v/>
      </c>
      <c r="C765" s="63" t="str">
        <f t="shared" si="390"/>
        <v/>
      </c>
      <c r="D765" s="52"/>
      <c r="E765" s="52"/>
      <c r="F765" s="52"/>
      <c r="G765" s="52"/>
      <c r="H765" s="52"/>
      <c r="I765" s="52"/>
      <c r="J765" s="203" t="str">
        <f t="shared" si="369"/>
        <v/>
      </c>
      <c r="K765" s="33">
        <f t="shared" ref="K765:X765" si="392">IF(AND(ISBLANK(K723)=FALSE,K$657&gt;=Poczatek,K$657&lt;=Koniec_Projekt,$F679="tak",$G679="tak"),ROUND(K723*K679,0),0)</f>
        <v>0</v>
      </c>
      <c r="L765" s="33">
        <f t="shared" si="392"/>
        <v>0</v>
      </c>
      <c r="M765" s="33">
        <f t="shared" si="392"/>
        <v>0</v>
      </c>
      <c r="N765" s="33">
        <f t="shared" si="392"/>
        <v>0</v>
      </c>
      <c r="O765" s="33">
        <f t="shared" si="392"/>
        <v>0</v>
      </c>
      <c r="P765" s="33">
        <f t="shared" si="392"/>
        <v>0</v>
      </c>
      <c r="Q765" s="33">
        <f t="shared" si="392"/>
        <v>0</v>
      </c>
      <c r="R765" s="33">
        <f t="shared" si="392"/>
        <v>0</v>
      </c>
      <c r="S765" s="33">
        <f t="shared" si="392"/>
        <v>0</v>
      </c>
      <c r="T765" s="33">
        <f t="shared" si="392"/>
        <v>0</v>
      </c>
      <c r="U765" s="33">
        <f t="shared" si="392"/>
        <v>0</v>
      </c>
      <c r="V765" s="33">
        <f t="shared" si="392"/>
        <v>0</v>
      </c>
      <c r="W765" s="33">
        <f t="shared" si="392"/>
        <v>0</v>
      </c>
      <c r="X765" s="33">
        <f t="shared" si="392"/>
        <v>0</v>
      </c>
    </row>
    <row r="766" spans="2:24">
      <c r="B766" s="63" t="str">
        <f t="shared" si="390"/>
        <v/>
      </c>
      <c r="C766" s="63" t="str">
        <f t="shared" si="390"/>
        <v/>
      </c>
      <c r="D766" s="52"/>
      <c r="E766" s="52"/>
      <c r="F766" s="52"/>
      <c r="G766" s="52"/>
      <c r="H766" s="52"/>
      <c r="I766" s="52"/>
      <c r="J766" s="203" t="str">
        <f t="shared" si="369"/>
        <v/>
      </c>
      <c r="K766" s="33">
        <f t="shared" ref="K766:X766" si="393">IF(AND(ISBLANK(K724)=FALSE,K$657&gt;=Poczatek,K$657&lt;=Koniec_Projekt,$F680="tak",$G680="tak"),ROUND(K724*K680,0),0)</f>
        <v>0</v>
      </c>
      <c r="L766" s="33">
        <f t="shared" si="393"/>
        <v>0</v>
      </c>
      <c r="M766" s="33">
        <f t="shared" si="393"/>
        <v>0</v>
      </c>
      <c r="N766" s="33">
        <f t="shared" si="393"/>
        <v>0</v>
      </c>
      <c r="O766" s="33">
        <f t="shared" si="393"/>
        <v>0</v>
      </c>
      <c r="P766" s="33">
        <f t="shared" si="393"/>
        <v>0</v>
      </c>
      <c r="Q766" s="33">
        <f t="shared" si="393"/>
        <v>0</v>
      </c>
      <c r="R766" s="33">
        <f t="shared" si="393"/>
        <v>0</v>
      </c>
      <c r="S766" s="33">
        <f t="shared" si="393"/>
        <v>0</v>
      </c>
      <c r="T766" s="33">
        <f t="shared" si="393"/>
        <v>0</v>
      </c>
      <c r="U766" s="33">
        <f t="shared" si="393"/>
        <v>0</v>
      </c>
      <c r="V766" s="33">
        <f t="shared" si="393"/>
        <v>0</v>
      </c>
      <c r="W766" s="33">
        <f t="shared" si="393"/>
        <v>0</v>
      </c>
      <c r="X766" s="33">
        <f t="shared" si="393"/>
        <v>0</v>
      </c>
    </row>
    <row r="767" spans="2:24">
      <c r="B767" s="63" t="str">
        <f t="shared" si="390"/>
        <v/>
      </c>
      <c r="C767" s="63" t="str">
        <f t="shared" si="390"/>
        <v/>
      </c>
      <c r="D767" s="52"/>
      <c r="E767" s="52"/>
      <c r="F767" s="52"/>
      <c r="G767" s="52"/>
      <c r="H767" s="52"/>
      <c r="I767" s="52"/>
      <c r="J767" s="203" t="str">
        <f t="shared" si="369"/>
        <v/>
      </c>
      <c r="K767" s="33">
        <f t="shared" ref="K767:X767" si="394">IF(AND(ISBLANK(K725)=FALSE,K$657&gt;=Poczatek,K$657&lt;=Koniec_Projekt,$F681="tak",$G681="tak"),ROUND(K725*K681,0),0)</f>
        <v>0</v>
      </c>
      <c r="L767" s="33">
        <f t="shared" si="394"/>
        <v>0</v>
      </c>
      <c r="M767" s="33">
        <f t="shared" si="394"/>
        <v>0</v>
      </c>
      <c r="N767" s="33">
        <f t="shared" si="394"/>
        <v>0</v>
      </c>
      <c r="O767" s="33">
        <f t="shared" si="394"/>
        <v>0</v>
      </c>
      <c r="P767" s="33">
        <f t="shared" si="394"/>
        <v>0</v>
      </c>
      <c r="Q767" s="33">
        <f t="shared" si="394"/>
        <v>0</v>
      </c>
      <c r="R767" s="33">
        <f t="shared" si="394"/>
        <v>0</v>
      </c>
      <c r="S767" s="33">
        <f t="shared" si="394"/>
        <v>0</v>
      </c>
      <c r="T767" s="33">
        <f t="shared" si="394"/>
        <v>0</v>
      </c>
      <c r="U767" s="33">
        <f t="shared" si="394"/>
        <v>0</v>
      </c>
      <c r="V767" s="33">
        <f t="shared" si="394"/>
        <v>0</v>
      </c>
      <c r="W767" s="33">
        <f t="shared" si="394"/>
        <v>0</v>
      </c>
      <c r="X767" s="33">
        <f t="shared" si="394"/>
        <v>0</v>
      </c>
    </row>
    <row r="768" spans="2:24">
      <c r="B768" s="63" t="str">
        <f t="shared" si="390"/>
        <v/>
      </c>
      <c r="C768" s="63" t="str">
        <f t="shared" si="390"/>
        <v/>
      </c>
      <c r="D768" s="52"/>
      <c r="E768" s="52"/>
      <c r="F768" s="52"/>
      <c r="G768" s="52"/>
      <c r="H768" s="52"/>
      <c r="I768" s="52"/>
      <c r="J768" s="203" t="str">
        <f t="shared" si="369"/>
        <v/>
      </c>
      <c r="K768" s="33">
        <f t="shared" ref="K768:X768" si="395">IF(AND(ISBLANK(K726)=FALSE,K$657&gt;=Poczatek,K$657&lt;=Koniec_Projekt,$F682="tak",$G682="tak"),ROUND(K726*K682,0),0)</f>
        <v>0</v>
      </c>
      <c r="L768" s="33">
        <f t="shared" si="395"/>
        <v>0</v>
      </c>
      <c r="M768" s="33">
        <f t="shared" si="395"/>
        <v>0</v>
      </c>
      <c r="N768" s="33">
        <f t="shared" si="395"/>
        <v>0</v>
      </c>
      <c r="O768" s="33">
        <f t="shared" si="395"/>
        <v>0</v>
      </c>
      <c r="P768" s="33">
        <f t="shared" si="395"/>
        <v>0</v>
      </c>
      <c r="Q768" s="33">
        <f t="shared" si="395"/>
        <v>0</v>
      </c>
      <c r="R768" s="33">
        <f t="shared" si="395"/>
        <v>0</v>
      </c>
      <c r="S768" s="33">
        <f t="shared" si="395"/>
        <v>0</v>
      </c>
      <c r="T768" s="33">
        <f t="shared" si="395"/>
        <v>0</v>
      </c>
      <c r="U768" s="33">
        <f t="shared" si="395"/>
        <v>0</v>
      </c>
      <c r="V768" s="33">
        <f t="shared" si="395"/>
        <v>0</v>
      </c>
      <c r="W768" s="33">
        <f t="shared" si="395"/>
        <v>0</v>
      </c>
      <c r="X768" s="33">
        <f t="shared" si="395"/>
        <v>0</v>
      </c>
    </row>
    <row r="769" spans="2:24">
      <c r="B769" s="63" t="str">
        <f t="shared" si="390"/>
        <v/>
      </c>
      <c r="C769" s="63" t="str">
        <f t="shared" si="390"/>
        <v/>
      </c>
      <c r="D769" s="52"/>
      <c r="E769" s="52"/>
      <c r="F769" s="52"/>
      <c r="G769" s="52"/>
      <c r="H769" s="52"/>
      <c r="I769" s="52"/>
      <c r="J769" s="203" t="str">
        <f t="shared" si="369"/>
        <v/>
      </c>
      <c r="K769" s="33">
        <f t="shared" ref="K769:X769" si="396">IF(AND(ISBLANK(K727)=FALSE,K$657&gt;=Poczatek,K$657&lt;=Koniec_Projekt,$F683="tak",$G683="tak"),ROUND(K727*K683,0),0)</f>
        <v>0</v>
      </c>
      <c r="L769" s="33">
        <f t="shared" si="396"/>
        <v>0</v>
      </c>
      <c r="M769" s="33">
        <f t="shared" si="396"/>
        <v>0</v>
      </c>
      <c r="N769" s="33">
        <f t="shared" si="396"/>
        <v>0</v>
      </c>
      <c r="O769" s="33">
        <f t="shared" si="396"/>
        <v>0</v>
      </c>
      <c r="P769" s="33">
        <f t="shared" si="396"/>
        <v>0</v>
      </c>
      <c r="Q769" s="33">
        <f t="shared" si="396"/>
        <v>0</v>
      </c>
      <c r="R769" s="33">
        <f t="shared" si="396"/>
        <v>0</v>
      </c>
      <c r="S769" s="33">
        <f t="shared" si="396"/>
        <v>0</v>
      </c>
      <c r="T769" s="33">
        <f t="shared" si="396"/>
        <v>0</v>
      </c>
      <c r="U769" s="33">
        <f t="shared" si="396"/>
        <v>0</v>
      </c>
      <c r="V769" s="33">
        <f t="shared" si="396"/>
        <v>0</v>
      </c>
      <c r="W769" s="33">
        <f t="shared" si="396"/>
        <v>0</v>
      </c>
      <c r="X769" s="33">
        <f t="shared" si="396"/>
        <v>0</v>
      </c>
    </row>
    <row r="770" spans="2:24">
      <c r="B770" s="63" t="str">
        <f t="shared" si="390"/>
        <v/>
      </c>
      <c r="C770" s="63" t="str">
        <f t="shared" si="390"/>
        <v/>
      </c>
      <c r="D770" s="52"/>
      <c r="E770" s="52"/>
      <c r="F770" s="52"/>
      <c r="G770" s="52"/>
      <c r="H770" s="52"/>
      <c r="I770" s="52"/>
      <c r="J770" s="203" t="str">
        <f t="shared" si="369"/>
        <v/>
      </c>
      <c r="K770" s="33">
        <f t="shared" ref="K770:X770" si="397">IF(AND(ISBLANK(K728)=FALSE,K$657&gt;=Poczatek,K$657&lt;=Koniec_Projekt,$F684="tak",$G684="tak"),ROUND(K728*K684,0),0)</f>
        <v>0</v>
      </c>
      <c r="L770" s="33">
        <f t="shared" si="397"/>
        <v>0</v>
      </c>
      <c r="M770" s="33">
        <f t="shared" si="397"/>
        <v>0</v>
      </c>
      <c r="N770" s="33">
        <f t="shared" si="397"/>
        <v>0</v>
      </c>
      <c r="O770" s="33">
        <f t="shared" si="397"/>
        <v>0</v>
      </c>
      <c r="P770" s="33">
        <f t="shared" si="397"/>
        <v>0</v>
      </c>
      <c r="Q770" s="33">
        <f t="shared" si="397"/>
        <v>0</v>
      </c>
      <c r="R770" s="33">
        <f t="shared" si="397"/>
        <v>0</v>
      </c>
      <c r="S770" s="33">
        <f t="shared" si="397"/>
        <v>0</v>
      </c>
      <c r="T770" s="33">
        <f t="shared" si="397"/>
        <v>0</v>
      </c>
      <c r="U770" s="33">
        <f t="shared" si="397"/>
        <v>0</v>
      </c>
      <c r="V770" s="33">
        <f t="shared" si="397"/>
        <v>0</v>
      </c>
      <c r="W770" s="33">
        <f t="shared" si="397"/>
        <v>0</v>
      </c>
      <c r="X770" s="33">
        <f t="shared" si="397"/>
        <v>0</v>
      </c>
    </row>
    <row r="771" spans="2:24">
      <c r="B771" s="63" t="str">
        <f t="shared" si="390"/>
        <v/>
      </c>
      <c r="C771" s="63" t="str">
        <f t="shared" si="390"/>
        <v/>
      </c>
      <c r="D771" s="52"/>
      <c r="E771" s="52"/>
      <c r="F771" s="52"/>
      <c r="G771" s="52"/>
      <c r="H771" s="52"/>
      <c r="I771" s="52"/>
      <c r="J771" s="203" t="str">
        <f t="shared" si="369"/>
        <v/>
      </c>
      <c r="K771" s="33">
        <f t="shared" ref="K771:X771" si="398">IF(AND(ISBLANK(K729)=FALSE,K$657&gt;=Poczatek,K$657&lt;=Koniec_Projekt,$F685="tak",$G685="tak"),ROUND(K729*K685,0),0)</f>
        <v>0</v>
      </c>
      <c r="L771" s="33">
        <f t="shared" si="398"/>
        <v>0</v>
      </c>
      <c r="M771" s="33">
        <f t="shared" si="398"/>
        <v>0</v>
      </c>
      <c r="N771" s="33">
        <f t="shared" si="398"/>
        <v>0</v>
      </c>
      <c r="O771" s="33">
        <f t="shared" si="398"/>
        <v>0</v>
      </c>
      <c r="P771" s="33">
        <f t="shared" si="398"/>
        <v>0</v>
      </c>
      <c r="Q771" s="33">
        <f t="shared" si="398"/>
        <v>0</v>
      </c>
      <c r="R771" s="33">
        <f t="shared" si="398"/>
        <v>0</v>
      </c>
      <c r="S771" s="33">
        <f t="shared" si="398"/>
        <v>0</v>
      </c>
      <c r="T771" s="33">
        <f t="shared" si="398"/>
        <v>0</v>
      </c>
      <c r="U771" s="33">
        <f t="shared" si="398"/>
        <v>0</v>
      </c>
      <c r="V771" s="33">
        <f t="shared" si="398"/>
        <v>0</v>
      </c>
      <c r="W771" s="33">
        <f t="shared" si="398"/>
        <v>0</v>
      </c>
      <c r="X771" s="33">
        <f t="shared" si="398"/>
        <v>0</v>
      </c>
    </row>
    <row r="772" spans="2:24">
      <c r="B772" s="63" t="str">
        <f t="shared" si="390"/>
        <v/>
      </c>
      <c r="C772" s="63" t="str">
        <f t="shared" si="390"/>
        <v/>
      </c>
      <c r="D772" s="52"/>
      <c r="E772" s="52"/>
      <c r="F772" s="52"/>
      <c r="G772" s="52"/>
      <c r="H772" s="52"/>
      <c r="I772" s="52"/>
      <c r="J772" s="203" t="str">
        <f t="shared" si="369"/>
        <v/>
      </c>
      <c r="K772" s="33">
        <f t="shared" ref="K772:X772" si="399">IF(AND(ISBLANK(K730)=FALSE,K$657&gt;=Poczatek,K$657&lt;=Koniec_Projekt,$F686="tak",$G686="tak"),ROUND(K730*K686,0),0)</f>
        <v>0</v>
      </c>
      <c r="L772" s="33">
        <f t="shared" si="399"/>
        <v>0</v>
      </c>
      <c r="M772" s="33">
        <f t="shared" si="399"/>
        <v>0</v>
      </c>
      <c r="N772" s="33">
        <f t="shared" si="399"/>
        <v>0</v>
      </c>
      <c r="O772" s="33">
        <f t="shared" si="399"/>
        <v>0</v>
      </c>
      <c r="P772" s="33">
        <f t="shared" si="399"/>
        <v>0</v>
      </c>
      <c r="Q772" s="33">
        <f t="shared" si="399"/>
        <v>0</v>
      </c>
      <c r="R772" s="33">
        <f t="shared" si="399"/>
        <v>0</v>
      </c>
      <c r="S772" s="33">
        <f t="shared" si="399"/>
        <v>0</v>
      </c>
      <c r="T772" s="33">
        <f t="shared" si="399"/>
        <v>0</v>
      </c>
      <c r="U772" s="33">
        <f t="shared" si="399"/>
        <v>0</v>
      </c>
      <c r="V772" s="33">
        <f t="shared" si="399"/>
        <v>0</v>
      </c>
      <c r="W772" s="33">
        <f t="shared" si="399"/>
        <v>0</v>
      </c>
      <c r="X772" s="33">
        <f t="shared" si="399"/>
        <v>0</v>
      </c>
    </row>
    <row r="773" spans="2:24">
      <c r="B773" s="63" t="str">
        <f t="shared" si="390"/>
        <v/>
      </c>
      <c r="C773" s="63" t="str">
        <f t="shared" si="390"/>
        <v/>
      </c>
      <c r="D773" s="52"/>
      <c r="E773" s="52"/>
      <c r="F773" s="52"/>
      <c r="G773" s="52"/>
      <c r="H773" s="52"/>
      <c r="I773" s="52"/>
      <c r="J773" s="203" t="str">
        <f t="shared" si="369"/>
        <v/>
      </c>
      <c r="K773" s="33">
        <f t="shared" ref="K773:X773" si="400">IF(AND(ISBLANK(K731)=FALSE,K$657&gt;=Poczatek,K$657&lt;=Koniec_Projekt,$F687="tak",$G687="tak"),ROUND(K731*K687,0),0)</f>
        <v>0</v>
      </c>
      <c r="L773" s="33">
        <f t="shared" si="400"/>
        <v>0</v>
      </c>
      <c r="M773" s="33">
        <f t="shared" si="400"/>
        <v>0</v>
      </c>
      <c r="N773" s="33">
        <f t="shared" si="400"/>
        <v>0</v>
      </c>
      <c r="O773" s="33">
        <f t="shared" si="400"/>
        <v>0</v>
      </c>
      <c r="P773" s="33">
        <f t="shared" si="400"/>
        <v>0</v>
      </c>
      <c r="Q773" s="33">
        <f t="shared" si="400"/>
        <v>0</v>
      </c>
      <c r="R773" s="33">
        <f t="shared" si="400"/>
        <v>0</v>
      </c>
      <c r="S773" s="33">
        <f t="shared" si="400"/>
        <v>0</v>
      </c>
      <c r="T773" s="33">
        <f t="shared" si="400"/>
        <v>0</v>
      </c>
      <c r="U773" s="33">
        <f t="shared" si="400"/>
        <v>0</v>
      </c>
      <c r="V773" s="33">
        <f t="shared" si="400"/>
        <v>0</v>
      </c>
      <c r="W773" s="33">
        <f t="shared" si="400"/>
        <v>0</v>
      </c>
      <c r="X773" s="33">
        <f t="shared" si="400"/>
        <v>0</v>
      </c>
    </row>
    <row r="774" spans="2:24">
      <c r="B774" s="63" t="str">
        <f t="shared" si="390"/>
        <v/>
      </c>
      <c r="C774" s="63" t="str">
        <f t="shared" si="390"/>
        <v/>
      </c>
      <c r="D774" s="52"/>
      <c r="E774" s="52"/>
      <c r="F774" s="52"/>
      <c r="G774" s="52"/>
      <c r="H774" s="52"/>
      <c r="I774" s="52"/>
      <c r="J774" s="203" t="str">
        <f t="shared" si="369"/>
        <v/>
      </c>
      <c r="K774" s="33">
        <f t="shared" ref="K774:X774" si="401">IF(AND(ISBLANK(K732)=FALSE,K$657&gt;=Poczatek,K$657&lt;=Koniec_Projekt,$F688="tak",$G688="tak"),ROUND(K732*K688,0),0)</f>
        <v>0</v>
      </c>
      <c r="L774" s="33">
        <f t="shared" si="401"/>
        <v>0</v>
      </c>
      <c r="M774" s="33">
        <f t="shared" si="401"/>
        <v>0</v>
      </c>
      <c r="N774" s="33">
        <f t="shared" si="401"/>
        <v>0</v>
      </c>
      <c r="O774" s="33">
        <f t="shared" si="401"/>
        <v>0</v>
      </c>
      <c r="P774" s="33">
        <f t="shared" si="401"/>
        <v>0</v>
      </c>
      <c r="Q774" s="33">
        <f t="shared" si="401"/>
        <v>0</v>
      </c>
      <c r="R774" s="33">
        <f t="shared" si="401"/>
        <v>0</v>
      </c>
      <c r="S774" s="33">
        <f t="shared" si="401"/>
        <v>0</v>
      </c>
      <c r="T774" s="33">
        <f t="shared" si="401"/>
        <v>0</v>
      </c>
      <c r="U774" s="33">
        <f t="shared" si="401"/>
        <v>0</v>
      </c>
      <c r="V774" s="33">
        <f t="shared" si="401"/>
        <v>0</v>
      </c>
      <c r="W774" s="33">
        <f t="shared" si="401"/>
        <v>0</v>
      </c>
      <c r="X774" s="33">
        <f t="shared" si="401"/>
        <v>0</v>
      </c>
    </row>
    <row r="775" spans="2:24">
      <c r="B775" s="63" t="str">
        <f t="shared" si="390"/>
        <v/>
      </c>
      <c r="C775" s="63" t="str">
        <f t="shared" si="390"/>
        <v/>
      </c>
      <c r="D775" s="52"/>
      <c r="E775" s="52"/>
      <c r="F775" s="52"/>
      <c r="G775" s="52"/>
      <c r="H775" s="52"/>
      <c r="I775" s="52"/>
      <c r="J775" s="203" t="str">
        <f t="shared" si="369"/>
        <v/>
      </c>
      <c r="K775" s="33">
        <f t="shared" ref="K775:X775" si="402">IF(AND(ISBLANK(K733)=FALSE,K$657&gt;=Poczatek,K$657&lt;=Koniec_Projekt,$F689="tak",$G689="tak"),ROUND(K733*K689,0),0)</f>
        <v>0</v>
      </c>
      <c r="L775" s="33">
        <f t="shared" si="402"/>
        <v>0</v>
      </c>
      <c r="M775" s="33">
        <f t="shared" si="402"/>
        <v>0</v>
      </c>
      <c r="N775" s="33">
        <f t="shared" si="402"/>
        <v>0</v>
      </c>
      <c r="O775" s="33">
        <f t="shared" si="402"/>
        <v>0</v>
      </c>
      <c r="P775" s="33">
        <f t="shared" si="402"/>
        <v>0</v>
      </c>
      <c r="Q775" s="33">
        <f t="shared" si="402"/>
        <v>0</v>
      </c>
      <c r="R775" s="33">
        <f t="shared" si="402"/>
        <v>0</v>
      </c>
      <c r="S775" s="33">
        <f t="shared" si="402"/>
        <v>0</v>
      </c>
      <c r="T775" s="33">
        <f t="shared" si="402"/>
        <v>0</v>
      </c>
      <c r="U775" s="33">
        <f t="shared" si="402"/>
        <v>0</v>
      </c>
      <c r="V775" s="33">
        <f t="shared" si="402"/>
        <v>0</v>
      </c>
      <c r="W775" s="33">
        <f t="shared" si="402"/>
        <v>0</v>
      </c>
      <c r="X775" s="33">
        <f t="shared" si="402"/>
        <v>0</v>
      </c>
    </row>
    <row r="776" spans="2:24">
      <c r="B776" s="63" t="str">
        <f t="shared" si="390"/>
        <v/>
      </c>
      <c r="C776" s="63" t="str">
        <f t="shared" si="390"/>
        <v/>
      </c>
      <c r="D776" s="52"/>
      <c r="E776" s="52"/>
      <c r="F776" s="52"/>
      <c r="G776" s="52"/>
      <c r="H776" s="52"/>
      <c r="I776" s="52"/>
      <c r="J776" s="203" t="str">
        <f t="shared" si="369"/>
        <v/>
      </c>
      <c r="K776" s="33">
        <f t="shared" ref="K776:X776" si="403">IF(AND(ISBLANK(K734)=FALSE,K$657&gt;=Poczatek,K$657&lt;=Koniec_Projekt,$F690="tak",$G690="tak"),ROUND(K734*K690,0),0)</f>
        <v>0</v>
      </c>
      <c r="L776" s="33">
        <f t="shared" si="403"/>
        <v>0</v>
      </c>
      <c r="M776" s="33">
        <f t="shared" si="403"/>
        <v>0</v>
      </c>
      <c r="N776" s="33">
        <f t="shared" si="403"/>
        <v>0</v>
      </c>
      <c r="O776" s="33">
        <f t="shared" si="403"/>
        <v>0</v>
      </c>
      <c r="P776" s="33">
        <f t="shared" si="403"/>
        <v>0</v>
      </c>
      <c r="Q776" s="33">
        <f t="shared" si="403"/>
        <v>0</v>
      </c>
      <c r="R776" s="33">
        <f t="shared" si="403"/>
        <v>0</v>
      </c>
      <c r="S776" s="33">
        <f t="shared" si="403"/>
        <v>0</v>
      </c>
      <c r="T776" s="33">
        <f t="shared" si="403"/>
        <v>0</v>
      </c>
      <c r="U776" s="33">
        <f t="shared" si="403"/>
        <v>0</v>
      </c>
      <c r="V776" s="33">
        <f t="shared" si="403"/>
        <v>0</v>
      </c>
      <c r="W776" s="33">
        <f t="shared" si="403"/>
        <v>0</v>
      </c>
      <c r="X776" s="33">
        <f t="shared" si="403"/>
        <v>0</v>
      </c>
    </row>
    <row r="777" spans="2:24">
      <c r="B777" s="63" t="str">
        <f t="shared" si="390"/>
        <v/>
      </c>
      <c r="C777" s="63" t="str">
        <f t="shared" si="390"/>
        <v/>
      </c>
      <c r="D777" s="52"/>
      <c r="E777" s="52"/>
      <c r="F777" s="52"/>
      <c r="G777" s="52"/>
      <c r="H777" s="52"/>
      <c r="I777" s="52"/>
      <c r="J777" s="203" t="str">
        <f t="shared" si="369"/>
        <v/>
      </c>
      <c r="K777" s="33">
        <f t="shared" ref="K777:X777" si="404">IF(AND(ISBLANK(K735)=FALSE,K$657&gt;=Poczatek,K$657&lt;=Koniec_Projekt,$F691="tak",$G691="tak"),ROUND(K735*K691,0),0)</f>
        <v>0</v>
      </c>
      <c r="L777" s="33">
        <f t="shared" si="404"/>
        <v>0</v>
      </c>
      <c r="M777" s="33">
        <f t="shared" si="404"/>
        <v>0</v>
      </c>
      <c r="N777" s="33">
        <f t="shared" si="404"/>
        <v>0</v>
      </c>
      <c r="O777" s="33">
        <f t="shared" si="404"/>
        <v>0</v>
      </c>
      <c r="P777" s="33">
        <f t="shared" si="404"/>
        <v>0</v>
      </c>
      <c r="Q777" s="33">
        <f t="shared" si="404"/>
        <v>0</v>
      </c>
      <c r="R777" s="33">
        <f t="shared" si="404"/>
        <v>0</v>
      </c>
      <c r="S777" s="33">
        <f t="shared" si="404"/>
        <v>0</v>
      </c>
      <c r="T777" s="33">
        <f t="shared" si="404"/>
        <v>0</v>
      </c>
      <c r="U777" s="33">
        <f t="shared" si="404"/>
        <v>0</v>
      </c>
      <c r="V777" s="33">
        <f t="shared" si="404"/>
        <v>0</v>
      </c>
      <c r="W777" s="33">
        <f t="shared" si="404"/>
        <v>0</v>
      </c>
      <c r="X777" s="33">
        <f t="shared" si="404"/>
        <v>0</v>
      </c>
    </row>
    <row r="778" spans="2:24">
      <c r="B778" s="63" t="str">
        <f t="shared" si="390"/>
        <v/>
      </c>
      <c r="C778" s="63" t="str">
        <f t="shared" si="390"/>
        <v/>
      </c>
      <c r="D778" s="52"/>
      <c r="E778" s="52"/>
      <c r="F778" s="52"/>
      <c r="G778" s="52"/>
      <c r="H778" s="52"/>
      <c r="I778" s="52"/>
      <c r="J778" s="203" t="str">
        <f t="shared" si="369"/>
        <v/>
      </c>
      <c r="K778" s="33">
        <f t="shared" ref="K778:X778" si="405">IF(AND(ISBLANK(K736)=FALSE,K$657&gt;=Poczatek,K$657&lt;=Koniec_Projekt,$F692="tak",$G692="tak"),ROUND(K736*K692,0),0)</f>
        <v>0</v>
      </c>
      <c r="L778" s="33">
        <f t="shared" si="405"/>
        <v>0</v>
      </c>
      <c r="M778" s="33">
        <f t="shared" si="405"/>
        <v>0</v>
      </c>
      <c r="N778" s="33">
        <f t="shared" si="405"/>
        <v>0</v>
      </c>
      <c r="O778" s="33">
        <f t="shared" si="405"/>
        <v>0</v>
      </c>
      <c r="P778" s="33">
        <f t="shared" si="405"/>
        <v>0</v>
      </c>
      <c r="Q778" s="33">
        <f t="shared" si="405"/>
        <v>0</v>
      </c>
      <c r="R778" s="33">
        <f t="shared" si="405"/>
        <v>0</v>
      </c>
      <c r="S778" s="33">
        <f t="shared" si="405"/>
        <v>0</v>
      </c>
      <c r="T778" s="33">
        <f t="shared" si="405"/>
        <v>0</v>
      </c>
      <c r="U778" s="33">
        <f t="shared" si="405"/>
        <v>0</v>
      </c>
      <c r="V778" s="33">
        <f t="shared" si="405"/>
        <v>0</v>
      </c>
      <c r="W778" s="33">
        <f t="shared" si="405"/>
        <v>0</v>
      </c>
      <c r="X778" s="33">
        <f t="shared" si="405"/>
        <v>0</v>
      </c>
    </row>
    <row r="779" spans="2:24">
      <c r="B779" s="63" t="str">
        <f t="shared" si="390"/>
        <v/>
      </c>
      <c r="C779" s="63" t="str">
        <f t="shared" si="390"/>
        <v/>
      </c>
      <c r="D779" s="52"/>
      <c r="E779" s="52"/>
      <c r="F779" s="52"/>
      <c r="G779" s="52"/>
      <c r="H779" s="52"/>
      <c r="I779" s="52"/>
      <c r="J779" s="203" t="str">
        <f t="shared" si="369"/>
        <v/>
      </c>
      <c r="K779" s="33">
        <f t="shared" ref="K779:X779" si="406">IF(AND(ISBLANK(K737)=FALSE,K$657&gt;=Poczatek,K$657&lt;=Koniec_Projekt,$F693="tak",$G693="tak"),ROUND(K737*K693,0),0)</f>
        <v>0</v>
      </c>
      <c r="L779" s="33">
        <f t="shared" si="406"/>
        <v>0</v>
      </c>
      <c r="M779" s="33">
        <f t="shared" si="406"/>
        <v>0</v>
      </c>
      <c r="N779" s="33">
        <f t="shared" si="406"/>
        <v>0</v>
      </c>
      <c r="O779" s="33">
        <f t="shared" si="406"/>
        <v>0</v>
      </c>
      <c r="P779" s="33">
        <f t="shared" si="406"/>
        <v>0</v>
      </c>
      <c r="Q779" s="33">
        <f t="shared" si="406"/>
        <v>0</v>
      </c>
      <c r="R779" s="33">
        <f t="shared" si="406"/>
        <v>0</v>
      </c>
      <c r="S779" s="33">
        <f t="shared" si="406"/>
        <v>0</v>
      </c>
      <c r="T779" s="33">
        <f t="shared" si="406"/>
        <v>0</v>
      </c>
      <c r="U779" s="33">
        <f t="shared" si="406"/>
        <v>0</v>
      </c>
      <c r="V779" s="33">
        <f t="shared" si="406"/>
        <v>0</v>
      </c>
      <c r="W779" s="33">
        <f t="shared" si="406"/>
        <v>0</v>
      </c>
      <c r="X779" s="33">
        <f t="shared" si="406"/>
        <v>0</v>
      </c>
    </row>
    <row r="780" spans="2:24">
      <c r="B780" s="63" t="str">
        <f t="shared" si="390"/>
        <v/>
      </c>
      <c r="C780" s="63" t="str">
        <f t="shared" si="390"/>
        <v/>
      </c>
      <c r="D780" s="52"/>
      <c r="E780" s="52"/>
      <c r="F780" s="52"/>
      <c r="G780" s="52"/>
      <c r="H780" s="52"/>
      <c r="I780" s="52"/>
      <c r="J780" s="203" t="str">
        <f t="shared" si="369"/>
        <v/>
      </c>
      <c r="K780" s="33">
        <f t="shared" ref="K780:X780" si="407">IF(AND(ISBLANK(K738)=FALSE,K$657&gt;=Poczatek,K$657&lt;=Koniec_Projekt,$F694="tak",$G694="tak"),ROUND(K738*K694,0),0)</f>
        <v>0</v>
      </c>
      <c r="L780" s="33">
        <f t="shared" si="407"/>
        <v>0</v>
      </c>
      <c r="M780" s="33">
        <f t="shared" si="407"/>
        <v>0</v>
      </c>
      <c r="N780" s="33">
        <f t="shared" si="407"/>
        <v>0</v>
      </c>
      <c r="O780" s="33">
        <f t="shared" si="407"/>
        <v>0</v>
      </c>
      <c r="P780" s="33">
        <f t="shared" si="407"/>
        <v>0</v>
      </c>
      <c r="Q780" s="33">
        <f t="shared" si="407"/>
        <v>0</v>
      </c>
      <c r="R780" s="33">
        <f t="shared" si="407"/>
        <v>0</v>
      </c>
      <c r="S780" s="33">
        <f t="shared" si="407"/>
        <v>0</v>
      </c>
      <c r="T780" s="33">
        <f t="shared" si="407"/>
        <v>0</v>
      </c>
      <c r="U780" s="33">
        <f t="shared" si="407"/>
        <v>0</v>
      </c>
      <c r="V780" s="33">
        <f t="shared" si="407"/>
        <v>0</v>
      </c>
      <c r="W780" s="33">
        <f t="shared" si="407"/>
        <v>0</v>
      </c>
      <c r="X780" s="33">
        <f t="shared" si="407"/>
        <v>0</v>
      </c>
    </row>
    <row r="781" spans="2:24">
      <c r="B781" s="63" t="str">
        <f t="shared" si="390"/>
        <v/>
      </c>
      <c r="C781" s="63" t="str">
        <f t="shared" si="390"/>
        <v/>
      </c>
      <c r="D781" s="52"/>
      <c r="E781" s="52"/>
      <c r="F781" s="52"/>
      <c r="G781" s="52"/>
      <c r="H781" s="52"/>
      <c r="I781" s="52"/>
      <c r="J781" s="203" t="str">
        <f t="shared" si="369"/>
        <v/>
      </c>
      <c r="K781" s="33">
        <f t="shared" ref="K781:X781" si="408">IF(AND(ISBLANK(K739)=FALSE,K$657&gt;=Poczatek,K$657&lt;=Koniec_Projekt,$F695="tak",$G695="tak"),ROUND(K739*K695,0),0)</f>
        <v>0</v>
      </c>
      <c r="L781" s="33">
        <f t="shared" si="408"/>
        <v>0</v>
      </c>
      <c r="M781" s="33">
        <f t="shared" si="408"/>
        <v>0</v>
      </c>
      <c r="N781" s="33">
        <f t="shared" si="408"/>
        <v>0</v>
      </c>
      <c r="O781" s="33">
        <f t="shared" si="408"/>
        <v>0</v>
      </c>
      <c r="P781" s="33">
        <f t="shared" si="408"/>
        <v>0</v>
      </c>
      <c r="Q781" s="33">
        <f t="shared" si="408"/>
        <v>0</v>
      </c>
      <c r="R781" s="33">
        <f t="shared" si="408"/>
        <v>0</v>
      </c>
      <c r="S781" s="33">
        <f t="shared" si="408"/>
        <v>0</v>
      </c>
      <c r="T781" s="33">
        <f t="shared" si="408"/>
        <v>0</v>
      </c>
      <c r="U781" s="33">
        <f t="shared" si="408"/>
        <v>0</v>
      </c>
      <c r="V781" s="33">
        <f t="shared" si="408"/>
        <v>0</v>
      </c>
      <c r="W781" s="33">
        <f t="shared" si="408"/>
        <v>0</v>
      </c>
      <c r="X781" s="33">
        <f t="shared" si="408"/>
        <v>0</v>
      </c>
    </row>
    <row r="782" spans="2:24">
      <c r="B782" s="63" t="str">
        <f t="shared" si="390"/>
        <v/>
      </c>
      <c r="C782" s="63" t="str">
        <f t="shared" si="390"/>
        <v/>
      </c>
      <c r="D782" s="52"/>
      <c r="E782" s="52"/>
      <c r="F782" s="52"/>
      <c r="G782" s="52"/>
      <c r="H782" s="52"/>
      <c r="I782" s="52"/>
      <c r="J782" s="203" t="str">
        <f t="shared" si="369"/>
        <v/>
      </c>
      <c r="K782" s="33">
        <f t="shared" ref="K782:X782" si="409">IF(AND(ISBLANK(K740)=FALSE,K$657&gt;=Poczatek,K$657&lt;=Koniec_Projekt,$F696="tak",$G696="tak"),ROUND(K740*K696,0),0)</f>
        <v>0</v>
      </c>
      <c r="L782" s="33">
        <f t="shared" si="409"/>
        <v>0</v>
      </c>
      <c r="M782" s="33">
        <f t="shared" si="409"/>
        <v>0</v>
      </c>
      <c r="N782" s="33">
        <f t="shared" si="409"/>
        <v>0</v>
      </c>
      <c r="O782" s="33">
        <f t="shared" si="409"/>
        <v>0</v>
      </c>
      <c r="P782" s="33">
        <f t="shared" si="409"/>
        <v>0</v>
      </c>
      <c r="Q782" s="33">
        <f t="shared" si="409"/>
        <v>0</v>
      </c>
      <c r="R782" s="33">
        <f t="shared" si="409"/>
        <v>0</v>
      </c>
      <c r="S782" s="33">
        <f t="shared" si="409"/>
        <v>0</v>
      </c>
      <c r="T782" s="33">
        <f t="shared" si="409"/>
        <v>0</v>
      </c>
      <c r="U782" s="33">
        <f t="shared" si="409"/>
        <v>0</v>
      </c>
      <c r="V782" s="33">
        <f t="shared" si="409"/>
        <v>0</v>
      </c>
      <c r="W782" s="33">
        <f t="shared" si="409"/>
        <v>0</v>
      </c>
      <c r="X782" s="33">
        <f t="shared" si="409"/>
        <v>0</v>
      </c>
    </row>
    <row r="783" spans="2:24">
      <c r="B783" s="63" t="str">
        <f t="shared" si="390"/>
        <v/>
      </c>
      <c r="C783" s="63" t="str">
        <f t="shared" si="390"/>
        <v/>
      </c>
      <c r="D783" s="52"/>
      <c r="E783" s="52"/>
      <c r="F783" s="52"/>
      <c r="G783" s="52"/>
      <c r="H783" s="52"/>
      <c r="I783" s="52"/>
      <c r="J783" s="203" t="str">
        <f t="shared" si="369"/>
        <v/>
      </c>
      <c r="K783" s="33">
        <f t="shared" ref="K783:X783" si="410">IF(AND(ISBLANK(K741)=FALSE,K$657&gt;=Poczatek,K$657&lt;=Koniec_Projekt,$F697="tak",$G697="tak"),ROUND(K741*K697,0),0)</f>
        <v>0</v>
      </c>
      <c r="L783" s="33">
        <f t="shared" si="410"/>
        <v>0</v>
      </c>
      <c r="M783" s="33">
        <f t="shared" si="410"/>
        <v>0</v>
      </c>
      <c r="N783" s="33">
        <f t="shared" si="410"/>
        <v>0</v>
      </c>
      <c r="O783" s="33">
        <f t="shared" si="410"/>
        <v>0</v>
      </c>
      <c r="P783" s="33">
        <f t="shared" si="410"/>
        <v>0</v>
      </c>
      <c r="Q783" s="33">
        <f t="shared" si="410"/>
        <v>0</v>
      </c>
      <c r="R783" s="33">
        <f t="shared" si="410"/>
        <v>0</v>
      </c>
      <c r="S783" s="33">
        <f t="shared" si="410"/>
        <v>0</v>
      </c>
      <c r="T783" s="33">
        <f t="shared" si="410"/>
        <v>0</v>
      </c>
      <c r="U783" s="33">
        <f t="shared" si="410"/>
        <v>0</v>
      </c>
      <c r="V783" s="33">
        <f t="shared" si="410"/>
        <v>0</v>
      </c>
      <c r="W783" s="33">
        <f t="shared" si="410"/>
        <v>0</v>
      </c>
      <c r="X783" s="33">
        <f t="shared" si="410"/>
        <v>0</v>
      </c>
    </row>
    <row r="784" spans="2:24"/>
    <row r="785" spans="2:24">
      <c r="H785" s="5"/>
    </row>
    <row r="786" spans="2:24">
      <c r="B786" s="29" t="s">
        <v>394</v>
      </c>
      <c r="C786" s="29"/>
      <c r="D786" s="30"/>
      <c r="E786" s="30"/>
      <c r="F786" s="30"/>
      <c r="G786" s="30"/>
      <c r="H786" s="30"/>
      <c r="I786" s="30"/>
      <c r="J786" s="30"/>
      <c r="K786" s="156" t="str">
        <f t="shared" ref="K786:X786" si="411">LataProjekcji</f>
        <v>Uzupełnij dane</v>
      </c>
      <c r="L786" s="156" t="str">
        <f t="shared" si="411"/>
        <v/>
      </c>
      <c r="M786" s="156" t="str">
        <f t="shared" si="411"/>
        <v/>
      </c>
      <c r="N786" s="156" t="str">
        <f t="shared" si="411"/>
        <v/>
      </c>
      <c r="O786" s="156" t="str">
        <f t="shared" si="411"/>
        <v/>
      </c>
      <c r="P786" s="156" t="str">
        <f t="shared" si="411"/>
        <v/>
      </c>
      <c r="Q786" s="156" t="str">
        <f t="shared" si="411"/>
        <v/>
      </c>
      <c r="R786" s="156" t="str">
        <f t="shared" si="411"/>
        <v/>
      </c>
      <c r="S786" s="156" t="str">
        <f t="shared" si="411"/>
        <v/>
      </c>
      <c r="T786" s="156" t="str">
        <f t="shared" si="411"/>
        <v/>
      </c>
      <c r="U786" s="156" t="str">
        <f t="shared" si="411"/>
        <v/>
      </c>
      <c r="V786" s="156" t="str">
        <f t="shared" si="411"/>
        <v/>
      </c>
      <c r="W786" s="156" t="str">
        <f t="shared" si="411"/>
        <v/>
      </c>
      <c r="X786" s="156" t="str">
        <f t="shared" si="411"/>
        <v/>
      </c>
    </row>
    <row r="787" spans="2:24">
      <c r="B787" s="29" t="s">
        <v>395</v>
      </c>
      <c r="C787" s="29"/>
      <c r="D787" s="30"/>
      <c r="E787" s="30"/>
      <c r="F787" s="30"/>
      <c r="G787" s="30"/>
      <c r="H787" s="30"/>
      <c r="I787" s="30"/>
      <c r="J787" s="30"/>
      <c r="K787" s="31">
        <f ca="1">SUM(K788:K789)</f>
        <v>0</v>
      </c>
      <c r="L787" s="31">
        <f t="shared" ref="L787:X787" ca="1" si="412">SUM(L788:L789)</f>
        <v>0</v>
      </c>
      <c r="M787" s="31">
        <f t="shared" ca="1" si="412"/>
        <v>0</v>
      </c>
      <c r="N787" s="31">
        <f t="shared" ca="1" si="412"/>
        <v>0</v>
      </c>
      <c r="O787" s="31">
        <f t="shared" ca="1" si="412"/>
        <v>0</v>
      </c>
      <c r="P787" s="31">
        <f t="shared" ca="1" si="412"/>
        <v>0</v>
      </c>
      <c r="Q787" s="31">
        <f t="shared" ca="1" si="412"/>
        <v>0</v>
      </c>
      <c r="R787" s="31">
        <f t="shared" ca="1" si="412"/>
        <v>0</v>
      </c>
      <c r="S787" s="31">
        <f t="shared" ca="1" si="412"/>
        <v>0</v>
      </c>
      <c r="T787" s="31">
        <f t="shared" ca="1" si="412"/>
        <v>0</v>
      </c>
      <c r="U787" s="31">
        <f t="shared" ca="1" si="412"/>
        <v>0</v>
      </c>
      <c r="V787" s="31">
        <f t="shared" ca="1" si="412"/>
        <v>0</v>
      </c>
      <c r="W787" s="31">
        <f t="shared" ca="1" si="412"/>
        <v>0</v>
      </c>
      <c r="X787" s="31">
        <f t="shared" ca="1" si="412"/>
        <v>0</v>
      </c>
    </row>
    <row r="788" spans="2:24">
      <c r="B788" s="104" t="s">
        <v>396</v>
      </c>
      <c r="C788" s="104"/>
      <c r="D788" s="102"/>
      <c r="E788" s="102"/>
      <c r="F788" s="102"/>
      <c r="G788" s="102"/>
      <c r="H788" s="102"/>
      <c r="I788" s="102"/>
      <c r="J788" s="102"/>
      <c r="K788" s="103">
        <f t="shared" ref="K788:X788" ca="1" si="413">ROUND(K220,0)</f>
        <v>0</v>
      </c>
      <c r="L788" s="103">
        <f t="shared" ca="1" si="413"/>
        <v>0</v>
      </c>
      <c r="M788" s="103">
        <f t="shared" ca="1" si="413"/>
        <v>0</v>
      </c>
      <c r="N788" s="103">
        <f t="shared" ca="1" si="413"/>
        <v>0</v>
      </c>
      <c r="O788" s="103">
        <f t="shared" ca="1" si="413"/>
        <v>0</v>
      </c>
      <c r="P788" s="103">
        <f t="shared" ca="1" si="413"/>
        <v>0</v>
      </c>
      <c r="Q788" s="103">
        <f t="shared" ca="1" si="413"/>
        <v>0</v>
      </c>
      <c r="R788" s="103">
        <f t="shared" ca="1" si="413"/>
        <v>0</v>
      </c>
      <c r="S788" s="103">
        <f t="shared" ca="1" si="413"/>
        <v>0</v>
      </c>
      <c r="T788" s="103">
        <f t="shared" ca="1" si="413"/>
        <v>0</v>
      </c>
      <c r="U788" s="103">
        <f t="shared" ca="1" si="413"/>
        <v>0</v>
      </c>
      <c r="V788" s="103">
        <f t="shared" ca="1" si="413"/>
        <v>0</v>
      </c>
      <c r="W788" s="103">
        <f t="shared" ca="1" si="413"/>
        <v>0</v>
      </c>
      <c r="X788" s="103">
        <f t="shared" ca="1" si="413"/>
        <v>0</v>
      </c>
    </row>
    <row r="789" spans="2:24">
      <c r="B789" s="89" t="s">
        <v>398</v>
      </c>
      <c r="C789" s="89"/>
      <c r="D789" s="90"/>
      <c r="E789" s="90"/>
      <c r="F789" s="90"/>
      <c r="G789" s="90"/>
      <c r="H789" s="90"/>
      <c r="I789" s="90"/>
      <c r="J789" s="90"/>
      <c r="K789" s="91">
        <f t="shared" ref="K789:X789" ca="1" si="414">ROUND(K287,0)</f>
        <v>0</v>
      </c>
      <c r="L789" s="91">
        <f t="shared" ca="1" si="414"/>
        <v>0</v>
      </c>
      <c r="M789" s="91">
        <f t="shared" ca="1" si="414"/>
        <v>0</v>
      </c>
      <c r="N789" s="91">
        <f t="shared" ca="1" si="414"/>
        <v>0</v>
      </c>
      <c r="O789" s="91">
        <f t="shared" ca="1" si="414"/>
        <v>0</v>
      </c>
      <c r="P789" s="91">
        <f t="shared" ca="1" si="414"/>
        <v>0</v>
      </c>
      <c r="Q789" s="91">
        <f t="shared" ca="1" si="414"/>
        <v>0</v>
      </c>
      <c r="R789" s="91">
        <f t="shared" ca="1" si="414"/>
        <v>0</v>
      </c>
      <c r="S789" s="91">
        <f t="shared" ca="1" si="414"/>
        <v>0</v>
      </c>
      <c r="T789" s="91">
        <f t="shared" ca="1" si="414"/>
        <v>0</v>
      </c>
      <c r="U789" s="91">
        <f t="shared" ca="1" si="414"/>
        <v>0</v>
      </c>
      <c r="V789" s="91">
        <f t="shared" ca="1" si="414"/>
        <v>0</v>
      </c>
      <c r="W789" s="91">
        <f t="shared" ca="1" si="414"/>
        <v>0</v>
      </c>
      <c r="X789" s="91">
        <f t="shared" ca="1" si="414"/>
        <v>0</v>
      </c>
    </row>
    <row r="790" spans="2:24">
      <c r="B790" s="96" t="s">
        <v>399</v>
      </c>
      <c r="C790" s="96"/>
      <c r="D790" s="99"/>
      <c r="E790" s="99"/>
      <c r="F790" s="99"/>
      <c r="G790" s="99"/>
      <c r="H790" s="99"/>
      <c r="I790" s="99"/>
      <c r="J790" s="99"/>
      <c r="K790" s="98">
        <f ca="1">SUM(K791:K795)</f>
        <v>0</v>
      </c>
      <c r="L790" s="98">
        <f t="shared" ref="L790:X790" ca="1" si="415">SUM(L791:L795)</f>
        <v>0</v>
      </c>
      <c r="M790" s="98">
        <f t="shared" ca="1" si="415"/>
        <v>0</v>
      </c>
      <c r="N790" s="98">
        <f t="shared" ca="1" si="415"/>
        <v>0</v>
      </c>
      <c r="O790" s="98">
        <f t="shared" ca="1" si="415"/>
        <v>0</v>
      </c>
      <c r="P790" s="98">
        <f t="shared" ca="1" si="415"/>
        <v>0</v>
      </c>
      <c r="Q790" s="98">
        <f t="shared" ca="1" si="415"/>
        <v>0</v>
      </c>
      <c r="R790" s="98">
        <f t="shared" ca="1" si="415"/>
        <v>0</v>
      </c>
      <c r="S790" s="98">
        <f t="shared" ca="1" si="415"/>
        <v>0</v>
      </c>
      <c r="T790" s="98">
        <f t="shared" ca="1" si="415"/>
        <v>0</v>
      </c>
      <c r="U790" s="98">
        <f t="shared" ca="1" si="415"/>
        <v>0</v>
      </c>
      <c r="V790" s="98">
        <f t="shared" ca="1" si="415"/>
        <v>0</v>
      </c>
      <c r="W790" s="98">
        <f t="shared" ca="1" si="415"/>
        <v>0</v>
      </c>
      <c r="X790" s="98">
        <f t="shared" ca="1" si="415"/>
        <v>0</v>
      </c>
    </row>
    <row r="791" spans="2:24">
      <c r="B791" s="102" t="s">
        <v>400</v>
      </c>
      <c r="C791" s="102"/>
      <c r="D791" s="102"/>
      <c r="E791" s="102"/>
      <c r="F791" s="102"/>
      <c r="G791" s="102"/>
      <c r="H791" s="102"/>
      <c r="I791" s="102"/>
      <c r="J791" s="102"/>
      <c r="K791" s="103">
        <f t="shared" ref="K791:X791" ca="1" si="416">ROUND(K334,0)</f>
        <v>0</v>
      </c>
      <c r="L791" s="103">
        <f t="shared" ca="1" si="416"/>
        <v>0</v>
      </c>
      <c r="M791" s="103">
        <f t="shared" ca="1" si="416"/>
        <v>0</v>
      </c>
      <c r="N791" s="103">
        <f t="shared" ca="1" si="416"/>
        <v>0</v>
      </c>
      <c r="O791" s="103">
        <f t="shared" ca="1" si="416"/>
        <v>0</v>
      </c>
      <c r="P791" s="103">
        <f t="shared" ca="1" si="416"/>
        <v>0</v>
      </c>
      <c r="Q791" s="103">
        <f t="shared" ca="1" si="416"/>
        <v>0</v>
      </c>
      <c r="R791" s="103">
        <f t="shared" ca="1" si="416"/>
        <v>0</v>
      </c>
      <c r="S791" s="103">
        <f t="shared" ca="1" si="416"/>
        <v>0</v>
      </c>
      <c r="T791" s="103">
        <f t="shared" ca="1" si="416"/>
        <v>0</v>
      </c>
      <c r="U791" s="103">
        <f t="shared" ca="1" si="416"/>
        <v>0</v>
      </c>
      <c r="V791" s="103">
        <f t="shared" ca="1" si="416"/>
        <v>0</v>
      </c>
      <c r="W791" s="103">
        <f t="shared" ca="1" si="416"/>
        <v>0</v>
      </c>
      <c r="X791" s="103">
        <f t="shared" ca="1" si="416"/>
        <v>0</v>
      </c>
    </row>
    <row r="792" spans="2:24">
      <c r="B792" s="94" t="s">
        <v>401</v>
      </c>
      <c r="C792" s="94"/>
      <c r="D792" s="19"/>
      <c r="E792" s="19"/>
      <c r="F792" s="19"/>
      <c r="G792" s="19"/>
      <c r="H792" s="19"/>
      <c r="I792" s="19"/>
      <c r="J792" s="19"/>
      <c r="K792" s="95">
        <f t="shared" ref="K792:X792" ca="1" si="417">ROUND(K371,0)</f>
        <v>0</v>
      </c>
      <c r="L792" s="95">
        <f t="shared" ca="1" si="417"/>
        <v>0</v>
      </c>
      <c r="M792" s="95">
        <f t="shared" ca="1" si="417"/>
        <v>0</v>
      </c>
      <c r="N792" s="95">
        <f t="shared" ca="1" si="417"/>
        <v>0</v>
      </c>
      <c r="O792" s="95">
        <f t="shared" ca="1" si="417"/>
        <v>0</v>
      </c>
      <c r="P792" s="95">
        <f t="shared" ca="1" si="417"/>
        <v>0</v>
      </c>
      <c r="Q792" s="95">
        <f t="shared" ca="1" si="417"/>
        <v>0</v>
      </c>
      <c r="R792" s="95">
        <f t="shared" ca="1" si="417"/>
        <v>0</v>
      </c>
      <c r="S792" s="95">
        <f t="shared" ca="1" si="417"/>
        <v>0</v>
      </c>
      <c r="T792" s="95">
        <f t="shared" ca="1" si="417"/>
        <v>0</v>
      </c>
      <c r="U792" s="95">
        <f t="shared" ca="1" si="417"/>
        <v>0</v>
      </c>
      <c r="V792" s="95">
        <f t="shared" ca="1" si="417"/>
        <v>0</v>
      </c>
      <c r="W792" s="95">
        <f t="shared" ca="1" si="417"/>
        <v>0</v>
      </c>
      <c r="X792" s="95">
        <f t="shared" ca="1" si="417"/>
        <v>0</v>
      </c>
    </row>
    <row r="793" spans="2:24">
      <c r="B793" s="37" t="s">
        <v>402</v>
      </c>
      <c r="C793" s="37"/>
      <c r="D793" s="52"/>
      <c r="E793" s="52"/>
      <c r="F793" s="52"/>
      <c r="G793" s="52"/>
      <c r="H793" s="52"/>
      <c r="I793" s="52"/>
      <c r="J793" s="52"/>
      <c r="K793" s="33">
        <f t="shared" ref="K793:X793" ca="1" si="418">ROUND(K466,0)</f>
        <v>0</v>
      </c>
      <c r="L793" s="33">
        <f t="shared" ca="1" si="418"/>
        <v>0</v>
      </c>
      <c r="M793" s="33">
        <f t="shared" ca="1" si="418"/>
        <v>0</v>
      </c>
      <c r="N793" s="33">
        <f t="shared" ca="1" si="418"/>
        <v>0</v>
      </c>
      <c r="O793" s="33">
        <f t="shared" ca="1" si="418"/>
        <v>0</v>
      </c>
      <c r="P793" s="33">
        <f t="shared" ca="1" si="418"/>
        <v>0</v>
      </c>
      <c r="Q793" s="33">
        <f t="shared" ca="1" si="418"/>
        <v>0</v>
      </c>
      <c r="R793" s="33">
        <f t="shared" ca="1" si="418"/>
        <v>0</v>
      </c>
      <c r="S793" s="33">
        <f t="shared" ca="1" si="418"/>
        <v>0</v>
      </c>
      <c r="T793" s="33">
        <f t="shared" ca="1" si="418"/>
        <v>0</v>
      </c>
      <c r="U793" s="33">
        <f t="shared" ca="1" si="418"/>
        <v>0</v>
      </c>
      <c r="V793" s="33">
        <f t="shared" ca="1" si="418"/>
        <v>0</v>
      </c>
      <c r="W793" s="33">
        <f t="shared" ca="1" si="418"/>
        <v>0</v>
      </c>
      <c r="X793" s="33">
        <f t="shared" ca="1" si="418"/>
        <v>0</v>
      </c>
    </row>
    <row r="794" spans="2:24">
      <c r="B794" s="37" t="s">
        <v>403</v>
      </c>
      <c r="C794" s="37"/>
      <c r="D794" s="52"/>
      <c r="E794" s="52"/>
      <c r="F794" s="52"/>
      <c r="G794" s="52"/>
      <c r="H794" s="52"/>
      <c r="I794" s="52"/>
      <c r="J794" s="52"/>
      <c r="K794" s="33">
        <f t="shared" ref="K794:X794" ca="1" si="419">ROUND(K587,0)</f>
        <v>0</v>
      </c>
      <c r="L794" s="33">
        <f t="shared" ca="1" si="419"/>
        <v>0</v>
      </c>
      <c r="M794" s="33">
        <f t="shared" ca="1" si="419"/>
        <v>0</v>
      </c>
      <c r="N794" s="33">
        <f t="shared" ca="1" si="419"/>
        <v>0</v>
      </c>
      <c r="O794" s="33">
        <f t="shared" ca="1" si="419"/>
        <v>0</v>
      </c>
      <c r="P794" s="33">
        <f t="shared" ca="1" si="419"/>
        <v>0</v>
      </c>
      <c r="Q794" s="33">
        <f t="shared" ca="1" si="419"/>
        <v>0</v>
      </c>
      <c r="R794" s="33">
        <f t="shared" ca="1" si="419"/>
        <v>0</v>
      </c>
      <c r="S794" s="33">
        <f t="shared" ca="1" si="419"/>
        <v>0</v>
      </c>
      <c r="T794" s="33">
        <f t="shared" ca="1" si="419"/>
        <v>0</v>
      </c>
      <c r="U794" s="33">
        <f t="shared" ca="1" si="419"/>
        <v>0</v>
      </c>
      <c r="V794" s="33">
        <f t="shared" ca="1" si="419"/>
        <v>0</v>
      </c>
      <c r="W794" s="33">
        <f t="shared" ca="1" si="419"/>
        <v>0</v>
      </c>
      <c r="X794" s="33">
        <f t="shared" ca="1" si="419"/>
        <v>0</v>
      </c>
    </row>
    <row r="795" spans="2:24">
      <c r="B795" s="37" t="s">
        <v>404</v>
      </c>
      <c r="C795" s="37"/>
      <c r="D795" s="52"/>
      <c r="E795" s="52"/>
      <c r="F795" s="52"/>
      <c r="G795" s="52"/>
      <c r="H795" s="52"/>
      <c r="I795" s="52"/>
      <c r="J795" s="52"/>
      <c r="K795" s="33">
        <f t="shared" ref="K795:X795" ca="1" si="420">ROUND(K629,0)</f>
        <v>0</v>
      </c>
      <c r="L795" s="33">
        <f t="shared" ca="1" si="420"/>
        <v>0</v>
      </c>
      <c r="M795" s="33">
        <f t="shared" ca="1" si="420"/>
        <v>0</v>
      </c>
      <c r="N795" s="33">
        <f t="shared" ca="1" si="420"/>
        <v>0</v>
      </c>
      <c r="O795" s="33">
        <f t="shared" ca="1" si="420"/>
        <v>0</v>
      </c>
      <c r="P795" s="33">
        <f t="shared" ca="1" si="420"/>
        <v>0</v>
      </c>
      <c r="Q795" s="33">
        <f t="shared" ca="1" si="420"/>
        <v>0</v>
      </c>
      <c r="R795" s="33">
        <f t="shared" ca="1" si="420"/>
        <v>0</v>
      </c>
      <c r="S795" s="33">
        <f t="shared" ca="1" si="420"/>
        <v>0</v>
      </c>
      <c r="T795" s="33">
        <f t="shared" ca="1" si="420"/>
        <v>0</v>
      </c>
      <c r="U795" s="33">
        <f t="shared" ca="1" si="420"/>
        <v>0</v>
      </c>
      <c r="V795" s="33">
        <f t="shared" ca="1" si="420"/>
        <v>0</v>
      </c>
      <c r="W795" s="33">
        <f t="shared" ca="1" si="420"/>
        <v>0</v>
      </c>
      <c r="X795" s="33">
        <f t="shared" ca="1" si="420"/>
        <v>0</v>
      </c>
    </row>
    <row r="796" spans="2:24">
      <c r="B796" s="37" t="s">
        <v>435</v>
      </c>
      <c r="C796" s="37"/>
      <c r="D796" s="52"/>
      <c r="E796" s="52"/>
      <c r="F796" s="52"/>
      <c r="G796" s="52"/>
      <c r="H796" s="52"/>
      <c r="I796" s="52"/>
      <c r="J796" s="52"/>
      <c r="K796" s="33">
        <f>K2055</f>
        <v>0</v>
      </c>
      <c r="L796" s="33">
        <f t="shared" ref="L796:X796" si="421">L2055</f>
        <v>0</v>
      </c>
      <c r="M796" s="33">
        <f t="shared" si="421"/>
        <v>0</v>
      </c>
      <c r="N796" s="33">
        <f t="shared" si="421"/>
        <v>0</v>
      </c>
      <c r="O796" s="33">
        <f t="shared" si="421"/>
        <v>0</v>
      </c>
      <c r="P796" s="33">
        <f t="shared" si="421"/>
        <v>0</v>
      </c>
      <c r="Q796" s="33">
        <f t="shared" si="421"/>
        <v>0</v>
      </c>
      <c r="R796" s="33">
        <f t="shared" si="421"/>
        <v>0</v>
      </c>
      <c r="S796" s="33">
        <f t="shared" si="421"/>
        <v>0</v>
      </c>
      <c r="T796" s="33">
        <f t="shared" si="421"/>
        <v>0</v>
      </c>
      <c r="U796" s="33">
        <f t="shared" si="421"/>
        <v>0</v>
      </c>
      <c r="V796" s="33">
        <f t="shared" si="421"/>
        <v>0</v>
      </c>
      <c r="W796" s="33">
        <f t="shared" si="421"/>
        <v>0</v>
      </c>
      <c r="X796" s="33">
        <f t="shared" si="421"/>
        <v>0</v>
      </c>
    </row>
    <row r="797" spans="2:24"/>
    <row r="798" spans="2:24">
      <c r="B798" s="99" t="s">
        <v>436</v>
      </c>
      <c r="C798" s="99"/>
      <c r="D798" s="99"/>
      <c r="E798" s="99"/>
      <c r="F798" s="99"/>
      <c r="G798" s="99"/>
      <c r="H798" s="99"/>
      <c r="I798" s="99"/>
      <c r="J798" s="99"/>
      <c r="K798" s="98">
        <f t="shared" ref="K798:X798" ca="1" si="422">ROUND(IF(LataProjekcji&lt;=Koniec,ROUND(K627+K585+K464+K369+K332+K285+K218,0),0),0)</f>
        <v>0</v>
      </c>
      <c r="L798" s="98">
        <f t="shared" ca="1" si="422"/>
        <v>0</v>
      </c>
      <c r="M798" s="98">
        <f t="shared" ca="1" si="422"/>
        <v>0</v>
      </c>
      <c r="N798" s="98">
        <f t="shared" ca="1" si="422"/>
        <v>0</v>
      </c>
      <c r="O798" s="98">
        <f t="shared" ca="1" si="422"/>
        <v>0</v>
      </c>
      <c r="P798" s="98">
        <f t="shared" ca="1" si="422"/>
        <v>0</v>
      </c>
      <c r="Q798" s="98">
        <f t="shared" ca="1" si="422"/>
        <v>0</v>
      </c>
      <c r="R798" s="98">
        <f t="shared" ca="1" si="422"/>
        <v>0</v>
      </c>
      <c r="S798" s="98">
        <f t="shared" ca="1" si="422"/>
        <v>0</v>
      </c>
      <c r="T798" s="98">
        <f t="shared" ca="1" si="422"/>
        <v>0</v>
      </c>
      <c r="U798" s="98">
        <f t="shared" ca="1" si="422"/>
        <v>0</v>
      </c>
      <c r="V798" s="98">
        <f t="shared" ca="1" si="422"/>
        <v>0</v>
      </c>
      <c r="W798" s="98">
        <f t="shared" ca="1" si="422"/>
        <v>0</v>
      </c>
      <c r="X798" s="98">
        <f t="shared" ca="1" si="422"/>
        <v>0</v>
      </c>
    </row>
    <row r="799" spans="2:24"/>
    <row r="800" spans="2:24"/>
    <row r="801" spans="2:24">
      <c r="B801" s="29" t="s">
        <v>93</v>
      </c>
      <c r="C801" s="29"/>
      <c r="D801" s="30"/>
      <c r="E801" s="30"/>
      <c r="F801" s="30"/>
      <c r="G801" s="30"/>
      <c r="H801" s="30"/>
      <c r="I801" s="30"/>
      <c r="J801" s="30"/>
      <c r="K801" s="156" t="str">
        <f t="shared" ref="K801:X801" si="423">LataProjekcji</f>
        <v>Uzupełnij dane</v>
      </c>
      <c r="L801" s="156" t="str">
        <f t="shared" si="423"/>
        <v/>
      </c>
      <c r="M801" s="156" t="str">
        <f t="shared" si="423"/>
        <v/>
      </c>
      <c r="N801" s="156" t="str">
        <f t="shared" si="423"/>
        <v/>
      </c>
      <c r="O801" s="156" t="str">
        <f t="shared" si="423"/>
        <v/>
      </c>
      <c r="P801" s="156" t="str">
        <f t="shared" si="423"/>
        <v/>
      </c>
      <c r="Q801" s="156" t="str">
        <f t="shared" si="423"/>
        <v/>
      </c>
      <c r="R801" s="156" t="str">
        <f t="shared" si="423"/>
        <v/>
      </c>
      <c r="S801" s="156" t="str">
        <f t="shared" si="423"/>
        <v/>
      </c>
      <c r="T801" s="156" t="str">
        <f t="shared" si="423"/>
        <v/>
      </c>
      <c r="U801" s="156" t="str">
        <f t="shared" si="423"/>
        <v/>
      </c>
      <c r="V801" s="156" t="str">
        <f t="shared" si="423"/>
        <v/>
      </c>
      <c r="W801" s="156" t="str">
        <f t="shared" si="423"/>
        <v/>
      </c>
      <c r="X801" s="156" t="str">
        <f t="shared" si="423"/>
        <v/>
      </c>
    </row>
    <row r="802" spans="2:24">
      <c r="B802" s="29" t="s">
        <v>395</v>
      </c>
      <c r="C802" s="29"/>
      <c r="D802" s="30"/>
      <c r="E802" s="30"/>
      <c r="F802" s="30"/>
      <c r="G802" s="30"/>
      <c r="H802" s="30"/>
      <c r="I802" s="30"/>
      <c r="J802" s="30"/>
      <c r="K802" s="31">
        <f>ROUND(SUM(K803:K804),0)</f>
        <v>0</v>
      </c>
      <c r="L802" s="31">
        <f t="shared" ref="L802:X802" si="424">ROUND(SUM(L803:L804),0)</f>
        <v>0</v>
      </c>
      <c r="M802" s="31">
        <f t="shared" si="424"/>
        <v>0</v>
      </c>
      <c r="N802" s="31">
        <f t="shared" si="424"/>
        <v>0</v>
      </c>
      <c r="O802" s="31">
        <f t="shared" si="424"/>
        <v>0</v>
      </c>
      <c r="P802" s="31">
        <f t="shared" si="424"/>
        <v>0</v>
      </c>
      <c r="Q802" s="31">
        <f t="shared" si="424"/>
        <v>0</v>
      </c>
      <c r="R802" s="31">
        <f t="shared" si="424"/>
        <v>0</v>
      </c>
      <c r="S802" s="31">
        <f t="shared" si="424"/>
        <v>0</v>
      </c>
      <c r="T802" s="31">
        <f t="shared" si="424"/>
        <v>0</v>
      </c>
      <c r="U802" s="31">
        <f t="shared" si="424"/>
        <v>0</v>
      </c>
      <c r="V802" s="31">
        <f t="shared" si="424"/>
        <v>0</v>
      </c>
      <c r="W802" s="31">
        <f t="shared" si="424"/>
        <v>0</v>
      </c>
      <c r="X802" s="31">
        <f t="shared" si="424"/>
        <v>0</v>
      </c>
    </row>
    <row r="803" spans="2:24">
      <c r="B803" s="104" t="s">
        <v>396</v>
      </c>
      <c r="C803" s="104"/>
      <c r="D803" s="102"/>
      <c r="E803" s="102"/>
      <c r="F803" s="102"/>
      <c r="G803" s="102"/>
      <c r="H803" s="102"/>
      <c r="I803" s="102"/>
      <c r="J803" s="102"/>
      <c r="K803" s="103">
        <f>ROUND('Koszty operacyjne'!K918,0)+ROUND((K217-SUM(K195:K196)),0)</f>
        <v>0</v>
      </c>
      <c r="L803" s="103">
        <f>ROUND('Koszty operacyjne'!L918,0)+ROUND((L217-SUM(L195:L196)),0)</f>
        <v>0</v>
      </c>
      <c r="M803" s="103">
        <f>ROUND('Koszty operacyjne'!M918,0)+ROUND((M217-SUM(M195:M196)),0)</f>
        <v>0</v>
      </c>
      <c r="N803" s="103">
        <f>ROUND('Koszty operacyjne'!N918,0)+ROUND((N217-SUM(N195:N196)),0)</f>
        <v>0</v>
      </c>
      <c r="O803" s="103">
        <f>ROUND('Koszty operacyjne'!O918,0)+ROUND((O217-SUM(O195:O196)),0)</f>
        <v>0</v>
      </c>
      <c r="P803" s="103">
        <f>ROUND('Koszty operacyjne'!P918,0)+ROUND((P217-SUM(P195:P196)),0)</f>
        <v>0</v>
      </c>
      <c r="Q803" s="103">
        <f>ROUND('Koszty operacyjne'!Q918,0)+ROUND((Q217-SUM(Q195:Q196)),0)</f>
        <v>0</v>
      </c>
      <c r="R803" s="103">
        <f>ROUND('Koszty operacyjne'!R918,0)+ROUND((R217-SUM(R195:R196)),0)</f>
        <v>0</v>
      </c>
      <c r="S803" s="103">
        <f>ROUND('Koszty operacyjne'!S918,0)+ROUND((S217-SUM(S195:S196)),0)</f>
        <v>0</v>
      </c>
      <c r="T803" s="103">
        <f>ROUND('Koszty operacyjne'!T918,0)+ROUND((T217-SUM(T195:T196)),0)</f>
        <v>0</v>
      </c>
      <c r="U803" s="103">
        <f>ROUND('Koszty operacyjne'!U918,0)+ROUND((U217-SUM(U195:U196)),0)</f>
        <v>0</v>
      </c>
      <c r="V803" s="103">
        <f>ROUND('Koszty operacyjne'!V918,0)+ROUND((V217-SUM(V195:V196)),0)</f>
        <v>0</v>
      </c>
      <c r="W803" s="103">
        <f>ROUND('Koszty operacyjne'!W918,0)+ROUND((W217-SUM(W195:W196)),0)</f>
        <v>0</v>
      </c>
      <c r="X803" s="103">
        <f>ROUND('Koszty operacyjne'!X918,0)+ROUND((X217-SUM(X195:X196)),0)</f>
        <v>0</v>
      </c>
    </row>
    <row r="804" spans="2:24">
      <c r="B804" s="89" t="s">
        <v>398</v>
      </c>
      <c r="C804" s="89"/>
      <c r="D804" s="90"/>
      <c r="E804" s="90"/>
      <c r="F804" s="90"/>
      <c r="G804" s="90"/>
      <c r="H804" s="90"/>
      <c r="I804" s="90"/>
      <c r="J804" s="90"/>
      <c r="K804" s="91">
        <f t="shared" ref="K804:X804" si="425">ROUND(K284,0)</f>
        <v>0</v>
      </c>
      <c r="L804" s="91">
        <f t="shared" si="425"/>
        <v>0</v>
      </c>
      <c r="M804" s="91">
        <f t="shared" si="425"/>
        <v>0</v>
      </c>
      <c r="N804" s="91">
        <f t="shared" si="425"/>
        <v>0</v>
      </c>
      <c r="O804" s="91">
        <f t="shared" si="425"/>
        <v>0</v>
      </c>
      <c r="P804" s="91">
        <f t="shared" si="425"/>
        <v>0</v>
      </c>
      <c r="Q804" s="91">
        <f t="shared" si="425"/>
        <v>0</v>
      </c>
      <c r="R804" s="91">
        <f t="shared" si="425"/>
        <v>0</v>
      </c>
      <c r="S804" s="91">
        <f t="shared" si="425"/>
        <v>0</v>
      </c>
      <c r="T804" s="91">
        <f t="shared" si="425"/>
        <v>0</v>
      </c>
      <c r="U804" s="91">
        <f t="shared" si="425"/>
        <v>0</v>
      </c>
      <c r="V804" s="91">
        <f t="shared" si="425"/>
        <v>0</v>
      </c>
      <c r="W804" s="91">
        <f t="shared" si="425"/>
        <v>0</v>
      </c>
      <c r="X804" s="91">
        <f t="shared" si="425"/>
        <v>0</v>
      </c>
    </row>
    <row r="805" spans="2:24">
      <c r="B805" s="96" t="s">
        <v>399</v>
      </c>
      <c r="C805" s="96"/>
      <c r="D805" s="99"/>
      <c r="E805" s="99"/>
      <c r="F805" s="99"/>
      <c r="G805" s="99"/>
      <c r="H805" s="99"/>
      <c r="I805" s="99"/>
      <c r="J805" s="99"/>
      <c r="K805" s="98">
        <f>ROUND(SUM(K806:K811),0)</f>
        <v>0</v>
      </c>
      <c r="L805" s="98">
        <f t="shared" ref="L805:X805" si="426">ROUND(SUM(L806:L811),0)</f>
        <v>0</v>
      </c>
      <c r="M805" s="98">
        <f t="shared" si="426"/>
        <v>0</v>
      </c>
      <c r="N805" s="98">
        <f t="shared" si="426"/>
        <v>0</v>
      </c>
      <c r="O805" s="98">
        <f t="shared" si="426"/>
        <v>0</v>
      </c>
      <c r="P805" s="98">
        <f t="shared" si="426"/>
        <v>0</v>
      </c>
      <c r="Q805" s="98">
        <f t="shared" si="426"/>
        <v>0</v>
      </c>
      <c r="R805" s="98">
        <f t="shared" si="426"/>
        <v>0</v>
      </c>
      <c r="S805" s="98">
        <f t="shared" si="426"/>
        <v>0</v>
      </c>
      <c r="T805" s="98">
        <f t="shared" si="426"/>
        <v>0</v>
      </c>
      <c r="U805" s="98">
        <f t="shared" si="426"/>
        <v>0</v>
      </c>
      <c r="V805" s="98">
        <f t="shared" si="426"/>
        <v>0</v>
      </c>
      <c r="W805" s="98">
        <f t="shared" si="426"/>
        <v>0</v>
      </c>
      <c r="X805" s="98">
        <f t="shared" si="426"/>
        <v>0</v>
      </c>
    </row>
    <row r="806" spans="2:24">
      <c r="B806" s="102" t="s">
        <v>400</v>
      </c>
      <c r="C806" s="102"/>
      <c r="D806" s="102"/>
      <c r="E806" s="102"/>
      <c r="F806" s="102"/>
      <c r="G806" s="102"/>
      <c r="H806" s="102"/>
      <c r="I806" s="102"/>
      <c r="J806" s="102"/>
      <c r="K806" s="103">
        <f t="shared" ref="K806:X806" si="427">ROUND(K331,0)</f>
        <v>0</v>
      </c>
      <c r="L806" s="103">
        <f t="shared" si="427"/>
        <v>0</v>
      </c>
      <c r="M806" s="103">
        <f t="shared" si="427"/>
        <v>0</v>
      </c>
      <c r="N806" s="103">
        <f t="shared" si="427"/>
        <v>0</v>
      </c>
      <c r="O806" s="103">
        <f t="shared" si="427"/>
        <v>0</v>
      </c>
      <c r="P806" s="103">
        <f t="shared" si="427"/>
        <v>0</v>
      </c>
      <c r="Q806" s="103">
        <f t="shared" si="427"/>
        <v>0</v>
      </c>
      <c r="R806" s="103">
        <f t="shared" si="427"/>
        <v>0</v>
      </c>
      <c r="S806" s="103">
        <f t="shared" si="427"/>
        <v>0</v>
      </c>
      <c r="T806" s="103">
        <f t="shared" si="427"/>
        <v>0</v>
      </c>
      <c r="U806" s="103">
        <f t="shared" si="427"/>
        <v>0</v>
      </c>
      <c r="V806" s="103">
        <f t="shared" si="427"/>
        <v>0</v>
      </c>
      <c r="W806" s="103">
        <f t="shared" si="427"/>
        <v>0</v>
      </c>
      <c r="X806" s="103">
        <f t="shared" si="427"/>
        <v>0</v>
      </c>
    </row>
    <row r="807" spans="2:24">
      <c r="B807" s="94" t="s">
        <v>401</v>
      </c>
      <c r="C807" s="94"/>
      <c r="D807" s="19"/>
      <c r="E807" s="19"/>
      <c r="F807" s="19"/>
      <c r="G807" s="19"/>
      <c r="H807" s="19"/>
      <c r="I807" s="19"/>
      <c r="J807" s="19"/>
      <c r="K807" s="95">
        <f t="shared" ref="K807:X807" si="428">ROUND(SUM(K353:K362),0)</f>
        <v>0</v>
      </c>
      <c r="L807" s="95">
        <f t="shared" si="428"/>
        <v>0</v>
      </c>
      <c r="M807" s="95">
        <f t="shared" si="428"/>
        <v>0</v>
      </c>
      <c r="N807" s="95">
        <f t="shared" si="428"/>
        <v>0</v>
      </c>
      <c r="O807" s="95">
        <f t="shared" si="428"/>
        <v>0</v>
      </c>
      <c r="P807" s="95">
        <f t="shared" si="428"/>
        <v>0</v>
      </c>
      <c r="Q807" s="95">
        <f t="shared" si="428"/>
        <v>0</v>
      </c>
      <c r="R807" s="95">
        <f t="shared" si="428"/>
        <v>0</v>
      </c>
      <c r="S807" s="95">
        <f t="shared" si="428"/>
        <v>0</v>
      </c>
      <c r="T807" s="95">
        <f t="shared" si="428"/>
        <v>0</v>
      </c>
      <c r="U807" s="95">
        <f t="shared" si="428"/>
        <v>0</v>
      </c>
      <c r="V807" s="95">
        <f t="shared" si="428"/>
        <v>0</v>
      </c>
      <c r="W807" s="95">
        <f t="shared" si="428"/>
        <v>0</v>
      </c>
      <c r="X807" s="95">
        <f t="shared" si="428"/>
        <v>0</v>
      </c>
    </row>
    <row r="808" spans="2:24">
      <c r="B808" s="37" t="s">
        <v>402</v>
      </c>
      <c r="C808" s="37"/>
      <c r="D808" s="52"/>
      <c r="E808" s="52"/>
      <c r="F808" s="52"/>
      <c r="G808" s="52"/>
      <c r="H808" s="52"/>
      <c r="I808" s="52"/>
      <c r="J808" s="52"/>
      <c r="K808" s="95">
        <f t="shared" ref="K808:X808" si="429">ROUND(SUM(K418:K457),0)</f>
        <v>0</v>
      </c>
      <c r="L808" s="95">
        <f t="shared" si="429"/>
        <v>0</v>
      </c>
      <c r="M808" s="95">
        <f t="shared" si="429"/>
        <v>0</v>
      </c>
      <c r="N808" s="95">
        <f t="shared" si="429"/>
        <v>0</v>
      </c>
      <c r="O808" s="95">
        <f t="shared" si="429"/>
        <v>0</v>
      </c>
      <c r="P808" s="95">
        <f t="shared" si="429"/>
        <v>0</v>
      </c>
      <c r="Q808" s="95">
        <f t="shared" si="429"/>
        <v>0</v>
      </c>
      <c r="R808" s="95">
        <f t="shared" si="429"/>
        <v>0</v>
      </c>
      <c r="S808" s="95">
        <f t="shared" si="429"/>
        <v>0</v>
      </c>
      <c r="T808" s="95">
        <f t="shared" si="429"/>
        <v>0</v>
      </c>
      <c r="U808" s="95">
        <f t="shared" si="429"/>
        <v>0</v>
      </c>
      <c r="V808" s="95">
        <f t="shared" si="429"/>
        <v>0</v>
      </c>
      <c r="W808" s="95">
        <f t="shared" si="429"/>
        <v>0</v>
      </c>
      <c r="X808" s="95">
        <f t="shared" si="429"/>
        <v>0</v>
      </c>
    </row>
    <row r="809" spans="2:24">
      <c r="B809" s="37" t="s">
        <v>403</v>
      </c>
      <c r="C809" s="37"/>
      <c r="D809" s="52"/>
      <c r="E809" s="52"/>
      <c r="F809" s="52"/>
      <c r="G809" s="52"/>
      <c r="H809" s="52"/>
      <c r="I809" s="52"/>
      <c r="J809" s="52"/>
      <c r="K809" s="33">
        <f t="shared" ref="K809:X809" si="430">ROUND(K584,0)</f>
        <v>0</v>
      </c>
      <c r="L809" s="33">
        <f t="shared" si="430"/>
        <v>0</v>
      </c>
      <c r="M809" s="33">
        <f t="shared" si="430"/>
        <v>0</v>
      </c>
      <c r="N809" s="33">
        <f t="shared" si="430"/>
        <v>0</v>
      </c>
      <c r="O809" s="33">
        <f t="shared" si="430"/>
        <v>0</v>
      </c>
      <c r="P809" s="33">
        <f t="shared" si="430"/>
        <v>0</v>
      </c>
      <c r="Q809" s="33">
        <f t="shared" si="430"/>
        <v>0</v>
      </c>
      <c r="R809" s="33">
        <f t="shared" si="430"/>
        <v>0</v>
      </c>
      <c r="S809" s="33">
        <f t="shared" si="430"/>
        <v>0</v>
      </c>
      <c r="T809" s="33">
        <f t="shared" si="430"/>
        <v>0</v>
      </c>
      <c r="U809" s="33">
        <f t="shared" si="430"/>
        <v>0</v>
      </c>
      <c r="V809" s="33">
        <f t="shared" si="430"/>
        <v>0</v>
      </c>
      <c r="W809" s="33">
        <f t="shared" si="430"/>
        <v>0</v>
      </c>
      <c r="X809" s="33">
        <f t="shared" si="430"/>
        <v>0</v>
      </c>
    </row>
    <row r="810" spans="2:24">
      <c r="B810" s="37" t="s">
        <v>404</v>
      </c>
      <c r="C810" s="37"/>
      <c r="D810" s="52"/>
      <c r="E810" s="52"/>
      <c r="F810" s="52"/>
      <c r="G810" s="52"/>
      <c r="H810" s="52"/>
      <c r="I810" s="52"/>
      <c r="J810" s="52"/>
      <c r="K810" s="33">
        <f t="shared" ref="K810:X810" si="431">ROUND(K626,0)</f>
        <v>0</v>
      </c>
      <c r="L810" s="33">
        <f t="shared" si="431"/>
        <v>0</v>
      </c>
      <c r="M810" s="33">
        <f t="shared" si="431"/>
        <v>0</v>
      </c>
      <c r="N810" s="33">
        <f t="shared" si="431"/>
        <v>0</v>
      </c>
      <c r="O810" s="33">
        <f t="shared" si="431"/>
        <v>0</v>
      </c>
      <c r="P810" s="33">
        <f t="shared" si="431"/>
        <v>0</v>
      </c>
      <c r="Q810" s="33">
        <f t="shared" si="431"/>
        <v>0</v>
      </c>
      <c r="R810" s="33">
        <f t="shared" si="431"/>
        <v>0</v>
      </c>
      <c r="S810" s="33">
        <f t="shared" si="431"/>
        <v>0</v>
      </c>
      <c r="T810" s="33">
        <f t="shared" si="431"/>
        <v>0</v>
      </c>
      <c r="U810" s="33">
        <f t="shared" si="431"/>
        <v>0</v>
      </c>
      <c r="V810" s="33">
        <f t="shared" si="431"/>
        <v>0</v>
      </c>
      <c r="W810" s="33">
        <f t="shared" si="431"/>
        <v>0</v>
      </c>
      <c r="X810" s="33">
        <f t="shared" si="431"/>
        <v>0</v>
      </c>
    </row>
    <row r="811" spans="2:24">
      <c r="B811" s="89" t="s">
        <v>435</v>
      </c>
      <c r="C811" s="89"/>
      <c r="D811" s="90"/>
      <c r="E811" s="90"/>
      <c r="F811" s="90"/>
      <c r="G811" s="90"/>
      <c r="H811" s="90"/>
      <c r="I811" s="90"/>
      <c r="J811" s="90"/>
      <c r="K811" s="91">
        <f>ROUND(K2042,0)</f>
        <v>0</v>
      </c>
      <c r="L811" s="91">
        <f t="shared" ref="L811:X811" si="432">ROUND(L2042,0)</f>
        <v>0</v>
      </c>
      <c r="M811" s="91">
        <f t="shared" si="432"/>
        <v>0</v>
      </c>
      <c r="N811" s="91">
        <f t="shared" si="432"/>
        <v>0</v>
      </c>
      <c r="O811" s="91">
        <f t="shared" si="432"/>
        <v>0</v>
      </c>
      <c r="P811" s="91">
        <f t="shared" si="432"/>
        <v>0</v>
      </c>
      <c r="Q811" s="91">
        <f t="shared" si="432"/>
        <v>0</v>
      </c>
      <c r="R811" s="91">
        <f t="shared" si="432"/>
        <v>0</v>
      </c>
      <c r="S811" s="91">
        <f t="shared" si="432"/>
        <v>0</v>
      </c>
      <c r="T811" s="91">
        <f t="shared" si="432"/>
        <v>0</v>
      </c>
      <c r="U811" s="91">
        <f t="shared" si="432"/>
        <v>0</v>
      </c>
      <c r="V811" s="91">
        <f t="shared" si="432"/>
        <v>0</v>
      </c>
      <c r="W811" s="91">
        <f t="shared" si="432"/>
        <v>0</v>
      </c>
      <c r="X811" s="91">
        <f t="shared" si="432"/>
        <v>0</v>
      </c>
    </row>
    <row r="812" spans="2:24">
      <c r="B812" s="99" t="s">
        <v>437</v>
      </c>
      <c r="C812" s="99"/>
      <c r="D812" s="97"/>
      <c r="E812" s="97"/>
      <c r="F812" s="97"/>
      <c r="G812" s="97"/>
      <c r="H812" s="97"/>
      <c r="I812" s="97"/>
      <c r="J812" s="97"/>
      <c r="K812" s="98">
        <f>ROUND(K805+K802,0)</f>
        <v>0</v>
      </c>
      <c r="L812" s="98">
        <f t="shared" ref="L812:X812" si="433">ROUND(L805+L802,0)</f>
        <v>0</v>
      </c>
      <c r="M812" s="98">
        <f t="shared" si="433"/>
        <v>0</v>
      </c>
      <c r="N812" s="98">
        <f t="shared" si="433"/>
        <v>0</v>
      </c>
      <c r="O812" s="98">
        <f t="shared" si="433"/>
        <v>0</v>
      </c>
      <c r="P812" s="98">
        <f t="shared" si="433"/>
        <v>0</v>
      </c>
      <c r="Q812" s="98">
        <f t="shared" si="433"/>
        <v>0</v>
      </c>
      <c r="R812" s="98">
        <f t="shared" si="433"/>
        <v>0</v>
      </c>
      <c r="S812" s="98">
        <f t="shared" si="433"/>
        <v>0</v>
      </c>
      <c r="T812" s="98">
        <f t="shared" si="433"/>
        <v>0</v>
      </c>
      <c r="U812" s="98">
        <f t="shared" si="433"/>
        <v>0</v>
      </c>
      <c r="V812" s="98">
        <f t="shared" si="433"/>
        <v>0</v>
      </c>
      <c r="W812" s="98">
        <f t="shared" si="433"/>
        <v>0</v>
      </c>
      <c r="X812" s="98">
        <f t="shared" si="433"/>
        <v>0</v>
      </c>
    </row>
    <row r="813" spans="2:24"/>
    <row r="814" spans="2:24">
      <c r="B814" s="52" t="s">
        <v>438</v>
      </c>
      <c r="C814" s="52"/>
      <c r="D814" s="52"/>
      <c r="E814" s="52"/>
      <c r="F814" s="52"/>
      <c r="G814" s="52"/>
      <c r="H814" s="52"/>
      <c r="I814" s="52"/>
      <c r="J814" s="52"/>
      <c r="K814" s="33">
        <f>IF(LataProjekcji&lt;=Koniec,ROUND(K812,0),0)</f>
        <v>0</v>
      </c>
      <c r="L814" s="33">
        <f t="shared" ref="L814:X814" si="434">IF(LataProjekcji&lt;=Koniec,ROUND(K814+L812,0),0)</f>
        <v>0</v>
      </c>
      <c r="M814" s="33">
        <f t="shared" si="434"/>
        <v>0</v>
      </c>
      <c r="N814" s="33">
        <f t="shared" si="434"/>
        <v>0</v>
      </c>
      <c r="O814" s="33">
        <f t="shared" si="434"/>
        <v>0</v>
      </c>
      <c r="P814" s="33">
        <f t="shared" si="434"/>
        <v>0</v>
      </c>
      <c r="Q814" s="33">
        <f t="shared" si="434"/>
        <v>0</v>
      </c>
      <c r="R814" s="33">
        <f t="shared" si="434"/>
        <v>0</v>
      </c>
      <c r="S814" s="33">
        <f t="shared" si="434"/>
        <v>0</v>
      </c>
      <c r="T814" s="33">
        <f t="shared" si="434"/>
        <v>0</v>
      </c>
      <c r="U814" s="33">
        <f t="shared" si="434"/>
        <v>0</v>
      </c>
      <c r="V814" s="33">
        <f t="shared" si="434"/>
        <v>0</v>
      </c>
      <c r="W814" s="33">
        <f t="shared" si="434"/>
        <v>0</v>
      </c>
      <c r="X814" s="33">
        <f t="shared" si="434"/>
        <v>0</v>
      </c>
    </row>
    <row r="815" spans="2:24">
      <c r="B815" s="90" t="s">
        <v>439</v>
      </c>
      <c r="C815" s="90"/>
      <c r="D815" s="90"/>
      <c r="E815" s="90"/>
      <c r="F815" s="90"/>
      <c r="G815" s="90"/>
      <c r="H815" s="90"/>
      <c r="I815" s="90"/>
      <c r="J815" s="90"/>
      <c r="K815" s="91">
        <f ca="1">IF(LataProjekcji&lt;=Koniec,ROUND(K798,0),0)</f>
        <v>0</v>
      </c>
      <c r="L815" s="91">
        <f t="shared" ref="L815:X815" ca="1" si="435">IF(LataProjekcji&lt;=Koniec,ROUND(K815+L798,0),0)</f>
        <v>0</v>
      </c>
      <c r="M815" s="91">
        <f t="shared" ca="1" si="435"/>
        <v>0</v>
      </c>
      <c r="N815" s="91">
        <f t="shared" ca="1" si="435"/>
        <v>0</v>
      </c>
      <c r="O815" s="91">
        <f t="shared" ca="1" si="435"/>
        <v>0</v>
      </c>
      <c r="P815" s="91">
        <f t="shared" ca="1" si="435"/>
        <v>0</v>
      </c>
      <c r="Q815" s="91">
        <f t="shared" ca="1" si="435"/>
        <v>0</v>
      </c>
      <c r="R815" s="91">
        <f t="shared" ca="1" si="435"/>
        <v>0</v>
      </c>
      <c r="S815" s="91">
        <f t="shared" ca="1" si="435"/>
        <v>0</v>
      </c>
      <c r="T815" s="91">
        <f t="shared" ca="1" si="435"/>
        <v>0</v>
      </c>
      <c r="U815" s="91">
        <f t="shared" ca="1" si="435"/>
        <v>0</v>
      </c>
      <c r="V815" s="91">
        <f t="shared" ca="1" si="435"/>
        <v>0</v>
      </c>
      <c r="W815" s="91">
        <f t="shared" ca="1" si="435"/>
        <v>0</v>
      </c>
      <c r="X815" s="91">
        <f t="shared" ca="1" si="435"/>
        <v>0</v>
      </c>
    </row>
    <row r="816" spans="2:24">
      <c r="K816" s="378"/>
      <c r="L816" s="378"/>
      <c r="M816" s="378"/>
      <c r="N816" s="378"/>
      <c r="O816" s="378"/>
      <c r="P816" s="378"/>
      <c r="Q816" s="378"/>
      <c r="R816" s="378"/>
      <c r="S816" s="378"/>
      <c r="T816" s="378"/>
      <c r="U816" s="378"/>
      <c r="V816" s="378"/>
      <c r="W816" s="378"/>
      <c r="X816" s="378"/>
    </row>
    <row r="817" spans="2:3"/>
    <row r="818" spans="2:3" ht="14.4">
      <c r="B818" s="11" t="s">
        <v>51</v>
      </c>
      <c r="C818" s="11"/>
    </row>
    <row r="819" spans="2:3"/>
    <row r="820" spans="2:3"/>
    <row r="821" spans="2:3"/>
    <row r="822" spans="2:3"/>
    <row r="823" spans="2:3"/>
    <row r="824" spans="2:3"/>
    <row r="825" spans="2:3"/>
    <row r="826" spans="2:3"/>
    <row r="827" spans="2:3"/>
    <row r="828" spans="2:3"/>
    <row r="829" spans="2:3"/>
    <row r="830" spans="2:3"/>
    <row r="831" spans="2:3"/>
    <row r="832" spans="2:3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 spans="1:24"/>
    <row r="868" spans="1:24" hidden="1">
      <c r="A868" s="328"/>
    </row>
    <row r="869" spans="1:24" hidden="1">
      <c r="A869" s="328"/>
    </row>
    <row r="870" spans="1:24" customFormat="1" ht="12.6" hidden="1" thickBot="1">
      <c r="A870" s="328"/>
      <c r="B870" s="464" t="s">
        <v>755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6" hidden="1" thickBot="1">
      <c r="A871" s="328"/>
      <c r="B871" s="20">
        <f ca="1">OFFSET($B$96,D871,0)</f>
        <v>0</v>
      </c>
      <c r="C871" s="20"/>
      <c r="D871" s="250">
        <v>0</v>
      </c>
      <c r="E871" s="21"/>
      <c r="F871" s="21" t="s">
        <v>411</v>
      </c>
      <c r="G871" s="48"/>
      <c r="H871" s="50" t="s">
        <v>412</v>
      </c>
      <c r="I871" s="21" t="s">
        <v>413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328"/>
      <c r="B872" s="165" t="s">
        <v>425</v>
      </c>
      <c r="C872" s="165"/>
      <c r="D872" s="165">
        <f ca="1">YEAR(OFFSET($E$96,D871,0))</f>
        <v>1900</v>
      </c>
      <c r="E872" s="165">
        <f ca="1">MONTH(OFFSET($E$96,D871,0))</f>
        <v>1</v>
      </c>
      <c r="F872" s="21">
        <f ca="1">12-$E872</f>
        <v>11</v>
      </c>
      <c r="G872" s="49"/>
      <c r="H872" s="51">
        <f>D53-G872</f>
        <v>0</v>
      </c>
      <c r="I872" s="22">
        <f>D53-G872-H872</f>
        <v>0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328"/>
      <c r="B873" s="21" t="s">
        <v>406</v>
      </c>
      <c r="C873" s="21"/>
      <c r="D873" s="247">
        <f ca="1">IF(E873&lt;0,0,ROUND(E873,0))</f>
        <v>0</v>
      </c>
      <c r="E873" s="249">
        <f ca="1">OFFSET($D$96,D871,0)</f>
        <v>0</v>
      </c>
      <c r="F873" s="247">
        <f ca="1">IF(E873&gt;10,ROUND(($D874/12)*$F872,0),$D873)</f>
        <v>0</v>
      </c>
      <c r="G873" s="21" t="s">
        <v>426</v>
      </c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 spans="1:24" hidden="1">
      <c r="A874" s="328"/>
      <c r="B874" s="21" t="s">
        <v>415</v>
      </c>
      <c r="C874" s="436" t="e">
        <f ca="1">VLOOKUP(OFFSET($C$96,D871,0),Założenia!$J$48:$K$55,2,FALSE)</f>
        <v>#N/A</v>
      </c>
      <c r="D874" s="247">
        <f ca="1">IF(ISBLANK(OFFSET($E$96,D871,0)),0,IF(E873&gt;10,ROUND(D873*C874,0),IF(D873&lt;0,0,D873)))</f>
        <v>0</v>
      </c>
      <c r="E874" s="21"/>
      <c r="F874" s="21"/>
      <c r="G874" s="21"/>
      <c r="H874" s="21"/>
      <c r="I874" s="21"/>
      <c r="J874" s="21"/>
      <c r="K874" s="75">
        <f ca="1">ROUND(IF($D872=LataProjekcji,$F873,IF($D872=LataProjekcji,$D874,0)),0)</f>
        <v>0</v>
      </c>
      <c r="L874" s="248">
        <f ca="1">ROUND(IF(OR(AND($D872=LataProjekcji,$F872&gt;0),AND($D872=LataProjekcji,$F872=0,$E873&lt;=10)),$F873,IF($D872&lt;LataProjekcji,IF((SUM($K874:K874)+$D874)&lt;$D873,$D874,$D873-SUM($K874:K874)),0)),0)</f>
        <v>0</v>
      </c>
      <c r="M874" s="248">
        <f ca="1">ROUND(IF(OR(AND($D872=LataProjekcji,$F872&gt;0),AND($D872=LataProjekcji,$F872=0,$E873&lt;=10)),$F873,IF($D872&lt;LataProjekcji,IF((SUM($K874:L874)+$D874)&lt;$D873,$D874,$D873-SUM($K874:L874)),0)),0)</f>
        <v>0</v>
      </c>
      <c r="N874" s="248">
        <f ca="1">ROUND(IF(OR(AND($D872=LataProjekcji,$F872&gt;0),AND($D872=LataProjekcji,$F872=0,$E873&lt;=10)),$F873,IF($D872&lt;LataProjekcji,IF((SUM($K874:M874)+$D874)&lt;$D873,$D874,$D873-SUM($K874:M874)),0)),0)</f>
        <v>0</v>
      </c>
      <c r="O874" s="248">
        <f ca="1">ROUND(IF(OR(AND($D872=LataProjekcji,$F872&gt;0),AND($D872=LataProjekcji,$F872=0,$E873&lt;=10)),$F873,IF($D872&lt;LataProjekcji,IF((SUM($K874:N874)+$D874)&lt;$D873,$D874,$D873-SUM($K874:N874)),0)),0)</f>
        <v>0</v>
      </c>
      <c r="P874" s="248">
        <f ca="1">ROUND(IF(OR(AND($D872=LataProjekcji,$F872&gt;0),AND($D872=LataProjekcji,$F872=0,$E873&lt;=10)),$F873,IF($D872&lt;LataProjekcji,IF((SUM($K874:O874)+$D874)&lt;$D873,$D874,$D873-SUM($K874:O874)),0)),0)</f>
        <v>0</v>
      </c>
      <c r="Q874" s="248">
        <f ca="1">ROUND(IF(OR(AND($D872=LataProjekcji,$F872&gt;0),AND($D872=LataProjekcji,$F872=0,$E873&lt;=10)),$F873,IF($D872&lt;LataProjekcji,IF((SUM($K874:P874)+$D874)&lt;$D873,$D874,$D873-SUM($K874:P874)),0)),0)</f>
        <v>0</v>
      </c>
      <c r="R874" s="248">
        <f ca="1">ROUND(IF(OR(AND($D872=LataProjekcji,$F872&gt;0),AND($D872=LataProjekcji,$F872=0,$E873&lt;=10)),$F873,IF($D872&lt;LataProjekcji,IF((SUM($K874:Q874)+$D874)&lt;$D873,$D874,$D873-SUM($K874:Q874)),0)),0)</f>
        <v>0</v>
      </c>
      <c r="S874" s="248">
        <f ca="1">ROUND(IF(OR(AND($D872=LataProjekcji,$F872&gt;0),AND($D872=LataProjekcji,$F872=0,$E873&lt;=10)),$F873,IF($D872&lt;LataProjekcji,IF((SUM($K874:R874)+$D874)&lt;$D873,$D874,$D873-SUM($K874:R874)),0)),0)</f>
        <v>0</v>
      </c>
      <c r="T874" s="248">
        <f ca="1">ROUND(IF(OR(AND($D872=LataProjekcji,$F872&gt;0),AND($D872=LataProjekcji,$F872=0,$E873&lt;=10)),$F873,IF($D872&lt;LataProjekcji,IF((SUM($K874:S874)+$D874)&lt;$D873,$D874,$D873-SUM($K874:S874)),0)),0)</f>
        <v>0</v>
      </c>
      <c r="U874" s="248">
        <f ca="1">ROUND(IF(OR(AND($D872=LataProjekcji,$F872&gt;0),AND($D872=LataProjekcji,$F872=0,$E873&lt;=10)),$F873,IF($D872&lt;LataProjekcji,IF((SUM($K874:T874)+$D874)&lt;$D873,$D874,$D873-SUM($K874:T874)),0)),0)</f>
        <v>0</v>
      </c>
      <c r="V874" s="248">
        <f ca="1">ROUND(IF(OR(AND($D872=LataProjekcji,$F872&gt;0),AND($D872=LataProjekcji,$F872=0,$E873&lt;=10)),$F873,IF($D872&lt;LataProjekcji,IF((SUM($K874:U874)+$D874)&lt;$D873,$D874,$D873-SUM($K874:U874)),0)),0)</f>
        <v>0</v>
      </c>
      <c r="W874" s="248">
        <f ca="1">ROUND(IF(OR(AND($D872=LataProjekcji,$F872&gt;0),AND($D872=LataProjekcji,$F872=0,$E873&lt;=10)),$F873,IF($D872&lt;LataProjekcji,IF((SUM($K874:V874)+$D874)&lt;$D873,$D874,$D873-SUM($K874:V874)),0)),0)</f>
        <v>0</v>
      </c>
      <c r="X874" s="248">
        <f ca="1">ROUND(IF(OR(AND($D872=LataProjekcji,$F872&gt;0),AND($D872=LataProjekcji,$F872=0,$E873&lt;=10)),$F873,IF($D872&lt;LataProjekcji,IF((SUM($K874:W874)+$D874)&lt;$D873,$D874,$D873-SUM($K874:W874)),0)),0)</f>
        <v>0</v>
      </c>
    </row>
    <row r="875" spans="1:24" hidden="1">
      <c r="A875" s="328"/>
      <c r="B875" s="21" t="s">
        <v>416</v>
      </c>
      <c r="C875" s="21"/>
      <c r="D875" s="22"/>
      <c r="E875" s="21"/>
      <c r="F875" s="21"/>
      <c r="G875" s="21"/>
      <c r="H875" s="21"/>
      <c r="I875" s="21"/>
      <c r="J875" s="21"/>
      <c r="K875" s="22">
        <f ca="1">ROUND(K874,0)</f>
        <v>0</v>
      </c>
      <c r="L875" s="22">
        <f t="shared" ref="L875:X875" ca="1" si="436">ROUND(K875+L874,0)</f>
        <v>0</v>
      </c>
      <c r="M875" s="22">
        <f t="shared" ca="1" si="436"/>
        <v>0</v>
      </c>
      <c r="N875" s="22">
        <f t="shared" ca="1" si="436"/>
        <v>0</v>
      </c>
      <c r="O875" s="22">
        <f t="shared" ca="1" si="436"/>
        <v>0</v>
      </c>
      <c r="P875" s="22">
        <f t="shared" ca="1" si="436"/>
        <v>0</v>
      </c>
      <c r="Q875" s="22">
        <f t="shared" ca="1" si="436"/>
        <v>0</v>
      </c>
      <c r="R875" s="22">
        <f t="shared" ca="1" si="436"/>
        <v>0</v>
      </c>
      <c r="S875" s="22">
        <f t="shared" ca="1" si="436"/>
        <v>0</v>
      </c>
      <c r="T875" s="22">
        <f t="shared" ca="1" si="436"/>
        <v>0</v>
      </c>
      <c r="U875" s="22">
        <f t="shared" ca="1" si="436"/>
        <v>0</v>
      </c>
      <c r="V875" s="22">
        <f t="shared" ca="1" si="436"/>
        <v>0</v>
      </c>
      <c r="W875" s="22">
        <f t="shared" ca="1" si="436"/>
        <v>0</v>
      </c>
      <c r="X875" s="22">
        <f t="shared" ca="1" si="436"/>
        <v>0</v>
      </c>
    </row>
    <row r="876" spans="1:24" hidden="1">
      <c r="A876" s="328"/>
      <c r="B876" s="21" t="s">
        <v>406</v>
      </c>
      <c r="C876" s="21"/>
      <c r="D876" s="22"/>
      <c r="E876" s="21"/>
      <c r="F876" s="21"/>
      <c r="G876" s="21"/>
      <c r="H876" s="21"/>
      <c r="I876" s="21"/>
      <c r="J876" s="445">
        <f ca="1">OFFSET($C$96,D871,0)</f>
        <v>0</v>
      </c>
      <c r="K876" s="77">
        <f ca="1">IF($D872=LataProjekcji,ROUND($D873-K875,0),ROUND(IF(K874=0,0,$D873-K875),0))</f>
        <v>0</v>
      </c>
      <c r="L876" s="254">
        <f t="shared" ref="L876:X876" ca="1" si="437">IF($D872=LataProjekcji,ROUND($D873-L875,0),ROUND(IF(AND(L874=0,K876&gt;0),$D873-L875,IF(L874=0,0,$D873-L875)),0))</f>
        <v>0</v>
      </c>
      <c r="M876" s="254">
        <f t="shared" ca="1" si="437"/>
        <v>0</v>
      </c>
      <c r="N876" s="254">
        <f t="shared" ca="1" si="437"/>
        <v>0</v>
      </c>
      <c r="O876" s="254">
        <f t="shared" ca="1" si="437"/>
        <v>0</v>
      </c>
      <c r="P876" s="254">
        <f t="shared" ca="1" si="437"/>
        <v>0</v>
      </c>
      <c r="Q876" s="254">
        <f t="shared" ca="1" si="437"/>
        <v>0</v>
      </c>
      <c r="R876" s="254">
        <f t="shared" ca="1" si="437"/>
        <v>0</v>
      </c>
      <c r="S876" s="254">
        <f t="shared" ca="1" si="437"/>
        <v>0</v>
      </c>
      <c r="T876" s="254">
        <f t="shared" ca="1" si="437"/>
        <v>0</v>
      </c>
      <c r="U876" s="254">
        <f t="shared" ca="1" si="437"/>
        <v>0</v>
      </c>
      <c r="V876" s="254">
        <f t="shared" ca="1" si="437"/>
        <v>0</v>
      </c>
      <c r="W876" s="254">
        <f t="shared" ca="1" si="437"/>
        <v>0</v>
      </c>
      <c r="X876" s="254">
        <f t="shared" ca="1" si="437"/>
        <v>0</v>
      </c>
    </row>
    <row r="877" spans="1:24" hidden="1">
      <c r="A877" s="328"/>
      <c r="B877" s="20">
        <f ca="1">OFFSET($B$96,D877,0)</f>
        <v>0</v>
      </c>
      <c r="C877" s="20"/>
      <c r="D877" s="21">
        <f>D871+1</f>
        <v>1</v>
      </c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328"/>
      <c r="B878" s="165" t="s">
        <v>425</v>
      </c>
      <c r="C878" s="165"/>
      <c r="D878" s="165">
        <f ca="1">YEAR(OFFSET($E$96,D877,0))</f>
        <v>1900</v>
      </c>
      <c r="E878" s="165">
        <f ca="1">MONTH(OFFSET($E$96,D877,0))</f>
        <v>1</v>
      </c>
      <c r="F878" s="21">
        <f ca="1">12-$E878</f>
        <v>11</v>
      </c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328"/>
      <c r="B879" s="21" t="s">
        <v>406</v>
      </c>
      <c r="C879" s="21"/>
      <c r="D879" s="385">
        <f ca="1">IF(E879&lt;0,0,ROUND(E879,0))</f>
        <v>0</v>
      </c>
      <c r="E879" s="249">
        <f ca="1">OFFSET($D$96,D877,0)</f>
        <v>0</v>
      </c>
      <c r="F879" s="385">
        <f ca="1">IF(E879&gt;10,ROUND(($D880/12)*$F878,0),$D879)</f>
        <v>0</v>
      </c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328"/>
      <c r="B880" s="21" t="s">
        <v>415</v>
      </c>
      <c r="C880" s="436" t="e">
        <f ca="1">VLOOKUP(OFFSET($C$96,D877,0),Założenia!$J$48:$K$55,2,FALSE)</f>
        <v>#N/A</v>
      </c>
      <c r="D880" s="385">
        <f ca="1">IF(ISBLANK(OFFSET($E$96,D877,0)),0,IF(E879&gt;10,ROUND(D879*C880,0),IF(D879&lt;0,0,D879)))</f>
        <v>0</v>
      </c>
      <c r="E880" s="21"/>
      <c r="F880" s="21"/>
      <c r="G880" s="21"/>
      <c r="H880" s="21"/>
      <c r="I880" s="21"/>
      <c r="J880" s="21"/>
      <c r="K880" s="75">
        <f ca="1">ROUND(IF($D878=LataProjekcji,$F879,IF($D878=LataProjekcji,$D880,0)),0)</f>
        <v>0</v>
      </c>
      <c r="L880" s="248">
        <f ca="1">ROUND(IF(OR(AND($D878=LataProjekcji,$F878&gt;0),AND($D878=LataProjekcji,$F878=0,$E879&lt;=10)),$F879,IF($D878&lt;LataProjekcji,IF((SUM($K880:K880)+$D880)&lt;$D879,$D880,$D879-SUM($K880:K880)),0)),0)</f>
        <v>0</v>
      </c>
      <c r="M880" s="248">
        <f ca="1">ROUND(IF(OR(AND($D878=LataProjekcji,$F878&gt;0),AND($D878=LataProjekcji,$F878=0,$E879&lt;=10)),$F879,IF($D878&lt;LataProjekcji,IF((SUM($K880:L880)+$D880)&lt;$D879,$D880,$D879-SUM($K880:L880)),0)),0)</f>
        <v>0</v>
      </c>
      <c r="N880" s="248">
        <f ca="1">ROUND(IF(OR(AND($D878=LataProjekcji,$F878&gt;0),AND($D878=LataProjekcji,$F878=0,$E879&lt;=10)),$F879,IF($D878&lt;LataProjekcji,IF((SUM($K880:M880)+$D880)&lt;$D879,$D880,$D879-SUM($K880:M880)),0)),0)</f>
        <v>0</v>
      </c>
      <c r="O880" s="248">
        <f ca="1">ROUND(IF(OR(AND($D878=LataProjekcji,$F878&gt;0),AND($D878=LataProjekcji,$F878=0,$E879&lt;=10)),$F879,IF($D878&lt;LataProjekcji,IF((SUM($K880:N880)+$D880)&lt;$D879,$D880,$D879-SUM($K880:N880)),0)),0)</f>
        <v>0</v>
      </c>
      <c r="P880" s="248">
        <f ca="1">ROUND(IF(OR(AND($D878=LataProjekcji,$F878&gt;0),AND($D878=LataProjekcji,$F878=0,$E879&lt;=10)),$F879,IF($D878&lt;LataProjekcji,IF((SUM($K880:O880)+$D880)&lt;$D879,$D880,$D879-SUM($K880:O880)),0)),0)</f>
        <v>0</v>
      </c>
      <c r="Q880" s="248">
        <f ca="1">ROUND(IF(OR(AND($D878=LataProjekcji,$F878&gt;0),AND($D878=LataProjekcji,$F878=0,$E879&lt;=10)),$F879,IF($D878&lt;LataProjekcji,IF((SUM($K880:P880)+$D880)&lt;$D879,$D880,$D879-SUM($K880:P880)),0)),0)</f>
        <v>0</v>
      </c>
      <c r="R880" s="248">
        <f ca="1">ROUND(IF(OR(AND($D878=LataProjekcji,$F878&gt;0),AND($D878=LataProjekcji,$F878=0,$E879&lt;=10)),$F879,IF($D878&lt;LataProjekcji,IF((SUM($K880:Q880)+$D880)&lt;$D879,$D880,$D879-SUM($K880:Q880)),0)),0)</f>
        <v>0</v>
      </c>
      <c r="S880" s="248">
        <f ca="1">ROUND(IF(OR(AND($D878=LataProjekcji,$F878&gt;0),AND($D878=LataProjekcji,$F878=0,$E879&lt;=10)),$F879,IF($D878&lt;LataProjekcji,IF((SUM($K880:R880)+$D880)&lt;$D879,$D880,$D879-SUM($K880:R880)),0)),0)</f>
        <v>0</v>
      </c>
      <c r="T880" s="248">
        <f ca="1">ROUND(IF(OR(AND($D878=LataProjekcji,$F878&gt;0),AND($D878=LataProjekcji,$F878=0,$E879&lt;=10)),$F879,IF($D878&lt;LataProjekcji,IF((SUM($K880:S880)+$D880)&lt;$D879,$D880,$D879-SUM($K880:S880)),0)),0)</f>
        <v>0</v>
      </c>
      <c r="U880" s="248">
        <f ca="1">ROUND(IF(OR(AND($D878=LataProjekcji,$F878&gt;0),AND($D878=LataProjekcji,$F878=0,$E879&lt;=10)),$F879,IF($D878&lt;LataProjekcji,IF((SUM($K880:T880)+$D880)&lt;$D879,$D880,$D879-SUM($K880:T880)),0)),0)</f>
        <v>0</v>
      </c>
      <c r="V880" s="248">
        <f ca="1">ROUND(IF(OR(AND($D878=LataProjekcji,$F878&gt;0),AND($D878=LataProjekcji,$F878=0,$E879&lt;=10)),$F879,IF($D878&lt;LataProjekcji,IF((SUM($K880:U880)+$D880)&lt;$D879,$D880,$D879-SUM($K880:U880)),0)),0)</f>
        <v>0</v>
      </c>
      <c r="W880" s="248">
        <f ca="1">ROUND(IF(OR(AND($D878=LataProjekcji,$F878&gt;0),AND($D878=LataProjekcji,$F878=0,$E879&lt;=10)),$F879,IF($D878&lt;LataProjekcji,IF((SUM($K880:V880)+$D880)&lt;$D879,$D880,$D879-SUM($K880:V880)),0)),0)</f>
        <v>0</v>
      </c>
      <c r="X880" s="248">
        <f ca="1">ROUND(IF(OR(AND($D878=LataProjekcji,$F878&gt;0),AND($D878=LataProjekcji,$F878=0,$E879&lt;=10)),$F879,IF($D878&lt;LataProjekcji,IF((SUM($K880:W880)+$D880)&lt;$D879,$D880,$D879-SUM($K880:W880)),0)),0)</f>
        <v>0</v>
      </c>
    </row>
    <row r="881" spans="1:24" hidden="1">
      <c r="A881" s="328"/>
      <c r="B881" s="21" t="s">
        <v>416</v>
      </c>
      <c r="C881" s="21"/>
      <c r="D881" s="22"/>
      <c r="E881" s="21"/>
      <c r="F881" s="21"/>
      <c r="G881" s="21"/>
      <c r="H881" s="21"/>
      <c r="I881" s="21"/>
      <c r="J881" s="21"/>
      <c r="K881" s="22">
        <f ca="1">ROUND(K880,0)</f>
        <v>0</v>
      </c>
      <c r="L881" s="22">
        <f t="shared" ref="L881:X881" ca="1" si="438">ROUND(K881+L880,0)</f>
        <v>0</v>
      </c>
      <c r="M881" s="22">
        <f t="shared" ca="1" si="438"/>
        <v>0</v>
      </c>
      <c r="N881" s="22">
        <f t="shared" ca="1" si="438"/>
        <v>0</v>
      </c>
      <c r="O881" s="22">
        <f t="shared" ca="1" si="438"/>
        <v>0</v>
      </c>
      <c r="P881" s="22">
        <f t="shared" ca="1" si="438"/>
        <v>0</v>
      </c>
      <c r="Q881" s="22">
        <f t="shared" ca="1" si="438"/>
        <v>0</v>
      </c>
      <c r="R881" s="22">
        <f t="shared" ca="1" si="438"/>
        <v>0</v>
      </c>
      <c r="S881" s="22">
        <f t="shared" ca="1" si="438"/>
        <v>0</v>
      </c>
      <c r="T881" s="22">
        <f t="shared" ca="1" si="438"/>
        <v>0</v>
      </c>
      <c r="U881" s="22">
        <f t="shared" ca="1" si="438"/>
        <v>0</v>
      </c>
      <c r="V881" s="22">
        <f t="shared" ca="1" si="438"/>
        <v>0</v>
      </c>
      <c r="W881" s="22">
        <f t="shared" ca="1" si="438"/>
        <v>0</v>
      </c>
      <c r="X881" s="22">
        <f t="shared" ca="1" si="438"/>
        <v>0</v>
      </c>
    </row>
    <row r="882" spans="1:24" hidden="1">
      <c r="A882" s="328"/>
      <c r="B882" s="21" t="s">
        <v>406</v>
      </c>
      <c r="C882" s="21"/>
      <c r="D882" s="22"/>
      <c r="E882" s="21"/>
      <c r="F882" s="21"/>
      <c r="G882" s="21"/>
      <c r="H882" s="21"/>
      <c r="I882" s="21"/>
      <c r="J882" s="445">
        <f ca="1">OFFSET($C$96,D877,0)</f>
        <v>0</v>
      </c>
      <c r="K882" s="77">
        <f ca="1">IF($D878=LataProjekcji,ROUND($D879-K881,0),ROUND(IF(K880=0,0,$D879-K881),0))</f>
        <v>0</v>
      </c>
      <c r="L882" s="254">
        <f t="shared" ref="L882:X882" ca="1" si="439">IF($D878=LataProjekcji,ROUND($D879-L881,0),ROUND(IF(AND(L880=0,K882&gt;0),$D879-L881,IF(L880=0,0,$D879-L881)),0))</f>
        <v>0</v>
      </c>
      <c r="M882" s="254">
        <f t="shared" ca="1" si="439"/>
        <v>0</v>
      </c>
      <c r="N882" s="254">
        <f t="shared" ca="1" si="439"/>
        <v>0</v>
      </c>
      <c r="O882" s="254">
        <f t="shared" ca="1" si="439"/>
        <v>0</v>
      </c>
      <c r="P882" s="254">
        <f t="shared" ca="1" si="439"/>
        <v>0</v>
      </c>
      <c r="Q882" s="254">
        <f t="shared" ca="1" si="439"/>
        <v>0</v>
      </c>
      <c r="R882" s="254">
        <f t="shared" ca="1" si="439"/>
        <v>0</v>
      </c>
      <c r="S882" s="254">
        <f t="shared" ca="1" si="439"/>
        <v>0</v>
      </c>
      <c r="T882" s="254">
        <f t="shared" ca="1" si="439"/>
        <v>0</v>
      </c>
      <c r="U882" s="254">
        <f t="shared" ca="1" si="439"/>
        <v>0</v>
      </c>
      <c r="V882" s="254">
        <f t="shared" ca="1" si="439"/>
        <v>0</v>
      </c>
      <c r="W882" s="254">
        <f t="shared" ca="1" si="439"/>
        <v>0</v>
      </c>
      <c r="X882" s="254">
        <f t="shared" ca="1" si="439"/>
        <v>0</v>
      </c>
    </row>
    <row r="883" spans="1:24" hidden="1">
      <c r="A883" s="328"/>
      <c r="B883" s="20">
        <f ca="1">OFFSET($B$96,D883,0)</f>
        <v>0</v>
      </c>
      <c r="C883" s="20"/>
      <c r="D883" s="21">
        <f>D877+1</f>
        <v>2</v>
      </c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328"/>
      <c r="B884" s="165" t="s">
        <v>425</v>
      </c>
      <c r="C884" s="165"/>
      <c r="D884" s="165">
        <f ca="1">YEAR(OFFSET($E$96,D883,0))</f>
        <v>1900</v>
      </c>
      <c r="E884" s="165">
        <f ca="1">MONTH(OFFSET($E$96,D883,0))</f>
        <v>1</v>
      </c>
      <c r="F884" s="21">
        <f ca="1">12-$E884</f>
        <v>11</v>
      </c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328"/>
      <c r="B885" s="21" t="s">
        <v>406</v>
      </c>
      <c r="C885" s="21"/>
      <c r="D885" s="386">
        <f ca="1">IF(E885&lt;0,0,ROUND(E885,0))</f>
        <v>0</v>
      </c>
      <c r="E885" s="249">
        <f ca="1">OFFSET($D$96,D883,0)</f>
        <v>0</v>
      </c>
      <c r="F885" s="386">
        <f ca="1">IF(E885&gt;10,ROUND(($D886/12)*$F884,0),$D885)</f>
        <v>0</v>
      </c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328"/>
      <c r="B886" s="21" t="s">
        <v>415</v>
      </c>
      <c r="C886" s="436" t="e">
        <f ca="1">VLOOKUP(OFFSET($C$96,D883,0),Założenia!$J$48:$K$55,2,FALSE)</f>
        <v>#N/A</v>
      </c>
      <c r="D886" s="386">
        <f ca="1">IF(ISBLANK(OFFSET($E$96,D883,0)),0,IF(E885&gt;10,ROUND(D885*C886,0),IF(D885&lt;0,0,D885)))</f>
        <v>0</v>
      </c>
      <c r="E886" s="21"/>
      <c r="F886" s="21"/>
      <c r="G886" s="21"/>
      <c r="H886" s="21"/>
      <c r="I886" s="21"/>
      <c r="J886" s="21"/>
      <c r="K886" s="75">
        <f ca="1">ROUND(IF($D884=LataProjekcji,$F885,IF($D884=LataProjekcji,$D886,0)),0)</f>
        <v>0</v>
      </c>
      <c r="L886" s="248">
        <f ca="1">ROUND(IF(OR(AND($D884=LataProjekcji,$F884&gt;0),AND($D884=LataProjekcji,$F884=0,$E885&lt;=10)),$F885,IF($D884&lt;LataProjekcji,IF((SUM($K886:K886)+$D886)&lt;$D885,$D886,$D885-SUM($K886:K886)),0)),0)</f>
        <v>0</v>
      </c>
      <c r="M886" s="248">
        <f ca="1">ROUND(IF(OR(AND($D884=LataProjekcji,$F884&gt;0),AND($D884=LataProjekcji,$F884=0,$E885&lt;=10)),$F885,IF($D884&lt;LataProjekcji,IF((SUM($K886:L886)+$D886)&lt;$D885,$D886,$D885-SUM($K886:L886)),0)),0)</f>
        <v>0</v>
      </c>
      <c r="N886" s="248">
        <f ca="1">ROUND(IF(OR(AND($D884=LataProjekcji,$F884&gt;0),AND($D884=LataProjekcji,$F884=0,$E885&lt;=10)),$F885,IF($D884&lt;LataProjekcji,IF((SUM($K886:M886)+$D886)&lt;$D885,$D886,$D885-SUM($K886:M886)),0)),0)</f>
        <v>0</v>
      </c>
      <c r="O886" s="248">
        <f ca="1">ROUND(IF(OR(AND($D884=LataProjekcji,$F884&gt;0),AND($D884=LataProjekcji,$F884=0,$E885&lt;=10)),$F885,IF($D884&lt;LataProjekcji,IF((SUM($K886:N886)+$D886)&lt;$D885,$D886,$D885-SUM($K886:N886)),0)),0)</f>
        <v>0</v>
      </c>
      <c r="P886" s="248">
        <f ca="1">ROUND(IF(OR(AND($D884=LataProjekcji,$F884&gt;0),AND($D884=LataProjekcji,$F884=0,$E885&lt;=10)),$F885,IF($D884&lt;LataProjekcji,IF((SUM($K886:O886)+$D886)&lt;$D885,$D886,$D885-SUM($K886:O886)),0)),0)</f>
        <v>0</v>
      </c>
      <c r="Q886" s="248">
        <f ca="1">ROUND(IF(OR(AND($D884=LataProjekcji,$F884&gt;0),AND($D884=LataProjekcji,$F884=0,$E885&lt;=10)),$F885,IF($D884&lt;LataProjekcji,IF((SUM($K886:P886)+$D886)&lt;$D885,$D886,$D885-SUM($K886:P886)),0)),0)</f>
        <v>0</v>
      </c>
      <c r="R886" s="248">
        <f ca="1">ROUND(IF(OR(AND($D884=LataProjekcji,$F884&gt;0),AND($D884=LataProjekcji,$F884=0,$E885&lt;=10)),$F885,IF($D884&lt;LataProjekcji,IF((SUM($K886:Q886)+$D886)&lt;$D885,$D886,$D885-SUM($K886:Q886)),0)),0)</f>
        <v>0</v>
      </c>
      <c r="S886" s="248">
        <f ca="1">ROUND(IF(OR(AND($D884=LataProjekcji,$F884&gt;0),AND($D884=LataProjekcji,$F884=0,$E885&lt;=10)),$F885,IF($D884&lt;LataProjekcji,IF((SUM($K886:R886)+$D886)&lt;$D885,$D886,$D885-SUM($K886:R886)),0)),0)</f>
        <v>0</v>
      </c>
      <c r="T886" s="248">
        <f ca="1">ROUND(IF(OR(AND($D884=LataProjekcji,$F884&gt;0),AND($D884=LataProjekcji,$F884=0,$E885&lt;=10)),$F885,IF($D884&lt;LataProjekcji,IF((SUM($K886:S886)+$D886)&lt;$D885,$D886,$D885-SUM($K886:S886)),0)),0)</f>
        <v>0</v>
      </c>
      <c r="U886" s="248">
        <f ca="1">ROUND(IF(OR(AND($D884=LataProjekcji,$F884&gt;0),AND($D884=LataProjekcji,$F884=0,$E885&lt;=10)),$F885,IF($D884&lt;LataProjekcji,IF((SUM($K886:T886)+$D886)&lt;$D885,$D886,$D885-SUM($K886:T886)),0)),0)</f>
        <v>0</v>
      </c>
      <c r="V886" s="248">
        <f ca="1">ROUND(IF(OR(AND($D884=LataProjekcji,$F884&gt;0),AND($D884=LataProjekcji,$F884=0,$E885&lt;=10)),$F885,IF($D884&lt;LataProjekcji,IF((SUM($K886:U886)+$D886)&lt;$D885,$D886,$D885-SUM($K886:U886)),0)),0)</f>
        <v>0</v>
      </c>
      <c r="W886" s="248">
        <f ca="1">ROUND(IF(OR(AND($D884=LataProjekcji,$F884&gt;0),AND($D884=LataProjekcji,$F884=0,$E885&lt;=10)),$F885,IF($D884&lt;LataProjekcji,IF((SUM($K886:V886)+$D886)&lt;$D885,$D886,$D885-SUM($K886:V886)),0)),0)</f>
        <v>0</v>
      </c>
      <c r="X886" s="248">
        <f ca="1">ROUND(IF(OR(AND($D884=LataProjekcji,$F884&gt;0),AND($D884=LataProjekcji,$F884=0,$E885&lt;=10)),$F885,IF($D884&lt;LataProjekcji,IF((SUM($K886:W886)+$D886)&lt;$D885,$D886,$D885-SUM($K886:W886)),0)),0)</f>
        <v>0</v>
      </c>
    </row>
    <row r="887" spans="1:24" hidden="1">
      <c r="A887" s="328"/>
      <c r="B887" s="21" t="s">
        <v>416</v>
      </c>
      <c r="C887" s="21"/>
      <c r="D887" s="22"/>
      <c r="E887" s="21"/>
      <c r="F887" s="21"/>
      <c r="G887" s="21"/>
      <c r="H887" s="21"/>
      <c r="I887" s="21"/>
      <c r="J887" s="21"/>
      <c r="K887" s="22">
        <f ca="1">ROUND(K886,0)</f>
        <v>0</v>
      </c>
      <c r="L887" s="22">
        <f t="shared" ref="L887" ca="1" si="440">ROUND(K887+L886,0)</f>
        <v>0</v>
      </c>
      <c r="M887" s="22">
        <f t="shared" ref="M887" ca="1" si="441">ROUND(L887+M886,0)</f>
        <v>0</v>
      </c>
      <c r="N887" s="22">
        <f t="shared" ref="N887" ca="1" si="442">ROUND(M887+N886,0)</f>
        <v>0</v>
      </c>
      <c r="O887" s="22">
        <f t="shared" ref="O887" ca="1" si="443">ROUND(N887+O886,0)</f>
        <v>0</v>
      </c>
      <c r="P887" s="22">
        <f t="shared" ref="P887" ca="1" si="444">ROUND(O887+P886,0)</f>
        <v>0</v>
      </c>
      <c r="Q887" s="22">
        <f t="shared" ref="Q887" ca="1" si="445">ROUND(P887+Q886,0)</f>
        <v>0</v>
      </c>
      <c r="R887" s="22">
        <f t="shared" ref="R887" ca="1" si="446">ROUND(Q887+R886,0)</f>
        <v>0</v>
      </c>
      <c r="S887" s="22">
        <f t="shared" ref="S887" ca="1" si="447">ROUND(R887+S886,0)</f>
        <v>0</v>
      </c>
      <c r="T887" s="22">
        <f t="shared" ref="T887" ca="1" si="448">ROUND(S887+T886,0)</f>
        <v>0</v>
      </c>
      <c r="U887" s="22">
        <f t="shared" ref="U887" ca="1" si="449">ROUND(T887+U886,0)</f>
        <v>0</v>
      </c>
      <c r="V887" s="22">
        <f t="shared" ref="V887" ca="1" si="450">ROUND(U887+V886,0)</f>
        <v>0</v>
      </c>
      <c r="W887" s="22">
        <f t="shared" ref="W887" ca="1" si="451">ROUND(V887+W886,0)</f>
        <v>0</v>
      </c>
      <c r="X887" s="22">
        <f t="shared" ref="X887" ca="1" si="452">ROUND(W887+X886,0)</f>
        <v>0</v>
      </c>
    </row>
    <row r="888" spans="1:24" hidden="1">
      <c r="A888" s="328"/>
      <c r="B888" s="21" t="s">
        <v>406</v>
      </c>
      <c r="C888" s="21"/>
      <c r="D888" s="22"/>
      <c r="E888" s="21"/>
      <c r="F888" s="21"/>
      <c r="G888" s="21"/>
      <c r="H888" s="21"/>
      <c r="I888" s="21"/>
      <c r="J888" s="445">
        <f ca="1">OFFSET($C$96,D883,0)</f>
        <v>0</v>
      </c>
      <c r="K888" s="77">
        <f ca="1">IF($D884=LataProjekcji,ROUND($D885-K887,0),ROUND(IF(K886=0,0,$D885-K887),0))</f>
        <v>0</v>
      </c>
      <c r="L888" s="254">
        <f t="shared" ref="L888:X888" ca="1" si="453">IF($D884=LataProjekcji,ROUND($D885-L887,0),ROUND(IF(AND(L886=0,K888&gt;0),$D885-L887,IF(L886=0,0,$D885-L887)),0))</f>
        <v>0</v>
      </c>
      <c r="M888" s="254">
        <f t="shared" ca="1" si="453"/>
        <v>0</v>
      </c>
      <c r="N888" s="254">
        <f t="shared" ca="1" si="453"/>
        <v>0</v>
      </c>
      <c r="O888" s="254">
        <f t="shared" ca="1" si="453"/>
        <v>0</v>
      </c>
      <c r="P888" s="254">
        <f t="shared" ca="1" si="453"/>
        <v>0</v>
      </c>
      <c r="Q888" s="254">
        <f t="shared" ca="1" si="453"/>
        <v>0</v>
      </c>
      <c r="R888" s="254">
        <f t="shared" ca="1" si="453"/>
        <v>0</v>
      </c>
      <c r="S888" s="254">
        <f t="shared" ca="1" si="453"/>
        <v>0</v>
      </c>
      <c r="T888" s="254">
        <f t="shared" ca="1" si="453"/>
        <v>0</v>
      </c>
      <c r="U888" s="254">
        <f t="shared" ca="1" si="453"/>
        <v>0</v>
      </c>
      <c r="V888" s="254">
        <f t="shared" ca="1" si="453"/>
        <v>0</v>
      </c>
      <c r="W888" s="254">
        <f t="shared" ca="1" si="453"/>
        <v>0</v>
      </c>
      <c r="X888" s="254">
        <f t="shared" ca="1" si="453"/>
        <v>0</v>
      </c>
    </row>
    <row r="889" spans="1:24" hidden="1">
      <c r="A889" s="328"/>
      <c r="B889" s="20">
        <f ca="1">OFFSET($B$96,D889,0)</f>
        <v>0</v>
      </c>
      <c r="C889" s="20"/>
      <c r="D889" s="21">
        <f>D883+1</f>
        <v>3</v>
      </c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328"/>
      <c r="B890" s="165" t="s">
        <v>425</v>
      </c>
      <c r="C890" s="165"/>
      <c r="D890" s="165">
        <f ca="1">YEAR(OFFSET($E$96,D889,0))</f>
        <v>1900</v>
      </c>
      <c r="E890" s="165">
        <f ca="1">MONTH(OFFSET($E$96,D889,0))</f>
        <v>1</v>
      </c>
      <c r="F890" s="21">
        <f ca="1">12-$E890</f>
        <v>11</v>
      </c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328"/>
      <c r="B891" s="21" t="s">
        <v>406</v>
      </c>
      <c r="C891" s="21"/>
      <c r="D891" s="387">
        <f ca="1">IF(E891&lt;0,0,ROUND(E891,0))</f>
        <v>0</v>
      </c>
      <c r="E891" s="249">
        <f ca="1">OFFSET($D$96,D889,0)</f>
        <v>0</v>
      </c>
      <c r="F891" s="387">
        <f ca="1">IF(E891&gt;10,ROUND(($D892/12)*$F890,0),$D891)</f>
        <v>0</v>
      </c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328"/>
      <c r="B892" s="21" t="s">
        <v>415</v>
      </c>
      <c r="C892" s="436" t="e">
        <f ca="1">VLOOKUP(OFFSET($C$96,D889,0),Założenia!$J$48:$K$55,2,FALSE)</f>
        <v>#N/A</v>
      </c>
      <c r="D892" s="387">
        <f ca="1">IF(ISBLANK(OFFSET($E$96,D889,0)),0,IF(E891&gt;10,ROUND(D891*C892,0),IF(D891&lt;0,0,D891)))</f>
        <v>0</v>
      </c>
      <c r="E892" s="21"/>
      <c r="F892" s="21"/>
      <c r="G892" s="21"/>
      <c r="H892" s="21"/>
      <c r="I892" s="21"/>
      <c r="J892" s="21"/>
      <c r="K892" s="75">
        <f ca="1">ROUND(IF($D890=LataProjekcji,$F891,IF($D890=LataProjekcji,$D892,0)),0)</f>
        <v>0</v>
      </c>
      <c r="L892" s="248">
        <f ca="1">ROUND(IF(OR(AND($D890=LataProjekcji,$F890&gt;0),AND($D890=LataProjekcji,$F890=0,$E891&lt;=10)),$F891,IF($D890&lt;LataProjekcji,IF((SUM($K892:K892)+$D892)&lt;$D891,$D892,$D891-SUM($K892:K892)),0)),0)</f>
        <v>0</v>
      </c>
      <c r="M892" s="248">
        <f ca="1">ROUND(IF(OR(AND($D890=LataProjekcji,$F890&gt;0),AND($D890=LataProjekcji,$F890=0,$E891&lt;=10)),$F891,IF($D890&lt;LataProjekcji,IF((SUM($K892:L892)+$D892)&lt;$D891,$D892,$D891-SUM($K892:L892)),0)),0)</f>
        <v>0</v>
      </c>
      <c r="N892" s="248">
        <f ca="1">ROUND(IF(OR(AND($D890=LataProjekcji,$F890&gt;0),AND($D890=LataProjekcji,$F890=0,$E891&lt;=10)),$F891,IF($D890&lt;LataProjekcji,IF((SUM($K892:M892)+$D892)&lt;$D891,$D892,$D891-SUM($K892:M892)),0)),0)</f>
        <v>0</v>
      </c>
      <c r="O892" s="248">
        <f ca="1">ROUND(IF(OR(AND($D890=LataProjekcji,$F890&gt;0),AND($D890=LataProjekcji,$F890=0,$E891&lt;=10)),$F891,IF($D890&lt;LataProjekcji,IF((SUM($K892:N892)+$D892)&lt;$D891,$D892,$D891-SUM($K892:N892)),0)),0)</f>
        <v>0</v>
      </c>
      <c r="P892" s="248">
        <f ca="1">ROUND(IF(OR(AND($D890=LataProjekcji,$F890&gt;0),AND($D890=LataProjekcji,$F890=0,$E891&lt;=10)),$F891,IF($D890&lt;LataProjekcji,IF((SUM($K892:O892)+$D892)&lt;$D891,$D892,$D891-SUM($K892:O892)),0)),0)</f>
        <v>0</v>
      </c>
      <c r="Q892" s="248">
        <f ca="1">ROUND(IF(OR(AND($D890=LataProjekcji,$F890&gt;0),AND($D890=LataProjekcji,$F890=0,$E891&lt;=10)),$F891,IF($D890&lt;LataProjekcji,IF((SUM($K892:P892)+$D892)&lt;$D891,$D892,$D891-SUM($K892:P892)),0)),0)</f>
        <v>0</v>
      </c>
      <c r="R892" s="248">
        <f ca="1">ROUND(IF(OR(AND($D890=LataProjekcji,$F890&gt;0),AND($D890=LataProjekcji,$F890=0,$E891&lt;=10)),$F891,IF($D890&lt;LataProjekcji,IF((SUM($K892:Q892)+$D892)&lt;$D891,$D892,$D891-SUM($K892:Q892)),0)),0)</f>
        <v>0</v>
      </c>
      <c r="S892" s="248">
        <f ca="1">ROUND(IF(OR(AND($D890=LataProjekcji,$F890&gt;0),AND($D890=LataProjekcji,$F890=0,$E891&lt;=10)),$F891,IF($D890&lt;LataProjekcji,IF((SUM($K892:R892)+$D892)&lt;$D891,$D892,$D891-SUM($K892:R892)),0)),0)</f>
        <v>0</v>
      </c>
      <c r="T892" s="248">
        <f ca="1">ROUND(IF(OR(AND($D890=LataProjekcji,$F890&gt;0),AND($D890=LataProjekcji,$F890=0,$E891&lt;=10)),$F891,IF($D890&lt;LataProjekcji,IF((SUM($K892:S892)+$D892)&lt;$D891,$D892,$D891-SUM($K892:S892)),0)),0)</f>
        <v>0</v>
      </c>
      <c r="U892" s="248">
        <f ca="1">ROUND(IF(OR(AND($D890=LataProjekcji,$F890&gt;0),AND($D890=LataProjekcji,$F890=0,$E891&lt;=10)),$F891,IF($D890&lt;LataProjekcji,IF((SUM($K892:T892)+$D892)&lt;$D891,$D892,$D891-SUM($K892:T892)),0)),0)</f>
        <v>0</v>
      </c>
      <c r="V892" s="248">
        <f ca="1">ROUND(IF(OR(AND($D890=LataProjekcji,$F890&gt;0),AND($D890=LataProjekcji,$F890=0,$E891&lt;=10)),$F891,IF($D890&lt;LataProjekcji,IF((SUM($K892:U892)+$D892)&lt;$D891,$D892,$D891-SUM($K892:U892)),0)),0)</f>
        <v>0</v>
      </c>
      <c r="W892" s="248">
        <f ca="1">ROUND(IF(OR(AND($D890=LataProjekcji,$F890&gt;0),AND($D890=LataProjekcji,$F890=0,$E891&lt;=10)),$F891,IF($D890&lt;LataProjekcji,IF((SUM($K892:V892)+$D892)&lt;$D891,$D892,$D891-SUM($K892:V892)),0)),0)</f>
        <v>0</v>
      </c>
      <c r="X892" s="248">
        <f ca="1">ROUND(IF(OR(AND($D890=LataProjekcji,$F890&gt;0),AND($D890=LataProjekcji,$F890=0,$E891&lt;=10)),$F891,IF($D890&lt;LataProjekcji,IF((SUM($K892:W892)+$D892)&lt;$D891,$D892,$D891-SUM($K892:W892)),0)),0)</f>
        <v>0</v>
      </c>
    </row>
    <row r="893" spans="1:24" hidden="1">
      <c r="A893" s="328"/>
      <c r="B893" s="21" t="s">
        <v>416</v>
      </c>
      <c r="C893" s="21"/>
      <c r="D893" s="22"/>
      <c r="E893" s="21"/>
      <c r="F893" s="21"/>
      <c r="G893" s="21"/>
      <c r="H893" s="21"/>
      <c r="I893" s="21"/>
      <c r="J893" s="21"/>
      <c r="K893" s="22">
        <f ca="1">ROUND(K892,0)</f>
        <v>0</v>
      </c>
      <c r="L893" s="22">
        <f t="shared" ref="L893" ca="1" si="454">ROUND(K893+L892,0)</f>
        <v>0</v>
      </c>
      <c r="M893" s="22">
        <f t="shared" ref="M893" ca="1" si="455">ROUND(L893+M892,0)</f>
        <v>0</v>
      </c>
      <c r="N893" s="22">
        <f t="shared" ref="N893" ca="1" si="456">ROUND(M893+N892,0)</f>
        <v>0</v>
      </c>
      <c r="O893" s="22">
        <f t="shared" ref="O893" ca="1" si="457">ROUND(N893+O892,0)</f>
        <v>0</v>
      </c>
      <c r="P893" s="22">
        <f t="shared" ref="P893" ca="1" si="458">ROUND(O893+P892,0)</f>
        <v>0</v>
      </c>
      <c r="Q893" s="22">
        <f t="shared" ref="Q893" ca="1" si="459">ROUND(P893+Q892,0)</f>
        <v>0</v>
      </c>
      <c r="R893" s="22">
        <f t="shared" ref="R893" ca="1" si="460">ROUND(Q893+R892,0)</f>
        <v>0</v>
      </c>
      <c r="S893" s="22">
        <f t="shared" ref="S893" ca="1" si="461">ROUND(R893+S892,0)</f>
        <v>0</v>
      </c>
      <c r="T893" s="22">
        <f t="shared" ref="T893" ca="1" si="462">ROUND(S893+T892,0)</f>
        <v>0</v>
      </c>
      <c r="U893" s="22">
        <f t="shared" ref="U893" ca="1" si="463">ROUND(T893+U892,0)</f>
        <v>0</v>
      </c>
      <c r="V893" s="22">
        <f t="shared" ref="V893" ca="1" si="464">ROUND(U893+V892,0)</f>
        <v>0</v>
      </c>
      <c r="W893" s="22">
        <f t="shared" ref="W893" ca="1" si="465">ROUND(V893+W892,0)</f>
        <v>0</v>
      </c>
      <c r="X893" s="22">
        <f t="shared" ref="X893" ca="1" si="466">ROUND(W893+X892,0)</f>
        <v>0</v>
      </c>
    </row>
    <row r="894" spans="1:24" hidden="1">
      <c r="A894" s="328"/>
      <c r="B894" s="21" t="s">
        <v>406</v>
      </c>
      <c r="C894" s="21"/>
      <c r="D894" s="22"/>
      <c r="E894" s="21"/>
      <c r="F894" s="21"/>
      <c r="G894" s="21"/>
      <c r="H894" s="21"/>
      <c r="I894" s="21"/>
      <c r="J894" s="445">
        <f ca="1">OFFSET($C$96,D889,0)</f>
        <v>0</v>
      </c>
      <c r="K894" s="77">
        <f ca="1">IF($D890=LataProjekcji,ROUND($D891-K893,0),ROUND(IF(K892=0,0,$D891-K893),0))</f>
        <v>0</v>
      </c>
      <c r="L894" s="254">
        <f t="shared" ref="L894:X894" ca="1" si="467">IF($D890=LataProjekcji,ROUND($D891-L893,0),ROUND(IF(AND(L892=0,K894&gt;0),$D891-L893,IF(L892=0,0,$D891-L893)),0))</f>
        <v>0</v>
      </c>
      <c r="M894" s="254">
        <f t="shared" ca="1" si="467"/>
        <v>0</v>
      </c>
      <c r="N894" s="254">
        <f t="shared" ca="1" si="467"/>
        <v>0</v>
      </c>
      <c r="O894" s="254">
        <f t="shared" ca="1" si="467"/>
        <v>0</v>
      </c>
      <c r="P894" s="254">
        <f t="shared" ca="1" si="467"/>
        <v>0</v>
      </c>
      <c r="Q894" s="254">
        <f t="shared" ca="1" si="467"/>
        <v>0</v>
      </c>
      <c r="R894" s="254">
        <f t="shared" ca="1" si="467"/>
        <v>0</v>
      </c>
      <c r="S894" s="254">
        <f t="shared" ca="1" si="467"/>
        <v>0</v>
      </c>
      <c r="T894" s="254">
        <f t="shared" ca="1" si="467"/>
        <v>0</v>
      </c>
      <c r="U894" s="254">
        <f t="shared" ca="1" si="467"/>
        <v>0</v>
      </c>
      <c r="V894" s="254">
        <f t="shared" ca="1" si="467"/>
        <v>0</v>
      </c>
      <c r="W894" s="254">
        <f t="shared" ca="1" si="467"/>
        <v>0</v>
      </c>
      <c r="X894" s="254">
        <f t="shared" ca="1" si="467"/>
        <v>0</v>
      </c>
    </row>
    <row r="895" spans="1:24" hidden="1">
      <c r="A895" s="328"/>
      <c r="B895" s="20">
        <f ca="1">OFFSET($B$96,D895,0)</f>
        <v>0</v>
      </c>
      <c r="C895" s="20"/>
      <c r="D895" s="21">
        <f>D889+1</f>
        <v>4</v>
      </c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 spans="1:24" hidden="1">
      <c r="A896" s="328"/>
      <c r="B896" s="165" t="s">
        <v>425</v>
      </c>
      <c r="C896" s="165"/>
      <c r="D896" s="165">
        <f ca="1">YEAR(OFFSET($E$96,D895,0))</f>
        <v>1900</v>
      </c>
      <c r="E896" s="165">
        <f ca="1">MONTH(OFFSET($E$96,D895,0))</f>
        <v>1</v>
      </c>
      <c r="F896" s="21">
        <f ca="1">12-$E896</f>
        <v>11</v>
      </c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328"/>
      <c r="B897" s="21" t="s">
        <v>406</v>
      </c>
      <c r="C897" s="21"/>
      <c r="D897" s="387">
        <f ca="1">IF(E897&lt;0,0,ROUND(E897,0))</f>
        <v>0</v>
      </c>
      <c r="E897" s="249">
        <f ca="1">OFFSET($D$96,D895,0)</f>
        <v>0</v>
      </c>
      <c r="F897" s="387">
        <f ca="1">IF(E897&gt;10,ROUND(($D898/12)*$F896,0),$D897)</f>
        <v>0</v>
      </c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328"/>
      <c r="B898" s="21" t="s">
        <v>415</v>
      </c>
      <c r="C898" s="436" t="e">
        <f ca="1">VLOOKUP(OFFSET($C$96,D895,0),Założenia!$J$48:$K$55,2,FALSE)</f>
        <v>#N/A</v>
      </c>
      <c r="D898" s="387">
        <f ca="1">IF(ISBLANK(OFFSET($E$96,D895,0)),0,IF(E897&gt;10,ROUND(D897*C898,0),IF(D897&lt;0,0,D897)))</f>
        <v>0</v>
      </c>
      <c r="E898" s="21"/>
      <c r="F898" s="21"/>
      <c r="G898" s="21"/>
      <c r="H898" s="21"/>
      <c r="I898" s="21"/>
      <c r="J898" s="21"/>
      <c r="K898" s="75">
        <f ca="1">ROUND(IF($D896=LataProjekcji,$F897,IF($D896=LataProjekcji,$D898,0)),0)</f>
        <v>0</v>
      </c>
      <c r="L898" s="248">
        <f ca="1">ROUND(IF(OR(AND($D896=LataProjekcji,$F896&gt;0),AND($D896=LataProjekcji,$F896=0,$E897&lt;=10)),$F897,IF($D896&lt;LataProjekcji,IF((SUM($K898:K898)+$D898)&lt;$D897,$D898,$D897-SUM($K898:K898)),0)),0)</f>
        <v>0</v>
      </c>
      <c r="M898" s="248">
        <f ca="1">ROUND(IF(OR(AND($D896=LataProjekcji,$F896&gt;0),AND($D896=LataProjekcji,$F896=0,$E897&lt;=10)),$F897,IF($D896&lt;LataProjekcji,IF((SUM($K898:L898)+$D898)&lt;$D897,$D898,$D897-SUM($K898:L898)),0)),0)</f>
        <v>0</v>
      </c>
      <c r="N898" s="248">
        <f ca="1">ROUND(IF(OR(AND($D896=LataProjekcji,$F896&gt;0),AND($D896=LataProjekcji,$F896=0,$E897&lt;=10)),$F897,IF($D896&lt;LataProjekcji,IF((SUM($K898:M898)+$D898)&lt;$D897,$D898,$D897-SUM($K898:M898)),0)),0)</f>
        <v>0</v>
      </c>
      <c r="O898" s="248">
        <f ca="1">ROUND(IF(OR(AND($D896=LataProjekcji,$F896&gt;0),AND($D896=LataProjekcji,$F896=0,$E897&lt;=10)),$F897,IF($D896&lt;LataProjekcji,IF((SUM($K898:N898)+$D898)&lt;$D897,$D898,$D897-SUM($K898:N898)),0)),0)</f>
        <v>0</v>
      </c>
      <c r="P898" s="248">
        <f ca="1">ROUND(IF(OR(AND($D896=LataProjekcji,$F896&gt;0),AND($D896=LataProjekcji,$F896=0,$E897&lt;=10)),$F897,IF($D896&lt;LataProjekcji,IF((SUM($K898:O898)+$D898)&lt;$D897,$D898,$D897-SUM($K898:O898)),0)),0)</f>
        <v>0</v>
      </c>
      <c r="Q898" s="248">
        <f ca="1">ROUND(IF(OR(AND($D896=LataProjekcji,$F896&gt;0),AND($D896=LataProjekcji,$F896=0,$E897&lt;=10)),$F897,IF($D896&lt;LataProjekcji,IF((SUM($K898:P898)+$D898)&lt;$D897,$D898,$D897-SUM($K898:P898)),0)),0)</f>
        <v>0</v>
      </c>
      <c r="R898" s="248">
        <f ca="1">ROUND(IF(OR(AND($D896=LataProjekcji,$F896&gt;0),AND($D896=LataProjekcji,$F896=0,$E897&lt;=10)),$F897,IF($D896&lt;LataProjekcji,IF((SUM($K898:Q898)+$D898)&lt;$D897,$D898,$D897-SUM($K898:Q898)),0)),0)</f>
        <v>0</v>
      </c>
      <c r="S898" s="248">
        <f ca="1">ROUND(IF(OR(AND($D896=LataProjekcji,$F896&gt;0),AND($D896=LataProjekcji,$F896=0,$E897&lt;=10)),$F897,IF($D896&lt;LataProjekcji,IF((SUM($K898:R898)+$D898)&lt;$D897,$D898,$D897-SUM($K898:R898)),0)),0)</f>
        <v>0</v>
      </c>
      <c r="T898" s="248">
        <f ca="1">ROUND(IF(OR(AND($D896=LataProjekcji,$F896&gt;0),AND($D896=LataProjekcji,$F896=0,$E897&lt;=10)),$F897,IF($D896&lt;LataProjekcji,IF((SUM($K898:S898)+$D898)&lt;$D897,$D898,$D897-SUM($K898:S898)),0)),0)</f>
        <v>0</v>
      </c>
      <c r="U898" s="248">
        <f ca="1">ROUND(IF(OR(AND($D896=LataProjekcji,$F896&gt;0),AND($D896=LataProjekcji,$F896=0,$E897&lt;=10)),$F897,IF($D896&lt;LataProjekcji,IF((SUM($K898:T898)+$D898)&lt;$D897,$D898,$D897-SUM($K898:T898)),0)),0)</f>
        <v>0</v>
      </c>
      <c r="V898" s="248">
        <f ca="1">ROUND(IF(OR(AND($D896=LataProjekcji,$F896&gt;0),AND($D896=LataProjekcji,$F896=0,$E897&lt;=10)),$F897,IF($D896&lt;LataProjekcji,IF((SUM($K898:U898)+$D898)&lt;$D897,$D898,$D897-SUM($K898:U898)),0)),0)</f>
        <v>0</v>
      </c>
      <c r="W898" s="248">
        <f ca="1">ROUND(IF(OR(AND($D896=LataProjekcji,$F896&gt;0),AND($D896=LataProjekcji,$F896=0,$E897&lt;=10)),$F897,IF($D896&lt;LataProjekcji,IF((SUM($K898:V898)+$D898)&lt;$D897,$D898,$D897-SUM($K898:V898)),0)),0)</f>
        <v>0</v>
      </c>
      <c r="X898" s="248">
        <f ca="1">ROUND(IF(OR(AND($D896=LataProjekcji,$F896&gt;0),AND($D896=LataProjekcji,$F896=0,$E897&lt;=10)),$F897,IF($D896&lt;LataProjekcji,IF((SUM($K898:W898)+$D898)&lt;$D897,$D898,$D897-SUM($K898:W898)),0)),0)</f>
        <v>0</v>
      </c>
    </row>
    <row r="899" spans="1:24" hidden="1">
      <c r="A899" s="328"/>
      <c r="B899" s="21" t="s">
        <v>416</v>
      </c>
      <c r="C899" s="21"/>
      <c r="D899" s="22"/>
      <c r="E899" s="21"/>
      <c r="F899" s="21"/>
      <c r="G899" s="21"/>
      <c r="H899" s="21"/>
      <c r="I899" s="21"/>
      <c r="J899" s="21"/>
      <c r="K899" s="22">
        <f ca="1">ROUND(K898,0)</f>
        <v>0</v>
      </c>
      <c r="L899" s="22">
        <f t="shared" ref="L899" ca="1" si="468">ROUND(K899+L898,0)</f>
        <v>0</v>
      </c>
      <c r="M899" s="22">
        <f t="shared" ref="M899" ca="1" si="469">ROUND(L899+M898,0)</f>
        <v>0</v>
      </c>
      <c r="N899" s="22">
        <f t="shared" ref="N899" ca="1" si="470">ROUND(M899+N898,0)</f>
        <v>0</v>
      </c>
      <c r="O899" s="22">
        <f t="shared" ref="O899" ca="1" si="471">ROUND(N899+O898,0)</f>
        <v>0</v>
      </c>
      <c r="P899" s="22">
        <f t="shared" ref="P899" ca="1" si="472">ROUND(O899+P898,0)</f>
        <v>0</v>
      </c>
      <c r="Q899" s="22">
        <f t="shared" ref="Q899" ca="1" si="473">ROUND(P899+Q898,0)</f>
        <v>0</v>
      </c>
      <c r="R899" s="22">
        <f t="shared" ref="R899" ca="1" si="474">ROUND(Q899+R898,0)</f>
        <v>0</v>
      </c>
      <c r="S899" s="22">
        <f t="shared" ref="S899" ca="1" si="475">ROUND(R899+S898,0)</f>
        <v>0</v>
      </c>
      <c r="T899" s="22">
        <f t="shared" ref="T899" ca="1" si="476">ROUND(S899+T898,0)</f>
        <v>0</v>
      </c>
      <c r="U899" s="22">
        <f t="shared" ref="U899" ca="1" si="477">ROUND(T899+U898,0)</f>
        <v>0</v>
      </c>
      <c r="V899" s="22">
        <f t="shared" ref="V899" ca="1" si="478">ROUND(U899+V898,0)</f>
        <v>0</v>
      </c>
      <c r="W899" s="22">
        <f t="shared" ref="W899" ca="1" si="479">ROUND(V899+W898,0)</f>
        <v>0</v>
      </c>
      <c r="X899" s="22">
        <f t="shared" ref="X899" ca="1" si="480">ROUND(W899+X898,0)</f>
        <v>0</v>
      </c>
    </row>
    <row r="900" spans="1:24" hidden="1">
      <c r="A900" s="328"/>
      <c r="B900" s="21" t="s">
        <v>406</v>
      </c>
      <c r="C900" s="21"/>
      <c r="D900" s="22"/>
      <c r="E900" s="21"/>
      <c r="F900" s="21"/>
      <c r="G900" s="21"/>
      <c r="H900" s="21"/>
      <c r="I900" s="21"/>
      <c r="J900" s="445">
        <f ca="1">OFFSET($C$96,D895,0)</f>
        <v>0</v>
      </c>
      <c r="K900" s="77">
        <f ca="1">IF($D896=LataProjekcji,ROUND($D897-K899,0),ROUND(IF(K898=0,0,$D897-K899),0))</f>
        <v>0</v>
      </c>
      <c r="L900" s="254">
        <f t="shared" ref="L900:X900" ca="1" si="481">IF($D896=LataProjekcji,ROUND($D897-L899,0),ROUND(IF(AND(L898=0,K900&gt;0),$D897-L899,IF(L898=0,0,$D897-L899)),0))</f>
        <v>0</v>
      </c>
      <c r="M900" s="254">
        <f t="shared" ca="1" si="481"/>
        <v>0</v>
      </c>
      <c r="N900" s="254">
        <f t="shared" ca="1" si="481"/>
        <v>0</v>
      </c>
      <c r="O900" s="254">
        <f t="shared" ca="1" si="481"/>
        <v>0</v>
      </c>
      <c r="P900" s="254">
        <f t="shared" ca="1" si="481"/>
        <v>0</v>
      </c>
      <c r="Q900" s="254">
        <f t="shared" ca="1" si="481"/>
        <v>0</v>
      </c>
      <c r="R900" s="254">
        <f t="shared" ca="1" si="481"/>
        <v>0</v>
      </c>
      <c r="S900" s="254">
        <f t="shared" ca="1" si="481"/>
        <v>0</v>
      </c>
      <c r="T900" s="254">
        <f t="shared" ca="1" si="481"/>
        <v>0</v>
      </c>
      <c r="U900" s="254">
        <f t="shared" ca="1" si="481"/>
        <v>0</v>
      </c>
      <c r="V900" s="254">
        <f t="shared" ca="1" si="481"/>
        <v>0</v>
      </c>
      <c r="W900" s="254">
        <f t="shared" ca="1" si="481"/>
        <v>0</v>
      </c>
      <c r="X900" s="254">
        <f t="shared" ca="1" si="481"/>
        <v>0</v>
      </c>
    </row>
    <row r="901" spans="1:24" hidden="1">
      <c r="A901" s="328"/>
      <c r="B901" s="20">
        <f ca="1">OFFSET($B$96,D901,0)</f>
        <v>0</v>
      </c>
      <c r="C901" s="20"/>
      <c r="D901" s="21">
        <f>D895+1</f>
        <v>5</v>
      </c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 spans="1:24" hidden="1">
      <c r="A902" s="328"/>
      <c r="B902" s="165" t="s">
        <v>425</v>
      </c>
      <c r="C902" s="165"/>
      <c r="D902" s="165">
        <f ca="1">YEAR(OFFSET($E$96,D901,0))</f>
        <v>1900</v>
      </c>
      <c r="E902" s="165">
        <f ca="1">MONTH(OFFSET($E$96,D901,0))</f>
        <v>1</v>
      </c>
      <c r="F902" s="21">
        <f ca="1">12-$E902</f>
        <v>11</v>
      </c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 spans="1:24" hidden="1">
      <c r="A903" s="328"/>
      <c r="B903" s="21" t="s">
        <v>406</v>
      </c>
      <c r="C903" s="21"/>
      <c r="D903" s="387">
        <f ca="1">IF(E903&lt;0,0,ROUND(E903,0))</f>
        <v>0</v>
      </c>
      <c r="E903" s="249">
        <f ca="1">OFFSET($D$96,D901,0)</f>
        <v>0</v>
      </c>
      <c r="F903" s="387">
        <f ca="1">IF(E903&gt;10,ROUND(($D904/12)*$F902,0),$D903)</f>
        <v>0</v>
      </c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328"/>
      <c r="B904" s="21" t="s">
        <v>415</v>
      </c>
      <c r="C904" s="436" t="e">
        <f ca="1">VLOOKUP(OFFSET($C$96,D901,0),Założenia!$J$48:$K$55,2,FALSE)</f>
        <v>#N/A</v>
      </c>
      <c r="D904" s="387">
        <f ca="1">IF(ISBLANK(OFFSET($E$96,D901,0)),0,IF(E903&gt;10,ROUND(D903*C904,0),IF(D903&lt;0,0,D903)))</f>
        <v>0</v>
      </c>
      <c r="E904" s="21"/>
      <c r="F904" s="21"/>
      <c r="G904" s="21"/>
      <c r="H904" s="21"/>
      <c r="I904" s="21"/>
      <c r="J904" s="21"/>
      <c r="K904" s="75">
        <f ca="1">ROUND(IF($D902=LataProjekcji,$F903,IF($D902=LataProjekcji,$D904,0)),0)</f>
        <v>0</v>
      </c>
      <c r="L904" s="248">
        <f ca="1">ROUND(IF(OR(AND($D902=LataProjekcji,$F902&gt;0),AND($D902=LataProjekcji,$F902=0,$E903&lt;=10)),$F903,IF($D902&lt;LataProjekcji,IF((SUM($K904:K904)+$D904)&lt;$D903,$D904,$D903-SUM($K904:K904)),0)),0)</f>
        <v>0</v>
      </c>
      <c r="M904" s="248">
        <f ca="1">ROUND(IF(OR(AND($D902=LataProjekcji,$F902&gt;0),AND($D902=LataProjekcji,$F902=0,$E903&lt;=10)),$F903,IF($D902&lt;LataProjekcji,IF((SUM($K904:L904)+$D904)&lt;$D903,$D904,$D903-SUM($K904:L904)),0)),0)</f>
        <v>0</v>
      </c>
      <c r="N904" s="248">
        <f ca="1">ROUND(IF(OR(AND($D902=LataProjekcji,$F902&gt;0),AND($D902=LataProjekcji,$F902=0,$E903&lt;=10)),$F903,IF($D902&lt;LataProjekcji,IF((SUM($K904:M904)+$D904)&lt;$D903,$D904,$D903-SUM($K904:M904)),0)),0)</f>
        <v>0</v>
      </c>
      <c r="O904" s="248">
        <f ca="1">ROUND(IF(OR(AND($D902=LataProjekcji,$F902&gt;0),AND($D902=LataProjekcji,$F902=0,$E903&lt;=10)),$F903,IF($D902&lt;LataProjekcji,IF((SUM($K904:N904)+$D904)&lt;$D903,$D904,$D903-SUM($K904:N904)),0)),0)</f>
        <v>0</v>
      </c>
      <c r="P904" s="248">
        <f ca="1">ROUND(IF(OR(AND($D902=LataProjekcji,$F902&gt;0),AND($D902=LataProjekcji,$F902=0,$E903&lt;=10)),$F903,IF($D902&lt;LataProjekcji,IF((SUM($K904:O904)+$D904)&lt;$D903,$D904,$D903-SUM($K904:O904)),0)),0)</f>
        <v>0</v>
      </c>
      <c r="Q904" s="248">
        <f ca="1">ROUND(IF(OR(AND($D902=LataProjekcji,$F902&gt;0),AND($D902=LataProjekcji,$F902=0,$E903&lt;=10)),$F903,IF($D902&lt;LataProjekcji,IF((SUM($K904:P904)+$D904)&lt;$D903,$D904,$D903-SUM($K904:P904)),0)),0)</f>
        <v>0</v>
      </c>
      <c r="R904" s="248">
        <f ca="1">ROUND(IF(OR(AND($D902=LataProjekcji,$F902&gt;0),AND($D902=LataProjekcji,$F902=0,$E903&lt;=10)),$F903,IF($D902&lt;LataProjekcji,IF((SUM($K904:Q904)+$D904)&lt;$D903,$D904,$D903-SUM($K904:Q904)),0)),0)</f>
        <v>0</v>
      </c>
      <c r="S904" s="248">
        <f ca="1">ROUND(IF(OR(AND($D902=LataProjekcji,$F902&gt;0),AND($D902=LataProjekcji,$F902=0,$E903&lt;=10)),$F903,IF($D902&lt;LataProjekcji,IF((SUM($K904:R904)+$D904)&lt;$D903,$D904,$D903-SUM($K904:R904)),0)),0)</f>
        <v>0</v>
      </c>
      <c r="T904" s="248">
        <f ca="1">ROUND(IF(OR(AND($D902=LataProjekcji,$F902&gt;0),AND($D902=LataProjekcji,$F902=0,$E903&lt;=10)),$F903,IF($D902&lt;LataProjekcji,IF((SUM($K904:S904)+$D904)&lt;$D903,$D904,$D903-SUM($K904:S904)),0)),0)</f>
        <v>0</v>
      </c>
      <c r="U904" s="248">
        <f ca="1">ROUND(IF(OR(AND($D902=LataProjekcji,$F902&gt;0),AND($D902=LataProjekcji,$F902=0,$E903&lt;=10)),$F903,IF($D902&lt;LataProjekcji,IF((SUM($K904:T904)+$D904)&lt;$D903,$D904,$D903-SUM($K904:T904)),0)),0)</f>
        <v>0</v>
      </c>
      <c r="V904" s="248">
        <f ca="1">ROUND(IF(OR(AND($D902=LataProjekcji,$F902&gt;0),AND($D902=LataProjekcji,$F902=0,$E903&lt;=10)),$F903,IF($D902&lt;LataProjekcji,IF((SUM($K904:U904)+$D904)&lt;$D903,$D904,$D903-SUM($K904:U904)),0)),0)</f>
        <v>0</v>
      </c>
      <c r="W904" s="248">
        <f ca="1">ROUND(IF(OR(AND($D902=LataProjekcji,$F902&gt;0),AND($D902=LataProjekcji,$F902=0,$E903&lt;=10)),$F903,IF($D902&lt;LataProjekcji,IF((SUM($K904:V904)+$D904)&lt;$D903,$D904,$D903-SUM($K904:V904)),0)),0)</f>
        <v>0</v>
      </c>
      <c r="X904" s="248">
        <f ca="1">ROUND(IF(OR(AND($D902=LataProjekcji,$F902&gt;0),AND($D902=LataProjekcji,$F902=0,$E903&lt;=10)),$F903,IF($D902&lt;LataProjekcji,IF((SUM($K904:W904)+$D904)&lt;$D903,$D904,$D903-SUM($K904:W904)),0)),0)</f>
        <v>0</v>
      </c>
    </row>
    <row r="905" spans="1:24" hidden="1">
      <c r="A905" s="328"/>
      <c r="B905" s="21" t="s">
        <v>416</v>
      </c>
      <c r="C905" s="21"/>
      <c r="D905" s="22"/>
      <c r="E905" s="21"/>
      <c r="F905" s="21"/>
      <c r="G905" s="21"/>
      <c r="H905" s="21"/>
      <c r="I905" s="21"/>
      <c r="J905" s="21"/>
      <c r="K905" s="22">
        <f ca="1">ROUND(K904,0)</f>
        <v>0</v>
      </c>
      <c r="L905" s="22">
        <f t="shared" ref="L905" ca="1" si="482">ROUND(K905+L904,0)</f>
        <v>0</v>
      </c>
      <c r="M905" s="22">
        <f t="shared" ref="M905" ca="1" si="483">ROUND(L905+M904,0)</f>
        <v>0</v>
      </c>
      <c r="N905" s="22">
        <f t="shared" ref="N905" ca="1" si="484">ROUND(M905+N904,0)</f>
        <v>0</v>
      </c>
      <c r="O905" s="22">
        <f t="shared" ref="O905" ca="1" si="485">ROUND(N905+O904,0)</f>
        <v>0</v>
      </c>
      <c r="P905" s="22">
        <f t="shared" ref="P905" ca="1" si="486">ROUND(O905+P904,0)</f>
        <v>0</v>
      </c>
      <c r="Q905" s="22">
        <f t="shared" ref="Q905" ca="1" si="487">ROUND(P905+Q904,0)</f>
        <v>0</v>
      </c>
      <c r="R905" s="22">
        <f t="shared" ref="R905" ca="1" si="488">ROUND(Q905+R904,0)</f>
        <v>0</v>
      </c>
      <c r="S905" s="22">
        <f t="shared" ref="S905" ca="1" si="489">ROUND(R905+S904,0)</f>
        <v>0</v>
      </c>
      <c r="T905" s="22">
        <f t="shared" ref="T905" ca="1" si="490">ROUND(S905+T904,0)</f>
        <v>0</v>
      </c>
      <c r="U905" s="22">
        <f t="shared" ref="U905" ca="1" si="491">ROUND(T905+U904,0)</f>
        <v>0</v>
      </c>
      <c r="V905" s="22">
        <f t="shared" ref="V905" ca="1" si="492">ROUND(U905+V904,0)</f>
        <v>0</v>
      </c>
      <c r="W905" s="22">
        <f t="shared" ref="W905" ca="1" si="493">ROUND(V905+W904,0)</f>
        <v>0</v>
      </c>
      <c r="X905" s="22">
        <f t="shared" ref="X905" ca="1" si="494">ROUND(W905+X904,0)</f>
        <v>0</v>
      </c>
    </row>
    <row r="906" spans="1:24" hidden="1">
      <c r="A906" s="328"/>
      <c r="B906" s="21" t="s">
        <v>406</v>
      </c>
      <c r="C906" s="21"/>
      <c r="D906" s="22"/>
      <c r="E906" s="21"/>
      <c r="F906" s="21"/>
      <c r="G906" s="21"/>
      <c r="H906" s="21"/>
      <c r="I906" s="21"/>
      <c r="J906" s="445">
        <f ca="1">OFFSET($C$96,D901,0)</f>
        <v>0</v>
      </c>
      <c r="K906" s="77">
        <f ca="1">IF($D902=LataProjekcji,ROUND($D903-K905,0),ROUND(IF(K904=0,0,$D903-K905),0))</f>
        <v>0</v>
      </c>
      <c r="L906" s="254">
        <f t="shared" ref="L906:X906" ca="1" si="495">IF($D902=LataProjekcji,ROUND($D903-L905,0),ROUND(IF(AND(L904=0,K906&gt;0),$D903-L905,IF(L904=0,0,$D903-L905)),0))</f>
        <v>0</v>
      </c>
      <c r="M906" s="254">
        <f t="shared" ca="1" si="495"/>
        <v>0</v>
      </c>
      <c r="N906" s="254">
        <f t="shared" ca="1" si="495"/>
        <v>0</v>
      </c>
      <c r="O906" s="254">
        <f t="shared" ca="1" si="495"/>
        <v>0</v>
      </c>
      <c r="P906" s="254">
        <f t="shared" ca="1" si="495"/>
        <v>0</v>
      </c>
      <c r="Q906" s="254">
        <f t="shared" ca="1" si="495"/>
        <v>0</v>
      </c>
      <c r="R906" s="254">
        <f t="shared" ca="1" si="495"/>
        <v>0</v>
      </c>
      <c r="S906" s="254">
        <f t="shared" ca="1" si="495"/>
        <v>0</v>
      </c>
      <c r="T906" s="254">
        <f t="shared" ca="1" si="495"/>
        <v>0</v>
      </c>
      <c r="U906" s="254">
        <f t="shared" ca="1" si="495"/>
        <v>0</v>
      </c>
      <c r="V906" s="254">
        <f t="shared" ca="1" si="495"/>
        <v>0</v>
      </c>
      <c r="W906" s="254">
        <f t="shared" ca="1" si="495"/>
        <v>0</v>
      </c>
      <c r="X906" s="254">
        <f t="shared" ca="1" si="495"/>
        <v>0</v>
      </c>
    </row>
    <row r="907" spans="1:24" hidden="1">
      <c r="A907" s="328"/>
      <c r="B907" s="20">
        <f ca="1">OFFSET($B$96,D907,0)</f>
        <v>0</v>
      </c>
      <c r="C907" s="20"/>
      <c r="D907" s="21">
        <f>D901+1</f>
        <v>6</v>
      </c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328"/>
      <c r="B908" s="165" t="s">
        <v>425</v>
      </c>
      <c r="C908" s="165"/>
      <c r="D908" s="165">
        <f ca="1">YEAR(OFFSET($E$96,D907,0))</f>
        <v>1900</v>
      </c>
      <c r="E908" s="165">
        <f ca="1">MONTH(OFFSET($E$96,D907,0))</f>
        <v>1</v>
      </c>
      <c r="F908" s="21">
        <f ca="1">12-$E908</f>
        <v>11</v>
      </c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1:24" hidden="1">
      <c r="A909" s="328"/>
      <c r="B909" s="21" t="s">
        <v>406</v>
      </c>
      <c r="C909" s="21"/>
      <c r="D909" s="387">
        <f ca="1">IF(E909&lt;0,0,ROUND(E909,0))</f>
        <v>0</v>
      </c>
      <c r="E909" s="249">
        <f ca="1">OFFSET($D$96,D907,0)</f>
        <v>0</v>
      </c>
      <c r="F909" s="387">
        <f ca="1">IF(E909&gt;10,ROUND(($D910/12)*$F908,0),$D909)</f>
        <v>0</v>
      </c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 spans="1:24" hidden="1">
      <c r="A910" s="328"/>
      <c r="B910" s="21" t="s">
        <v>415</v>
      </c>
      <c r="C910" s="436" t="e">
        <f ca="1">VLOOKUP(OFFSET($C$96,D907,0),Założenia!$J$48:$K$55,2,FALSE)</f>
        <v>#N/A</v>
      </c>
      <c r="D910" s="387">
        <f ca="1">IF(ISBLANK(OFFSET($E$96,D907,0)),0,IF(E909&gt;10,ROUND(D909*C910,0),IF(D909&lt;0,0,D909)))</f>
        <v>0</v>
      </c>
      <c r="E910" s="21"/>
      <c r="F910" s="21"/>
      <c r="G910" s="21"/>
      <c r="H910" s="21"/>
      <c r="I910" s="21"/>
      <c r="J910" s="21"/>
      <c r="K910" s="75">
        <f ca="1">ROUND(IF($D908=LataProjekcji,$F909,IF($D908=LataProjekcji,$D910,0)),0)</f>
        <v>0</v>
      </c>
      <c r="L910" s="248">
        <f ca="1">ROUND(IF(OR(AND($D908=LataProjekcji,$F908&gt;0),AND($D908=LataProjekcji,$F908=0,$E909&lt;=10)),$F909,IF($D908&lt;LataProjekcji,IF((SUM($K910:K910)+$D910)&lt;$D909,$D910,$D909-SUM($K910:K910)),0)),0)</f>
        <v>0</v>
      </c>
      <c r="M910" s="248">
        <f ca="1">ROUND(IF(OR(AND($D908=LataProjekcji,$F908&gt;0),AND($D908=LataProjekcji,$F908=0,$E909&lt;=10)),$F909,IF($D908&lt;LataProjekcji,IF((SUM($K910:L910)+$D910)&lt;$D909,$D910,$D909-SUM($K910:L910)),0)),0)</f>
        <v>0</v>
      </c>
      <c r="N910" s="248">
        <f ca="1">ROUND(IF(OR(AND($D908=LataProjekcji,$F908&gt;0),AND($D908=LataProjekcji,$F908=0,$E909&lt;=10)),$F909,IF($D908&lt;LataProjekcji,IF((SUM($K910:M910)+$D910)&lt;$D909,$D910,$D909-SUM($K910:M910)),0)),0)</f>
        <v>0</v>
      </c>
      <c r="O910" s="248">
        <f ca="1">ROUND(IF(OR(AND($D908=LataProjekcji,$F908&gt;0),AND($D908=LataProjekcji,$F908=0,$E909&lt;=10)),$F909,IF($D908&lt;LataProjekcji,IF((SUM($K910:N910)+$D910)&lt;$D909,$D910,$D909-SUM($K910:N910)),0)),0)</f>
        <v>0</v>
      </c>
      <c r="P910" s="248">
        <f ca="1">ROUND(IF(OR(AND($D908=LataProjekcji,$F908&gt;0),AND($D908=LataProjekcji,$F908=0,$E909&lt;=10)),$F909,IF($D908&lt;LataProjekcji,IF((SUM($K910:O910)+$D910)&lt;$D909,$D910,$D909-SUM($K910:O910)),0)),0)</f>
        <v>0</v>
      </c>
      <c r="Q910" s="248">
        <f ca="1">ROUND(IF(OR(AND($D908=LataProjekcji,$F908&gt;0),AND($D908=LataProjekcji,$F908=0,$E909&lt;=10)),$F909,IF($D908&lt;LataProjekcji,IF((SUM($K910:P910)+$D910)&lt;$D909,$D910,$D909-SUM($K910:P910)),0)),0)</f>
        <v>0</v>
      </c>
      <c r="R910" s="248">
        <f ca="1">ROUND(IF(OR(AND($D908=LataProjekcji,$F908&gt;0),AND($D908=LataProjekcji,$F908=0,$E909&lt;=10)),$F909,IF($D908&lt;LataProjekcji,IF((SUM($K910:Q910)+$D910)&lt;$D909,$D910,$D909-SUM($K910:Q910)),0)),0)</f>
        <v>0</v>
      </c>
      <c r="S910" s="248">
        <f ca="1">ROUND(IF(OR(AND($D908=LataProjekcji,$F908&gt;0),AND($D908=LataProjekcji,$F908=0,$E909&lt;=10)),$F909,IF($D908&lt;LataProjekcji,IF((SUM($K910:R910)+$D910)&lt;$D909,$D910,$D909-SUM($K910:R910)),0)),0)</f>
        <v>0</v>
      </c>
      <c r="T910" s="248">
        <f ca="1">ROUND(IF(OR(AND($D908=LataProjekcji,$F908&gt;0),AND($D908=LataProjekcji,$F908=0,$E909&lt;=10)),$F909,IF($D908&lt;LataProjekcji,IF((SUM($K910:S910)+$D910)&lt;$D909,$D910,$D909-SUM($K910:S910)),0)),0)</f>
        <v>0</v>
      </c>
      <c r="U910" s="248">
        <f ca="1">ROUND(IF(OR(AND($D908=LataProjekcji,$F908&gt;0),AND($D908=LataProjekcji,$F908=0,$E909&lt;=10)),$F909,IF($D908&lt;LataProjekcji,IF((SUM($K910:T910)+$D910)&lt;$D909,$D910,$D909-SUM($K910:T910)),0)),0)</f>
        <v>0</v>
      </c>
      <c r="V910" s="248">
        <f ca="1">ROUND(IF(OR(AND($D908=LataProjekcji,$F908&gt;0),AND($D908=LataProjekcji,$F908=0,$E909&lt;=10)),$F909,IF($D908&lt;LataProjekcji,IF((SUM($K910:U910)+$D910)&lt;$D909,$D910,$D909-SUM($K910:U910)),0)),0)</f>
        <v>0</v>
      </c>
      <c r="W910" s="248">
        <f ca="1">ROUND(IF(OR(AND($D908=LataProjekcji,$F908&gt;0),AND($D908=LataProjekcji,$F908=0,$E909&lt;=10)),$F909,IF($D908&lt;LataProjekcji,IF((SUM($K910:V910)+$D910)&lt;$D909,$D910,$D909-SUM($K910:V910)),0)),0)</f>
        <v>0</v>
      </c>
      <c r="X910" s="248">
        <f ca="1">ROUND(IF(OR(AND($D908=LataProjekcji,$F908&gt;0),AND($D908=LataProjekcji,$F908=0,$E909&lt;=10)),$F909,IF($D908&lt;LataProjekcji,IF((SUM($K910:W910)+$D910)&lt;$D909,$D910,$D909-SUM($K910:W910)),0)),0)</f>
        <v>0</v>
      </c>
    </row>
    <row r="911" spans="1:24" hidden="1">
      <c r="A911" s="328"/>
      <c r="B911" s="21" t="s">
        <v>416</v>
      </c>
      <c r="C911" s="21"/>
      <c r="D911" s="22"/>
      <c r="E911" s="21"/>
      <c r="F911" s="21"/>
      <c r="G911" s="21"/>
      <c r="H911" s="21"/>
      <c r="I911" s="21"/>
      <c r="J911" s="21"/>
      <c r="K911" s="22">
        <f ca="1">ROUND(K910,0)</f>
        <v>0</v>
      </c>
      <c r="L911" s="22">
        <f t="shared" ref="L911" ca="1" si="496">ROUND(K911+L910,0)</f>
        <v>0</v>
      </c>
      <c r="M911" s="22">
        <f t="shared" ref="M911" ca="1" si="497">ROUND(L911+M910,0)</f>
        <v>0</v>
      </c>
      <c r="N911" s="22">
        <f t="shared" ref="N911" ca="1" si="498">ROUND(M911+N910,0)</f>
        <v>0</v>
      </c>
      <c r="O911" s="22">
        <f t="shared" ref="O911" ca="1" si="499">ROUND(N911+O910,0)</f>
        <v>0</v>
      </c>
      <c r="P911" s="22">
        <f t="shared" ref="P911" ca="1" si="500">ROUND(O911+P910,0)</f>
        <v>0</v>
      </c>
      <c r="Q911" s="22">
        <f t="shared" ref="Q911" ca="1" si="501">ROUND(P911+Q910,0)</f>
        <v>0</v>
      </c>
      <c r="R911" s="22">
        <f t="shared" ref="R911" ca="1" si="502">ROUND(Q911+R910,0)</f>
        <v>0</v>
      </c>
      <c r="S911" s="22">
        <f t="shared" ref="S911" ca="1" si="503">ROUND(R911+S910,0)</f>
        <v>0</v>
      </c>
      <c r="T911" s="22">
        <f t="shared" ref="T911" ca="1" si="504">ROUND(S911+T910,0)</f>
        <v>0</v>
      </c>
      <c r="U911" s="22">
        <f t="shared" ref="U911" ca="1" si="505">ROUND(T911+U910,0)</f>
        <v>0</v>
      </c>
      <c r="V911" s="22">
        <f t="shared" ref="V911" ca="1" si="506">ROUND(U911+V910,0)</f>
        <v>0</v>
      </c>
      <c r="W911" s="22">
        <f t="shared" ref="W911" ca="1" si="507">ROUND(V911+W910,0)</f>
        <v>0</v>
      </c>
      <c r="X911" s="22">
        <f t="shared" ref="X911" ca="1" si="508">ROUND(W911+X910,0)</f>
        <v>0</v>
      </c>
    </row>
    <row r="912" spans="1:24" hidden="1">
      <c r="A912" s="328"/>
      <c r="B912" s="21" t="s">
        <v>406</v>
      </c>
      <c r="C912" s="21"/>
      <c r="D912" s="22"/>
      <c r="E912" s="21"/>
      <c r="F912" s="21"/>
      <c r="G912" s="21"/>
      <c r="H912" s="21"/>
      <c r="I912" s="21"/>
      <c r="J912" s="445">
        <f ca="1">OFFSET($C$96,D907,0)</f>
        <v>0</v>
      </c>
      <c r="K912" s="77">
        <f ca="1">IF($D908=LataProjekcji,ROUND($D909-K911,0),ROUND(IF(K910=0,0,$D909-K911),0))</f>
        <v>0</v>
      </c>
      <c r="L912" s="254">
        <f t="shared" ref="L912:X912" ca="1" si="509">IF($D908=LataProjekcji,ROUND($D909-L911,0),ROUND(IF(AND(L910=0,K912&gt;0),$D909-L911,IF(L910=0,0,$D909-L911)),0))</f>
        <v>0</v>
      </c>
      <c r="M912" s="254">
        <f t="shared" ca="1" si="509"/>
        <v>0</v>
      </c>
      <c r="N912" s="254">
        <f t="shared" ca="1" si="509"/>
        <v>0</v>
      </c>
      <c r="O912" s="254">
        <f t="shared" ca="1" si="509"/>
        <v>0</v>
      </c>
      <c r="P912" s="254">
        <f t="shared" ca="1" si="509"/>
        <v>0</v>
      </c>
      <c r="Q912" s="254">
        <f t="shared" ca="1" si="509"/>
        <v>0</v>
      </c>
      <c r="R912" s="254">
        <f t="shared" ca="1" si="509"/>
        <v>0</v>
      </c>
      <c r="S912" s="254">
        <f t="shared" ca="1" si="509"/>
        <v>0</v>
      </c>
      <c r="T912" s="254">
        <f t="shared" ca="1" si="509"/>
        <v>0</v>
      </c>
      <c r="U912" s="254">
        <f t="shared" ca="1" si="509"/>
        <v>0</v>
      </c>
      <c r="V912" s="254">
        <f t="shared" ca="1" si="509"/>
        <v>0</v>
      </c>
      <c r="W912" s="254">
        <f t="shared" ca="1" si="509"/>
        <v>0</v>
      </c>
      <c r="X912" s="254">
        <f t="shared" ca="1" si="509"/>
        <v>0</v>
      </c>
    </row>
    <row r="913" spans="1:24" hidden="1">
      <c r="A913" s="328"/>
      <c r="B913" s="20">
        <f ca="1">OFFSET($B$96,D913,0)</f>
        <v>0</v>
      </c>
      <c r="C913" s="20"/>
      <c r="D913" s="21">
        <f>D907+1</f>
        <v>7</v>
      </c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328"/>
      <c r="B914" s="165" t="s">
        <v>425</v>
      </c>
      <c r="C914" s="165"/>
      <c r="D914" s="165">
        <f ca="1">YEAR(OFFSET($E$96,D913,0))</f>
        <v>1900</v>
      </c>
      <c r="E914" s="165">
        <f ca="1">MONTH(OFFSET($E$96,D913,0))</f>
        <v>1</v>
      </c>
      <c r="F914" s="21">
        <f ca="1">12-$E914</f>
        <v>11</v>
      </c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328"/>
      <c r="B915" s="21" t="s">
        <v>406</v>
      </c>
      <c r="C915" s="21"/>
      <c r="D915" s="387">
        <f ca="1">IF(E915&lt;0,0,ROUND(E915,0))</f>
        <v>0</v>
      </c>
      <c r="E915" s="249">
        <f ca="1">OFFSET($D$96,D913,0)</f>
        <v>0</v>
      </c>
      <c r="F915" s="387">
        <f ca="1">IF(E915&gt;10,ROUND(($D916/12)*$F914,0),$D915)</f>
        <v>0</v>
      </c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 spans="1:24" hidden="1">
      <c r="A916" s="328"/>
      <c r="B916" s="21" t="s">
        <v>415</v>
      </c>
      <c r="C916" s="436" t="e">
        <f ca="1">VLOOKUP(OFFSET($C$96,D913,0),Założenia!$J$48:$K$55,2,FALSE)</f>
        <v>#N/A</v>
      </c>
      <c r="D916" s="387">
        <f ca="1">IF(ISBLANK(OFFSET($E$96,D913,0)),0,IF(E915&gt;10,ROUND(D915*C916,0),IF(D915&lt;0,0,D915)))</f>
        <v>0</v>
      </c>
      <c r="E916" s="21"/>
      <c r="F916" s="21"/>
      <c r="G916" s="21"/>
      <c r="H916" s="21"/>
      <c r="I916" s="21"/>
      <c r="J916" s="21"/>
      <c r="K916" s="75">
        <f ca="1">ROUND(IF($D914=LataProjekcji,$F915,IF($D914=LataProjekcji,$D916,0)),0)</f>
        <v>0</v>
      </c>
      <c r="L916" s="248">
        <f ca="1">ROUND(IF(OR(AND($D914=LataProjekcji,$F914&gt;0),AND($D914=LataProjekcji,$F914=0,$E915&lt;=10)),$F915,IF($D914&lt;LataProjekcji,IF((SUM($K916:K916)+$D916)&lt;$D915,$D916,$D915-SUM($K916:K916)),0)),0)</f>
        <v>0</v>
      </c>
      <c r="M916" s="248">
        <f ca="1">ROUND(IF(OR(AND($D914=LataProjekcji,$F914&gt;0),AND($D914=LataProjekcji,$F914=0,$E915&lt;=10)),$F915,IF($D914&lt;LataProjekcji,IF((SUM($K916:L916)+$D916)&lt;$D915,$D916,$D915-SUM($K916:L916)),0)),0)</f>
        <v>0</v>
      </c>
      <c r="N916" s="248">
        <f ca="1">ROUND(IF(OR(AND($D914=LataProjekcji,$F914&gt;0),AND($D914=LataProjekcji,$F914=0,$E915&lt;=10)),$F915,IF($D914&lt;LataProjekcji,IF((SUM($K916:M916)+$D916)&lt;$D915,$D916,$D915-SUM($K916:M916)),0)),0)</f>
        <v>0</v>
      </c>
      <c r="O916" s="248">
        <f ca="1">ROUND(IF(OR(AND($D914=LataProjekcji,$F914&gt;0),AND($D914=LataProjekcji,$F914=0,$E915&lt;=10)),$F915,IF($D914&lt;LataProjekcji,IF((SUM($K916:N916)+$D916)&lt;$D915,$D916,$D915-SUM($K916:N916)),0)),0)</f>
        <v>0</v>
      </c>
      <c r="P916" s="248">
        <f ca="1">ROUND(IF(OR(AND($D914=LataProjekcji,$F914&gt;0),AND($D914=LataProjekcji,$F914=0,$E915&lt;=10)),$F915,IF($D914&lt;LataProjekcji,IF((SUM($K916:O916)+$D916)&lt;$D915,$D916,$D915-SUM($K916:O916)),0)),0)</f>
        <v>0</v>
      </c>
      <c r="Q916" s="248">
        <f ca="1">ROUND(IF(OR(AND($D914=LataProjekcji,$F914&gt;0),AND($D914=LataProjekcji,$F914=0,$E915&lt;=10)),$F915,IF($D914&lt;LataProjekcji,IF((SUM($K916:P916)+$D916)&lt;$D915,$D916,$D915-SUM($K916:P916)),0)),0)</f>
        <v>0</v>
      </c>
      <c r="R916" s="248">
        <f ca="1">ROUND(IF(OR(AND($D914=LataProjekcji,$F914&gt;0),AND($D914=LataProjekcji,$F914=0,$E915&lt;=10)),$F915,IF($D914&lt;LataProjekcji,IF((SUM($K916:Q916)+$D916)&lt;$D915,$D916,$D915-SUM($K916:Q916)),0)),0)</f>
        <v>0</v>
      </c>
      <c r="S916" s="248">
        <f ca="1">ROUND(IF(OR(AND($D914=LataProjekcji,$F914&gt;0),AND($D914=LataProjekcji,$F914=0,$E915&lt;=10)),$F915,IF($D914&lt;LataProjekcji,IF((SUM($K916:R916)+$D916)&lt;$D915,$D916,$D915-SUM($K916:R916)),0)),0)</f>
        <v>0</v>
      </c>
      <c r="T916" s="248">
        <f ca="1">ROUND(IF(OR(AND($D914=LataProjekcji,$F914&gt;0),AND($D914=LataProjekcji,$F914=0,$E915&lt;=10)),$F915,IF($D914&lt;LataProjekcji,IF((SUM($K916:S916)+$D916)&lt;$D915,$D916,$D915-SUM($K916:S916)),0)),0)</f>
        <v>0</v>
      </c>
      <c r="U916" s="248">
        <f ca="1">ROUND(IF(OR(AND($D914=LataProjekcji,$F914&gt;0),AND($D914=LataProjekcji,$F914=0,$E915&lt;=10)),$F915,IF($D914&lt;LataProjekcji,IF((SUM($K916:T916)+$D916)&lt;$D915,$D916,$D915-SUM($K916:T916)),0)),0)</f>
        <v>0</v>
      </c>
      <c r="V916" s="248">
        <f ca="1">ROUND(IF(OR(AND($D914=LataProjekcji,$F914&gt;0),AND($D914=LataProjekcji,$F914=0,$E915&lt;=10)),$F915,IF($D914&lt;LataProjekcji,IF((SUM($K916:U916)+$D916)&lt;$D915,$D916,$D915-SUM($K916:U916)),0)),0)</f>
        <v>0</v>
      </c>
      <c r="W916" s="248">
        <f ca="1">ROUND(IF(OR(AND($D914=LataProjekcji,$F914&gt;0),AND($D914=LataProjekcji,$F914=0,$E915&lt;=10)),$F915,IF($D914&lt;LataProjekcji,IF((SUM($K916:V916)+$D916)&lt;$D915,$D916,$D915-SUM($K916:V916)),0)),0)</f>
        <v>0</v>
      </c>
      <c r="X916" s="248">
        <f ca="1">ROUND(IF(OR(AND($D914=LataProjekcji,$F914&gt;0),AND($D914=LataProjekcji,$F914=0,$E915&lt;=10)),$F915,IF($D914&lt;LataProjekcji,IF((SUM($K916:W916)+$D916)&lt;$D915,$D916,$D915-SUM($K916:W916)),0)),0)</f>
        <v>0</v>
      </c>
    </row>
    <row r="917" spans="1:24" hidden="1">
      <c r="A917" s="328"/>
      <c r="B917" s="21" t="s">
        <v>416</v>
      </c>
      <c r="C917" s="21"/>
      <c r="D917" s="22"/>
      <c r="E917" s="21"/>
      <c r="F917" s="21"/>
      <c r="G917" s="21"/>
      <c r="H917" s="21"/>
      <c r="I917" s="21"/>
      <c r="J917" s="21"/>
      <c r="K917" s="22">
        <f ca="1">ROUND(K916,0)</f>
        <v>0</v>
      </c>
      <c r="L917" s="22">
        <f t="shared" ref="L917" ca="1" si="510">ROUND(K917+L916,0)</f>
        <v>0</v>
      </c>
      <c r="M917" s="22">
        <f t="shared" ref="M917" ca="1" si="511">ROUND(L917+M916,0)</f>
        <v>0</v>
      </c>
      <c r="N917" s="22">
        <f t="shared" ref="N917" ca="1" si="512">ROUND(M917+N916,0)</f>
        <v>0</v>
      </c>
      <c r="O917" s="22">
        <f t="shared" ref="O917" ca="1" si="513">ROUND(N917+O916,0)</f>
        <v>0</v>
      </c>
      <c r="P917" s="22">
        <f t="shared" ref="P917" ca="1" si="514">ROUND(O917+P916,0)</f>
        <v>0</v>
      </c>
      <c r="Q917" s="22">
        <f t="shared" ref="Q917" ca="1" si="515">ROUND(P917+Q916,0)</f>
        <v>0</v>
      </c>
      <c r="R917" s="22">
        <f t="shared" ref="R917" ca="1" si="516">ROUND(Q917+R916,0)</f>
        <v>0</v>
      </c>
      <c r="S917" s="22">
        <f t="shared" ref="S917" ca="1" si="517">ROUND(R917+S916,0)</f>
        <v>0</v>
      </c>
      <c r="T917" s="22">
        <f t="shared" ref="T917" ca="1" si="518">ROUND(S917+T916,0)</f>
        <v>0</v>
      </c>
      <c r="U917" s="22">
        <f t="shared" ref="U917" ca="1" si="519">ROUND(T917+U916,0)</f>
        <v>0</v>
      </c>
      <c r="V917" s="22">
        <f t="shared" ref="V917" ca="1" si="520">ROUND(U917+V916,0)</f>
        <v>0</v>
      </c>
      <c r="W917" s="22">
        <f t="shared" ref="W917" ca="1" si="521">ROUND(V917+W916,0)</f>
        <v>0</v>
      </c>
      <c r="X917" s="22">
        <f t="shared" ref="X917" ca="1" si="522">ROUND(W917+X916,0)</f>
        <v>0</v>
      </c>
    </row>
    <row r="918" spans="1:24" hidden="1">
      <c r="A918" s="328"/>
      <c r="B918" s="21" t="s">
        <v>406</v>
      </c>
      <c r="C918" s="21"/>
      <c r="D918" s="22"/>
      <c r="E918" s="21"/>
      <c r="F918" s="21"/>
      <c r="G918" s="21"/>
      <c r="H918" s="21"/>
      <c r="I918" s="21"/>
      <c r="J918" s="445">
        <f ca="1">OFFSET($C$96,D913,0)</f>
        <v>0</v>
      </c>
      <c r="K918" s="77">
        <f ca="1">IF($D914=LataProjekcji,ROUND($D915-K917,0),ROUND(IF(K916=0,0,$D915-K917),0))</f>
        <v>0</v>
      </c>
      <c r="L918" s="254">
        <f t="shared" ref="L918:X918" ca="1" si="523">IF($D914=LataProjekcji,ROUND($D915-L917,0),ROUND(IF(AND(L916=0,K918&gt;0),$D915-L917,IF(L916=0,0,$D915-L917)),0))</f>
        <v>0</v>
      </c>
      <c r="M918" s="254">
        <f t="shared" ca="1" si="523"/>
        <v>0</v>
      </c>
      <c r="N918" s="254">
        <f t="shared" ca="1" si="523"/>
        <v>0</v>
      </c>
      <c r="O918" s="254">
        <f t="shared" ca="1" si="523"/>
        <v>0</v>
      </c>
      <c r="P918" s="254">
        <f t="shared" ca="1" si="523"/>
        <v>0</v>
      </c>
      <c r="Q918" s="254">
        <f t="shared" ca="1" si="523"/>
        <v>0</v>
      </c>
      <c r="R918" s="254">
        <f t="shared" ca="1" si="523"/>
        <v>0</v>
      </c>
      <c r="S918" s="254">
        <f t="shared" ca="1" si="523"/>
        <v>0</v>
      </c>
      <c r="T918" s="254">
        <f t="shared" ca="1" si="523"/>
        <v>0</v>
      </c>
      <c r="U918" s="254">
        <f t="shared" ca="1" si="523"/>
        <v>0</v>
      </c>
      <c r="V918" s="254">
        <f t="shared" ca="1" si="523"/>
        <v>0</v>
      </c>
      <c r="W918" s="254">
        <f t="shared" ca="1" si="523"/>
        <v>0</v>
      </c>
      <c r="X918" s="254">
        <f t="shared" ca="1" si="523"/>
        <v>0</v>
      </c>
    </row>
    <row r="919" spans="1:24" hidden="1">
      <c r="A919" s="328"/>
      <c r="B919" s="20">
        <f ca="1">OFFSET($B$96,D919,0)</f>
        <v>0</v>
      </c>
      <c r="C919" s="20"/>
      <c r="D919" s="21">
        <f>D913+1</f>
        <v>8</v>
      </c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328"/>
      <c r="B920" s="165" t="s">
        <v>425</v>
      </c>
      <c r="C920" s="165"/>
      <c r="D920" s="165">
        <f ca="1">YEAR(OFFSET($E$96,D919,0))</f>
        <v>1900</v>
      </c>
      <c r="E920" s="165">
        <f ca="1">MONTH(OFFSET($E$96,D919,0))</f>
        <v>1</v>
      </c>
      <c r="F920" s="21">
        <f ca="1">12-$E920</f>
        <v>11</v>
      </c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328"/>
      <c r="B921" s="21" t="s">
        <v>406</v>
      </c>
      <c r="C921" s="21"/>
      <c r="D921" s="387">
        <f ca="1">IF(E921&lt;0,0,ROUND(E921,0))</f>
        <v>0</v>
      </c>
      <c r="E921" s="249">
        <f ca="1">OFFSET($D$96,D919,0)</f>
        <v>0</v>
      </c>
      <c r="F921" s="387">
        <f ca="1">IF(E921&gt;10,ROUND(($D922/12)*$F920,0),$D921)</f>
        <v>0</v>
      </c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328"/>
      <c r="B922" s="21" t="s">
        <v>415</v>
      </c>
      <c r="C922" s="436" t="e">
        <f ca="1">VLOOKUP(OFFSET($C$96,D919,0),Założenia!$J$48:$K$55,2,FALSE)</f>
        <v>#N/A</v>
      </c>
      <c r="D922" s="387">
        <f ca="1">IF(ISBLANK(OFFSET($E$96,D919,0)),0,IF(E921&gt;10,ROUND(D921*C922,0),IF(D921&lt;0,0,D921)))</f>
        <v>0</v>
      </c>
      <c r="E922" s="21"/>
      <c r="F922" s="21"/>
      <c r="G922" s="21"/>
      <c r="H922" s="21"/>
      <c r="I922" s="21"/>
      <c r="J922" s="21"/>
      <c r="K922" s="75">
        <f ca="1">ROUND(IF($D920=LataProjekcji,$F921,IF($D920=LataProjekcji,$D922,0)),0)</f>
        <v>0</v>
      </c>
      <c r="L922" s="248">
        <f ca="1">ROUND(IF(OR(AND($D920=LataProjekcji,$F920&gt;0),AND($D920=LataProjekcji,$F920=0,$E921&lt;=10)),$F921,IF($D920&lt;LataProjekcji,IF((SUM($K922:K922)+$D922)&lt;$D921,$D922,$D921-SUM($K922:K922)),0)),0)</f>
        <v>0</v>
      </c>
      <c r="M922" s="248">
        <f ca="1">ROUND(IF(OR(AND($D920=LataProjekcji,$F920&gt;0),AND($D920=LataProjekcji,$F920=0,$E921&lt;=10)),$F921,IF($D920&lt;LataProjekcji,IF((SUM($K922:L922)+$D922)&lt;$D921,$D922,$D921-SUM($K922:L922)),0)),0)</f>
        <v>0</v>
      </c>
      <c r="N922" s="248">
        <f ca="1">ROUND(IF(OR(AND($D920=LataProjekcji,$F920&gt;0),AND($D920=LataProjekcji,$F920=0,$E921&lt;=10)),$F921,IF($D920&lt;LataProjekcji,IF((SUM($K922:M922)+$D922)&lt;$D921,$D922,$D921-SUM($K922:M922)),0)),0)</f>
        <v>0</v>
      </c>
      <c r="O922" s="248">
        <f ca="1">ROUND(IF(OR(AND($D920=LataProjekcji,$F920&gt;0),AND($D920=LataProjekcji,$F920=0,$E921&lt;=10)),$F921,IF($D920&lt;LataProjekcji,IF((SUM($K922:N922)+$D922)&lt;$D921,$D922,$D921-SUM($K922:N922)),0)),0)</f>
        <v>0</v>
      </c>
      <c r="P922" s="248">
        <f ca="1">ROUND(IF(OR(AND($D920=LataProjekcji,$F920&gt;0),AND($D920=LataProjekcji,$F920=0,$E921&lt;=10)),$F921,IF($D920&lt;LataProjekcji,IF((SUM($K922:O922)+$D922)&lt;$D921,$D922,$D921-SUM($K922:O922)),0)),0)</f>
        <v>0</v>
      </c>
      <c r="Q922" s="248">
        <f ca="1">ROUND(IF(OR(AND($D920=LataProjekcji,$F920&gt;0),AND($D920=LataProjekcji,$F920=0,$E921&lt;=10)),$F921,IF($D920&lt;LataProjekcji,IF((SUM($K922:P922)+$D922)&lt;$D921,$D922,$D921-SUM($K922:P922)),0)),0)</f>
        <v>0</v>
      </c>
      <c r="R922" s="248">
        <f ca="1">ROUND(IF(OR(AND($D920=LataProjekcji,$F920&gt;0),AND($D920=LataProjekcji,$F920=0,$E921&lt;=10)),$F921,IF($D920&lt;LataProjekcji,IF((SUM($K922:Q922)+$D922)&lt;$D921,$D922,$D921-SUM($K922:Q922)),0)),0)</f>
        <v>0</v>
      </c>
      <c r="S922" s="248">
        <f ca="1">ROUND(IF(OR(AND($D920=LataProjekcji,$F920&gt;0),AND($D920=LataProjekcji,$F920=0,$E921&lt;=10)),$F921,IF($D920&lt;LataProjekcji,IF((SUM($K922:R922)+$D922)&lt;$D921,$D922,$D921-SUM($K922:R922)),0)),0)</f>
        <v>0</v>
      </c>
      <c r="T922" s="248">
        <f ca="1">ROUND(IF(OR(AND($D920=LataProjekcji,$F920&gt;0),AND($D920=LataProjekcji,$F920=0,$E921&lt;=10)),$F921,IF($D920&lt;LataProjekcji,IF((SUM($K922:S922)+$D922)&lt;$D921,$D922,$D921-SUM($K922:S922)),0)),0)</f>
        <v>0</v>
      </c>
      <c r="U922" s="248">
        <f ca="1">ROUND(IF(OR(AND($D920=LataProjekcji,$F920&gt;0),AND($D920=LataProjekcji,$F920=0,$E921&lt;=10)),$F921,IF($D920&lt;LataProjekcji,IF((SUM($K922:T922)+$D922)&lt;$D921,$D922,$D921-SUM($K922:T922)),0)),0)</f>
        <v>0</v>
      </c>
      <c r="V922" s="248">
        <f ca="1">ROUND(IF(OR(AND($D920=LataProjekcji,$F920&gt;0),AND($D920=LataProjekcji,$F920=0,$E921&lt;=10)),$F921,IF($D920&lt;LataProjekcji,IF((SUM($K922:U922)+$D922)&lt;$D921,$D922,$D921-SUM($K922:U922)),0)),0)</f>
        <v>0</v>
      </c>
      <c r="W922" s="248">
        <f ca="1">ROUND(IF(OR(AND($D920=LataProjekcji,$F920&gt;0),AND($D920=LataProjekcji,$F920=0,$E921&lt;=10)),$F921,IF($D920&lt;LataProjekcji,IF((SUM($K922:V922)+$D922)&lt;$D921,$D922,$D921-SUM($K922:V922)),0)),0)</f>
        <v>0</v>
      </c>
      <c r="X922" s="248">
        <f ca="1">ROUND(IF(OR(AND($D920=LataProjekcji,$F920&gt;0),AND($D920=LataProjekcji,$F920=0,$E921&lt;=10)),$F921,IF($D920&lt;LataProjekcji,IF((SUM($K922:W922)+$D922)&lt;$D921,$D922,$D921-SUM($K922:W922)),0)),0)</f>
        <v>0</v>
      </c>
    </row>
    <row r="923" spans="1:24" hidden="1">
      <c r="A923" s="328"/>
      <c r="B923" s="21" t="s">
        <v>416</v>
      </c>
      <c r="C923" s="21"/>
      <c r="D923" s="22"/>
      <c r="E923" s="21"/>
      <c r="F923" s="21"/>
      <c r="G923" s="21"/>
      <c r="H923" s="21"/>
      <c r="I923" s="21"/>
      <c r="J923" s="21"/>
      <c r="K923" s="22">
        <f ca="1">ROUND(K922,0)</f>
        <v>0</v>
      </c>
      <c r="L923" s="22">
        <f t="shared" ref="L923" ca="1" si="524">ROUND(K923+L922,0)</f>
        <v>0</v>
      </c>
      <c r="M923" s="22">
        <f t="shared" ref="M923" ca="1" si="525">ROUND(L923+M922,0)</f>
        <v>0</v>
      </c>
      <c r="N923" s="22">
        <f t="shared" ref="N923" ca="1" si="526">ROUND(M923+N922,0)</f>
        <v>0</v>
      </c>
      <c r="O923" s="22">
        <f t="shared" ref="O923" ca="1" si="527">ROUND(N923+O922,0)</f>
        <v>0</v>
      </c>
      <c r="P923" s="22">
        <f t="shared" ref="P923" ca="1" si="528">ROUND(O923+P922,0)</f>
        <v>0</v>
      </c>
      <c r="Q923" s="22">
        <f t="shared" ref="Q923" ca="1" si="529">ROUND(P923+Q922,0)</f>
        <v>0</v>
      </c>
      <c r="R923" s="22">
        <f t="shared" ref="R923" ca="1" si="530">ROUND(Q923+R922,0)</f>
        <v>0</v>
      </c>
      <c r="S923" s="22">
        <f t="shared" ref="S923" ca="1" si="531">ROUND(R923+S922,0)</f>
        <v>0</v>
      </c>
      <c r="T923" s="22">
        <f t="shared" ref="T923" ca="1" si="532">ROUND(S923+T922,0)</f>
        <v>0</v>
      </c>
      <c r="U923" s="22">
        <f t="shared" ref="U923" ca="1" si="533">ROUND(T923+U922,0)</f>
        <v>0</v>
      </c>
      <c r="V923" s="22">
        <f t="shared" ref="V923" ca="1" si="534">ROUND(U923+V922,0)</f>
        <v>0</v>
      </c>
      <c r="W923" s="22">
        <f t="shared" ref="W923" ca="1" si="535">ROUND(V923+W922,0)</f>
        <v>0</v>
      </c>
      <c r="X923" s="22">
        <f t="shared" ref="X923" ca="1" si="536">ROUND(W923+X922,0)</f>
        <v>0</v>
      </c>
    </row>
    <row r="924" spans="1:24" hidden="1">
      <c r="A924" s="328"/>
      <c r="B924" s="21" t="s">
        <v>406</v>
      </c>
      <c r="C924" s="21"/>
      <c r="D924" s="22"/>
      <c r="E924" s="21"/>
      <c r="F924" s="21"/>
      <c r="G924" s="21"/>
      <c r="H924" s="21"/>
      <c r="I924" s="21"/>
      <c r="J924" s="445">
        <f ca="1">OFFSET($C$96,D919,0)</f>
        <v>0</v>
      </c>
      <c r="K924" s="77">
        <f ca="1">IF($D920=LataProjekcji,ROUND($D921-K923,0),ROUND(IF(K922=0,0,$D921-K923),0))</f>
        <v>0</v>
      </c>
      <c r="L924" s="254">
        <f t="shared" ref="L924:X924" ca="1" si="537">IF($D920=LataProjekcji,ROUND($D921-L923,0),ROUND(IF(AND(L922=0,K924&gt;0),$D921-L923,IF(L922=0,0,$D921-L923)),0))</f>
        <v>0</v>
      </c>
      <c r="M924" s="254">
        <f t="shared" ca="1" si="537"/>
        <v>0</v>
      </c>
      <c r="N924" s="254">
        <f t="shared" ca="1" si="537"/>
        <v>0</v>
      </c>
      <c r="O924" s="254">
        <f t="shared" ca="1" si="537"/>
        <v>0</v>
      </c>
      <c r="P924" s="254">
        <f t="shared" ca="1" si="537"/>
        <v>0</v>
      </c>
      <c r="Q924" s="254">
        <f t="shared" ca="1" si="537"/>
        <v>0</v>
      </c>
      <c r="R924" s="254">
        <f t="shared" ca="1" si="537"/>
        <v>0</v>
      </c>
      <c r="S924" s="254">
        <f t="shared" ca="1" si="537"/>
        <v>0</v>
      </c>
      <c r="T924" s="254">
        <f t="shared" ca="1" si="537"/>
        <v>0</v>
      </c>
      <c r="U924" s="254">
        <f t="shared" ca="1" si="537"/>
        <v>0</v>
      </c>
      <c r="V924" s="254">
        <f t="shared" ca="1" si="537"/>
        <v>0</v>
      </c>
      <c r="W924" s="254">
        <f t="shared" ca="1" si="537"/>
        <v>0</v>
      </c>
      <c r="X924" s="254">
        <f t="shared" ca="1" si="537"/>
        <v>0</v>
      </c>
    </row>
    <row r="925" spans="1:24" hidden="1">
      <c r="A925" s="328"/>
      <c r="B925" s="20">
        <f ca="1">OFFSET($B$96,D925,0)</f>
        <v>0</v>
      </c>
      <c r="C925" s="20"/>
      <c r="D925" s="21">
        <f>D919+1</f>
        <v>9</v>
      </c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328"/>
      <c r="B926" s="165" t="s">
        <v>425</v>
      </c>
      <c r="C926" s="165"/>
      <c r="D926" s="165">
        <f ca="1">YEAR(OFFSET($E$96,D925,0))</f>
        <v>1900</v>
      </c>
      <c r="E926" s="165">
        <f ca="1">MONTH(OFFSET($E$96,D925,0))</f>
        <v>1</v>
      </c>
      <c r="F926" s="21">
        <f ca="1">12-$E926</f>
        <v>11</v>
      </c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328"/>
      <c r="B927" s="21" t="s">
        <v>406</v>
      </c>
      <c r="C927" s="21"/>
      <c r="D927" s="387">
        <f ca="1">IF(E927&lt;0,0,ROUND(E927,0))</f>
        <v>0</v>
      </c>
      <c r="E927" s="249">
        <f ca="1">OFFSET($D$96,D925,0)</f>
        <v>0</v>
      </c>
      <c r="F927" s="387">
        <f ca="1">IF(E927&gt;10,ROUND(($D928/12)*$F926,0),$D927)</f>
        <v>0</v>
      </c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328"/>
      <c r="B928" s="21" t="s">
        <v>415</v>
      </c>
      <c r="C928" s="436" t="e">
        <f ca="1">VLOOKUP(OFFSET($C$96,D925,0),Założenia!$J$48:$K$55,2,FALSE)</f>
        <v>#N/A</v>
      </c>
      <c r="D928" s="387">
        <f ca="1">IF(ISBLANK(OFFSET($E$96,D925,0)),0,IF(E927&gt;10,ROUND(D927*C928,0),IF(D927&lt;0,0,D927)))</f>
        <v>0</v>
      </c>
      <c r="E928" s="21"/>
      <c r="F928" s="21"/>
      <c r="G928" s="21"/>
      <c r="H928" s="21"/>
      <c r="I928" s="21"/>
      <c r="J928" s="21"/>
      <c r="K928" s="75">
        <f ca="1">ROUND(IF($D926=LataProjekcji,$F927,IF($D926=LataProjekcji,$D928,0)),0)</f>
        <v>0</v>
      </c>
      <c r="L928" s="248">
        <f ca="1">ROUND(IF(OR(AND($D926=LataProjekcji,$F926&gt;0),AND($D926=LataProjekcji,$F926=0,$E927&lt;=10)),$F927,IF($D926&lt;LataProjekcji,IF((SUM($K928:K928)+$D928)&lt;$D927,$D928,$D927-SUM($K928:K928)),0)),0)</f>
        <v>0</v>
      </c>
      <c r="M928" s="248">
        <f ca="1">ROUND(IF(OR(AND($D926=LataProjekcji,$F926&gt;0),AND($D926=LataProjekcji,$F926=0,$E927&lt;=10)),$F927,IF($D926&lt;LataProjekcji,IF((SUM($K928:L928)+$D928)&lt;$D927,$D928,$D927-SUM($K928:L928)),0)),0)</f>
        <v>0</v>
      </c>
      <c r="N928" s="248">
        <f ca="1">ROUND(IF(OR(AND($D926=LataProjekcji,$F926&gt;0),AND($D926=LataProjekcji,$F926=0,$E927&lt;=10)),$F927,IF($D926&lt;LataProjekcji,IF((SUM($K928:M928)+$D928)&lt;$D927,$D928,$D927-SUM($K928:M928)),0)),0)</f>
        <v>0</v>
      </c>
      <c r="O928" s="248">
        <f ca="1">ROUND(IF(OR(AND($D926=LataProjekcji,$F926&gt;0),AND($D926=LataProjekcji,$F926=0,$E927&lt;=10)),$F927,IF($D926&lt;LataProjekcji,IF((SUM($K928:N928)+$D928)&lt;$D927,$D928,$D927-SUM($K928:N928)),0)),0)</f>
        <v>0</v>
      </c>
      <c r="P928" s="248">
        <f ca="1">ROUND(IF(OR(AND($D926=LataProjekcji,$F926&gt;0),AND($D926=LataProjekcji,$F926=0,$E927&lt;=10)),$F927,IF($D926&lt;LataProjekcji,IF((SUM($K928:O928)+$D928)&lt;$D927,$D928,$D927-SUM($K928:O928)),0)),0)</f>
        <v>0</v>
      </c>
      <c r="Q928" s="248">
        <f ca="1">ROUND(IF(OR(AND($D926=LataProjekcji,$F926&gt;0),AND($D926=LataProjekcji,$F926=0,$E927&lt;=10)),$F927,IF($D926&lt;LataProjekcji,IF((SUM($K928:P928)+$D928)&lt;$D927,$D928,$D927-SUM($K928:P928)),0)),0)</f>
        <v>0</v>
      </c>
      <c r="R928" s="248">
        <f ca="1">ROUND(IF(OR(AND($D926=LataProjekcji,$F926&gt;0),AND($D926=LataProjekcji,$F926=0,$E927&lt;=10)),$F927,IF($D926&lt;LataProjekcji,IF((SUM($K928:Q928)+$D928)&lt;$D927,$D928,$D927-SUM($K928:Q928)),0)),0)</f>
        <v>0</v>
      </c>
      <c r="S928" s="248">
        <f ca="1">ROUND(IF(OR(AND($D926=LataProjekcji,$F926&gt;0),AND($D926=LataProjekcji,$F926=0,$E927&lt;=10)),$F927,IF($D926&lt;LataProjekcji,IF((SUM($K928:R928)+$D928)&lt;$D927,$D928,$D927-SUM($K928:R928)),0)),0)</f>
        <v>0</v>
      </c>
      <c r="T928" s="248">
        <f ca="1">ROUND(IF(OR(AND($D926=LataProjekcji,$F926&gt;0),AND($D926=LataProjekcji,$F926=0,$E927&lt;=10)),$F927,IF($D926&lt;LataProjekcji,IF((SUM($K928:S928)+$D928)&lt;$D927,$D928,$D927-SUM($K928:S928)),0)),0)</f>
        <v>0</v>
      </c>
      <c r="U928" s="248">
        <f ca="1">ROUND(IF(OR(AND($D926=LataProjekcji,$F926&gt;0),AND($D926=LataProjekcji,$F926=0,$E927&lt;=10)),$F927,IF($D926&lt;LataProjekcji,IF((SUM($K928:T928)+$D928)&lt;$D927,$D928,$D927-SUM($K928:T928)),0)),0)</f>
        <v>0</v>
      </c>
      <c r="V928" s="248">
        <f ca="1">ROUND(IF(OR(AND($D926=LataProjekcji,$F926&gt;0),AND($D926=LataProjekcji,$F926=0,$E927&lt;=10)),$F927,IF($D926&lt;LataProjekcji,IF((SUM($K928:U928)+$D928)&lt;$D927,$D928,$D927-SUM($K928:U928)),0)),0)</f>
        <v>0</v>
      </c>
      <c r="W928" s="248">
        <f ca="1">ROUND(IF(OR(AND($D926=LataProjekcji,$F926&gt;0),AND($D926=LataProjekcji,$F926=0,$E927&lt;=10)),$F927,IF($D926&lt;LataProjekcji,IF((SUM($K928:V928)+$D928)&lt;$D927,$D928,$D927-SUM($K928:V928)),0)),0)</f>
        <v>0</v>
      </c>
      <c r="X928" s="248">
        <f ca="1">ROUND(IF(OR(AND($D926=LataProjekcji,$F926&gt;0),AND($D926=LataProjekcji,$F926=0,$E927&lt;=10)),$F927,IF($D926&lt;LataProjekcji,IF((SUM($K928:W928)+$D928)&lt;$D927,$D928,$D927-SUM($K928:W928)),0)),0)</f>
        <v>0</v>
      </c>
    </row>
    <row r="929" spans="1:24" hidden="1">
      <c r="A929" s="328"/>
      <c r="B929" s="21" t="s">
        <v>416</v>
      </c>
      <c r="C929" s="21"/>
      <c r="D929" s="22"/>
      <c r="E929" s="21"/>
      <c r="F929" s="21"/>
      <c r="G929" s="21"/>
      <c r="H929" s="21"/>
      <c r="I929" s="21"/>
      <c r="J929" s="21"/>
      <c r="K929" s="22">
        <f ca="1">ROUND(K928,0)</f>
        <v>0</v>
      </c>
      <c r="L929" s="22">
        <f t="shared" ref="L929" ca="1" si="538">ROUND(K929+L928,0)</f>
        <v>0</v>
      </c>
      <c r="M929" s="22">
        <f t="shared" ref="M929" ca="1" si="539">ROUND(L929+M928,0)</f>
        <v>0</v>
      </c>
      <c r="N929" s="22">
        <f t="shared" ref="N929" ca="1" si="540">ROUND(M929+N928,0)</f>
        <v>0</v>
      </c>
      <c r="O929" s="22">
        <f t="shared" ref="O929" ca="1" si="541">ROUND(N929+O928,0)</f>
        <v>0</v>
      </c>
      <c r="P929" s="22">
        <f t="shared" ref="P929" ca="1" si="542">ROUND(O929+P928,0)</f>
        <v>0</v>
      </c>
      <c r="Q929" s="22">
        <f t="shared" ref="Q929" ca="1" si="543">ROUND(P929+Q928,0)</f>
        <v>0</v>
      </c>
      <c r="R929" s="22">
        <f t="shared" ref="R929" ca="1" si="544">ROUND(Q929+R928,0)</f>
        <v>0</v>
      </c>
      <c r="S929" s="22">
        <f t="shared" ref="S929" ca="1" si="545">ROUND(R929+S928,0)</f>
        <v>0</v>
      </c>
      <c r="T929" s="22">
        <f t="shared" ref="T929" ca="1" si="546">ROUND(S929+T928,0)</f>
        <v>0</v>
      </c>
      <c r="U929" s="22">
        <f t="shared" ref="U929" ca="1" si="547">ROUND(T929+U928,0)</f>
        <v>0</v>
      </c>
      <c r="V929" s="22">
        <f t="shared" ref="V929" ca="1" si="548">ROUND(U929+V928,0)</f>
        <v>0</v>
      </c>
      <c r="W929" s="22">
        <f t="shared" ref="W929" ca="1" si="549">ROUND(V929+W928,0)</f>
        <v>0</v>
      </c>
      <c r="X929" s="22">
        <f t="shared" ref="X929" ca="1" si="550">ROUND(W929+X928,0)</f>
        <v>0</v>
      </c>
    </row>
    <row r="930" spans="1:24" hidden="1">
      <c r="A930" s="328"/>
      <c r="B930" s="21" t="s">
        <v>406</v>
      </c>
      <c r="C930" s="21"/>
      <c r="D930" s="22"/>
      <c r="E930" s="21"/>
      <c r="F930" s="21"/>
      <c r="G930" s="21"/>
      <c r="H930" s="21"/>
      <c r="I930" s="21"/>
      <c r="J930" s="445">
        <f ca="1">OFFSET($C$96,D925,0)</f>
        <v>0</v>
      </c>
      <c r="K930" s="77">
        <f ca="1">IF($D926=LataProjekcji,ROUND($D927-K929,0),ROUND(IF(K928=0,0,$D927-K929),0))</f>
        <v>0</v>
      </c>
      <c r="L930" s="254">
        <f t="shared" ref="L930:X930" ca="1" si="551">IF($D926=LataProjekcji,ROUND($D927-L929,0),ROUND(IF(AND(L928=0,K930&gt;0),$D927-L929,IF(L928=0,0,$D927-L929)),0))</f>
        <v>0</v>
      </c>
      <c r="M930" s="254">
        <f t="shared" ca="1" si="551"/>
        <v>0</v>
      </c>
      <c r="N930" s="254">
        <f t="shared" ca="1" si="551"/>
        <v>0</v>
      </c>
      <c r="O930" s="254">
        <f t="shared" ca="1" si="551"/>
        <v>0</v>
      </c>
      <c r="P930" s="254">
        <f t="shared" ca="1" si="551"/>
        <v>0</v>
      </c>
      <c r="Q930" s="254">
        <f t="shared" ca="1" si="551"/>
        <v>0</v>
      </c>
      <c r="R930" s="254">
        <f t="shared" ca="1" si="551"/>
        <v>0</v>
      </c>
      <c r="S930" s="254">
        <f t="shared" ca="1" si="551"/>
        <v>0</v>
      </c>
      <c r="T930" s="254">
        <f t="shared" ca="1" si="551"/>
        <v>0</v>
      </c>
      <c r="U930" s="254">
        <f t="shared" ca="1" si="551"/>
        <v>0</v>
      </c>
      <c r="V930" s="254">
        <f t="shared" ca="1" si="551"/>
        <v>0</v>
      </c>
      <c r="W930" s="254">
        <f t="shared" ca="1" si="551"/>
        <v>0</v>
      </c>
      <c r="X930" s="254">
        <f t="shared" ca="1" si="551"/>
        <v>0</v>
      </c>
    </row>
    <row r="931" spans="1:24" hidden="1">
      <c r="A931" s="328"/>
      <c r="B931" s="20">
        <f ca="1">OFFSET($B$96,D931,0)</f>
        <v>0</v>
      </c>
      <c r="C931" s="20"/>
      <c r="D931" s="21">
        <f>D925+1</f>
        <v>10</v>
      </c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328"/>
      <c r="B932" s="165" t="s">
        <v>425</v>
      </c>
      <c r="C932" s="165"/>
      <c r="D932" s="165">
        <f ca="1">YEAR(OFFSET($E$96,D931,0))</f>
        <v>1900</v>
      </c>
      <c r="E932" s="165">
        <f ca="1">MONTH(OFFSET($E$96,D931,0))</f>
        <v>1</v>
      </c>
      <c r="F932" s="21">
        <f ca="1">12-$E932</f>
        <v>11</v>
      </c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328"/>
      <c r="B933" s="21" t="s">
        <v>406</v>
      </c>
      <c r="C933" s="21"/>
      <c r="D933" s="385">
        <f ca="1">IF(E933&lt;0,0,ROUND(E933,0))</f>
        <v>0</v>
      </c>
      <c r="E933" s="249">
        <f ca="1">OFFSET($D$96,D931,0)</f>
        <v>0</v>
      </c>
      <c r="F933" s="385">
        <f ca="1">IF(E933&gt;10,ROUND(($D934/12)*$F932,0),$D933)</f>
        <v>0</v>
      </c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328"/>
      <c r="B934" s="21" t="s">
        <v>415</v>
      </c>
      <c r="C934" s="436" t="e">
        <f ca="1">VLOOKUP(OFFSET($C$96,D931,0),Założenia!$J$48:$K$55,2,FALSE)</f>
        <v>#N/A</v>
      </c>
      <c r="D934" s="385">
        <f ca="1">IF(ISBLANK(OFFSET($E$96,D931,0)),0,IF(E933&gt;10,ROUND(D933*C934,0),IF(D933&lt;0,0,D933)))</f>
        <v>0</v>
      </c>
      <c r="E934" s="21"/>
      <c r="F934" s="21"/>
      <c r="G934" s="21"/>
      <c r="H934" s="21"/>
      <c r="I934" s="21"/>
      <c r="J934" s="21"/>
      <c r="K934" s="75">
        <f ca="1">ROUND(IF($D932=LataProjekcji,$F933,IF($D932=LataProjekcji,$D934,0)),0)</f>
        <v>0</v>
      </c>
      <c r="L934" s="248">
        <f ca="1">ROUND(IF(OR(AND($D932=LataProjekcji,$F932&gt;0),AND($D932=LataProjekcji,$F932=0,$E933&lt;=10)),$F933,IF($D932&lt;LataProjekcji,IF((SUM($K934:K934)+$D934)&lt;$D933,$D934,$D933-SUM($K934:K934)),0)),0)</f>
        <v>0</v>
      </c>
      <c r="M934" s="248">
        <f ca="1">ROUND(IF(OR(AND($D932=LataProjekcji,$F932&gt;0),AND($D932=LataProjekcji,$F932=0,$E933&lt;=10)),$F933,IF($D932&lt;LataProjekcji,IF((SUM($K934:L934)+$D934)&lt;$D933,$D934,$D933-SUM($K934:L934)),0)),0)</f>
        <v>0</v>
      </c>
      <c r="N934" s="248">
        <f ca="1">ROUND(IF(OR(AND($D932=LataProjekcji,$F932&gt;0),AND($D932=LataProjekcji,$F932=0,$E933&lt;=10)),$F933,IF($D932&lt;LataProjekcji,IF((SUM($K934:M934)+$D934)&lt;$D933,$D934,$D933-SUM($K934:M934)),0)),0)</f>
        <v>0</v>
      </c>
      <c r="O934" s="248">
        <f ca="1">ROUND(IF(OR(AND($D932=LataProjekcji,$F932&gt;0),AND($D932=LataProjekcji,$F932=0,$E933&lt;=10)),$F933,IF($D932&lt;LataProjekcji,IF((SUM($K934:N934)+$D934)&lt;$D933,$D934,$D933-SUM($K934:N934)),0)),0)</f>
        <v>0</v>
      </c>
      <c r="P934" s="248">
        <f ca="1">ROUND(IF(OR(AND($D932=LataProjekcji,$F932&gt;0),AND($D932=LataProjekcji,$F932=0,$E933&lt;=10)),$F933,IF($D932&lt;LataProjekcji,IF((SUM($K934:O934)+$D934)&lt;$D933,$D934,$D933-SUM($K934:O934)),0)),0)</f>
        <v>0</v>
      </c>
      <c r="Q934" s="248">
        <f ca="1">ROUND(IF(OR(AND($D932=LataProjekcji,$F932&gt;0),AND($D932=LataProjekcji,$F932=0,$E933&lt;=10)),$F933,IF($D932&lt;LataProjekcji,IF((SUM($K934:P934)+$D934)&lt;$D933,$D934,$D933-SUM($K934:P934)),0)),0)</f>
        <v>0</v>
      </c>
      <c r="R934" s="248">
        <f ca="1">ROUND(IF(OR(AND($D932=LataProjekcji,$F932&gt;0),AND($D932=LataProjekcji,$F932=0,$E933&lt;=10)),$F933,IF($D932&lt;LataProjekcji,IF((SUM($K934:Q934)+$D934)&lt;$D933,$D934,$D933-SUM($K934:Q934)),0)),0)</f>
        <v>0</v>
      </c>
      <c r="S934" s="248">
        <f ca="1">ROUND(IF(OR(AND($D932=LataProjekcji,$F932&gt;0),AND($D932=LataProjekcji,$F932=0,$E933&lt;=10)),$F933,IF($D932&lt;LataProjekcji,IF((SUM($K934:R934)+$D934)&lt;$D933,$D934,$D933-SUM($K934:R934)),0)),0)</f>
        <v>0</v>
      </c>
      <c r="T934" s="248">
        <f ca="1">ROUND(IF(OR(AND($D932=LataProjekcji,$F932&gt;0),AND($D932=LataProjekcji,$F932=0,$E933&lt;=10)),$F933,IF($D932&lt;LataProjekcji,IF((SUM($K934:S934)+$D934)&lt;$D933,$D934,$D933-SUM($K934:S934)),0)),0)</f>
        <v>0</v>
      </c>
      <c r="U934" s="248">
        <f ca="1">ROUND(IF(OR(AND($D932=LataProjekcji,$F932&gt;0),AND($D932=LataProjekcji,$F932=0,$E933&lt;=10)),$F933,IF($D932&lt;LataProjekcji,IF((SUM($K934:T934)+$D934)&lt;$D933,$D934,$D933-SUM($K934:T934)),0)),0)</f>
        <v>0</v>
      </c>
      <c r="V934" s="248">
        <f ca="1">ROUND(IF(OR(AND($D932=LataProjekcji,$F932&gt;0),AND($D932=LataProjekcji,$F932=0,$E933&lt;=10)),$F933,IF($D932&lt;LataProjekcji,IF((SUM($K934:U934)+$D934)&lt;$D933,$D934,$D933-SUM($K934:U934)),0)),0)</f>
        <v>0</v>
      </c>
      <c r="W934" s="248">
        <f ca="1">ROUND(IF(OR(AND($D932=LataProjekcji,$F932&gt;0),AND($D932=LataProjekcji,$F932=0,$E933&lt;=10)),$F933,IF($D932&lt;LataProjekcji,IF((SUM($K934:V934)+$D934)&lt;$D933,$D934,$D933-SUM($K934:V934)),0)),0)</f>
        <v>0</v>
      </c>
      <c r="X934" s="248">
        <f ca="1">ROUND(IF(OR(AND($D932=LataProjekcji,$F932&gt;0),AND($D932=LataProjekcji,$F932=0,$E933&lt;=10)),$F933,IF($D932&lt;LataProjekcji,IF((SUM($K934:W934)+$D934)&lt;$D933,$D934,$D933-SUM($K934:W934)),0)),0)</f>
        <v>0</v>
      </c>
    </row>
    <row r="935" spans="1:24" hidden="1">
      <c r="A935" s="328"/>
      <c r="B935" s="21" t="s">
        <v>416</v>
      </c>
      <c r="C935" s="21"/>
      <c r="D935" s="22"/>
      <c r="E935" s="21"/>
      <c r="F935" s="21"/>
      <c r="G935" s="21"/>
      <c r="H935" s="21"/>
      <c r="I935" s="21"/>
      <c r="J935" s="21"/>
      <c r="K935" s="22">
        <f ca="1">ROUND(K934,0)</f>
        <v>0</v>
      </c>
      <c r="L935" s="22">
        <f t="shared" ref="L935" ca="1" si="552">ROUND(K935+L934,0)</f>
        <v>0</v>
      </c>
      <c r="M935" s="22">
        <f t="shared" ref="M935" ca="1" si="553">ROUND(L935+M934,0)</f>
        <v>0</v>
      </c>
      <c r="N935" s="22">
        <f t="shared" ref="N935" ca="1" si="554">ROUND(M935+N934,0)</f>
        <v>0</v>
      </c>
      <c r="O935" s="22">
        <f t="shared" ref="O935" ca="1" si="555">ROUND(N935+O934,0)</f>
        <v>0</v>
      </c>
      <c r="P935" s="22">
        <f t="shared" ref="P935" ca="1" si="556">ROUND(O935+P934,0)</f>
        <v>0</v>
      </c>
      <c r="Q935" s="22">
        <f t="shared" ref="Q935" ca="1" si="557">ROUND(P935+Q934,0)</f>
        <v>0</v>
      </c>
      <c r="R935" s="22">
        <f t="shared" ref="R935" ca="1" si="558">ROUND(Q935+R934,0)</f>
        <v>0</v>
      </c>
      <c r="S935" s="22">
        <f t="shared" ref="S935" ca="1" si="559">ROUND(R935+S934,0)</f>
        <v>0</v>
      </c>
      <c r="T935" s="22">
        <f t="shared" ref="T935" ca="1" si="560">ROUND(S935+T934,0)</f>
        <v>0</v>
      </c>
      <c r="U935" s="22">
        <f t="shared" ref="U935" ca="1" si="561">ROUND(T935+U934,0)</f>
        <v>0</v>
      </c>
      <c r="V935" s="22">
        <f t="shared" ref="V935" ca="1" si="562">ROUND(U935+V934,0)</f>
        <v>0</v>
      </c>
      <c r="W935" s="22">
        <f t="shared" ref="W935" ca="1" si="563">ROUND(V935+W934,0)</f>
        <v>0</v>
      </c>
      <c r="X935" s="22">
        <f t="shared" ref="X935" ca="1" si="564">ROUND(W935+X934,0)</f>
        <v>0</v>
      </c>
    </row>
    <row r="936" spans="1:24" hidden="1">
      <c r="A936" s="328"/>
      <c r="B936" s="21" t="s">
        <v>406</v>
      </c>
      <c r="C936" s="21"/>
      <c r="D936" s="22"/>
      <c r="E936" s="21"/>
      <c r="F936" s="21"/>
      <c r="G936" s="21"/>
      <c r="H936" s="21"/>
      <c r="I936" s="21"/>
      <c r="J936" s="445">
        <f ca="1">OFFSET($C$96,D931,0)</f>
        <v>0</v>
      </c>
      <c r="K936" s="77">
        <f ca="1">IF($D932=LataProjekcji,ROUND($D933-K935,0),ROUND(IF(K934=0,0,$D933-K935),0))</f>
        <v>0</v>
      </c>
      <c r="L936" s="254">
        <f t="shared" ref="L936:X936" ca="1" si="565">IF($D932=LataProjekcji,ROUND($D933-L935,0),ROUND(IF(AND(L934=0,K936&gt;0),$D933-L935,IF(L934=0,0,$D933-L935)),0))</f>
        <v>0</v>
      </c>
      <c r="M936" s="254">
        <f t="shared" ca="1" si="565"/>
        <v>0</v>
      </c>
      <c r="N936" s="254">
        <f t="shared" ca="1" si="565"/>
        <v>0</v>
      </c>
      <c r="O936" s="254">
        <f t="shared" ca="1" si="565"/>
        <v>0</v>
      </c>
      <c r="P936" s="254">
        <f t="shared" ca="1" si="565"/>
        <v>0</v>
      </c>
      <c r="Q936" s="254">
        <f t="shared" ca="1" si="565"/>
        <v>0</v>
      </c>
      <c r="R936" s="254">
        <f t="shared" ca="1" si="565"/>
        <v>0</v>
      </c>
      <c r="S936" s="254">
        <f t="shared" ca="1" si="565"/>
        <v>0</v>
      </c>
      <c r="T936" s="254">
        <f t="shared" ca="1" si="565"/>
        <v>0</v>
      </c>
      <c r="U936" s="254">
        <f t="shared" ca="1" si="565"/>
        <v>0</v>
      </c>
      <c r="V936" s="254">
        <f t="shared" ca="1" si="565"/>
        <v>0</v>
      </c>
      <c r="W936" s="254">
        <f t="shared" ca="1" si="565"/>
        <v>0</v>
      </c>
      <c r="X936" s="254">
        <f t="shared" ca="1" si="565"/>
        <v>0</v>
      </c>
    </row>
    <row r="937" spans="1:24" hidden="1">
      <c r="A937" s="328"/>
      <c r="B937" s="20">
        <f ca="1">OFFSET($B$96,D937,0)</f>
        <v>0</v>
      </c>
      <c r="C937" s="20"/>
      <c r="D937" s="21">
        <f>D931+1</f>
        <v>11</v>
      </c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 spans="1:24" hidden="1">
      <c r="A938" s="328"/>
      <c r="B938" s="165" t="s">
        <v>425</v>
      </c>
      <c r="C938" s="165"/>
      <c r="D938" s="165">
        <f ca="1">YEAR(OFFSET($E$96,D937,0))</f>
        <v>1900</v>
      </c>
      <c r="E938" s="165">
        <f ca="1">MONTH(OFFSET($E$96,D937,0))</f>
        <v>1</v>
      </c>
      <c r="F938" s="21">
        <f ca="1">12-$E938</f>
        <v>11</v>
      </c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328"/>
      <c r="B939" s="21" t="s">
        <v>406</v>
      </c>
      <c r="C939" s="21"/>
      <c r="D939" s="386">
        <f ca="1">IF(E939&lt;0,0,ROUND(E939,0))</f>
        <v>0</v>
      </c>
      <c r="E939" s="249">
        <f ca="1">OFFSET($D$96,D937,0)</f>
        <v>0</v>
      </c>
      <c r="F939" s="386">
        <f ca="1">IF(E939&gt;10,ROUND(($D940/12)*$F938,0),$D939)</f>
        <v>0</v>
      </c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328"/>
      <c r="B940" s="21" t="s">
        <v>415</v>
      </c>
      <c r="C940" s="436" t="e">
        <f ca="1">VLOOKUP(OFFSET($C$96,D937,0),Założenia!$J$48:$K$55,2,FALSE)</f>
        <v>#N/A</v>
      </c>
      <c r="D940" s="386">
        <f ca="1">IF(ISBLANK(OFFSET($E$96,D937,0)),0,IF(E939&gt;10,ROUND(D939*C940,0),IF(D939&lt;0,0,D939)))</f>
        <v>0</v>
      </c>
      <c r="E940" s="21"/>
      <c r="F940" s="21"/>
      <c r="G940" s="21"/>
      <c r="H940" s="21"/>
      <c r="I940" s="21"/>
      <c r="J940" s="21"/>
      <c r="K940" s="75">
        <f ca="1">ROUND(IF($D938=LataProjekcji,$F939,IF($D938=LataProjekcji,$D940,0)),0)</f>
        <v>0</v>
      </c>
      <c r="L940" s="248">
        <f ca="1">ROUND(IF(OR(AND($D938=LataProjekcji,$F938&gt;0),AND($D938=LataProjekcji,$F938=0,$E939&lt;=10)),$F939,IF($D938&lt;LataProjekcji,IF((SUM($K940:K940)+$D940)&lt;$D939,$D940,$D939-SUM($K940:K940)),0)),0)</f>
        <v>0</v>
      </c>
      <c r="M940" s="248">
        <f ca="1">ROUND(IF(OR(AND($D938=LataProjekcji,$F938&gt;0),AND($D938=LataProjekcji,$F938=0,$E939&lt;=10)),$F939,IF($D938&lt;LataProjekcji,IF((SUM($K940:L940)+$D940)&lt;$D939,$D940,$D939-SUM($K940:L940)),0)),0)</f>
        <v>0</v>
      </c>
      <c r="N940" s="248">
        <f ca="1">ROUND(IF(OR(AND($D938=LataProjekcji,$F938&gt;0),AND($D938=LataProjekcji,$F938=0,$E939&lt;=10)),$F939,IF($D938&lt;LataProjekcji,IF((SUM($K940:M940)+$D940)&lt;$D939,$D940,$D939-SUM($K940:M940)),0)),0)</f>
        <v>0</v>
      </c>
      <c r="O940" s="248">
        <f ca="1">ROUND(IF(OR(AND($D938=LataProjekcji,$F938&gt;0),AND($D938=LataProjekcji,$F938=0,$E939&lt;=10)),$F939,IF($D938&lt;LataProjekcji,IF((SUM($K940:N940)+$D940)&lt;$D939,$D940,$D939-SUM($K940:N940)),0)),0)</f>
        <v>0</v>
      </c>
      <c r="P940" s="248">
        <f ca="1">ROUND(IF(OR(AND($D938=LataProjekcji,$F938&gt;0),AND($D938=LataProjekcji,$F938=0,$E939&lt;=10)),$F939,IF($D938&lt;LataProjekcji,IF((SUM($K940:O940)+$D940)&lt;$D939,$D940,$D939-SUM($K940:O940)),0)),0)</f>
        <v>0</v>
      </c>
      <c r="Q940" s="248">
        <f ca="1">ROUND(IF(OR(AND($D938=LataProjekcji,$F938&gt;0),AND($D938=LataProjekcji,$F938=0,$E939&lt;=10)),$F939,IF($D938&lt;LataProjekcji,IF((SUM($K940:P940)+$D940)&lt;$D939,$D940,$D939-SUM($K940:P940)),0)),0)</f>
        <v>0</v>
      </c>
      <c r="R940" s="248">
        <f ca="1">ROUND(IF(OR(AND($D938=LataProjekcji,$F938&gt;0),AND($D938=LataProjekcji,$F938=0,$E939&lt;=10)),$F939,IF($D938&lt;LataProjekcji,IF((SUM($K940:Q940)+$D940)&lt;$D939,$D940,$D939-SUM($K940:Q940)),0)),0)</f>
        <v>0</v>
      </c>
      <c r="S940" s="248">
        <f ca="1">ROUND(IF(OR(AND($D938=LataProjekcji,$F938&gt;0),AND($D938=LataProjekcji,$F938=0,$E939&lt;=10)),$F939,IF($D938&lt;LataProjekcji,IF((SUM($K940:R940)+$D940)&lt;$D939,$D940,$D939-SUM($K940:R940)),0)),0)</f>
        <v>0</v>
      </c>
      <c r="T940" s="248">
        <f ca="1">ROUND(IF(OR(AND($D938=LataProjekcji,$F938&gt;0),AND($D938=LataProjekcji,$F938=0,$E939&lt;=10)),$F939,IF($D938&lt;LataProjekcji,IF((SUM($K940:S940)+$D940)&lt;$D939,$D940,$D939-SUM($K940:S940)),0)),0)</f>
        <v>0</v>
      </c>
      <c r="U940" s="248">
        <f ca="1">ROUND(IF(OR(AND($D938=LataProjekcji,$F938&gt;0),AND($D938=LataProjekcji,$F938=0,$E939&lt;=10)),$F939,IF($D938&lt;LataProjekcji,IF((SUM($K940:T940)+$D940)&lt;$D939,$D940,$D939-SUM($K940:T940)),0)),0)</f>
        <v>0</v>
      </c>
      <c r="V940" s="248">
        <f ca="1">ROUND(IF(OR(AND($D938=LataProjekcji,$F938&gt;0),AND($D938=LataProjekcji,$F938=0,$E939&lt;=10)),$F939,IF($D938&lt;LataProjekcji,IF((SUM($K940:U940)+$D940)&lt;$D939,$D940,$D939-SUM($K940:U940)),0)),0)</f>
        <v>0</v>
      </c>
      <c r="W940" s="248">
        <f ca="1">ROUND(IF(OR(AND($D938=LataProjekcji,$F938&gt;0),AND($D938=LataProjekcji,$F938=0,$E939&lt;=10)),$F939,IF($D938&lt;LataProjekcji,IF((SUM($K940:V940)+$D940)&lt;$D939,$D940,$D939-SUM($K940:V940)),0)),0)</f>
        <v>0</v>
      </c>
      <c r="X940" s="248">
        <f ca="1">ROUND(IF(OR(AND($D938=LataProjekcji,$F938&gt;0),AND($D938=LataProjekcji,$F938=0,$E939&lt;=10)),$F939,IF($D938&lt;LataProjekcji,IF((SUM($K940:W940)+$D940)&lt;$D939,$D940,$D939-SUM($K940:W940)),0)),0)</f>
        <v>0</v>
      </c>
    </row>
    <row r="941" spans="1:24" hidden="1">
      <c r="A941" s="328"/>
      <c r="B941" s="21" t="s">
        <v>416</v>
      </c>
      <c r="C941" s="21"/>
      <c r="D941" s="22"/>
      <c r="E941" s="21"/>
      <c r="F941" s="21"/>
      <c r="G941" s="21"/>
      <c r="H941" s="21"/>
      <c r="I941" s="21"/>
      <c r="J941" s="21"/>
      <c r="K941" s="22">
        <f ca="1">ROUND(K940,0)</f>
        <v>0</v>
      </c>
      <c r="L941" s="22">
        <f t="shared" ref="L941" ca="1" si="566">ROUND(K941+L940,0)</f>
        <v>0</v>
      </c>
      <c r="M941" s="22">
        <f t="shared" ref="M941" ca="1" si="567">ROUND(L941+M940,0)</f>
        <v>0</v>
      </c>
      <c r="N941" s="22">
        <f t="shared" ref="N941" ca="1" si="568">ROUND(M941+N940,0)</f>
        <v>0</v>
      </c>
      <c r="O941" s="22">
        <f t="shared" ref="O941" ca="1" si="569">ROUND(N941+O940,0)</f>
        <v>0</v>
      </c>
      <c r="P941" s="22">
        <f t="shared" ref="P941" ca="1" si="570">ROUND(O941+P940,0)</f>
        <v>0</v>
      </c>
      <c r="Q941" s="22">
        <f t="shared" ref="Q941" ca="1" si="571">ROUND(P941+Q940,0)</f>
        <v>0</v>
      </c>
      <c r="R941" s="22">
        <f t="shared" ref="R941" ca="1" si="572">ROUND(Q941+R940,0)</f>
        <v>0</v>
      </c>
      <c r="S941" s="22">
        <f t="shared" ref="S941" ca="1" si="573">ROUND(R941+S940,0)</f>
        <v>0</v>
      </c>
      <c r="T941" s="22">
        <f t="shared" ref="T941" ca="1" si="574">ROUND(S941+T940,0)</f>
        <v>0</v>
      </c>
      <c r="U941" s="22">
        <f t="shared" ref="U941" ca="1" si="575">ROUND(T941+U940,0)</f>
        <v>0</v>
      </c>
      <c r="V941" s="22">
        <f t="shared" ref="V941" ca="1" si="576">ROUND(U941+V940,0)</f>
        <v>0</v>
      </c>
      <c r="W941" s="22">
        <f t="shared" ref="W941" ca="1" si="577">ROUND(V941+W940,0)</f>
        <v>0</v>
      </c>
      <c r="X941" s="22">
        <f t="shared" ref="X941" ca="1" si="578">ROUND(W941+X940,0)</f>
        <v>0</v>
      </c>
    </row>
    <row r="942" spans="1:24" hidden="1">
      <c r="A942" s="328"/>
      <c r="B942" s="21" t="s">
        <v>406</v>
      </c>
      <c r="C942" s="21"/>
      <c r="D942" s="22"/>
      <c r="E942" s="21"/>
      <c r="F942" s="21"/>
      <c r="G942" s="21"/>
      <c r="H942" s="21"/>
      <c r="I942" s="21"/>
      <c r="J942" s="445">
        <f ca="1">OFFSET($C$96,D937,0)</f>
        <v>0</v>
      </c>
      <c r="K942" s="77">
        <f ca="1">IF($D938=LataProjekcji,ROUND($D939-K941,0),ROUND(IF(K940=0,0,$D939-K941),0))</f>
        <v>0</v>
      </c>
      <c r="L942" s="254">
        <f t="shared" ref="L942:X942" ca="1" si="579">IF($D938=LataProjekcji,ROUND($D939-L941,0),ROUND(IF(AND(L940=0,K942&gt;0),$D939-L941,IF(L940=0,0,$D939-L941)),0))</f>
        <v>0</v>
      </c>
      <c r="M942" s="254">
        <f t="shared" ca="1" si="579"/>
        <v>0</v>
      </c>
      <c r="N942" s="254">
        <f t="shared" ca="1" si="579"/>
        <v>0</v>
      </c>
      <c r="O942" s="254">
        <f t="shared" ca="1" si="579"/>
        <v>0</v>
      </c>
      <c r="P942" s="254">
        <f t="shared" ca="1" si="579"/>
        <v>0</v>
      </c>
      <c r="Q942" s="254">
        <f t="shared" ca="1" si="579"/>
        <v>0</v>
      </c>
      <c r="R942" s="254">
        <f t="shared" ca="1" si="579"/>
        <v>0</v>
      </c>
      <c r="S942" s="254">
        <f t="shared" ca="1" si="579"/>
        <v>0</v>
      </c>
      <c r="T942" s="254">
        <f t="shared" ca="1" si="579"/>
        <v>0</v>
      </c>
      <c r="U942" s="254">
        <f t="shared" ca="1" si="579"/>
        <v>0</v>
      </c>
      <c r="V942" s="254">
        <f t="shared" ca="1" si="579"/>
        <v>0</v>
      </c>
      <c r="W942" s="254">
        <f t="shared" ca="1" si="579"/>
        <v>0</v>
      </c>
      <c r="X942" s="254">
        <f t="shared" ca="1" si="579"/>
        <v>0</v>
      </c>
    </row>
    <row r="943" spans="1:24" hidden="1">
      <c r="A943" s="328"/>
      <c r="B943" s="20">
        <f ca="1">OFFSET($B$96,D943,0)</f>
        <v>0</v>
      </c>
      <c r="C943" s="20"/>
      <c r="D943" s="21">
        <f>D937+1</f>
        <v>12</v>
      </c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 spans="1:24" hidden="1">
      <c r="A944" s="328"/>
      <c r="B944" s="165" t="s">
        <v>425</v>
      </c>
      <c r="C944" s="165"/>
      <c r="D944" s="165">
        <f ca="1">YEAR(OFFSET($E$96,D943,0))</f>
        <v>1900</v>
      </c>
      <c r="E944" s="165">
        <f ca="1">MONTH(OFFSET($E$96,D943,0))</f>
        <v>1</v>
      </c>
      <c r="F944" s="21">
        <f ca="1">12-$E944</f>
        <v>11</v>
      </c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 spans="1:24" hidden="1">
      <c r="A945" s="328"/>
      <c r="B945" s="21" t="s">
        <v>406</v>
      </c>
      <c r="C945" s="21"/>
      <c r="D945" s="387">
        <f ca="1">IF(E945&lt;0,0,ROUND(E945,0))</f>
        <v>0</v>
      </c>
      <c r="E945" s="249">
        <f ca="1">OFFSET($D$96,D943,0)</f>
        <v>0</v>
      </c>
      <c r="F945" s="387">
        <f ca="1">IF(E945&gt;10,ROUND(($D946/12)*$F944,0),$D945)</f>
        <v>0</v>
      </c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328"/>
      <c r="B946" s="21" t="s">
        <v>415</v>
      </c>
      <c r="C946" s="436" t="e">
        <f ca="1">VLOOKUP(OFFSET($C$96,D943,0),Założenia!$J$48:$K$55,2,FALSE)</f>
        <v>#N/A</v>
      </c>
      <c r="D946" s="387">
        <f ca="1">IF(ISBLANK(OFFSET($E$96,D943,0)),0,IF(E945&gt;10,ROUND(D945*C946,0),IF(D945&lt;0,0,D945)))</f>
        <v>0</v>
      </c>
      <c r="E946" s="21"/>
      <c r="F946" s="21"/>
      <c r="G946" s="21"/>
      <c r="H946" s="21"/>
      <c r="I946" s="21"/>
      <c r="J946" s="21"/>
      <c r="K946" s="75">
        <f ca="1">ROUND(IF($D944=LataProjekcji,$F945,IF($D944=LataProjekcji,$D946,0)),0)</f>
        <v>0</v>
      </c>
      <c r="L946" s="248">
        <f ca="1">ROUND(IF(OR(AND($D944=LataProjekcji,$F944&gt;0),AND($D944=LataProjekcji,$F944=0,$E945&lt;=10)),$F945,IF($D944&lt;LataProjekcji,IF((SUM($K946:K946)+$D946)&lt;$D945,$D946,$D945-SUM($K946:K946)),0)),0)</f>
        <v>0</v>
      </c>
      <c r="M946" s="248">
        <f ca="1">ROUND(IF(OR(AND($D944=LataProjekcji,$F944&gt;0),AND($D944=LataProjekcji,$F944=0,$E945&lt;=10)),$F945,IF($D944&lt;LataProjekcji,IF((SUM($K946:L946)+$D946)&lt;$D945,$D946,$D945-SUM($K946:L946)),0)),0)</f>
        <v>0</v>
      </c>
      <c r="N946" s="248">
        <f ca="1">ROUND(IF(OR(AND($D944=LataProjekcji,$F944&gt;0),AND($D944=LataProjekcji,$F944=0,$E945&lt;=10)),$F945,IF($D944&lt;LataProjekcji,IF((SUM($K946:M946)+$D946)&lt;$D945,$D946,$D945-SUM($K946:M946)),0)),0)</f>
        <v>0</v>
      </c>
      <c r="O946" s="248">
        <f ca="1">ROUND(IF(OR(AND($D944=LataProjekcji,$F944&gt;0),AND($D944=LataProjekcji,$F944=0,$E945&lt;=10)),$F945,IF($D944&lt;LataProjekcji,IF((SUM($K946:N946)+$D946)&lt;$D945,$D946,$D945-SUM($K946:N946)),0)),0)</f>
        <v>0</v>
      </c>
      <c r="P946" s="248">
        <f ca="1">ROUND(IF(OR(AND($D944=LataProjekcji,$F944&gt;0),AND($D944=LataProjekcji,$F944=0,$E945&lt;=10)),$F945,IF($D944&lt;LataProjekcji,IF((SUM($K946:O946)+$D946)&lt;$D945,$D946,$D945-SUM($K946:O946)),0)),0)</f>
        <v>0</v>
      </c>
      <c r="Q946" s="248">
        <f ca="1">ROUND(IF(OR(AND($D944=LataProjekcji,$F944&gt;0),AND($D944=LataProjekcji,$F944=0,$E945&lt;=10)),$F945,IF($D944&lt;LataProjekcji,IF((SUM($K946:P946)+$D946)&lt;$D945,$D946,$D945-SUM($K946:P946)),0)),0)</f>
        <v>0</v>
      </c>
      <c r="R946" s="248">
        <f ca="1">ROUND(IF(OR(AND($D944=LataProjekcji,$F944&gt;0),AND($D944=LataProjekcji,$F944=0,$E945&lt;=10)),$F945,IF($D944&lt;LataProjekcji,IF((SUM($K946:Q946)+$D946)&lt;$D945,$D946,$D945-SUM($K946:Q946)),0)),0)</f>
        <v>0</v>
      </c>
      <c r="S946" s="248">
        <f ca="1">ROUND(IF(OR(AND($D944=LataProjekcji,$F944&gt;0),AND($D944=LataProjekcji,$F944=0,$E945&lt;=10)),$F945,IF($D944&lt;LataProjekcji,IF((SUM($K946:R946)+$D946)&lt;$D945,$D946,$D945-SUM($K946:R946)),0)),0)</f>
        <v>0</v>
      </c>
      <c r="T946" s="248">
        <f ca="1">ROUND(IF(OR(AND($D944=LataProjekcji,$F944&gt;0),AND($D944=LataProjekcji,$F944=0,$E945&lt;=10)),$F945,IF($D944&lt;LataProjekcji,IF((SUM($K946:S946)+$D946)&lt;$D945,$D946,$D945-SUM($K946:S946)),0)),0)</f>
        <v>0</v>
      </c>
      <c r="U946" s="248">
        <f ca="1">ROUND(IF(OR(AND($D944=LataProjekcji,$F944&gt;0),AND($D944=LataProjekcji,$F944=0,$E945&lt;=10)),$F945,IF($D944&lt;LataProjekcji,IF((SUM($K946:T946)+$D946)&lt;$D945,$D946,$D945-SUM($K946:T946)),0)),0)</f>
        <v>0</v>
      </c>
      <c r="V946" s="248">
        <f ca="1">ROUND(IF(OR(AND($D944=LataProjekcji,$F944&gt;0),AND($D944=LataProjekcji,$F944=0,$E945&lt;=10)),$F945,IF($D944&lt;LataProjekcji,IF((SUM($K946:U946)+$D946)&lt;$D945,$D946,$D945-SUM($K946:U946)),0)),0)</f>
        <v>0</v>
      </c>
      <c r="W946" s="248">
        <f ca="1">ROUND(IF(OR(AND($D944=LataProjekcji,$F944&gt;0),AND($D944=LataProjekcji,$F944=0,$E945&lt;=10)),$F945,IF($D944&lt;LataProjekcji,IF((SUM($K946:V946)+$D946)&lt;$D945,$D946,$D945-SUM($K946:V946)),0)),0)</f>
        <v>0</v>
      </c>
      <c r="X946" s="248">
        <f ca="1">ROUND(IF(OR(AND($D944=LataProjekcji,$F944&gt;0),AND($D944=LataProjekcji,$F944=0,$E945&lt;=10)),$F945,IF($D944&lt;LataProjekcji,IF((SUM($K946:W946)+$D946)&lt;$D945,$D946,$D945-SUM($K946:W946)),0)),0)</f>
        <v>0</v>
      </c>
    </row>
    <row r="947" spans="1:24" hidden="1">
      <c r="A947" s="328"/>
      <c r="B947" s="21" t="s">
        <v>416</v>
      </c>
      <c r="C947" s="21"/>
      <c r="D947" s="22"/>
      <c r="E947" s="21"/>
      <c r="F947" s="21"/>
      <c r="G947" s="21"/>
      <c r="H947" s="21"/>
      <c r="I947" s="21"/>
      <c r="J947" s="21"/>
      <c r="K947" s="22">
        <f ca="1">ROUND(K946,0)</f>
        <v>0</v>
      </c>
      <c r="L947" s="22">
        <f t="shared" ref="L947" ca="1" si="580">ROUND(K947+L946,0)</f>
        <v>0</v>
      </c>
      <c r="M947" s="22">
        <f t="shared" ref="M947" ca="1" si="581">ROUND(L947+M946,0)</f>
        <v>0</v>
      </c>
      <c r="N947" s="22">
        <f t="shared" ref="N947" ca="1" si="582">ROUND(M947+N946,0)</f>
        <v>0</v>
      </c>
      <c r="O947" s="22">
        <f t="shared" ref="O947" ca="1" si="583">ROUND(N947+O946,0)</f>
        <v>0</v>
      </c>
      <c r="P947" s="22">
        <f t="shared" ref="P947" ca="1" si="584">ROUND(O947+P946,0)</f>
        <v>0</v>
      </c>
      <c r="Q947" s="22">
        <f t="shared" ref="Q947" ca="1" si="585">ROUND(P947+Q946,0)</f>
        <v>0</v>
      </c>
      <c r="R947" s="22">
        <f t="shared" ref="R947" ca="1" si="586">ROUND(Q947+R946,0)</f>
        <v>0</v>
      </c>
      <c r="S947" s="22">
        <f t="shared" ref="S947" ca="1" si="587">ROUND(R947+S946,0)</f>
        <v>0</v>
      </c>
      <c r="T947" s="22">
        <f t="shared" ref="T947" ca="1" si="588">ROUND(S947+T946,0)</f>
        <v>0</v>
      </c>
      <c r="U947" s="22">
        <f t="shared" ref="U947" ca="1" si="589">ROUND(T947+U946,0)</f>
        <v>0</v>
      </c>
      <c r="V947" s="22">
        <f t="shared" ref="V947" ca="1" si="590">ROUND(U947+V946,0)</f>
        <v>0</v>
      </c>
      <c r="W947" s="22">
        <f t="shared" ref="W947" ca="1" si="591">ROUND(V947+W946,0)</f>
        <v>0</v>
      </c>
      <c r="X947" s="22">
        <f t="shared" ref="X947" ca="1" si="592">ROUND(W947+X946,0)</f>
        <v>0</v>
      </c>
    </row>
    <row r="948" spans="1:24" hidden="1">
      <c r="A948" s="328"/>
      <c r="B948" s="21" t="s">
        <v>406</v>
      </c>
      <c r="C948" s="21"/>
      <c r="D948" s="22"/>
      <c r="E948" s="21"/>
      <c r="F948" s="21"/>
      <c r="G948" s="21"/>
      <c r="H948" s="21"/>
      <c r="I948" s="21"/>
      <c r="J948" s="445">
        <f ca="1">OFFSET($C$96,D943,0)</f>
        <v>0</v>
      </c>
      <c r="K948" s="77">
        <f ca="1">IF($D944=LataProjekcji,ROUND($D945-K947,0),ROUND(IF(K946=0,0,$D945-K947),0))</f>
        <v>0</v>
      </c>
      <c r="L948" s="254">
        <f t="shared" ref="L948:X948" ca="1" si="593">IF($D944=LataProjekcji,ROUND($D945-L947,0),ROUND(IF(AND(L946=0,K948&gt;0),$D945-L947,IF(L946=0,0,$D945-L947)),0))</f>
        <v>0</v>
      </c>
      <c r="M948" s="254">
        <f t="shared" ca="1" si="593"/>
        <v>0</v>
      </c>
      <c r="N948" s="254">
        <f t="shared" ca="1" si="593"/>
        <v>0</v>
      </c>
      <c r="O948" s="254">
        <f t="shared" ca="1" si="593"/>
        <v>0</v>
      </c>
      <c r="P948" s="254">
        <f t="shared" ca="1" si="593"/>
        <v>0</v>
      </c>
      <c r="Q948" s="254">
        <f t="shared" ca="1" si="593"/>
        <v>0</v>
      </c>
      <c r="R948" s="254">
        <f t="shared" ca="1" si="593"/>
        <v>0</v>
      </c>
      <c r="S948" s="254">
        <f t="shared" ca="1" si="593"/>
        <v>0</v>
      </c>
      <c r="T948" s="254">
        <f t="shared" ca="1" si="593"/>
        <v>0</v>
      </c>
      <c r="U948" s="254">
        <f t="shared" ca="1" si="593"/>
        <v>0</v>
      </c>
      <c r="V948" s="254">
        <f t="shared" ca="1" si="593"/>
        <v>0</v>
      </c>
      <c r="W948" s="254">
        <f t="shared" ca="1" si="593"/>
        <v>0</v>
      </c>
      <c r="X948" s="254">
        <f t="shared" ca="1" si="593"/>
        <v>0</v>
      </c>
    </row>
    <row r="949" spans="1:24" hidden="1">
      <c r="A949" s="328"/>
      <c r="B949" s="20">
        <f ca="1">OFFSET($B$96,D949,0)</f>
        <v>0</v>
      </c>
      <c r="C949" s="20"/>
      <c r="D949" s="21">
        <f>D943+1</f>
        <v>13</v>
      </c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328"/>
      <c r="B950" s="165" t="s">
        <v>425</v>
      </c>
      <c r="C950" s="165"/>
      <c r="D950" s="165">
        <f ca="1">YEAR(OFFSET($E$96,D949,0))</f>
        <v>1900</v>
      </c>
      <c r="E950" s="165">
        <f ca="1">MONTH(OFFSET($E$96,D949,0))</f>
        <v>1</v>
      </c>
      <c r="F950" s="21">
        <f ca="1">12-$E950</f>
        <v>11</v>
      </c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 spans="1:24" hidden="1">
      <c r="A951" s="328"/>
      <c r="B951" s="21" t="s">
        <v>406</v>
      </c>
      <c r="C951" s="21"/>
      <c r="D951" s="387">
        <f ca="1">IF(E951&lt;0,0,ROUND(E951,0))</f>
        <v>0</v>
      </c>
      <c r="E951" s="249">
        <f ca="1">OFFSET($D$96,D949,0)</f>
        <v>0</v>
      </c>
      <c r="F951" s="387">
        <f ca="1">IF(E951&gt;10,ROUND(($D952/12)*$F950,0),$D951)</f>
        <v>0</v>
      </c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 spans="1:24" hidden="1">
      <c r="A952" s="328"/>
      <c r="B952" s="21" t="s">
        <v>415</v>
      </c>
      <c r="C952" s="436" t="e">
        <f ca="1">VLOOKUP(OFFSET($C$96,D949,0),Założenia!$J$48:$K$55,2,FALSE)</f>
        <v>#N/A</v>
      </c>
      <c r="D952" s="387">
        <f ca="1">IF(ISBLANK(OFFSET($E$96,D949,0)),0,IF(E951&gt;10,ROUND(D951*C952,0),IF(D951&lt;0,0,D951)))</f>
        <v>0</v>
      </c>
      <c r="E952" s="21"/>
      <c r="F952" s="21"/>
      <c r="G952" s="21"/>
      <c r="H952" s="21"/>
      <c r="I952" s="21"/>
      <c r="J952" s="21"/>
      <c r="K952" s="75">
        <f ca="1">ROUND(IF($D950=LataProjekcji,$F951,IF($D950=LataProjekcji,$D952,0)),0)</f>
        <v>0</v>
      </c>
      <c r="L952" s="248">
        <f ca="1">ROUND(IF(OR(AND($D950=LataProjekcji,$F950&gt;0),AND($D950=LataProjekcji,$F950=0,$E951&lt;=10)),$F951,IF($D950&lt;LataProjekcji,IF((SUM($K952:K952)+$D952)&lt;$D951,$D952,$D951-SUM($K952:K952)),0)),0)</f>
        <v>0</v>
      </c>
      <c r="M952" s="248">
        <f ca="1">ROUND(IF(OR(AND($D950=LataProjekcji,$F950&gt;0),AND($D950=LataProjekcji,$F950=0,$E951&lt;=10)),$F951,IF($D950&lt;LataProjekcji,IF((SUM($K952:L952)+$D952)&lt;$D951,$D952,$D951-SUM($K952:L952)),0)),0)</f>
        <v>0</v>
      </c>
      <c r="N952" s="248">
        <f ca="1">ROUND(IF(OR(AND($D950=LataProjekcji,$F950&gt;0),AND($D950=LataProjekcji,$F950=0,$E951&lt;=10)),$F951,IF($D950&lt;LataProjekcji,IF((SUM($K952:M952)+$D952)&lt;$D951,$D952,$D951-SUM($K952:M952)),0)),0)</f>
        <v>0</v>
      </c>
      <c r="O952" s="248">
        <f ca="1">ROUND(IF(OR(AND($D950=LataProjekcji,$F950&gt;0),AND($D950=LataProjekcji,$F950=0,$E951&lt;=10)),$F951,IF($D950&lt;LataProjekcji,IF((SUM($K952:N952)+$D952)&lt;$D951,$D952,$D951-SUM($K952:N952)),0)),0)</f>
        <v>0</v>
      </c>
      <c r="P952" s="248">
        <f ca="1">ROUND(IF(OR(AND($D950=LataProjekcji,$F950&gt;0),AND($D950=LataProjekcji,$F950=0,$E951&lt;=10)),$F951,IF($D950&lt;LataProjekcji,IF((SUM($K952:O952)+$D952)&lt;$D951,$D952,$D951-SUM($K952:O952)),0)),0)</f>
        <v>0</v>
      </c>
      <c r="Q952" s="248">
        <f ca="1">ROUND(IF(OR(AND($D950=LataProjekcji,$F950&gt;0),AND($D950=LataProjekcji,$F950=0,$E951&lt;=10)),$F951,IF($D950&lt;LataProjekcji,IF((SUM($K952:P952)+$D952)&lt;$D951,$D952,$D951-SUM($K952:P952)),0)),0)</f>
        <v>0</v>
      </c>
      <c r="R952" s="248">
        <f ca="1">ROUND(IF(OR(AND($D950=LataProjekcji,$F950&gt;0),AND($D950=LataProjekcji,$F950=0,$E951&lt;=10)),$F951,IF($D950&lt;LataProjekcji,IF((SUM($K952:Q952)+$D952)&lt;$D951,$D952,$D951-SUM($K952:Q952)),0)),0)</f>
        <v>0</v>
      </c>
      <c r="S952" s="248">
        <f ca="1">ROUND(IF(OR(AND($D950=LataProjekcji,$F950&gt;0),AND($D950=LataProjekcji,$F950=0,$E951&lt;=10)),$F951,IF($D950&lt;LataProjekcji,IF((SUM($K952:R952)+$D952)&lt;$D951,$D952,$D951-SUM($K952:R952)),0)),0)</f>
        <v>0</v>
      </c>
      <c r="T952" s="248">
        <f ca="1">ROUND(IF(OR(AND($D950=LataProjekcji,$F950&gt;0),AND($D950=LataProjekcji,$F950=0,$E951&lt;=10)),$F951,IF($D950&lt;LataProjekcji,IF((SUM($K952:S952)+$D952)&lt;$D951,$D952,$D951-SUM($K952:S952)),0)),0)</f>
        <v>0</v>
      </c>
      <c r="U952" s="248">
        <f ca="1">ROUND(IF(OR(AND($D950=LataProjekcji,$F950&gt;0),AND($D950=LataProjekcji,$F950=0,$E951&lt;=10)),$F951,IF($D950&lt;LataProjekcji,IF((SUM($K952:T952)+$D952)&lt;$D951,$D952,$D951-SUM($K952:T952)),0)),0)</f>
        <v>0</v>
      </c>
      <c r="V952" s="248">
        <f ca="1">ROUND(IF(OR(AND($D950=LataProjekcji,$F950&gt;0),AND($D950=LataProjekcji,$F950=0,$E951&lt;=10)),$F951,IF($D950&lt;LataProjekcji,IF((SUM($K952:U952)+$D952)&lt;$D951,$D952,$D951-SUM($K952:U952)),0)),0)</f>
        <v>0</v>
      </c>
      <c r="W952" s="248">
        <f ca="1">ROUND(IF(OR(AND($D950=LataProjekcji,$F950&gt;0),AND($D950=LataProjekcji,$F950=0,$E951&lt;=10)),$F951,IF($D950&lt;LataProjekcji,IF((SUM($K952:V952)+$D952)&lt;$D951,$D952,$D951-SUM($K952:V952)),0)),0)</f>
        <v>0</v>
      </c>
      <c r="X952" s="248">
        <f ca="1">ROUND(IF(OR(AND($D950=LataProjekcji,$F950&gt;0),AND($D950=LataProjekcji,$F950=0,$E951&lt;=10)),$F951,IF($D950&lt;LataProjekcji,IF((SUM($K952:W952)+$D952)&lt;$D951,$D952,$D951-SUM($K952:W952)),0)),0)</f>
        <v>0</v>
      </c>
    </row>
    <row r="953" spans="1:24" hidden="1">
      <c r="A953" s="328"/>
      <c r="B953" s="21" t="s">
        <v>416</v>
      </c>
      <c r="C953" s="21"/>
      <c r="D953" s="22"/>
      <c r="E953" s="21"/>
      <c r="F953" s="21"/>
      <c r="G953" s="21"/>
      <c r="H953" s="21"/>
      <c r="I953" s="21"/>
      <c r="J953" s="21"/>
      <c r="K953" s="22">
        <f ca="1">ROUND(K952,0)</f>
        <v>0</v>
      </c>
      <c r="L953" s="22">
        <f t="shared" ref="L953" ca="1" si="594">ROUND(K953+L952,0)</f>
        <v>0</v>
      </c>
      <c r="M953" s="22">
        <f t="shared" ref="M953" ca="1" si="595">ROUND(L953+M952,0)</f>
        <v>0</v>
      </c>
      <c r="N953" s="22">
        <f t="shared" ref="N953" ca="1" si="596">ROUND(M953+N952,0)</f>
        <v>0</v>
      </c>
      <c r="O953" s="22">
        <f t="shared" ref="O953" ca="1" si="597">ROUND(N953+O952,0)</f>
        <v>0</v>
      </c>
      <c r="P953" s="22">
        <f t="shared" ref="P953" ca="1" si="598">ROUND(O953+P952,0)</f>
        <v>0</v>
      </c>
      <c r="Q953" s="22">
        <f t="shared" ref="Q953" ca="1" si="599">ROUND(P953+Q952,0)</f>
        <v>0</v>
      </c>
      <c r="R953" s="22">
        <f t="shared" ref="R953" ca="1" si="600">ROUND(Q953+R952,0)</f>
        <v>0</v>
      </c>
      <c r="S953" s="22">
        <f t="shared" ref="S953" ca="1" si="601">ROUND(R953+S952,0)</f>
        <v>0</v>
      </c>
      <c r="T953" s="22">
        <f t="shared" ref="T953" ca="1" si="602">ROUND(S953+T952,0)</f>
        <v>0</v>
      </c>
      <c r="U953" s="22">
        <f t="shared" ref="U953" ca="1" si="603">ROUND(T953+U952,0)</f>
        <v>0</v>
      </c>
      <c r="V953" s="22">
        <f t="shared" ref="V953" ca="1" si="604">ROUND(U953+V952,0)</f>
        <v>0</v>
      </c>
      <c r="W953" s="22">
        <f t="shared" ref="W953" ca="1" si="605">ROUND(V953+W952,0)</f>
        <v>0</v>
      </c>
      <c r="X953" s="22">
        <f t="shared" ref="X953" ca="1" si="606">ROUND(W953+X952,0)</f>
        <v>0</v>
      </c>
    </row>
    <row r="954" spans="1:24" hidden="1">
      <c r="A954" s="328"/>
      <c r="B954" s="21" t="s">
        <v>406</v>
      </c>
      <c r="C954" s="21"/>
      <c r="D954" s="22"/>
      <c r="E954" s="21"/>
      <c r="F954" s="21"/>
      <c r="G954" s="21"/>
      <c r="H954" s="21"/>
      <c r="I954" s="21"/>
      <c r="J954" s="445">
        <f ca="1">OFFSET($C$96,D949,0)</f>
        <v>0</v>
      </c>
      <c r="K954" s="77">
        <f ca="1">IF($D950=LataProjekcji,ROUND($D951-K953,0),ROUND(IF(K952=0,0,$D951-K953),0))</f>
        <v>0</v>
      </c>
      <c r="L954" s="254">
        <f t="shared" ref="L954:X954" ca="1" si="607">IF($D950=LataProjekcji,ROUND($D951-L953,0),ROUND(IF(AND(L952=0,K954&gt;0),$D951-L953,IF(L952=0,0,$D951-L953)),0))</f>
        <v>0</v>
      </c>
      <c r="M954" s="254">
        <f t="shared" ca="1" si="607"/>
        <v>0</v>
      </c>
      <c r="N954" s="254">
        <f t="shared" ca="1" si="607"/>
        <v>0</v>
      </c>
      <c r="O954" s="254">
        <f t="shared" ca="1" si="607"/>
        <v>0</v>
      </c>
      <c r="P954" s="254">
        <f t="shared" ca="1" si="607"/>
        <v>0</v>
      </c>
      <c r="Q954" s="254">
        <f t="shared" ca="1" si="607"/>
        <v>0</v>
      </c>
      <c r="R954" s="254">
        <f t="shared" ca="1" si="607"/>
        <v>0</v>
      </c>
      <c r="S954" s="254">
        <f t="shared" ca="1" si="607"/>
        <v>0</v>
      </c>
      <c r="T954" s="254">
        <f t="shared" ca="1" si="607"/>
        <v>0</v>
      </c>
      <c r="U954" s="254">
        <f t="shared" ca="1" si="607"/>
        <v>0</v>
      </c>
      <c r="V954" s="254">
        <f t="shared" ca="1" si="607"/>
        <v>0</v>
      </c>
      <c r="W954" s="254">
        <f t="shared" ca="1" si="607"/>
        <v>0</v>
      </c>
      <c r="X954" s="254">
        <f t="shared" ca="1" si="607"/>
        <v>0</v>
      </c>
    </row>
    <row r="955" spans="1:24" hidden="1">
      <c r="A955" s="328"/>
      <c r="B955" s="20">
        <f ca="1">OFFSET($B$96,D955,0)</f>
        <v>0</v>
      </c>
      <c r="C955" s="20"/>
      <c r="D955" s="21">
        <f>D949+1</f>
        <v>14</v>
      </c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328"/>
      <c r="B956" s="165" t="s">
        <v>425</v>
      </c>
      <c r="C956" s="165"/>
      <c r="D956" s="165">
        <f ca="1">YEAR(OFFSET($E$96,D955,0))</f>
        <v>1900</v>
      </c>
      <c r="E956" s="165">
        <f ca="1">MONTH(OFFSET($E$96,D955,0))</f>
        <v>1</v>
      </c>
      <c r="F956" s="21">
        <f ca="1">12-$E956</f>
        <v>11</v>
      </c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328"/>
      <c r="B957" s="21" t="s">
        <v>406</v>
      </c>
      <c r="C957" s="21"/>
      <c r="D957" s="387">
        <f ca="1">IF(E957&lt;0,0,ROUND(E957,0))</f>
        <v>0</v>
      </c>
      <c r="E957" s="249">
        <f ca="1">OFFSET($D$96,D955,0)</f>
        <v>0</v>
      </c>
      <c r="F957" s="387">
        <f ca="1">IF(E957&gt;10,ROUND(($D958/12)*$F956,0),$D957)</f>
        <v>0</v>
      </c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 spans="1:24" hidden="1">
      <c r="A958" s="328"/>
      <c r="B958" s="21" t="s">
        <v>415</v>
      </c>
      <c r="C958" s="436" t="e">
        <f ca="1">VLOOKUP(OFFSET($C$96,D955,0),Założenia!$J$48:$K$55,2,FALSE)</f>
        <v>#N/A</v>
      </c>
      <c r="D958" s="387">
        <f ca="1">IF(ISBLANK(OFFSET($E$96,D955,0)),0,IF(E957&gt;10,ROUND(D957*C958,0),IF(D957&lt;0,0,D957)))</f>
        <v>0</v>
      </c>
      <c r="E958" s="21"/>
      <c r="F958" s="21"/>
      <c r="G958" s="21"/>
      <c r="H958" s="21"/>
      <c r="I958" s="21"/>
      <c r="J958" s="21"/>
      <c r="K958" s="75">
        <f ca="1">ROUND(IF($D956=LataProjekcji,$F957,IF($D956=LataProjekcji,$D958,0)),0)</f>
        <v>0</v>
      </c>
      <c r="L958" s="248">
        <f ca="1">ROUND(IF(OR(AND($D956=LataProjekcji,$F956&gt;0),AND($D956=LataProjekcji,$F956=0,$E957&lt;=10)),$F957,IF($D956&lt;LataProjekcji,IF((SUM($K958:K958)+$D958)&lt;$D957,$D958,$D957-SUM($K958:K958)),0)),0)</f>
        <v>0</v>
      </c>
      <c r="M958" s="248">
        <f ca="1">ROUND(IF(OR(AND($D956=LataProjekcji,$F956&gt;0),AND($D956=LataProjekcji,$F956=0,$E957&lt;=10)),$F957,IF($D956&lt;LataProjekcji,IF((SUM($K958:L958)+$D958)&lt;$D957,$D958,$D957-SUM($K958:L958)),0)),0)</f>
        <v>0</v>
      </c>
      <c r="N958" s="248">
        <f ca="1">ROUND(IF(OR(AND($D956=LataProjekcji,$F956&gt;0),AND($D956=LataProjekcji,$F956=0,$E957&lt;=10)),$F957,IF($D956&lt;LataProjekcji,IF((SUM($K958:M958)+$D958)&lt;$D957,$D958,$D957-SUM($K958:M958)),0)),0)</f>
        <v>0</v>
      </c>
      <c r="O958" s="248">
        <f ca="1">ROUND(IF(OR(AND($D956=LataProjekcji,$F956&gt;0),AND($D956=LataProjekcji,$F956=0,$E957&lt;=10)),$F957,IF($D956&lt;LataProjekcji,IF((SUM($K958:N958)+$D958)&lt;$D957,$D958,$D957-SUM($K958:N958)),0)),0)</f>
        <v>0</v>
      </c>
      <c r="P958" s="248">
        <f ca="1">ROUND(IF(OR(AND($D956=LataProjekcji,$F956&gt;0),AND($D956=LataProjekcji,$F956=0,$E957&lt;=10)),$F957,IF($D956&lt;LataProjekcji,IF((SUM($K958:O958)+$D958)&lt;$D957,$D958,$D957-SUM($K958:O958)),0)),0)</f>
        <v>0</v>
      </c>
      <c r="Q958" s="248">
        <f ca="1">ROUND(IF(OR(AND($D956=LataProjekcji,$F956&gt;0),AND($D956=LataProjekcji,$F956=0,$E957&lt;=10)),$F957,IF($D956&lt;LataProjekcji,IF((SUM($K958:P958)+$D958)&lt;$D957,$D958,$D957-SUM($K958:P958)),0)),0)</f>
        <v>0</v>
      </c>
      <c r="R958" s="248">
        <f ca="1">ROUND(IF(OR(AND($D956=LataProjekcji,$F956&gt;0),AND($D956=LataProjekcji,$F956=0,$E957&lt;=10)),$F957,IF($D956&lt;LataProjekcji,IF((SUM($K958:Q958)+$D958)&lt;$D957,$D958,$D957-SUM($K958:Q958)),0)),0)</f>
        <v>0</v>
      </c>
      <c r="S958" s="248">
        <f ca="1">ROUND(IF(OR(AND($D956=LataProjekcji,$F956&gt;0),AND($D956=LataProjekcji,$F956=0,$E957&lt;=10)),$F957,IF($D956&lt;LataProjekcji,IF((SUM($K958:R958)+$D958)&lt;$D957,$D958,$D957-SUM($K958:R958)),0)),0)</f>
        <v>0</v>
      </c>
      <c r="T958" s="248">
        <f ca="1">ROUND(IF(OR(AND($D956=LataProjekcji,$F956&gt;0),AND($D956=LataProjekcji,$F956=0,$E957&lt;=10)),$F957,IF($D956&lt;LataProjekcji,IF((SUM($K958:S958)+$D958)&lt;$D957,$D958,$D957-SUM($K958:S958)),0)),0)</f>
        <v>0</v>
      </c>
      <c r="U958" s="248">
        <f ca="1">ROUND(IF(OR(AND($D956=LataProjekcji,$F956&gt;0),AND($D956=LataProjekcji,$F956=0,$E957&lt;=10)),$F957,IF($D956&lt;LataProjekcji,IF((SUM($K958:T958)+$D958)&lt;$D957,$D958,$D957-SUM($K958:T958)),0)),0)</f>
        <v>0</v>
      </c>
      <c r="V958" s="248">
        <f ca="1">ROUND(IF(OR(AND($D956=LataProjekcji,$F956&gt;0),AND($D956=LataProjekcji,$F956=0,$E957&lt;=10)),$F957,IF($D956&lt;LataProjekcji,IF((SUM($K958:U958)+$D958)&lt;$D957,$D958,$D957-SUM($K958:U958)),0)),0)</f>
        <v>0</v>
      </c>
      <c r="W958" s="248">
        <f ca="1">ROUND(IF(OR(AND($D956=LataProjekcji,$F956&gt;0),AND($D956=LataProjekcji,$F956=0,$E957&lt;=10)),$F957,IF($D956&lt;LataProjekcji,IF((SUM($K958:V958)+$D958)&lt;$D957,$D958,$D957-SUM($K958:V958)),0)),0)</f>
        <v>0</v>
      </c>
      <c r="X958" s="248">
        <f ca="1">ROUND(IF(OR(AND($D956=LataProjekcji,$F956&gt;0),AND($D956=LataProjekcji,$F956=0,$E957&lt;=10)),$F957,IF($D956&lt;LataProjekcji,IF((SUM($K958:W958)+$D958)&lt;$D957,$D958,$D957-SUM($K958:W958)),0)),0)</f>
        <v>0</v>
      </c>
    </row>
    <row r="959" spans="1:24" hidden="1">
      <c r="A959" s="328"/>
      <c r="B959" s="21" t="s">
        <v>416</v>
      </c>
      <c r="C959" s="21"/>
      <c r="D959" s="22"/>
      <c r="E959" s="21"/>
      <c r="F959" s="21"/>
      <c r="G959" s="21"/>
      <c r="H959" s="21"/>
      <c r="I959" s="21"/>
      <c r="J959" s="21"/>
      <c r="K959" s="22">
        <f ca="1">ROUND(K958,0)</f>
        <v>0</v>
      </c>
      <c r="L959" s="22">
        <f t="shared" ref="L959" ca="1" si="608">ROUND(K959+L958,0)</f>
        <v>0</v>
      </c>
      <c r="M959" s="22">
        <f t="shared" ref="M959" ca="1" si="609">ROUND(L959+M958,0)</f>
        <v>0</v>
      </c>
      <c r="N959" s="22">
        <f t="shared" ref="N959" ca="1" si="610">ROUND(M959+N958,0)</f>
        <v>0</v>
      </c>
      <c r="O959" s="22">
        <f t="shared" ref="O959" ca="1" si="611">ROUND(N959+O958,0)</f>
        <v>0</v>
      </c>
      <c r="P959" s="22">
        <f t="shared" ref="P959" ca="1" si="612">ROUND(O959+P958,0)</f>
        <v>0</v>
      </c>
      <c r="Q959" s="22">
        <f t="shared" ref="Q959" ca="1" si="613">ROUND(P959+Q958,0)</f>
        <v>0</v>
      </c>
      <c r="R959" s="22">
        <f t="shared" ref="R959" ca="1" si="614">ROUND(Q959+R958,0)</f>
        <v>0</v>
      </c>
      <c r="S959" s="22">
        <f t="shared" ref="S959" ca="1" si="615">ROUND(R959+S958,0)</f>
        <v>0</v>
      </c>
      <c r="T959" s="22">
        <f t="shared" ref="T959" ca="1" si="616">ROUND(S959+T958,0)</f>
        <v>0</v>
      </c>
      <c r="U959" s="22">
        <f t="shared" ref="U959" ca="1" si="617">ROUND(T959+U958,0)</f>
        <v>0</v>
      </c>
      <c r="V959" s="22">
        <f t="shared" ref="V959" ca="1" si="618">ROUND(U959+V958,0)</f>
        <v>0</v>
      </c>
      <c r="W959" s="22">
        <f t="shared" ref="W959" ca="1" si="619">ROUND(V959+W958,0)</f>
        <v>0</v>
      </c>
      <c r="X959" s="22">
        <f t="shared" ref="X959" ca="1" si="620">ROUND(W959+X958,0)</f>
        <v>0</v>
      </c>
    </row>
    <row r="960" spans="1:24" hidden="1">
      <c r="A960" s="328"/>
      <c r="B960" s="21" t="s">
        <v>406</v>
      </c>
      <c r="C960" s="21"/>
      <c r="D960" s="22"/>
      <c r="E960" s="21"/>
      <c r="F960" s="21"/>
      <c r="G960" s="21"/>
      <c r="H960" s="21"/>
      <c r="I960" s="21"/>
      <c r="J960" s="445">
        <f ca="1">OFFSET($C$96,D955,0)</f>
        <v>0</v>
      </c>
      <c r="K960" s="77">
        <f ca="1">IF($D956=LataProjekcji,ROUND($D957-K959,0),ROUND(IF(K958=0,0,$D957-K959),0))</f>
        <v>0</v>
      </c>
      <c r="L960" s="254">
        <f t="shared" ref="L960:X960" ca="1" si="621">IF($D956=LataProjekcji,ROUND($D957-L959,0),ROUND(IF(AND(L958=0,K960&gt;0),$D957-L959,IF(L958=0,0,$D957-L959)),0))</f>
        <v>0</v>
      </c>
      <c r="M960" s="254">
        <f t="shared" ca="1" si="621"/>
        <v>0</v>
      </c>
      <c r="N960" s="254">
        <f t="shared" ca="1" si="621"/>
        <v>0</v>
      </c>
      <c r="O960" s="254">
        <f t="shared" ca="1" si="621"/>
        <v>0</v>
      </c>
      <c r="P960" s="254">
        <f t="shared" ca="1" si="621"/>
        <v>0</v>
      </c>
      <c r="Q960" s="254">
        <f t="shared" ca="1" si="621"/>
        <v>0</v>
      </c>
      <c r="R960" s="254">
        <f t="shared" ca="1" si="621"/>
        <v>0</v>
      </c>
      <c r="S960" s="254">
        <f t="shared" ca="1" si="621"/>
        <v>0</v>
      </c>
      <c r="T960" s="254">
        <f t="shared" ca="1" si="621"/>
        <v>0</v>
      </c>
      <c r="U960" s="254">
        <f t="shared" ca="1" si="621"/>
        <v>0</v>
      </c>
      <c r="V960" s="254">
        <f t="shared" ca="1" si="621"/>
        <v>0</v>
      </c>
      <c r="W960" s="254">
        <f t="shared" ca="1" si="621"/>
        <v>0</v>
      </c>
      <c r="X960" s="254">
        <f t="shared" ca="1" si="621"/>
        <v>0</v>
      </c>
    </row>
    <row r="961" spans="1:24" hidden="1">
      <c r="A961" s="328"/>
      <c r="B961" s="20">
        <f ca="1">OFFSET($B$96,D961,0)</f>
        <v>0</v>
      </c>
      <c r="C961" s="20"/>
      <c r="D961" s="21">
        <f>D955+1</f>
        <v>15</v>
      </c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328"/>
      <c r="B962" s="165" t="s">
        <v>425</v>
      </c>
      <c r="C962" s="165"/>
      <c r="D962" s="165">
        <f ca="1">YEAR(OFFSET($E$96,D961,0))</f>
        <v>1900</v>
      </c>
      <c r="E962" s="165">
        <f ca="1">MONTH(OFFSET($E$96,D961,0))</f>
        <v>1</v>
      </c>
      <c r="F962" s="21">
        <f ca="1">12-$E962</f>
        <v>11</v>
      </c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328"/>
      <c r="B963" s="21" t="s">
        <v>406</v>
      </c>
      <c r="C963" s="21"/>
      <c r="D963" s="387">
        <f ca="1">IF(E963&lt;0,0,ROUND(E963,0))</f>
        <v>0</v>
      </c>
      <c r="E963" s="249">
        <f ca="1">OFFSET($D$96,D961,0)</f>
        <v>0</v>
      </c>
      <c r="F963" s="387">
        <f ca="1">IF(E963&gt;10,ROUND(($D964/12)*$F962,0),$D963)</f>
        <v>0</v>
      </c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328"/>
      <c r="B964" s="21" t="s">
        <v>415</v>
      </c>
      <c r="C964" s="436" t="e">
        <f ca="1">VLOOKUP(OFFSET($C$96,D961,0),Założenia!$J$48:$K$55,2,FALSE)</f>
        <v>#N/A</v>
      </c>
      <c r="D964" s="387">
        <f ca="1">IF(ISBLANK(OFFSET($E$96,D961,0)),0,IF(E963&gt;10,ROUND(D963*C964,0),IF(D963&lt;0,0,D963)))</f>
        <v>0</v>
      </c>
      <c r="E964" s="21"/>
      <c r="F964" s="21"/>
      <c r="G964" s="21"/>
      <c r="H964" s="21"/>
      <c r="I964" s="21"/>
      <c r="J964" s="21"/>
      <c r="K964" s="75">
        <f ca="1">ROUND(IF($D962=LataProjekcji,$F963,IF($D962=LataProjekcji,$D964,0)),0)</f>
        <v>0</v>
      </c>
      <c r="L964" s="248">
        <f ca="1">ROUND(IF(OR(AND($D962=LataProjekcji,$F962&gt;0),AND($D962=LataProjekcji,$F962=0,$E963&lt;=10)),$F963,IF($D962&lt;LataProjekcji,IF((SUM($K964:K964)+$D964)&lt;$D963,$D964,$D963-SUM($K964:K964)),0)),0)</f>
        <v>0</v>
      </c>
      <c r="M964" s="248">
        <f ca="1">ROUND(IF(OR(AND($D962=LataProjekcji,$F962&gt;0),AND($D962=LataProjekcji,$F962=0,$E963&lt;=10)),$F963,IF($D962&lt;LataProjekcji,IF((SUM($K964:L964)+$D964)&lt;$D963,$D964,$D963-SUM($K964:L964)),0)),0)</f>
        <v>0</v>
      </c>
      <c r="N964" s="248">
        <f ca="1">ROUND(IF(OR(AND($D962=LataProjekcji,$F962&gt;0),AND($D962=LataProjekcji,$F962=0,$E963&lt;=10)),$F963,IF($D962&lt;LataProjekcji,IF((SUM($K964:M964)+$D964)&lt;$D963,$D964,$D963-SUM($K964:M964)),0)),0)</f>
        <v>0</v>
      </c>
      <c r="O964" s="248">
        <f ca="1">ROUND(IF(OR(AND($D962=LataProjekcji,$F962&gt;0),AND($D962=LataProjekcji,$F962=0,$E963&lt;=10)),$F963,IF($D962&lt;LataProjekcji,IF((SUM($K964:N964)+$D964)&lt;$D963,$D964,$D963-SUM($K964:N964)),0)),0)</f>
        <v>0</v>
      </c>
      <c r="P964" s="248">
        <f ca="1">ROUND(IF(OR(AND($D962=LataProjekcji,$F962&gt;0),AND($D962=LataProjekcji,$F962=0,$E963&lt;=10)),$F963,IF($D962&lt;LataProjekcji,IF((SUM($K964:O964)+$D964)&lt;$D963,$D964,$D963-SUM($K964:O964)),0)),0)</f>
        <v>0</v>
      </c>
      <c r="Q964" s="248">
        <f ca="1">ROUND(IF(OR(AND($D962=LataProjekcji,$F962&gt;0),AND($D962=LataProjekcji,$F962=0,$E963&lt;=10)),$F963,IF($D962&lt;LataProjekcji,IF((SUM($K964:P964)+$D964)&lt;$D963,$D964,$D963-SUM($K964:P964)),0)),0)</f>
        <v>0</v>
      </c>
      <c r="R964" s="248">
        <f ca="1">ROUND(IF(OR(AND($D962=LataProjekcji,$F962&gt;0),AND($D962=LataProjekcji,$F962=0,$E963&lt;=10)),$F963,IF($D962&lt;LataProjekcji,IF((SUM($K964:Q964)+$D964)&lt;$D963,$D964,$D963-SUM($K964:Q964)),0)),0)</f>
        <v>0</v>
      </c>
      <c r="S964" s="248">
        <f ca="1">ROUND(IF(OR(AND($D962=LataProjekcji,$F962&gt;0),AND($D962=LataProjekcji,$F962=0,$E963&lt;=10)),$F963,IF($D962&lt;LataProjekcji,IF((SUM($K964:R964)+$D964)&lt;$D963,$D964,$D963-SUM($K964:R964)),0)),0)</f>
        <v>0</v>
      </c>
      <c r="T964" s="248">
        <f ca="1">ROUND(IF(OR(AND($D962=LataProjekcji,$F962&gt;0),AND($D962=LataProjekcji,$F962=0,$E963&lt;=10)),$F963,IF($D962&lt;LataProjekcji,IF((SUM($K964:S964)+$D964)&lt;$D963,$D964,$D963-SUM($K964:S964)),0)),0)</f>
        <v>0</v>
      </c>
      <c r="U964" s="248">
        <f ca="1">ROUND(IF(OR(AND($D962=LataProjekcji,$F962&gt;0),AND($D962=LataProjekcji,$F962=0,$E963&lt;=10)),$F963,IF($D962&lt;LataProjekcji,IF((SUM($K964:T964)+$D964)&lt;$D963,$D964,$D963-SUM($K964:T964)),0)),0)</f>
        <v>0</v>
      </c>
      <c r="V964" s="248">
        <f ca="1">ROUND(IF(OR(AND($D962=LataProjekcji,$F962&gt;0),AND($D962=LataProjekcji,$F962=0,$E963&lt;=10)),$F963,IF($D962&lt;LataProjekcji,IF((SUM($K964:U964)+$D964)&lt;$D963,$D964,$D963-SUM($K964:U964)),0)),0)</f>
        <v>0</v>
      </c>
      <c r="W964" s="248">
        <f ca="1">ROUND(IF(OR(AND($D962=LataProjekcji,$F962&gt;0),AND($D962=LataProjekcji,$F962=0,$E963&lt;=10)),$F963,IF($D962&lt;LataProjekcji,IF((SUM($K964:V964)+$D964)&lt;$D963,$D964,$D963-SUM($K964:V964)),0)),0)</f>
        <v>0</v>
      </c>
      <c r="X964" s="248">
        <f ca="1">ROUND(IF(OR(AND($D962=LataProjekcji,$F962&gt;0),AND($D962=LataProjekcji,$F962=0,$E963&lt;=10)),$F963,IF($D962&lt;LataProjekcji,IF((SUM($K964:W964)+$D964)&lt;$D963,$D964,$D963-SUM($K964:W964)),0)),0)</f>
        <v>0</v>
      </c>
    </row>
    <row r="965" spans="1:24" hidden="1">
      <c r="A965" s="328"/>
      <c r="B965" s="21" t="s">
        <v>416</v>
      </c>
      <c r="C965" s="21"/>
      <c r="D965" s="22"/>
      <c r="E965" s="21"/>
      <c r="F965" s="21"/>
      <c r="G965" s="21"/>
      <c r="H965" s="21"/>
      <c r="I965" s="21"/>
      <c r="J965" s="21"/>
      <c r="K965" s="22">
        <f ca="1">ROUND(K964,0)</f>
        <v>0</v>
      </c>
      <c r="L965" s="22">
        <f t="shared" ref="L965" ca="1" si="622">ROUND(K965+L964,0)</f>
        <v>0</v>
      </c>
      <c r="M965" s="22">
        <f t="shared" ref="M965" ca="1" si="623">ROUND(L965+M964,0)</f>
        <v>0</v>
      </c>
      <c r="N965" s="22">
        <f t="shared" ref="N965" ca="1" si="624">ROUND(M965+N964,0)</f>
        <v>0</v>
      </c>
      <c r="O965" s="22">
        <f t="shared" ref="O965" ca="1" si="625">ROUND(N965+O964,0)</f>
        <v>0</v>
      </c>
      <c r="P965" s="22">
        <f t="shared" ref="P965" ca="1" si="626">ROUND(O965+P964,0)</f>
        <v>0</v>
      </c>
      <c r="Q965" s="22">
        <f t="shared" ref="Q965" ca="1" si="627">ROUND(P965+Q964,0)</f>
        <v>0</v>
      </c>
      <c r="R965" s="22">
        <f t="shared" ref="R965" ca="1" si="628">ROUND(Q965+R964,0)</f>
        <v>0</v>
      </c>
      <c r="S965" s="22">
        <f t="shared" ref="S965" ca="1" si="629">ROUND(R965+S964,0)</f>
        <v>0</v>
      </c>
      <c r="T965" s="22">
        <f t="shared" ref="T965" ca="1" si="630">ROUND(S965+T964,0)</f>
        <v>0</v>
      </c>
      <c r="U965" s="22">
        <f t="shared" ref="U965" ca="1" si="631">ROUND(T965+U964,0)</f>
        <v>0</v>
      </c>
      <c r="V965" s="22">
        <f t="shared" ref="V965" ca="1" si="632">ROUND(U965+V964,0)</f>
        <v>0</v>
      </c>
      <c r="W965" s="22">
        <f t="shared" ref="W965" ca="1" si="633">ROUND(V965+W964,0)</f>
        <v>0</v>
      </c>
      <c r="X965" s="22">
        <f t="shared" ref="X965" ca="1" si="634">ROUND(W965+X964,0)</f>
        <v>0</v>
      </c>
    </row>
    <row r="966" spans="1:24" hidden="1">
      <c r="A966" s="328"/>
      <c r="B966" s="21" t="s">
        <v>406</v>
      </c>
      <c r="C966" s="21"/>
      <c r="D966" s="22"/>
      <c r="E966" s="21"/>
      <c r="F966" s="21"/>
      <c r="G966" s="21"/>
      <c r="H966" s="21"/>
      <c r="I966" s="21"/>
      <c r="J966" s="445">
        <f ca="1">OFFSET($C$96,D961,0)</f>
        <v>0</v>
      </c>
      <c r="K966" s="77">
        <f ca="1">IF($D962=LataProjekcji,ROUND($D963-K965,0),ROUND(IF(K964=0,0,$D963-K965),0))</f>
        <v>0</v>
      </c>
      <c r="L966" s="254">
        <f t="shared" ref="L966:X966" ca="1" si="635">IF($D962=LataProjekcji,ROUND($D963-L965,0),ROUND(IF(AND(L964=0,K966&gt;0),$D963-L965,IF(L964=0,0,$D963-L965)),0))</f>
        <v>0</v>
      </c>
      <c r="M966" s="254">
        <f t="shared" ca="1" si="635"/>
        <v>0</v>
      </c>
      <c r="N966" s="254">
        <f t="shared" ca="1" si="635"/>
        <v>0</v>
      </c>
      <c r="O966" s="254">
        <f t="shared" ca="1" si="635"/>
        <v>0</v>
      </c>
      <c r="P966" s="254">
        <f t="shared" ca="1" si="635"/>
        <v>0</v>
      </c>
      <c r="Q966" s="254">
        <f t="shared" ca="1" si="635"/>
        <v>0</v>
      </c>
      <c r="R966" s="254">
        <f t="shared" ca="1" si="635"/>
        <v>0</v>
      </c>
      <c r="S966" s="254">
        <f t="shared" ca="1" si="635"/>
        <v>0</v>
      </c>
      <c r="T966" s="254">
        <f t="shared" ca="1" si="635"/>
        <v>0</v>
      </c>
      <c r="U966" s="254">
        <f t="shared" ca="1" si="635"/>
        <v>0</v>
      </c>
      <c r="V966" s="254">
        <f t="shared" ca="1" si="635"/>
        <v>0</v>
      </c>
      <c r="W966" s="254">
        <f t="shared" ca="1" si="635"/>
        <v>0</v>
      </c>
      <c r="X966" s="254">
        <f t="shared" ca="1" si="635"/>
        <v>0</v>
      </c>
    </row>
    <row r="967" spans="1:24" hidden="1">
      <c r="A967" s="328"/>
      <c r="B967" s="20">
        <f ca="1">OFFSET($B$96,D967,0)</f>
        <v>0</v>
      </c>
      <c r="C967" s="20"/>
      <c r="D967" s="21">
        <f>D961+1</f>
        <v>16</v>
      </c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328"/>
      <c r="B968" s="165" t="s">
        <v>425</v>
      </c>
      <c r="C968" s="165"/>
      <c r="D968" s="165">
        <f ca="1">YEAR(OFFSET($E$96,D967,0))</f>
        <v>1900</v>
      </c>
      <c r="E968" s="165">
        <f ca="1">MONTH(OFFSET($E$96,D967,0))</f>
        <v>1</v>
      </c>
      <c r="F968" s="21">
        <f ca="1">12-$E968</f>
        <v>11</v>
      </c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328"/>
      <c r="B969" s="21" t="s">
        <v>406</v>
      </c>
      <c r="C969" s="21"/>
      <c r="D969" s="387">
        <f ca="1">IF(E969&lt;0,0,ROUND(E969,0))</f>
        <v>0</v>
      </c>
      <c r="E969" s="249">
        <f ca="1">OFFSET($D$96,D967,0)</f>
        <v>0</v>
      </c>
      <c r="F969" s="387">
        <f ca="1">IF(E969&gt;10,ROUND(($D970/12)*$F968,0),$D969)</f>
        <v>0</v>
      </c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328"/>
      <c r="B970" s="21" t="s">
        <v>415</v>
      </c>
      <c r="C970" s="436" t="e">
        <f ca="1">VLOOKUP(OFFSET($C$96,D967,0),Założenia!$J$48:$K$55,2,FALSE)</f>
        <v>#N/A</v>
      </c>
      <c r="D970" s="387">
        <f ca="1">IF(ISBLANK(OFFSET($E$96,D967,0)),0,IF(E969&gt;10,ROUND(D969*C970,0),IF(D969&lt;0,0,D969)))</f>
        <v>0</v>
      </c>
      <c r="E970" s="21"/>
      <c r="F970" s="21"/>
      <c r="G970" s="21"/>
      <c r="H970" s="21"/>
      <c r="I970" s="21"/>
      <c r="J970" s="21"/>
      <c r="K970" s="75">
        <f ca="1">ROUND(IF($D968=LataProjekcji,$F969,IF($D968=LataProjekcji,$D970,0)),0)</f>
        <v>0</v>
      </c>
      <c r="L970" s="248">
        <f ca="1">ROUND(IF(OR(AND($D968=LataProjekcji,$F968&gt;0),AND($D968=LataProjekcji,$F968=0,$E969&lt;=10)),$F969,IF($D968&lt;LataProjekcji,IF((SUM($K970:K970)+$D970)&lt;$D969,$D970,$D969-SUM($K970:K970)),0)),0)</f>
        <v>0</v>
      </c>
      <c r="M970" s="248">
        <f ca="1">ROUND(IF(OR(AND($D968=LataProjekcji,$F968&gt;0),AND($D968=LataProjekcji,$F968=0,$E969&lt;=10)),$F969,IF($D968&lt;LataProjekcji,IF((SUM($K970:L970)+$D970)&lt;$D969,$D970,$D969-SUM($K970:L970)),0)),0)</f>
        <v>0</v>
      </c>
      <c r="N970" s="248">
        <f ca="1">ROUND(IF(OR(AND($D968=LataProjekcji,$F968&gt;0),AND($D968=LataProjekcji,$F968=0,$E969&lt;=10)),$F969,IF($D968&lt;LataProjekcji,IF((SUM($K970:M970)+$D970)&lt;$D969,$D970,$D969-SUM($K970:M970)),0)),0)</f>
        <v>0</v>
      </c>
      <c r="O970" s="248">
        <f ca="1">ROUND(IF(OR(AND($D968=LataProjekcji,$F968&gt;0),AND($D968=LataProjekcji,$F968=0,$E969&lt;=10)),$F969,IF($D968&lt;LataProjekcji,IF((SUM($K970:N970)+$D970)&lt;$D969,$D970,$D969-SUM($K970:N970)),0)),0)</f>
        <v>0</v>
      </c>
      <c r="P970" s="248">
        <f ca="1">ROUND(IF(OR(AND($D968=LataProjekcji,$F968&gt;0),AND($D968=LataProjekcji,$F968=0,$E969&lt;=10)),$F969,IF($D968&lt;LataProjekcji,IF((SUM($K970:O970)+$D970)&lt;$D969,$D970,$D969-SUM($K970:O970)),0)),0)</f>
        <v>0</v>
      </c>
      <c r="Q970" s="248">
        <f ca="1">ROUND(IF(OR(AND($D968=LataProjekcji,$F968&gt;0),AND($D968=LataProjekcji,$F968=0,$E969&lt;=10)),$F969,IF($D968&lt;LataProjekcji,IF((SUM($K970:P970)+$D970)&lt;$D969,$D970,$D969-SUM($K970:P970)),0)),0)</f>
        <v>0</v>
      </c>
      <c r="R970" s="248">
        <f ca="1">ROUND(IF(OR(AND($D968=LataProjekcji,$F968&gt;0),AND($D968=LataProjekcji,$F968=0,$E969&lt;=10)),$F969,IF($D968&lt;LataProjekcji,IF((SUM($K970:Q970)+$D970)&lt;$D969,$D970,$D969-SUM($K970:Q970)),0)),0)</f>
        <v>0</v>
      </c>
      <c r="S970" s="248">
        <f ca="1">ROUND(IF(OR(AND($D968=LataProjekcji,$F968&gt;0),AND($D968=LataProjekcji,$F968=0,$E969&lt;=10)),$F969,IF($D968&lt;LataProjekcji,IF((SUM($K970:R970)+$D970)&lt;$D969,$D970,$D969-SUM($K970:R970)),0)),0)</f>
        <v>0</v>
      </c>
      <c r="T970" s="248">
        <f ca="1">ROUND(IF(OR(AND($D968=LataProjekcji,$F968&gt;0),AND($D968=LataProjekcji,$F968=0,$E969&lt;=10)),$F969,IF($D968&lt;LataProjekcji,IF((SUM($K970:S970)+$D970)&lt;$D969,$D970,$D969-SUM($K970:S970)),0)),0)</f>
        <v>0</v>
      </c>
      <c r="U970" s="248">
        <f ca="1">ROUND(IF(OR(AND($D968=LataProjekcji,$F968&gt;0),AND($D968=LataProjekcji,$F968=0,$E969&lt;=10)),$F969,IF($D968&lt;LataProjekcji,IF((SUM($K970:T970)+$D970)&lt;$D969,$D970,$D969-SUM($K970:T970)),0)),0)</f>
        <v>0</v>
      </c>
      <c r="V970" s="248">
        <f ca="1">ROUND(IF(OR(AND($D968=LataProjekcji,$F968&gt;0),AND($D968=LataProjekcji,$F968=0,$E969&lt;=10)),$F969,IF($D968&lt;LataProjekcji,IF((SUM($K970:U970)+$D970)&lt;$D969,$D970,$D969-SUM($K970:U970)),0)),0)</f>
        <v>0</v>
      </c>
      <c r="W970" s="248">
        <f ca="1">ROUND(IF(OR(AND($D968=LataProjekcji,$F968&gt;0),AND($D968=LataProjekcji,$F968=0,$E969&lt;=10)),$F969,IF($D968&lt;LataProjekcji,IF((SUM($K970:V970)+$D970)&lt;$D969,$D970,$D969-SUM($K970:V970)),0)),0)</f>
        <v>0</v>
      </c>
      <c r="X970" s="248">
        <f ca="1">ROUND(IF(OR(AND($D968=LataProjekcji,$F968&gt;0),AND($D968=LataProjekcji,$F968=0,$E969&lt;=10)),$F969,IF($D968&lt;LataProjekcji,IF((SUM($K970:W970)+$D970)&lt;$D969,$D970,$D969-SUM($K970:W970)),0)),0)</f>
        <v>0</v>
      </c>
    </row>
    <row r="971" spans="1:24" hidden="1">
      <c r="A971" s="328"/>
      <c r="B971" s="21" t="s">
        <v>416</v>
      </c>
      <c r="C971" s="21"/>
      <c r="D971" s="22"/>
      <c r="E971" s="21"/>
      <c r="F971" s="21"/>
      <c r="G971" s="21"/>
      <c r="H971" s="21"/>
      <c r="I971" s="21"/>
      <c r="J971" s="21"/>
      <c r="K971" s="22">
        <f ca="1">ROUND(K970,0)</f>
        <v>0</v>
      </c>
      <c r="L971" s="22">
        <f t="shared" ref="L971" ca="1" si="636">ROUND(K971+L970,0)</f>
        <v>0</v>
      </c>
      <c r="M971" s="22">
        <f t="shared" ref="M971" ca="1" si="637">ROUND(L971+M970,0)</f>
        <v>0</v>
      </c>
      <c r="N971" s="22">
        <f t="shared" ref="N971" ca="1" si="638">ROUND(M971+N970,0)</f>
        <v>0</v>
      </c>
      <c r="O971" s="22">
        <f t="shared" ref="O971" ca="1" si="639">ROUND(N971+O970,0)</f>
        <v>0</v>
      </c>
      <c r="P971" s="22">
        <f t="shared" ref="P971" ca="1" si="640">ROUND(O971+P970,0)</f>
        <v>0</v>
      </c>
      <c r="Q971" s="22">
        <f t="shared" ref="Q971" ca="1" si="641">ROUND(P971+Q970,0)</f>
        <v>0</v>
      </c>
      <c r="R971" s="22">
        <f t="shared" ref="R971" ca="1" si="642">ROUND(Q971+R970,0)</f>
        <v>0</v>
      </c>
      <c r="S971" s="22">
        <f t="shared" ref="S971" ca="1" si="643">ROUND(R971+S970,0)</f>
        <v>0</v>
      </c>
      <c r="T971" s="22">
        <f t="shared" ref="T971" ca="1" si="644">ROUND(S971+T970,0)</f>
        <v>0</v>
      </c>
      <c r="U971" s="22">
        <f t="shared" ref="U971" ca="1" si="645">ROUND(T971+U970,0)</f>
        <v>0</v>
      </c>
      <c r="V971" s="22">
        <f t="shared" ref="V971" ca="1" si="646">ROUND(U971+V970,0)</f>
        <v>0</v>
      </c>
      <c r="W971" s="22">
        <f t="shared" ref="W971" ca="1" si="647">ROUND(V971+W970,0)</f>
        <v>0</v>
      </c>
      <c r="X971" s="22">
        <f t="shared" ref="X971" ca="1" si="648">ROUND(W971+X970,0)</f>
        <v>0</v>
      </c>
    </row>
    <row r="972" spans="1:24" hidden="1">
      <c r="A972" s="328"/>
      <c r="B972" s="21" t="s">
        <v>406</v>
      </c>
      <c r="C972" s="21"/>
      <c r="D972" s="22"/>
      <c r="E972" s="21"/>
      <c r="F972" s="21"/>
      <c r="G972" s="21"/>
      <c r="H972" s="21"/>
      <c r="I972" s="21"/>
      <c r="J972" s="445">
        <f ca="1">OFFSET($C$96,D967,0)</f>
        <v>0</v>
      </c>
      <c r="K972" s="77">
        <f ca="1">IF($D968=LataProjekcji,ROUND($D969-K971,0),ROUND(IF(K970=0,0,$D969-K971),0))</f>
        <v>0</v>
      </c>
      <c r="L972" s="254">
        <f t="shared" ref="L972:X972" ca="1" si="649">IF($D968=LataProjekcji,ROUND($D969-L971,0),ROUND(IF(AND(L970=0,K972&gt;0),$D969-L971,IF(L970=0,0,$D969-L971)),0))</f>
        <v>0</v>
      </c>
      <c r="M972" s="254">
        <f t="shared" ca="1" si="649"/>
        <v>0</v>
      </c>
      <c r="N972" s="254">
        <f t="shared" ca="1" si="649"/>
        <v>0</v>
      </c>
      <c r="O972" s="254">
        <f t="shared" ca="1" si="649"/>
        <v>0</v>
      </c>
      <c r="P972" s="254">
        <f t="shared" ca="1" si="649"/>
        <v>0</v>
      </c>
      <c r="Q972" s="254">
        <f t="shared" ca="1" si="649"/>
        <v>0</v>
      </c>
      <c r="R972" s="254">
        <f t="shared" ca="1" si="649"/>
        <v>0</v>
      </c>
      <c r="S972" s="254">
        <f t="shared" ca="1" si="649"/>
        <v>0</v>
      </c>
      <c r="T972" s="254">
        <f t="shared" ca="1" si="649"/>
        <v>0</v>
      </c>
      <c r="U972" s="254">
        <f t="shared" ca="1" si="649"/>
        <v>0</v>
      </c>
      <c r="V972" s="254">
        <f t="shared" ca="1" si="649"/>
        <v>0</v>
      </c>
      <c r="W972" s="254">
        <f t="shared" ca="1" si="649"/>
        <v>0</v>
      </c>
      <c r="X972" s="254">
        <f t="shared" ca="1" si="649"/>
        <v>0</v>
      </c>
    </row>
    <row r="973" spans="1:24" hidden="1">
      <c r="A973" s="328"/>
      <c r="B973" s="20">
        <f ca="1">OFFSET($B$96,D973,0)</f>
        <v>0</v>
      </c>
      <c r="C973" s="20"/>
      <c r="D973" s="21">
        <f>D967+1</f>
        <v>17</v>
      </c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328"/>
      <c r="B974" s="165" t="s">
        <v>425</v>
      </c>
      <c r="C974" s="165"/>
      <c r="D974" s="165">
        <f ca="1">YEAR(OFFSET($E$96,D973,0))</f>
        <v>1900</v>
      </c>
      <c r="E974" s="165">
        <f ca="1">MONTH(OFFSET($E$96,D973,0))</f>
        <v>1</v>
      </c>
      <c r="F974" s="21">
        <f ca="1">12-$E974</f>
        <v>11</v>
      </c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328"/>
      <c r="B975" s="21" t="s">
        <v>406</v>
      </c>
      <c r="C975" s="21"/>
      <c r="D975" s="387">
        <f ca="1">IF(E975&lt;0,0,ROUND(E975,0))</f>
        <v>0</v>
      </c>
      <c r="E975" s="249">
        <f ca="1">OFFSET($D$96,D973,0)</f>
        <v>0</v>
      </c>
      <c r="F975" s="387">
        <f ca="1">IF(E975&gt;10,ROUND(($D976/12)*$F974,0),$D975)</f>
        <v>0</v>
      </c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328"/>
      <c r="B976" s="21" t="s">
        <v>415</v>
      </c>
      <c r="C976" s="436" t="e">
        <f ca="1">VLOOKUP(OFFSET($C$96,D973,0),Założenia!$J$48:$K$55,2,FALSE)</f>
        <v>#N/A</v>
      </c>
      <c r="D976" s="387">
        <f ca="1">IF(ISBLANK(OFFSET($E$96,D973,0)),0,IF(E975&gt;10,ROUND(D975*C976,0),IF(D975&lt;0,0,D975)))</f>
        <v>0</v>
      </c>
      <c r="E976" s="21"/>
      <c r="F976" s="21"/>
      <c r="G976" s="21"/>
      <c r="H976" s="21"/>
      <c r="I976" s="21"/>
      <c r="J976" s="21"/>
      <c r="K976" s="75">
        <f ca="1">ROUND(IF($D974=LataProjekcji,$F975,IF($D974=LataProjekcji,$D976,0)),0)</f>
        <v>0</v>
      </c>
      <c r="L976" s="248">
        <f ca="1">ROUND(IF(OR(AND($D974=LataProjekcji,$F974&gt;0),AND($D974=LataProjekcji,$F974=0,$E975&lt;=10)),$F975,IF($D974&lt;LataProjekcji,IF((SUM($K976:K976)+$D976)&lt;$D975,$D976,$D975-SUM($K976:K976)),0)),0)</f>
        <v>0</v>
      </c>
      <c r="M976" s="248">
        <f ca="1">ROUND(IF(OR(AND($D974=LataProjekcji,$F974&gt;0),AND($D974=LataProjekcji,$F974=0,$E975&lt;=10)),$F975,IF($D974&lt;LataProjekcji,IF((SUM($K976:L976)+$D976)&lt;$D975,$D976,$D975-SUM($K976:L976)),0)),0)</f>
        <v>0</v>
      </c>
      <c r="N976" s="248">
        <f ca="1">ROUND(IF(OR(AND($D974=LataProjekcji,$F974&gt;0),AND($D974=LataProjekcji,$F974=0,$E975&lt;=10)),$F975,IF($D974&lt;LataProjekcji,IF((SUM($K976:M976)+$D976)&lt;$D975,$D976,$D975-SUM($K976:M976)),0)),0)</f>
        <v>0</v>
      </c>
      <c r="O976" s="248">
        <f ca="1">ROUND(IF(OR(AND($D974=LataProjekcji,$F974&gt;0),AND($D974=LataProjekcji,$F974=0,$E975&lt;=10)),$F975,IF($D974&lt;LataProjekcji,IF((SUM($K976:N976)+$D976)&lt;$D975,$D976,$D975-SUM($K976:N976)),0)),0)</f>
        <v>0</v>
      </c>
      <c r="P976" s="248">
        <f ca="1">ROUND(IF(OR(AND($D974=LataProjekcji,$F974&gt;0),AND($D974=LataProjekcji,$F974=0,$E975&lt;=10)),$F975,IF($D974&lt;LataProjekcji,IF((SUM($K976:O976)+$D976)&lt;$D975,$D976,$D975-SUM($K976:O976)),0)),0)</f>
        <v>0</v>
      </c>
      <c r="Q976" s="248">
        <f ca="1">ROUND(IF(OR(AND($D974=LataProjekcji,$F974&gt;0),AND($D974=LataProjekcji,$F974=0,$E975&lt;=10)),$F975,IF($D974&lt;LataProjekcji,IF((SUM($K976:P976)+$D976)&lt;$D975,$D976,$D975-SUM($K976:P976)),0)),0)</f>
        <v>0</v>
      </c>
      <c r="R976" s="248">
        <f ca="1">ROUND(IF(OR(AND($D974=LataProjekcji,$F974&gt;0),AND($D974=LataProjekcji,$F974=0,$E975&lt;=10)),$F975,IF($D974&lt;LataProjekcji,IF((SUM($K976:Q976)+$D976)&lt;$D975,$D976,$D975-SUM($K976:Q976)),0)),0)</f>
        <v>0</v>
      </c>
      <c r="S976" s="248">
        <f ca="1">ROUND(IF(OR(AND($D974=LataProjekcji,$F974&gt;0),AND($D974=LataProjekcji,$F974=0,$E975&lt;=10)),$F975,IF($D974&lt;LataProjekcji,IF((SUM($K976:R976)+$D976)&lt;$D975,$D976,$D975-SUM($K976:R976)),0)),0)</f>
        <v>0</v>
      </c>
      <c r="T976" s="248">
        <f ca="1">ROUND(IF(OR(AND($D974=LataProjekcji,$F974&gt;0),AND($D974=LataProjekcji,$F974=0,$E975&lt;=10)),$F975,IF($D974&lt;LataProjekcji,IF((SUM($K976:S976)+$D976)&lt;$D975,$D976,$D975-SUM($K976:S976)),0)),0)</f>
        <v>0</v>
      </c>
      <c r="U976" s="248">
        <f ca="1">ROUND(IF(OR(AND($D974=LataProjekcji,$F974&gt;0),AND($D974=LataProjekcji,$F974=0,$E975&lt;=10)),$F975,IF($D974&lt;LataProjekcji,IF((SUM($K976:T976)+$D976)&lt;$D975,$D976,$D975-SUM($K976:T976)),0)),0)</f>
        <v>0</v>
      </c>
      <c r="V976" s="248">
        <f ca="1">ROUND(IF(OR(AND($D974=LataProjekcji,$F974&gt;0),AND($D974=LataProjekcji,$F974=0,$E975&lt;=10)),$F975,IF($D974&lt;LataProjekcji,IF((SUM($K976:U976)+$D976)&lt;$D975,$D976,$D975-SUM($K976:U976)),0)),0)</f>
        <v>0</v>
      </c>
      <c r="W976" s="248">
        <f ca="1">ROUND(IF(OR(AND($D974=LataProjekcji,$F974&gt;0),AND($D974=LataProjekcji,$F974=0,$E975&lt;=10)),$F975,IF($D974&lt;LataProjekcji,IF((SUM($K976:V976)+$D976)&lt;$D975,$D976,$D975-SUM($K976:V976)),0)),0)</f>
        <v>0</v>
      </c>
      <c r="X976" s="248">
        <f ca="1">ROUND(IF(OR(AND($D974=LataProjekcji,$F974&gt;0),AND($D974=LataProjekcji,$F974=0,$E975&lt;=10)),$F975,IF($D974&lt;LataProjekcji,IF((SUM($K976:W976)+$D976)&lt;$D975,$D976,$D975-SUM($K976:W976)),0)),0)</f>
        <v>0</v>
      </c>
    </row>
    <row r="977" spans="1:24" hidden="1">
      <c r="A977" s="328"/>
      <c r="B977" s="21" t="s">
        <v>416</v>
      </c>
      <c r="C977" s="21"/>
      <c r="D977" s="22"/>
      <c r="E977" s="21"/>
      <c r="F977" s="21"/>
      <c r="G977" s="21"/>
      <c r="H977" s="21"/>
      <c r="I977" s="21"/>
      <c r="J977" s="21"/>
      <c r="K977" s="22">
        <f ca="1">ROUND(K976,0)</f>
        <v>0</v>
      </c>
      <c r="L977" s="22">
        <f t="shared" ref="L977" ca="1" si="650">ROUND(K977+L976,0)</f>
        <v>0</v>
      </c>
      <c r="M977" s="22">
        <f t="shared" ref="M977" ca="1" si="651">ROUND(L977+M976,0)</f>
        <v>0</v>
      </c>
      <c r="N977" s="22">
        <f t="shared" ref="N977" ca="1" si="652">ROUND(M977+N976,0)</f>
        <v>0</v>
      </c>
      <c r="O977" s="22">
        <f t="shared" ref="O977" ca="1" si="653">ROUND(N977+O976,0)</f>
        <v>0</v>
      </c>
      <c r="P977" s="22">
        <f t="shared" ref="P977" ca="1" si="654">ROUND(O977+P976,0)</f>
        <v>0</v>
      </c>
      <c r="Q977" s="22">
        <f t="shared" ref="Q977" ca="1" si="655">ROUND(P977+Q976,0)</f>
        <v>0</v>
      </c>
      <c r="R977" s="22">
        <f t="shared" ref="R977" ca="1" si="656">ROUND(Q977+R976,0)</f>
        <v>0</v>
      </c>
      <c r="S977" s="22">
        <f t="shared" ref="S977" ca="1" si="657">ROUND(R977+S976,0)</f>
        <v>0</v>
      </c>
      <c r="T977" s="22">
        <f t="shared" ref="T977" ca="1" si="658">ROUND(S977+T976,0)</f>
        <v>0</v>
      </c>
      <c r="U977" s="22">
        <f t="shared" ref="U977" ca="1" si="659">ROUND(T977+U976,0)</f>
        <v>0</v>
      </c>
      <c r="V977" s="22">
        <f t="shared" ref="V977" ca="1" si="660">ROUND(U977+V976,0)</f>
        <v>0</v>
      </c>
      <c r="W977" s="22">
        <f t="shared" ref="W977" ca="1" si="661">ROUND(V977+W976,0)</f>
        <v>0</v>
      </c>
      <c r="X977" s="22">
        <f t="shared" ref="X977" ca="1" si="662">ROUND(W977+X976,0)</f>
        <v>0</v>
      </c>
    </row>
    <row r="978" spans="1:24" hidden="1">
      <c r="A978" s="328"/>
      <c r="B978" s="21" t="s">
        <v>406</v>
      </c>
      <c r="C978" s="21"/>
      <c r="D978" s="22"/>
      <c r="E978" s="21"/>
      <c r="F978" s="21"/>
      <c r="G978" s="21"/>
      <c r="H978" s="21"/>
      <c r="I978" s="21"/>
      <c r="J978" s="445">
        <f ca="1">OFFSET($C$96,D973,0)</f>
        <v>0</v>
      </c>
      <c r="K978" s="77">
        <f ca="1">IF($D974=LataProjekcji,ROUND($D975-K977,0),ROUND(IF(K976=0,0,$D975-K977),0))</f>
        <v>0</v>
      </c>
      <c r="L978" s="254">
        <f t="shared" ref="L978:X978" ca="1" si="663">IF($D974=LataProjekcji,ROUND($D975-L977,0),ROUND(IF(AND(L976=0,K978&gt;0),$D975-L977,IF(L976=0,0,$D975-L977)),0))</f>
        <v>0</v>
      </c>
      <c r="M978" s="254">
        <f t="shared" ca="1" si="663"/>
        <v>0</v>
      </c>
      <c r="N978" s="254">
        <f t="shared" ca="1" si="663"/>
        <v>0</v>
      </c>
      <c r="O978" s="254">
        <f t="shared" ca="1" si="663"/>
        <v>0</v>
      </c>
      <c r="P978" s="254">
        <f t="shared" ca="1" si="663"/>
        <v>0</v>
      </c>
      <c r="Q978" s="254">
        <f t="shared" ca="1" si="663"/>
        <v>0</v>
      </c>
      <c r="R978" s="254">
        <f t="shared" ca="1" si="663"/>
        <v>0</v>
      </c>
      <c r="S978" s="254">
        <f t="shared" ca="1" si="663"/>
        <v>0</v>
      </c>
      <c r="T978" s="254">
        <f t="shared" ca="1" si="663"/>
        <v>0</v>
      </c>
      <c r="U978" s="254">
        <f t="shared" ca="1" si="663"/>
        <v>0</v>
      </c>
      <c r="V978" s="254">
        <f t="shared" ca="1" si="663"/>
        <v>0</v>
      </c>
      <c r="W978" s="254">
        <f t="shared" ca="1" si="663"/>
        <v>0</v>
      </c>
      <c r="X978" s="254">
        <f t="shared" ca="1" si="663"/>
        <v>0</v>
      </c>
    </row>
    <row r="979" spans="1:24" hidden="1">
      <c r="A979" s="328"/>
      <c r="B979" s="20">
        <f ca="1">OFFSET($B$96,D979,0)</f>
        <v>0</v>
      </c>
      <c r="C979" s="20"/>
      <c r="D979" s="21">
        <f>D973+1</f>
        <v>18</v>
      </c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</row>
    <row r="980" spans="1:24" hidden="1">
      <c r="A980" s="328"/>
      <c r="B980" s="165" t="s">
        <v>425</v>
      </c>
      <c r="C980" s="165"/>
      <c r="D980" s="165">
        <f ca="1">YEAR(OFFSET($E$96,D979,0))</f>
        <v>1900</v>
      </c>
      <c r="E980" s="165">
        <f ca="1">MONTH(OFFSET($E$96,D979,0))</f>
        <v>1</v>
      </c>
      <c r="F980" s="21">
        <f ca="1">12-$E980</f>
        <v>11</v>
      </c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328"/>
      <c r="B981" s="21" t="s">
        <v>406</v>
      </c>
      <c r="C981" s="21"/>
      <c r="D981" s="387">
        <f ca="1">IF(E981&lt;0,0,ROUND(E981,0))</f>
        <v>0</v>
      </c>
      <c r="E981" s="249">
        <f ca="1">OFFSET($D$96,D979,0)</f>
        <v>0</v>
      </c>
      <c r="F981" s="387">
        <f ca="1">IF(E981&gt;10,ROUND(($D982/12)*$F980,0),$D981)</f>
        <v>0</v>
      </c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328"/>
      <c r="B982" s="21" t="s">
        <v>415</v>
      </c>
      <c r="C982" s="436" t="e">
        <f ca="1">VLOOKUP(OFFSET($C$96,D979,0),Założenia!$J$48:$K$55,2,FALSE)</f>
        <v>#N/A</v>
      </c>
      <c r="D982" s="387">
        <f ca="1">IF(ISBLANK(OFFSET($E$96,D979,0)),0,IF(E981&gt;10,ROUND(D981*C982,0),IF(D981&lt;0,0,D981)))</f>
        <v>0</v>
      </c>
      <c r="E982" s="21"/>
      <c r="F982" s="21"/>
      <c r="G982" s="21"/>
      <c r="H982" s="21"/>
      <c r="I982" s="21"/>
      <c r="J982" s="21"/>
      <c r="K982" s="75">
        <f ca="1">ROUND(IF($D980=LataProjekcji,$F981,IF($D980=LataProjekcji,$D982,0)),0)</f>
        <v>0</v>
      </c>
      <c r="L982" s="248">
        <f ca="1">ROUND(IF(OR(AND($D980=LataProjekcji,$F980&gt;0),AND($D980=LataProjekcji,$F980=0,$E981&lt;=10)),$F981,IF($D980&lt;LataProjekcji,IF((SUM($K982:K982)+$D982)&lt;$D981,$D982,$D981-SUM($K982:K982)),0)),0)</f>
        <v>0</v>
      </c>
      <c r="M982" s="248">
        <f ca="1">ROUND(IF(OR(AND($D980=LataProjekcji,$F980&gt;0),AND($D980=LataProjekcji,$F980=0,$E981&lt;=10)),$F981,IF($D980&lt;LataProjekcji,IF((SUM($K982:L982)+$D982)&lt;$D981,$D982,$D981-SUM($K982:L982)),0)),0)</f>
        <v>0</v>
      </c>
      <c r="N982" s="248">
        <f ca="1">ROUND(IF(OR(AND($D980=LataProjekcji,$F980&gt;0),AND($D980=LataProjekcji,$F980=0,$E981&lt;=10)),$F981,IF($D980&lt;LataProjekcji,IF((SUM($K982:M982)+$D982)&lt;$D981,$D982,$D981-SUM($K982:M982)),0)),0)</f>
        <v>0</v>
      </c>
      <c r="O982" s="248">
        <f ca="1">ROUND(IF(OR(AND($D980=LataProjekcji,$F980&gt;0),AND($D980=LataProjekcji,$F980=0,$E981&lt;=10)),$F981,IF($D980&lt;LataProjekcji,IF((SUM($K982:N982)+$D982)&lt;$D981,$D982,$D981-SUM($K982:N982)),0)),0)</f>
        <v>0</v>
      </c>
      <c r="P982" s="248">
        <f ca="1">ROUND(IF(OR(AND($D980=LataProjekcji,$F980&gt;0),AND($D980=LataProjekcji,$F980=0,$E981&lt;=10)),$F981,IF($D980&lt;LataProjekcji,IF((SUM($K982:O982)+$D982)&lt;$D981,$D982,$D981-SUM($K982:O982)),0)),0)</f>
        <v>0</v>
      </c>
      <c r="Q982" s="248">
        <f ca="1">ROUND(IF(OR(AND($D980=LataProjekcji,$F980&gt;0),AND($D980=LataProjekcji,$F980=0,$E981&lt;=10)),$F981,IF($D980&lt;LataProjekcji,IF((SUM($K982:P982)+$D982)&lt;$D981,$D982,$D981-SUM($K982:P982)),0)),0)</f>
        <v>0</v>
      </c>
      <c r="R982" s="248">
        <f ca="1">ROUND(IF(OR(AND($D980=LataProjekcji,$F980&gt;0),AND($D980=LataProjekcji,$F980=0,$E981&lt;=10)),$F981,IF($D980&lt;LataProjekcji,IF((SUM($K982:Q982)+$D982)&lt;$D981,$D982,$D981-SUM($K982:Q982)),0)),0)</f>
        <v>0</v>
      </c>
      <c r="S982" s="248">
        <f ca="1">ROUND(IF(OR(AND($D980=LataProjekcji,$F980&gt;0),AND($D980=LataProjekcji,$F980=0,$E981&lt;=10)),$F981,IF($D980&lt;LataProjekcji,IF((SUM($K982:R982)+$D982)&lt;$D981,$D982,$D981-SUM($K982:R982)),0)),0)</f>
        <v>0</v>
      </c>
      <c r="T982" s="248">
        <f ca="1">ROUND(IF(OR(AND($D980=LataProjekcji,$F980&gt;0),AND($D980=LataProjekcji,$F980=0,$E981&lt;=10)),$F981,IF($D980&lt;LataProjekcji,IF((SUM($K982:S982)+$D982)&lt;$D981,$D982,$D981-SUM($K982:S982)),0)),0)</f>
        <v>0</v>
      </c>
      <c r="U982" s="248">
        <f ca="1">ROUND(IF(OR(AND($D980=LataProjekcji,$F980&gt;0),AND($D980=LataProjekcji,$F980=0,$E981&lt;=10)),$F981,IF($D980&lt;LataProjekcji,IF((SUM($K982:T982)+$D982)&lt;$D981,$D982,$D981-SUM($K982:T982)),0)),0)</f>
        <v>0</v>
      </c>
      <c r="V982" s="248">
        <f ca="1">ROUND(IF(OR(AND($D980=LataProjekcji,$F980&gt;0),AND($D980=LataProjekcji,$F980=0,$E981&lt;=10)),$F981,IF($D980&lt;LataProjekcji,IF((SUM($K982:U982)+$D982)&lt;$D981,$D982,$D981-SUM($K982:U982)),0)),0)</f>
        <v>0</v>
      </c>
      <c r="W982" s="248">
        <f ca="1">ROUND(IF(OR(AND($D980=LataProjekcji,$F980&gt;0),AND($D980=LataProjekcji,$F980=0,$E981&lt;=10)),$F981,IF($D980&lt;LataProjekcji,IF((SUM($K982:V982)+$D982)&lt;$D981,$D982,$D981-SUM($K982:V982)),0)),0)</f>
        <v>0</v>
      </c>
      <c r="X982" s="248">
        <f ca="1">ROUND(IF(OR(AND($D980=LataProjekcji,$F980&gt;0),AND($D980=LataProjekcji,$F980=0,$E981&lt;=10)),$F981,IF($D980&lt;LataProjekcji,IF((SUM($K982:W982)+$D982)&lt;$D981,$D982,$D981-SUM($K982:W982)),0)),0)</f>
        <v>0</v>
      </c>
    </row>
    <row r="983" spans="1:24" hidden="1">
      <c r="A983" s="328"/>
      <c r="B983" s="21" t="s">
        <v>416</v>
      </c>
      <c r="C983" s="21"/>
      <c r="D983" s="22"/>
      <c r="E983" s="21"/>
      <c r="F983" s="21"/>
      <c r="G983" s="21"/>
      <c r="H983" s="21"/>
      <c r="I983" s="21"/>
      <c r="J983" s="21"/>
      <c r="K983" s="22">
        <f ca="1">ROUND(K982,0)</f>
        <v>0</v>
      </c>
      <c r="L983" s="22">
        <f t="shared" ref="L983" ca="1" si="664">ROUND(K983+L982,0)</f>
        <v>0</v>
      </c>
      <c r="M983" s="22">
        <f t="shared" ref="M983" ca="1" si="665">ROUND(L983+M982,0)</f>
        <v>0</v>
      </c>
      <c r="N983" s="22">
        <f t="shared" ref="N983" ca="1" si="666">ROUND(M983+N982,0)</f>
        <v>0</v>
      </c>
      <c r="O983" s="22">
        <f t="shared" ref="O983" ca="1" si="667">ROUND(N983+O982,0)</f>
        <v>0</v>
      </c>
      <c r="P983" s="22">
        <f t="shared" ref="P983" ca="1" si="668">ROUND(O983+P982,0)</f>
        <v>0</v>
      </c>
      <c r="Q983" s="22">
        <f t="shared" ref="Q983" ca="1" si="669">ROUND(P983+Q982,0)</f>
        <v>0</v>
      </c>
      <c r="R983" s="22">
        <f t="shared" ref="R983" ca="1" si="670">ROUND(Q983+R982,0)</f>
        <v>0</v>
      </c>
      <c r="S983" s="22">
        <f t="shared" ref="S983" ca="1" si="671">ROUND(R983+S982,0)</f>
        <v>0</v>
      </c>
      <c r="T983" s="22">
        <f t="shared" ref="T983" ca="1" si="672">ROUND(S983+T982,0)</f>
        <v>0</v>
      </c>
      <c r="U983" s="22">
        <f t="shared" ref="U983" ca="1" si="673">ROUND(T983+U982,0)</f>
        <v>0</v>
      </c>
      <c r="V983" s="22">
        <f t="shared" ref="V983" ca="1" si="674">ROUND(U983+V982,0)</f>
        <v>0</v>
      </c>
      <c r="W983" s="22">
        <f t="shared" ref="W983" ca="1" si="675">ROUND(V983+W982,0)</f>
        <v>0</v>
      </c>
      <c r="X983" s="22">
        <f t="shared" ref="X983" ca="1" si="676">ROUND(W983+X982,0)</f>
        <v>0</v>
      </c>
    </row>
    <row r="984" spans="1:24" hidden="1">
      <c r="A984" s="328"/>
      <c r="B984" s="21" t="s">
        <v>406</v>
      </c>
      <c r="C984" s="21"/>
      <c r="D984" s="22"/>
      <c r="E984" s="21"/>
      <c r="F984" s="21"/>
      <c r="G984" s="21"/>
      <c r="H984" s="21"/>
      <c r="I984" s="21"/>
      <c r="J984" s="445">
        <f ca="1">OFFSET($C$96,D979,0)</f>
        <v>0</v>
      </c>
      <c r="K984" s="77">
        <f ca="1">IF($D980=LataProjekcji,ROUND($D981-K983,0),ROUND(IF(K982=0,0,$D981-K983),0))</f>
        <v>0</v>
      </c>
      <c r="L984" s="254">
        <f t="shared" ref="L984:X984" ca="1" si="677">IF($D980=LataProjekcji,ROUND($D981-L983,0),ROUND(IF(AND(L982=0,K984&gt;0),$D981-L983,IF(L982=0,0,$D981-L983)),0))</f>
        <v>0</v>
      </c>
      <c r="M984" s="254">
        <f t="shared" ca="1" si="677"/>
        <v>0</v>
      </c>
      <c r="N984" s="254">
        <f t="shared" ca="1" si="677"/>
        <v>0</v>
      </c>
      <c r="O984" s="254">
        <f t="shared" ca="1" si="677"/>
        <v>0</v>
      </c>
      <c r="P984" s="254">
        <f t="shared" ca="1" si="677"/>
        <v>0</v>
      </c>
      <c r="Q984" s="254">
        <f t="shared" ca="1" si="677"/>
        <v>0</v>
      </c>
      <c r="R984" s="254">
        <f t="shared" ca="1" si="677"/>
        <v>0</v>
      </c>
      <c r="S984" s="254">
        <f t="shared" ca="1" si="677"/>
        <v>0</v>
      </c>
      <c r="T984" s="254">
        <f t="shared" ca="1" si="677"/>
        <v>0</v>
      </c>
      <c r="U984" s="254">
        <f t="shared" ca="1" si="677"/>
        <v>0</v>
      </c>
      <c r="V984" s="254">
        <f t="shared" ca="1" si="677"/>
        <v>0</v>
      </c>
      <c r="W984" s="254">
        <f t="shared" ca="1" si="677"/>
        <v>0</v>
      </c>
      <c r="X984" s="254">
        <f t="shared" ca="1" si="677"/>
        <v>0</v>
      </c>
    </row>
    <row r="985" spans="1:24" hidden="1">
      <c r="A985" s="328"/>
      <c r="B985" s="20">
        <f ca="1">OFFSET($B$96,D985,0)</f>
        <v>0</v>
      </c>
      <c r="C985" s="20"/>
      <c r="D985" s="21">
        <f>D979+1</f>
        <v>19</v>
      </c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</row>
    <row r="986" spans="1:24" hidden="1">
      <c r="A986" s="328"/>
      <c r="B986" s="165" t="s">
        <v>425</v>
      </c>
      <c r="C986" s="165"/>
      <c r="D986" s="165">
        <f ca="1">YEAR(OFFSET($E$96,D985,0))</f>
        <v>1900</v>
      </c>
      <c r="E986" s="165">
        <f ca="1">MONTH(OFFSET($E$96,D985,0))</f>
        <v>1</v>
      </c>
      <c r="F986" s="21">
        <f ca="1">12-$E986</f>
        <v>11</v>
      </c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</row>
    <row r="987" spans="1:24" hidden="1">
      <c r="A987" s="328"/>
      <c r="B987" s="21" t="s">
        <v>406</v>
      </c>
      <c r="C987" s="21"/>
      <c r="D987" s="387">
        <f ca="1">IF(E987&lt;0,0,ROUND(E987,0))</f>
        <v>0</v>
      </c>
      <c r="E987" s="249">
        <f ca="1">OFFSET($D$96,D985,0)</f>
        <v>0</v>
      </c>
      <c r="F987" s="387">
        <f ca="1">IF(E987&gt;10,ROUND(($D988/12)*$F986,0),$D987)</f>
        <v>0</v>
      </c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328"/>
      <c r="B988" s="21" t="s">
        <v>415</v>
      </c>
      <c r="C988" s="436" t="e">
        <f ca="1">VLOOKUP(OFFSET($C$96,D985,0),Założenia!$J$48:$K$55,2,FALSE)</f>
        <v>#N/A</v>
      </c>
      <c r="D988" s="387">
        <f ca="1">IF(ISBLANK(OFFSET($E$96,D985,0)),0,IF(E987&gt;10,ROUND(D987*C988,0),IF(D987&lt;0,0,D987)))</f>
        <v>0</v>
      </c>
      <c r="E988" s="21"/>
      <c r="F988" s="21"/>
      <c r="G988" s="21"/>
      <c r="H988" s="21"/>
      <c r="I988" s="21"/>
      <c r="J988" s="21"/>
      <c r="K988" s="75">
        <f ca="1">ROUND(IF($D986=LataProjekcji,$F987,IF($D986=LataProjekcji,$D988,0)),0)</f>
        <v>0</v>
      </c>
      <c r="L988" s="248">
        <f ca="1">ROUND(IF(OR(AND($D986=LataProjekcji,$F986&gt;0),AND($D986=LataProjekcji,$F986=0,$E987&lt;=10)),$F987,IF($D986&lt;LataProjekcji,IF((SUM($K988:K988)+$D988)&lt;$D987,$D988,$D987-SUM($K988:K988)),0)),0)</f>
        <v>0</v>
      </c>
      <c r="M988" s="248">
        <f ca="1">ROUND(IF(OR(AND($D986=LataProjekcji,$F986&gt;0),AND($D986=LataProjekcji,$F986=0,$E987&lt;=10)),$F987,IF($D986&lt;LataProjekcji,IF((SUM($K988:L988)+$D988)&lt;$D987,$D988,$D987-SUM($K988:L988)),0)),0)</f>
        <v>0</v>
      </c>
      <c r="N988" s="248">
        <f ca="1">ROUND(IF(OR(AND($D986=LataProjekcji,$F986&gt;0),AND($D986=LataProjekcji,$F986=0,$E987&lt;=10)),$F987,IF($D986&lt;LataProjekcji,IF((SUM($K988:M988)+$D988)&lt;$D987,$D988,$D987-SUM($K988:M988)),0)),0)</f>
        <v>0</v>
      </c>
      <c r="O988" s="248">
        <f ca="1">ROUND(IF(OR(AND($D986=LataProjekcji,$F986&gt;0),AND($D986=LataProjekcji,$F986=0,$E987&lt;=10)),$F987,IF($D986&lt;LataProjekcji,IF((SUM($K988:N988)+$D988)&lt;$D987,$D988,$D987-SUM($K988:N988)),0)),0)</f>
        <v>0</v>
      </c>
      <c r="P988" s="248">
        <f ca="1">ROUND(IF(OR(AND($D986=LataProjekcji,$F986&gt;0),AND($D986=LataProjekcji,$F986=0,$E987&lt;=10)),$F987,IF($D986&lt;LataProjekcji,IF((SUM($K988:O988)+$D988)&lt;$D987,$D988,$D987-SUM($K988:O988)),0)),0)</f>
        <v>0</v>
      </c>
      <c r="Q988" s="248">
        <f ca="1">ROUND(IF(OR(AND($D986=LataProjekcji,$F986&gt;0),AND($D986=LataProjekcji,$F986=0,$E987&lt;=10)),$F987,IF($D986&lt;LataProjekcji,IF((SUM($K988:P988)+$D988)&lt;$D987,$D988,$D987-SUM($K988:P988)),0)),0)</f>
        <v>0</v>
      </c>
      <c r="R988" s="248">
        <f ca="1">ROUND(IF(OR(AND($D986=LataProjekcji,$F986&gt;0),AND($D986=LataProjekcji,$F986=0,$E987&lt;=10)),$F987,IF($D986&lt;LataProjekcji,IF((SUM($K988:Q988)+$D988)&lt;$D987,$D988,$D987-SUM($K988:Q988)),0)),0)</f>
        <v>0</v>
      </c>
      <c r="S988" s="248">
        <f ca="1">ROUND(IF(OR(AND($D986=LataProjekcji,$F986&gt;0),AND($D986=LataProjekcji,$F986=0,$E987&lt;=10)),$F987,IF($D986&lt;LataProjekcji,IF((SUM($K988:R988)+$D988)&lt;$D987,$D988,$D987-SUM($K988:R988)),0)),0)</f>
        <v>0</v>
      </c>
      <c r="T988" s="248">
        <f ca="1">ROUND(IF(OR(AND($D986=LataProjekcji,$F986&gt;0),AND($D986=LataProjekcji,$F986=0,$E987&lt;=10)),$F987,IF($D986&lt;LataProjekcji,IF((SUM($K988:S988)+$D988)&lt;$D987,$D988,$D987-SUM($K988:S988)),0)),0)</f>
        <v>0</v>
      </c>
      <c r="U988" s="248">
        <f ca="1">ROUND(IF(OR(AND($D986=LataProjekcji,$F986&gt;0),AND($D986=LataProjekcji,$F986=0,$E987&lt;=10)),$F987,IF($D986&lt;LataProjekcji,IF((SUM($K988:T988)+$D988)&lt;$D987,$D988,$D987-SUM($K988:T988)),0)),0)</f>
        <v>0</v>
      </c>
      <c r="V988" s="248">
        <f ca="1">ROUND(IF(OR(AND($D986=LataProjekcji,$F986&gt;0),AND($D986=LataProjekcji,$F986=0,$E987&lt;=10)),$F987,IF($D986&lt;LataProjekcji,IF((SUM($K988:U988)+$D988)&lt;$D987,$D988,$D987-SUM($K988:U988)),0)),0)</f>
        <v>0</v>
      </c>
      <c r="W988" s="248">
        <f ca="1">ROUND(IF(OR(AND($D986=LataProjekcji,$F986&gt;0),AND($D986=LataProjekcji,$F986=0,$E987&lt;=10)),$F987,IF($D986&lt;LataProjekcji,IF((SUM($K988:V988)+$D988)&lt;$D987,$D988,$D987-SUM($K988:V988)),0)),0)</f>
        <v>0</v>
      </c>
      <c r="X988" s="248">
        <f ca="1">ROUND(IF(OR(AND($D986=LataProjekcji,$F986&gt;0),AND($D986=LataProjekcji,$F986=0,$E987&lt;=10)),$F987,IF($D986&lt;LataProjekcji,IF((SUM($K988:W988)+$D988)&lt;$D987,$D988,$D987-SUM($K988:W988)),0)),0)</f>
        <v>0</v>
      </c>
    </row>
    <row r="989" spans="1:24" hidden="1">
      <c r="A989" s="328"/>
      <c r="B989" s="21" t="s">
        <v>416</v>
      </c>
      <c r="C989" s="21"/>
      <c r="D989" s="22"/>
      <c r="E989" s="21"/>
      <c r="F989" s="21"/>
      <c r="G989" s="21"/>
      <c r="H989" s="21"/>
      <c r="I989" s="21"/>
      <c r="J989" s="21"/>
      <c r="K989" s="22">
        <f ca="1">ROUND(K988,0)</f>
        <v>0</v>
      </c>
      <c r="L989" s="22">
        <f t="shared" ref="L989" ca="1" si="678">ROUND(K989+L988,0)</f>
        <v>0</v>
      </c>
      <c r="M989" s="22">
        <f t="shared" ref="M989" ca="1" si="679">ROUND(L989+M988,0)</f>
        <v>0</v>
      </c>
      <c r="N989" s="22">
        <f t="shared" ref="N989" ca="1" si="680">ROUND(M989+N988,0)</f>
        <v>0</v>
      </c>
      <c r="O989" s="22">
        <f t="shared" ref="O989" ca="1" si="681">ROUND(N989+O988,0)</f>
        <v>0</v>
      </c>
      <c r="P989" s="22">
        <f t="shared" ref="P989" ca="1" si="682">ROUND(O989+P988,0)</f>
        <v>0</v>
      </c>
      <c r="Q989" s="22">
        <f t="shared" ref="Q989" ca="1" si="683">ROUND(P989+Q988,0)</f>
        <v>0</v>
      </c>
      <c r="R989" s="22">
        <f t="shared" ref="R989" ca="1" si="684">ROUND(Q989+R988,0)</f>
        <v>0</v>
      </c>
      <c r="S989" s="22">
        <f t="shared" ref="S989" ca="1" si="685">ROUND(R989+S988,0)</f>
        <v>0</v>
      </c>
      <c r="T989" s="22">
        <f t="shared" ref="T989" ca="1" si="686">ROUND(S989+T988,0)</f>
        <v>0</v>
      </c>
      <c r="U989" s="22">
        <f t="shared" ref="U989" ca="1" si="687">ROUND(T989+U988,0)</f>
        <v>0</v>
      </c>
      <c r="V989" s="22">
        <f t="shared" ref="V989" ca="1" si="688">ROUND(U989+V988,0)</f>
        <v>0</v>
      </c>
      <c r="W989" s="22">
        <f t="shared" ref="W989" ca="1" si="689">ROUND(V989+W988,0)</f>
        <v>0</v>
      </c>
      <c r="X989" s="22">
        <f t="shared" ref="X989" ca="1" si="690">ROUND(W989+X988,0)</f>
        <v>0</v>
      </c>
    </row>
    <row r="990" spans="1:24" hidden="1">
      <c r="A990" s="328"/>
      <c r="B990" s="21" t="s">
        <v>406</v>
      </c>
      <c r="C990" s="21"/>
      <c r="D990" s="22"/>
      <c r="E990" s="21"/>
      <c r="F990" s="21"/>
      <c r="G990" s="21"/>
      <c r="H990" s="21"/>
      <c r="I990" s="21"/>
      <c r="J990" s="445">
        <f ca="1">OFFSET($C$96,D985,0)</f>
        <v>0</v>
      </c>
      <c r="K990" s="77">
        <f ca="1">IF($D986=LataProjekcji,ROUND($D987-K989,0),ROUND(IF(K988=0,0,$D987-K989),0))</f>
        <v>0</v>
      </c>
      <c r="L990" s="254">
        <f t="shared" ref="L990:X990" ca="1" si="691">IF($D986=LataProjekcji,ROUND($D987-L989,0),ROUND(IF(AND(L988=0,K990&gt;0),$D987-L989,IF(L988=0,0,$D987-L989)),0))</f>
        <v>0</v>
      </c>
      <c r="M990" s="254">
        <f t="shared" ca="1" si="691"/>
        <v>0</v>
      </c>
      <c r="N990" s="254">
        <f t="shared" ca="1" si="691"/>
        <v>0</v>
      </c>
      <c r="O990" s="254">
        <f t="shared" ca="1" si="691"/>
        <v>0</v>
      </c>
      <c r="P990" s="254">
        <f t="shared" ca="1" si="691"/>
        <v>0</v>
      </c>
      <c r="Q990" s="254">
        <f t="shared" ca="1" si="691"/>
        <v>0</v>
      </c>
      <c r="R990" s="254">
        <f t="shared" ca="1" si="691"/>
        <v>0</v>
      </c>
      <c r="S990" s="254">
        <f t="shared" ca="1" si="691"/>
        <v>0</v>
      </c>
      <c r="T990" s="254">
        <f t="shared" ca="1" si="691"/>
        <v>0</v>
      </c>
      <c r="U990" s="254">
        <f t="shared" ca="1" si="691"/>
        <v>0</v>
      </c>
      <c r="V990" s="254">
        <f t="shared" ca="1" si="691"/>
        <v>0</v>
      </c>
      <c r="W990" s="254">
        <f t="shared" ca="1" si="691"/>
        <v>0</v>
      </c>
      <c r="X990" s="254">
        <f t="shared" ca="1" si="691"/>
        <v>0</v>
      </c>
    </row>
    <row r="991" spans="1:24" hidden="1">
      <c r="A991" s="328"/>
      <c r="B991" s="20">
        <f ca="1">OFFSET($B$96,D991,0)</f>
        <v>0</v>
      </c>
      <c r="C991" s="20"/>
      <c r="D991" s="21">
        <f>D985+1</f>
        <v>20</v>
      </c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328"/>
      <c r="B992" s="165" t="s">
        <v>425</v>
      </c>
      <c r="C992" s="165"/>
      <c r="D992" s="165">
        <f ca="1">YEAR(OFFSET($E$96,D991,0))</f>
        <v>1900</v>
      </c>
      <c r="E992" s="165">
        <f ca="1">MONTH(OFFSET($E$96,D991,0))</f>
        <v>1</v>
      </c>
      <c r="F992" s="21">
        <f ca="1">12-$E992</f>
        <v>11</v>
      </c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</row>
    <row r="993" spans="1:24" hidden="1">
      <c r="A993" s="328"/>
      <c r="B993" s="21" t="s">
        <v>406</v>
      </c>
      <c r="C993" s="21"/>
      <c r="D993" s="387">
        <f ca="1">IF(E993&lt;0,0,ROUND(E993,0))</f>
        <v>0</v>
      </c>
      <c r="E993" s="249">
        <f ca="1">OFFSET($D$96,D991,0)</f>
        <v>0</v>
      </c>
      <c r="F993" s="387">
        <f ca="1">IF(E993&gt;10,ROUND(($D994/12)*$F992,0),$D993)</f>
        <v>0</v>
      </c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</row>
    <row r="994" spans="1:24" hidden="1">
      <c r="A994" s="328"/>
      <c r="B994" s="21" t="s">
        <v>415</v>
      </c>
      <c r="C994" s="436" t="e">
        <f ca="1">VLOOKUP(OFFSET($C$96,D991,0),Założenia!$J$48:$K$55,2,FALSE)</f>
        <v>#N/A</v>
      </c>
      <c r="D994" s="387">
        <f ca="1">IF(ISBLANK(OFFSET($E$96,D991,0)),0,IF(E993&gt;10,ROUND(D993*C994,0),IF(D993&lt;0,0,D993)))</f>
        <v>0</v>
      </c>
      <c r="E994" s="21"/>
      <c r="F994" s="21"/>
      <c r="G994" s="21"/>
      <c r="H994" s="21"/>
      <c r="I994" s="21"/>
      <c r="J994" s="21"/>
      <c r="K994" s="75">
        <f ca="1">ROUND(IF($D992=LataProjekcji,$F993,IF($D992=LataProjekcji,$D994,0)),0)</f>
        <v>0</v>
      </c>
      <c r="L994" s="248">
        <f ca="1">ROUND(IF(OR(AND($D992=LataProjekcji,$F992&gt;0),AND($D992=LataProjekcji,$F992=0,$E993&lt;=10)),$F993,IF($D992&lt;LataProjekcji,IF((SUM($K994:K994)+$D994)&lt;$D993,$D994,$D993-SUM($K994:K994)),0)),0)</f>
        <v>0</v>
      </c>
      <c r="M994" s="248">
        <f ca="1">ROUND(IF(OR(AND($D992=LataProjekcji,$F992&gt;0),AND($D992=LataProjekcji,$F992=0,$E993&lt;=10)),$F993,IF($D992&lt;LataProjekcji,IF((SUM($K994:L994)+$D994)&lt;$D993,$D994,$D993-SUM($K994:L994)),0)),0)</f>
        <v>0</v>
      </c>
      <c r="N994" s="248">
        <f ca="1">ROUND(IF(OR(AND($D992=LataProjekcji,$F992&gt;0),AND($D992=LataProjekcji,$F992=0,$E993&lt;=10)),$F993,IF($D992&lt;LataProjekcji,IF((SUM($K994:M994)+$D994)&lt;$D993,$D994,$D993-SUM($K994:M994)),0)),0)</f>
        <v>0</v>
      </c>
      <c r="O994" s="248">
        <f ca="1">ROUND(IF(OR(AND($D992=LataProjekcji,$F992&gt;0),AND($D992=LataProjekcji,$F992=0,$E993&lt;=10)),$F993,IF($D992&lt;LataProjekcji,IF((SUM($K994:N994)+$D994)&lt;$D993,$D994,$D993-SUM($K994:N994)),0)),0)</f>
        <v>0</v>
      </c>
      <c r="P994" s="248">
        <f ca="1">ROUND(IF(OR(AND($D992=LataProjekcji,$F992&gt;0),AND($D992=LataProjekcji,$F992=0,$E993&lt;=10)),$F993,IF($D992&lt;LataProjekcji,IF((SUM($K994:O994)+$D994)&lt;$D993,$D994,$D993-SUM($K994:O994)),0)),0)</f>
        <v>0</v>
      </c>
      <c r="Q994" s="248">
        <f ca="1">ROUND(IF(OR(AND($D992=LataProjekcji,$F992&gt;0),AND($D992=LataProjekcji,$F992=0,$E993&lt;=10)),$F993,IF($D992&lt;LataProjekcji,IF((SUM($K994:P994)+$D994)&lt;$D993,$D994,$D993-SUM($K994:P994)),0)),0)</f>
        <v>0</v>
      </c>
      <c r="R994" s="248">
        <f ca="1">ROUND(IF(OR(AND($D992=LataProjekcji,$F992&gt;0),AND($D992=LataProjekcji,$F992=0,$E993&lt;=10)),$F993,IF($D992&lt;LataProjekcji,IF((SUM($K994:Q994)+$D994)&lt;$D993,$D994,$D993-SUM($K994:Q994)),0)),0)</f>
        <v>0</v>
      </c>
      <c r="S994" s="248">
        <f ca="1">ROUND(IF(OR(AND($D992=LataProjekcji,$F992&gt;0),AND($D992=LataProjekcji,$F992=0,$E993&lt;=10)),$F993,IF($D992&lt;LataProjekcji,IF((SUM($K994:R994)+$D994)&lt;$D993,$D994,$D993-SUM($K994:R994)),0)),0)</f>
        <v>0</v>
      </c>
      <c r="T994" s="248">
        <f ca="1">ROUND(IF(OR(AND($D992=LataProjekcji,$F992&gt;0),AND($D992=LataProjekcji,$F992=0,$E993&lt;=10)),$F993,IF($D992&lt;LataProjekcji,IF((SUM($K994:S994)+$D994)&lt;$D993,$D994,$D993-SUM($K994:S994)),0)),0)</f>
        <v>0</v>
      </c>
      <c r="U994" s="248">
        <f ca="1">ROUND(IF(OR(AND($D992=LataProjekcji,$F992&gt;0),AND($D992=LataProjekcji,$F992=0,$E993&lt;=10)),$F993,IF($D992&lt;LataProjekcji,IF((SUM($K994:T994)+$D994)&lt;$D993,$D994,$D993-SUM($K994:T994)),0)),0)</f>
        <v>0</v>
      </c>
      <c r="V994" s="248">
        <f ca="1">ROUND(IF(OR(AND($D992=LataProjekcji,$F992&gt;0),AND($D992=LataProjekcji,$F992=0,$E993&lt;=10)),$F993,IF($D992&lt;LataProjekcji,IF((SUM($K994:U994)+$D994)&lt;$D993,$D994,$D993-SUM($K994:U994)),0)),0)</f>
        <v>0</v>
      </c>
      <c r="W994" s="248">
        <f ca="1">ROUND(IF(OR(AND($D992=LataProjekcji,$F992&gt;0),AND($D992=LataProjekcji,$F992=0,$E993&lt;=10)),$F993,IF($D992&lt;LataProjekcji,IF((SUM($K994:V994)+$D994)&lt;$D993,$D994,$D993-SUM($K994:V994)),0)),0)</f>
        <v>0</v>
      </c>
      <c r="X994" s="248">
        <f ca="1">ROUND(IF(OR(AND($D992=LataProjekcji,$F992&gt;0),AND($D992=LataProjekcji,$F992=0,$E993&lt;=10)),$F993,IF($D992&lt;LataProjekcji,IF((SUM($K994:W994)+$D994)&lt;$D993,$D994,$D993-SUM($K994:W994)),0)),0)</f>
        <v>0</v>
      </c>
    </row>
    <row r="995" spans="1:24" hidden="1">
      <c r="A995" s="328"/>
      <c r="B995" s="21" t="s">
        <v>416</v>
      </c>
      <c r="C995" s="21"/>
      <c r="D995" s="22"/>
      <c r="E995" s="21"/>
      <c r="F995" s="21"/>
      <c r="G995" s="21"/>
      <c r="H995" s="21"/>
      <c r="I995" s="21"/>
      <c r="J995" s="21"/>
      <c r="K995" s="22">
        <f ca="1">ROUND(K994,0)</f>
        <v>0</v>
      </c>
      <c r="L995" s="22">
        <f t="shared" ref="L995" ca="1" si="692">ROUND(K995+L994,0)</f>
        <v>0</v>
      </c>
      <c r="M995" s="22">
        <f t="shared" ref="M995" ca="1" si="693">ROUND(L995+M994,0)</f>
        <v>0</v>
      </c>
      <c r="N995" s="22">
        <f t="shared" ref="N995" ca="1" si="694">ROUND(M995+N994,0)</f>
        <v>0</v>
      </c>
      <c r="O995" s="22">
        <f t="shared" ref="O995" ca="1" si="695">ROUND(N995+O994,0)</f>
        <v>0</v>
      </c>
      <c r="P995" s="22">
        <f t="shared" ref="P995" ca="1" si="696">ROUND(O995+P994,0)</f>
        <v>0</v>
      </c>
      <c r="Q995" s="22">
        <f t="shared" ref="Q995" ca="1" si="697">ROUND(P995+Q994,0)</f>
        <v>0</v>
      </c>
      <c r="R995" s="22">
        <f t="shared" ref="R995" ca="1" si="698">ROUND(Q995+R994,0)</f>
        <v>0</v>
      </c>
      <c r="S995" s="22">
        <f t="shared" ref="S995" ca="1" si="699">ROUND(R995+S994,0)</f>
        <v>0</v>
      </c>
      <c r="T995" s="22">
        <f t="shared" ref="T995" ca="1" si="700">ROUND(S995+T994,0)</f>
        <v>0</v>
      </c>
      <c r="U995" s="22">
        <f t="shared" ref="U995" ca="1" si="701">ROUND(T995+U994,0)</f>
        <v>0</v>
      </c>
      <c r="V995" s="22">
        <f t="shared" ref="V995" ca="1" si="702">ROUND(U995+V994,0)</f>
        <v>0</v>
      </c>
      <c r="W995" s="22">
        <f t="shared" ref="W995" ca="1" si="703">ROUND(V995+W994,0)</f>
        <v>0</v>
      </c>
      <c r="X995" s="22">
        <f t="shared" ref="X995" ca="1" si="704">ROUND(W995+X994,0)</f>
        <v>0</v>
      </c>
    </row>
    <row r="996" spans="1:24" hidden="1">
      <c r="A996" s="328"/>
      <c r="B996" s="21" t="s">
        <v>406</v>
      </c>
      <c r="C996" s="21"/>
      <c r="D996" s="22"/>
      <c r="E996" s="21"/>
      <c r="F996" s="21"/>
      <c r="G996" s="21"/>
      <c r="H996" s="21"/>
      <c r="I996" s="21"/>
      <c r="J996" s="445">
        <f ca="1">OFFSET($C$96,D991,0)</f>
        <v>0</v>
      </c>
      <c r="K996" s="77">
        <f ca="1">IF($D992=LataProjekcji,ROUND($D993-K995,0),ROUND(IF(K994=0,0,$D993-K995),0))</f>
        <v>0</v>
      </c>
      <c r="L996" s="254">
        <f t="shared" ref="L996:X996" ca="1" si="705">IF($D992=LataProjekcji,ROUND($D993-L995,0),ROUND(IF(AND(L994=0,K996&gt;0),$D993-L995,IF(L994=0,0,$D993-L995)),0))</f>
        <v>0</v>
      </c>
      <c r="M996" s="254">
        <f t="shared" ca="1" si="705"/>
        <v>0</v>
      </c>
      <c r="N996" s="254">
        <f t="shared" ca="1" si="705"/>
        <v>0</v>
      </c>
      <c r="O996" s="254">
        <f t="shared" ca="1" si="705"/>
        <v>0</v>
      </c>
      <c r="P996" s="254">
        <f t="shared" ca="1" si="705"/>
        <v>0</v>
      </c>
      <c r="Q996" s="254">
        <f t="shared" ca="1" si="705"/>
        <v>0</v>
      </c>
      <c r="R996" s="254">
        <f t="shared" ca="1" si="705"/>
        <v>0</v>
      </c>
      <c r="S996" s="254">
        <f t="shared" ca="1" si="705"/>
        <v>0</v>
      </c>
      <c r="T996" s="254">
        <f t="shared" ca="1" si="705"/>
        <v>0</v>
      </c>
      <c r="U996" s="254">
        <f t="shared" ca="1" si="705"/>
        <v>0</v>
      </c>
      <c r="V996" s="254">
        <f t="shared" ca="1" si="705"/>
        <v>0</v>
      </c>
      <c r="W996" s="254">
        <f t="shared" ca="1" si="705"/>
        <v>0</v>
      </c>
      <c r="X996" s="254">
        <f t="shared" ca="1" si="705"/>
        <v>0</v>
      </c>
    </row>
    <row r="997" spans="1:24" hidden="1">
      <c r="A997" s="328"/>
      <c r="B997" s="20">
        <f ca="1">OFFSET($B$96,D997,0)</f>
        <v>0</v>
      </c>
      <c r="C997" s="20"/>
      <c r="D997" s="21">
        <f>D991+1</f>
        <v>21</v>
      </c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328"/>
      <c r="B998" s="165" t="s">
        <v>425</v>
      </c>
      <c r="C998" s="165"/>
      <c r="D998" s="165">
        <f ca="1">YEAR(OFFSET($E$96,D997,0))</f>
        <v>1900</v>
      </c>
      <c r="E998" s="165">
        <f ca="1">MONTH(OFFSET($E$96,D997,0))</f>
        <v>1</v>
      </c>
      <c r="F998" s="21">
        <f ca="1">12-$E998</f>
        <v>11</v>
      </c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328"/>
      <c r="B999" s="21" t="s">
        <v>406</v>
      </c>
      <c r="C999" s="21"/>
      <c r="D999" s="385">
        <f ca="1">IF(E999&lt;0,0,ROUND(E999,0))</f>
        <v>0</v>
      </c>
      <c r="E999" s="249">
        <f ca="1">OFFSET($D$96,D997,0)</f>
        <v>0</v>
      </c>
      <c r="F999" s="385">
        <f ca="1">IF(E999&gt;10,ROUND(($D1000/12)*$F998,0),$D999)</f>
        <v>0</v>
      </c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</row>
    <row r="1000" spans="1:24" hidden="1">
      <c r="A1000" s="328"/>
      <c r="B1000" s="21" t="s">
        <v>415</v>
      </c>
      <c r="C1000" s="436" t="e">
        <f ca="1">VLOOKUP(OFFSET($C$96,D997,0),Założenia!$J$48:$K$55,2,FALSE)</f>
        <v>#N/A</v>
      </c>
      <c r="D1000" s="385">
        <f ca="1">IF(ISBLANK(OFFSET($E$96,D997,0)),0,IF(E999&gt;10,ROUND(D999*C1000,0),IF(D999&lt;0,0,D999)))</f>
        <v>0</v>
      </c>
      <c r="E1000" s="21"/>
      <c r="F1000" s="21"/>
      <c r="G1000" s="21"/>
      <c r="H1000" s="21"/>
      <c r="I1000" s="21"/>
      <c r="J1000" s="21"/>
      <c r="K1000" s="75">
        <f ca="1">ROUND(IF($D998=LataProjekcji,$F999,IF($D998=LataProjekcji,$D1000,0)),0)</f>
        <v>0</v>
      </c>
      <c r="L1000" s="248">
        <f ca="1">ROUND(IF(OR(AND($D998=LataProjekcji,$F998&gt;0),AND($D998=LataProjekcji,$F998=0,$E999&lt;=10)),$F999,IF($D998&lt;LataProjekcji,IF((SUM($K1000:K1000)+$D1000)&lt;$D999,$D1000,$D999-SUM($K1000:K1000)),0)),0)</f>
        <v>0</v>
      </c>
      <c r="M1000" s="248">
        <f ca="1">ROUND(IF(OR(AND($D998=LataProjekcji,$F998&gt;0),AND($D998=LataProjekcji,$F998=0,$E999&lt;=10)),$F999,IF($D998&lt;LataProjekcji,IF((SUM($K1000:L1000)+$D1000)&lt;$D999,$D1000,$D999-SUM($K1000:L1000)),0)),0)</f>
        <v>0</v>
      </c>
      <c r="N1000" s="248">
        <f ca="1">ROUND(IF(OR(AND($D998=LataProjekcji,$F998&gt;0),AND($D998=LataProjekcji,$F998=0,$E999&lt;=10)),$F999,IF($D998&lt;LataProjekcji,IF((SUM($K1000:M1000)+$D1000)&lt;$D999,$D1000,$D999-SUM($K1000:M1000)),0)),0)</f>
        <v>0</v>
      </c>
      <c r="O1000" s="248">
        <f ca="1">ROUND(IF(OR(AND($D998=LataProjekcji,$F998&gt;0),AND($D998=LataProjekcji,$F998=0,$E999&lt;=10)),$F999,IF($D998&lt;LataProjekcji,IF((SUM($K1000:N1000)+$D1000)&lt;$D999,$D1000,$D999-SUM($K1000:N1000)),0)),0)</f>
        <v>0</v>
      </c>
      <c r="P1000" s="248">
        <f ca="1">ROUND(IF(OR(AND($D998=LataProjekcji,$F998&gt;0),AND($D998=LataProjekcji,$F998=0,$E999&lt;=10)),$F999,IF($D998&lt;LataProjekcji,IF((SUM($K1000:O1000)+$D1000)&lt;$D999,$D1000,$D999-SUM($K1000:O1000)),0)),0)</f>
        <v>0</v>
      </c>
      <c r="Q1000" s="248">
        <f ca="1">ROUND(IF(OR(AND($D998=LataProjekcji,$F998&gt;0),AND($D998=LataProjekcji,$F998=0,$E999&lt;=10)),$F999,IF($D998&lt;LataProjekcji,IF((SUM($K1000:P1000)+$D1000)&lt;$D999,$D1000,$D999-SUM($K1000:P1000)),0)),0)</f>
        <v>0</v>
      </c>
      <c r="R1000" s="248">
        <f ca="1">ROUND(IF(OR(AND($D998=LataProjekcji,$F998&gt;0),AND($D998=LataProjekcji,$F998=0,$E999&lt;=10)),$F999,IF($D998&lt;LataProjekcji,IF((SUM($K1000:Q1000)+$D1000)&lt;$D999,$D1000,$D999-SUM($K1000:Q1000)),0)),0)</f>
        <v>0</v>
      </c>
      <c r="S1000" s="248">
        <f ca="1">ROUND(IF(OR(AND($D998=LataProjekcji,$F998&gt;0),AND($D998=LataProjekcji,$F998=0,$E999&lt;=10)),$F999,IF($D998&lt;LataProjekcji,IF((SUM($K1000:R1000)+$D1000)&lt;$D999,$D1000,$D999-SUM($K1000:R1000)),0)),0)</f>
        <v>0</v>
      </c>
      <c r="T1000" s="248">
        <f ca="1">ROUND(IF(OR(AND($D998=LataProjekcji,$F998&gt;0),AND($D998=LataProjekcji,$F998=0,$E999&lt;=10)),$F999,IF($D998&lt;LataProjekcji,IF((SUM($K1000:S1000)+$D1000)&lt;$D999,$D1000,$D999-SUM($K1000:S1000)),0)),0)</f>
        <v>0</v>
      </c>
      <c r="U1000" s="248">
        <f ca="1">ROUND(IF(OR(AND($D998=LataProjekcji,$F998&gt;0),AND($D998=LataProjekcji,$F998=0,$E999&lt;=10)),$F999,IF($D998&lt;LataProjekcji,IF((SUM($K1000:T1000)+$D1000)&lt;$D999,$D1000,$D999-SUM($K1000:T1000)),0)),0)</f>
        <v>0</v>
      </c>
      <c r="V1000" s="248">
        <f ca="1">ROUND(IF(OR(AND($D998=LataProjekcji,$F998&gt;0),AND($D998=LataProjekcji,$F998=0,$E999&lt;=10)),$F999,IF($D998&lt;LataProjekcji,IF((SUM($K1000:U1000)+$D1000)&lt;$D999,$D1000,$D999-SUM($K1000:U1000)),0)),0)</f>
        <v>0</v>
      </c>
      <c r="W1000" s="248">
        <f ca="1">ROUND(IF(OR(AND($D998=LataProjekcji,$F998&gt;0),AND($D998=LataProjekcji,$F998=0,$E999&lt;=10)),$F999,IF($D998&lt;LataProjekcji,IF((SUM($K1000:V1000)+$D1000)&lt;$D999,$D1000,$D999-SUM($K1000:V1000)),0)),0)</f>
        <v>0</v>
      </c>
      <c r="X1000" s="248">
        <f ca="1">ROUND(IF(OR(AND($D998=LataProjekcji,$F998&gt;0),AND($D998=LataProjekcji,$F998=0,$E999&lt;=10)),$F999,IF($D998&lt;LataProjekcji,IF((SUM($K1000:W1000)+$D1000)&lt;$D999,$D1000,$D999-SUM($K1000:W1000)),0)),0)</f>
        <v>0</v>
      </c>
    </row>
    <row r="1001" spans="1:24" hidden="1">
      <c r="A1001" s="328"/>
      <c r="B1001" s="21" t="s">
        <v>416</v>
      </c>
      <c r="C1001" s="21"/>
      <c r="D1001" s="22"/>
      <c r="E1001" s="21"/>
      <c r="F1001" s="21"/>
      <c r="G1001" s="21"/>
      <c r="H1001" s="21"/>
      <c r="I1001" s="21"/>
      <c r="J1001" s="21"/>
      <c r="K1001" s="22">
        <f ca="1">ROUND(K1000,0)</f>
        <v>0</v>
      </c>
      <c r="L1001" s="22">
        <f t="shared" ref="L1001" ca="1" si="706">ROUND(K1001+L1000,0)</f>
        <v>0</v>
      </c>
      <c r="M1001" s="22">
        <f t="shared" ref="M1001" ca="1" si="707">ROUND(L1001+M1000,0)</f>
        <v>0</v>
      </c>
      <c r="N1001" s="22">
        <f t="shared" ref="N1001" ca="1" si="708">ROUND(M1001+N1000,0)</f>
        <v>0</v>
      </c>
      <c r="O1001" s="22">
        <f t="shared" ref="O1001" ca="1" si="709">ROUND(N1001+O1000,0)</f>
        <v>0</v>
      </c>
      <c r="P1001" s="22">
        <f t="shared" ref="P1001" ca="1" si="710">ROUND(O1001+P1000,0)</f>
        <v>0</v>
      </c>
      <c r="Q1001" s="22">
        <f t="shared" ref="Q1001" ca="1" si="711">ROUND(P1001+Q1000,0)</f>
        <v>0</v>
      </c>
      <c r="R1001" s="22">
        <f t="shared" ref="R1001" ca="1" si="712">ROUND(Q1001+R1000,0)</f>
        <v>0</v>
      </c>
      <c r="S1001" s="22">
        <f t="shared" ref="S1001" ca="1" si="713">ROUND(R1001+S1000,0)</f>
        <v>0</v>
      </c>
      <c r="T1001" s="22">
        <f t="shared" ref="T1001" ca="1" si="714">ROUND(S1001+T1000,0)</f>
        <v>0</v>
      </c>
      <c r="U1001" s="22">
        <f t="shared" ref="U1001" ca="1" si="715">ROUND(T1001+U1000,0)</f>
        <v>0</v>
      </c>
      <c r="V1001" s="22">
        <f t="shared" ref="V1001" ca="1" si="716">ROUND(U1001+V1000,0)</f>
        <v>0</v>
      </c>
      <c r="W1001" s="22">
        <f t="shared" ref="W1001" ca="1" si="717">ROUND(V1001+W1000,0)</f>
        <v>0</v>
      </c>
      <c r="X1001" s="22">
        <f t="shared" ref="X1001" ca="1" si="718">ROUND(W1001+X1000,0)</f>
        <v>0</v>
      </c>
    </row>
    <row r="1002" spans="1:24" hidden="1">
      <c r="A1002" s="328"/>
      <c r="B1002" s="21" t="s">
        <v>406</v>
      </c>
      <c r="C1002" s="21"/>
      <c r="D1002" s="22"/>
      <c r="E1002" s="21"/>
      <c r="F1002" s="21"/>
      <c r="G1002" s="21"/>
      <c r="H1002" s="21"/>
      <c r="I1002" s="21"/>
      <c r="J1002" s="445">
        <f ca="1">OFFSET($C$96,D997,0)</f>
        <v>0</v>
      </c>
      <c r="K1002" s="77">
        <f ca="1">IF($D998=LataProjekcji,ROUND($D999-K1001,0),ROUND(IF(K1000=0,0,$D999-K1001),0))</f>
        <v>0</v>
      </c>
      <c r="L1002" s="254">
        <f t="shared" ref="L1002:X1002" ca="1" si="719">IF($D998=LataProjekcji,ROUND($D999-L1001,0),ROUND(IF(AND(L1000=0,K1002&gt;0),$D999-L1001,IF(L1000=0,0,$D999-L1001)),0))</f>
        <v>0</v>
      </c>
      <c r="M1002" s="254">
        <f t="shared" ca="1" si="719"/>
        <v>0</v>
      </c>
      <c r="N1002" s="254">
        <f t="shared" ca="1" si="719"/>
        <v>0</v>
      </c>
      <c r="O1002" s="254">
        <f t="shared" ca="1" si="719"/>
        <v>0</v>
      </c>
      <c r="P1002" s="254">
        <f t="shared" ca="1" si="719"/>
        <v>0</v>
      </c>
      <c r="Q1002" s="254">
        <f t="shared" ca="1" si="719"/>
        <v>0</v>
      </c>
      <c r="R1002" s="254">
        <f t="shared" ca="1" si="719"/>
        <v>0</v>
      </c>
      <c r="S1002" s="254">
        <f t="shared" ca="1" si="719"/>
        <v>0</v>
      </c>
      <c r="T1002" s="254">
        <f t="shared" ca="1" si="719"/>
        <v>0</v>
      </c>
      <c r="U1002" s="254">
        <f t="shared" ca="1" si="719"/>
        <v>0</v>
      </c>
      <c r="V1002" s="254">
        <f t="shared" ca="1" si="719"/>
        <v>0</v>
      </c>
      <c r="W1002" s="254">
        <f t="shared" ca="1" si="719"/>
        <v>0</v>
      </c>
      <c r="X1002" s="254">
        <f t="shared" ca="1" si="719"/>
        <v>0</v>
      </c>
    </row>
    <row r="1003" spans="1:24" hidden="1">
      <c r="A1003" s="328"/>
      <c r="B1003" s="20">
        <f ca="1">OFFSET($B$96,D1003,0)</f>
        <v>0</v>
      </c>
      <c r="C1003" s="20"/>
      <c r="D1003" s="21">
        <f>D997+1</f>
        <v>22</v>
      </c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328"/>
      <c r="B1004" s="165" t="s">
        <v>425</v>
      </c>
      <c r="C1004" s="165"/>
      <c r="D1004" s="165">
        <f ca="1">YEAR(OFFSET($E$96,D1003,0))</f>
        <v>1900</v>
      </c>
      <c r="E1004" s="165">
        <f ca="1">MONTH(OFFSET($E$96,D1003,0))</f>
        <v>1</v>
      </c>
      <c r="F1004" s="21">
        <f ca="1">12-$E1004</f>
        <v>11</v>
      </c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328"/>
      <c r="B1005" s="21" t="s">
        <v>406</v>
      </c>
      <c r="C1005" s="21"/>
      <c r="D1005" s="386">
        <f ca="1">IF(E1005&lt;0,0,ROUND(E1005,0))</f>
        <v>0</v>
      </c>
      <c r="E1005" s="249">
        <f ca="1">OFFSET($D$96,D1003,0)</f>
        <v>0</v>
      </c>
      <c r="F1005" s="386">
        <f ca="1">IF(E1005&gt;10,ROUND(($D1006/12)*$F1004,0),$D1005)</f>
        <v>0</v>
      </c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328"/>
      <c r="B1006" s="21" t="s">
        <v>415</v>
      </c>
      <c r="C1006" s="436" t="e">
        <f ca="1">VLOOKUP(OFFSET($C$96,D1003,0),Założenia!$J$48:$K$55,2,FALSE)</f>
        <v>#N/A</v>
      </c>
      <c r="D1006" s="386">
        <f ca="1">IF(ISBLANK(OFFSET($E$96,D1003,0)),0,IF(E1005&gt;10,ROUND(D1005*C1006,0),IF(D1005&lt;0,0,D1005)))</f>
        <v>0</v>
      </c>
      <c r="E1006" s="21"/>
      <c r="F1006" s="21"/>
      <c r="G1006" s="21"/>
      <c r="H1006" s="21"/>
      <c r="I1006" s="21"/>
      <c r="J1006" s="21"/>
      <c r="K1006" s="75">
        <f ca="1">ROUND(IF($D1004=LataProjekcji,$F1005,IF($D1004=LataProjekcji,$D1006,0)),0)</f>
        <v>0</v>
      </c>
      <c r="L1006" s="248">
        <f ca="1">ROUND(IF(OR(AND($D1004=LataProjekcji,$F1004&gt;0),AND($D1004=LataProjekcji,$F1004=0,$E1005&lt;=10)),$F1005,IF($D1004&lt;LataProjekcji,IF((SUM($K1006:K1006)+$D1006)&lt;$D1005,$D1006,$D1005-SUM($K1006:K1006)),0)),0)</f>
        <v>0</v>
      </c>
      <c r="M1006" s="248">
        <f ca="1">ROUND(IF(OR(AND($D1004=LataProjekcji,$F1004&gt;0),AND($D1004=LataProjekcji,$F1004=0,$E1005&lt;=10)),$F1005,IF($D1004&lt;LataProjekcji,IF((SUM($K1006:L1006)+$D1006)&lt;$D1005,$D1006,$D1005-SUM($K1006:L1006)),0)),0)</f>
        <v>0</v>
      </c>
      <c r="N1006" s="248">
        <f ca="1">ROUND(IF(OR(AND($D1004=LataProjekcji,$F1004&gt;0),AND($D1004=LataProjekcji,$F1004=0,$E1005&lt;=10)),$F1005,IF($D1004&lt;LataProjekcji,IF((SUM($K1006:M1006)+$D1006)&lt;$D1005,$D1006,$D1005-SUM($K1006:M1006)),0)),0)</f>
        <v>0</v>
      </c>
      <c r="O1006" s="248">
        <f ca="1">ROUND(IF(OR(AND($D1004=LataProjekcji,$F1004&gt;0),AND($D1004=LataProjekcji,$F1004=0,$E1005&lt;=10)),$F1005,IF($D1004&lt;LataProjekcji,IF((SUM($K1006:N1006)+$D1006)&lt;$D1005,$D1006,$D1005-SUM($K1006:N1006)),0)),0)</f>
        <v>0</v>
      </c>
      <c r="P1006" s="248">
        <f ca="1">ROUND(IF(OR(AND($D1004=LataProjekcji,$F1004&gt;0),AND($D1004=LataProjekcji,$F1004=0,$E1005&lt;=10)),$F1005,IF($D1004&lt;LataProjekcji,IF((SUM($K1006:O1006)+$D1006)&lt;$D1005,$D1006,$D1005-SUM($K1006:O1006)),0)),0)</f>
        <v>0</v>
      </c>
      <c r="Q1006" s="248">
        <f ca="1">ROUND(IF(OR(AND($D1004=LataProjekcji,$F1004&gt;0),AND($D1004=LataProjekcji,$F1004=0,$E1005&lt;=10)),$F1005,IF($D1004&lt;LataProjekcji,IF((SUM($K1006:P1006)+$D1006)&lt;$D1005,$D1006,$D1005-SUM($K1006:P1006)),0)),0)</f>
        <v>0</v>
      </c>
      <c r="R1006" s="248">
        <f ca="1">ROUND(IF(OR(AND($D1004=LataProjekcji,$F1004&gt;0),AND($D1004=LataProjekcji,$F1004=0,$E1005&lt;=10)),$F1005,IF($D1004&lt;LataProjekcji,IF((SUM($K1006:Q1006)+$D1006)&lt;$D1005,$D1006,$D1005-SUM($K1006:Q1006)),0)),0)</f>
        <v>0</v>
      </c>
      <c r="S1006" s="248">
        <f ca="1">ROUND(IF(OR(AND($D1004=LataProjekcji,$F1004&gt;0),AND($D1004=LataProjekcji,$F1004=0,$E1005&lt;=10)),$F1005,IF($D1004&lt;LataProjekcji,IF((SUM($K1006:R1006)+$D1006)&lt;$D1005,$D1006,$D1005-SUM($K1006:R1006)),0)),0)</f>
        <v>0</v>
      </c>
      <c r="T1006" s="248">
        <f ca="1">ROUND(IF(OR(AND($D1004=LataProjekcji,$F1004&gt;0),AND($D1004=LataProjekcji,$F1004=0,$E1005&lt;=10)),$F1005,IF($D1004&lt;LataProjekcji,IF((SUM($K1006:S1006)+$D1006)&lt;$D1005,$D1006,$D1005-SUM($K1006:S1006)),0)),0)</f>
        <v>0</v>
      </c>
      <c r="U1006" s="248">
        <f ca="1">ROUND(IF(OR(AND($D1004=LataProjekcji,$F1004&gt;0),AND($D1004=LataProjekcji,$F1004=0,$E1005&lt;=10)),$F1005,IF($D1004&lt;LataProjekcji,IF((SUM($K1006:T1006)+$D1006)&lt;$D1005,$D1006,$D1005-SUM($K1006:T1006)),0)),0)</f>
        <v>0</v>
      </c>
      <c r="V1006" s="248">
        <f ca="1">ROUND(IF(OR(AND($D1004=LataProjekcji,$F1004&gt;0),AND($D1004=LataProjekcji,$F1004=0,$E1005&lt;=10)),$F1005,IF($D1004&lt;LataProjekcji,IF((SUM($K1006:U1006)+$D1006)&lt;$D1005,$D1006,$D1005-SUM($K1006:U1006)),0)),0)</f>
        <v>0</v>
      </c>
      <c r="W1006" s="248">
        <f ca="1">ROUND(IF(OR(AND($D1004=LataProjekcji,$F1004&gt;0),AND($D1004=LataProjekcji,$F1004=0,$E1005&lt;=10)),$F1005,IF($D1004&lt;LataProjekcji,IF((SUM($K1006:V1006)+$D1006)&lt;$D1005,$D1006,$D1005-SUM($K1006:V1006)),0)),0)</f>
        <v>0</v>
      </c>
      <c r="X1006" s="248">
        <f ca="1">ROUND(IF(OR(AND($D1004=LataProjekcji,$F1004&gt;0),AND($D1004=LataProjekcji,$F1004=0,$E1005&lt;=10)),$F1005,IF($D1004&lt;LataProjekcji,IF((SUM($K1006:W1006)+$D1006)&lt;$D1005,$D1006,$D1005-SUM($K1006:W1006)),0)),0)</f>
        <v>0</v>
      </c>
    </row>
    <row r="1007" spans="1:24" hidden="1">
      <c r="A1007" s="328"/>
      <c r="B1007" s="21" t="s">
        <v>416</v>
      </c>
      <c r="C1007" s="21"/>
      <c r="D1007" s="22"/>
      <c r="E1007" s="21"/>
      <c r="F1007" s="21"/>
      <c r="G1007" s="21"/>
      <c r="H1007" s="21"/>
      <c r="I1007" s="21"/>
      <c r="J1007" s="21"/>
      <c r="K1007" s="22">
        <f ca="1">ROUND(K1006,0)</f>
        <v>0</v>
      </c>
      <c r="L1007" s="22">
        <f t="shared" ref="L1007" ca="1" si="720">ROUND(K1007+L1006,0)</f>
        <v>0</v>
      </c>
      <c r="M1007" s="22">
        <f t="shared" ref="M1007" ca="1" si="721">ROUND(L1007+M1006,0)</f>
        <v>0</v>
      </c>
      <c r="N1007" s="22">
        <f t="shared" ref="N1007" ca="1" si="722">ROUND(M1007+N1006,0)</f>
        <v>0</v>
      </c>
      <c r="O1007" s="22">
        <f t="shared" ref="O1007" ca="1" si="723">ROUND(N1007+O1006,0)</f>
        <v>0</v>
      </c>
      <c r="P1007" s="22">
        <f t="shared" ref="P1007" ca="1" si="724">ROUND(O1007+P1006,0)</f>
        <v>0</v>
      </c>
      <c r="Q1007" s="22">
        <f t="shared" ref="Q1007" ca="1" si="725">ROUND(P1007+Q1006,0)</f>
        <v>0</v>
      </c>
      <c r="R1007" s="22">
        <f t="shared" ref="R1007" ca="1" si="726">ROUND(Q1007+R1006,0)</f>
        <v>0</v>
      </c>
      <c r="S1007" s="22">
        <f t="shared" ref="S1007" ca="1" si="727">ROUND(R1007+S1006,0)</f>
        <v>0</v>
      </c>
      <c r="T1007" s="22">
        <f t="shared" ref="T1007" ca="1" si="728">ROUND(S1007+T1006,0)</f>
        <v>0</v>
      </c>
      <c r="U1007" s="22">
        <f t="shared" ref="U1007" ca="1" si="729">ROUND(T1007+U1006,0)</f>
        <v>0</v>
      </c>
      <c r="V1007" s="22">
        <f t="shared" ref="V1007" ca="1" si="730">ROUND(U1007+V1006,0)</f>
        <v>0</v>
      </c>
      <c r="W1007" s="22">
        <f t="shared" ref="W1007" ca="1" si="731">ROUND(V1007+W1006,0)</f>
        <v>0</v>
      </c>
      <c r="X1007" s="22">
        <f t="shared" ref="X1007" ca="1" si="732">ROUND(W1007+X1006,0)</f>
        <v>0</v>
      </c>
    </row>
    <row r="1008" spans="1:24" hidden="1">
      <c r="A1008" s="328"/>
      <c r="B1008" s="21" t="s">
        <v>406</v>
      </c>
      <c r="C1008" s="21"/>
      <c r="D1008" s="22"/>
      <c r="E1008" s="21"/>
      <c r="F1008" s="21"/>
      <c r="G1008" s="21"/>
      <c r="H1008" s="21"/>
      <c r="I1008" s="21"/>
      <c r="J1008" s="445">
        <f ca="1">OFFSET($C$96,D1003,0)</f>
        <v>0</v>
      </c>
      <c r="K1008" s="77">
        <f ca="1">IF($D1004=LataProjekcji,ROUND($D1005-K1007,0),ROUND(IF(K1006=0,0,$D1005-K1007),0))</f>
        <v>0</v>
      </c>
      <c r="L1008" s="254">
        <f t="shared" ref="L1008:X1008" ca="1" si="733">IF($D1004=LataProjekcji,ROUND($D1005-L1007,0),ROUND(IF(AND(L1006=0,K1008&gt;0),$D1005-L1007,IF(L1006=0,0,$D1005-L1007)),0))</f>
        <v>0</v>
      </c>
      <c r="M1008" s="254">
        <f t="shared" ca="1" si="733"/>
        <v>0</v>
      </c>
      <c r="N1008" s="254">
        <f t="shared" ca="1" si="733"/>
        <v>0</v>
      </c>
      <c r="O1008" s="254">
        <f t="shared" ca="1" si="733"/>
        <v>0</v>
      </c>
      <c r="P1008" s="254">
        <f t="shared" ca="1" si="733"/>
        <v>0</v>
      </c>
      <c r="Q1008" s="254">
        <f t="shared" ca="1" si="733"/>
        <v>0</v>
      </c>
      <c r="R1008" s="254">
        <f t="shared" ca="1" si="733"/>
        <v>0</v>
      </c>
      <c r="S1008" s="254">
        <f t="shared" ca="1" si="733"/>
        <v>0</v>
      </c>
      <c r="T1008" s="254">
        <f t="shared" ca="1" si="733"/>
        <v>0</v>
      </c>
      <c r="U1008" s="254">
        <f t="shared" ca="1" si="733"/>
        <v>0</v>
      </c>
      <c r="V1008" s="254">
        <f t="shared" ca="1" si="733"/>
        <v>0</v>
      </c>
      <c r="W1008" s="254">
        <f t="shared" ca="1" si="733"/>
        <v>0</v>
      </c>
      <c r="X1008" s="254">
        <f t="shared" ca="1" si="733"/>
        <v>0</v>
      </c>
    </row>
    <row r="1009" spans="1:24" hidden="1">
      <c r="A1009" s="328"/>
      <c r="B1009" s="20">
        <f ca="1">OFFSET($B$96,D1009,0)</f>
        <v>0</v>
      </c>
      <c r="C1009" s="20"/>
      <c r="D1009" s="21">
        <f>D1003+1</f>
        <v>23</v>
      </c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328"/>
      <c r="B1010" s="165" t="s">
        <v>425</v>
      </c>
      <c r="C1010" s="165"/>
      <c r="D1010" s="165">
        <f ca="1">YEAR(OFFSET($E$96,D1009,0))</f>
        <v>1900</v>
      </c>
      <c r="E1010" s="165">
        <f ca="1">MONTH(OFFSET($E$96,D1009,0))</f>
        <v>1</v>
      </c>
      <c r="F1010" s="21">
        <f ca="1">12-$E1010</f>
        <v>11</v>
      </c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328"/>
      <c r="B1011" s="21" t="s">
        <v>406</v>
      </c>
      <c r="C1011" s="21"/>
      <c r="D1011" s="387">
        <f ca="1">IF(E1011&lt;0,0,ROUND(E1011,0))</f>
        <v>0</v>
      </c>
      <c r="E1011" s="249">
        <f ca="1">OFFSET($D$96,D1009,0)</f>
        <v>0</v>
      </c>
      <c r="F1011" s="387">
        <f ca="1">IF(E1011&gt;10,ROUND(($D1012/12)*$F1010,0),$D1011)</f>
        <v>0</v>
      </c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328"/>
      <c r="B1012" s="21" t="s">
        <v>415</v>
      </c>
      <c r="C1012" s="436" t="e">
        <f ca="1">VLOOKUP(OFFSET($C$96,D1009,0),Założenia!$J$48:$K$55,2,FALSE)</f>
        <v>#N/A</v>
      </c>
      <c r="D1012" s="387">
        <f ca="1">IF(ISBLANK(OFFSET($E$96,D1009,0)),0,IF(E1011&gt;10,ROUND(D1011*C1012,0),IF(D1011&lt;0,0,D1011)))</f>
        <v>0</v>
      </c>
      <c r="E1012" s="21"/>
      <c r="F1012" s="21"/>
      <c r="G1012" s="21"/>
      <c r="H1012" s="21"/>
      <c r="I1012" s="21"/>
      <c r="J1012" s="21"/>
      <c r="K1012" s="75">
        <f ca="1">ROUND(IF($D1010=LataProjekcji,$F1011,IF($D1010=LataProjekcji,$D1012,0)),0)</f>
        <v>0</v>
      </c>
      <c r="L1012" s="248">
        <f ca="1">ROUND(IF(OR(AND($D1010=LataProjekcji,$F1010&gt;0),AND($D1010=LataProjekcji,$F1010=0,$E1011&lt;=10)),$F1011,IF($D1010&lt;LataProjekcji,IF((SUM($K1012:K1012)+$D1012)&lt;$D1011,$D1012,$D1011-SUM($K1012:K1012)),0)),0)</f>
        <v>0</v>
      </c>
      <c r="M1012" s="248">
        <f ca="1">ROUND(IF(OR(AND($D1010=LataProjekcji,$F1010&gt;0),AND($D1010=LataProjekcji,$F1010=0,$E1011&lt;=10)),$F1011,IF($D1010&lt;LataProjekcji,IF((SUM($K1012:L1012)+$D1012)&lt;$D1011,$D1012,$D1011-SUM($K1012:L1012)),0)),0)</f>
        <v>0</v>
      </c>
      <c r="N1012" s="248">
        <f ca="1">ROUND(IF(OR(AND($D1010=LataProjekcji,$F1010&gt;0),AND($D1010=LataProjekcji,$F1010=0,$E1011&lt;=10)),$F1011,IF($D1010&lt;LataProjekcji,IF((SUM($K1012:M1012)+$D1012)&lt;$D1011,$D1012,$D1011-SUM($K1012:M1012)),0)),0)</f>
        <v>0</v>
      </c>
      <c r="O1012" s="248">
        <f ca="1">ROUND(IF(OR(AND($D1010=LataProjekcji,$F1010&gt;0),AND($D1010=LataProjekcji,$F1010=0,$E1011&lt;=10)),$F1011,IF($D1010&lt;LataProjekcji,IF((SUM($K1012:N1012)+$D1012)&lt;$D1011,$D1012,$D1011-SUM($K1012:N1012)),0)),0)</f>
        <v>0</v>
      </c>
      <c r="P1012" s="248">
        <f ca="1">ROUND(IF(OR(AND($D1010=LataProjekcji,$F1010&gt;0),AND($D1010=LataProjekcji,$F1010=0,$E1011&lt;=10)),$F1011,IF($D1010&lt;LataProjekcji,IF((SUM($K1012:O1012)+$D1012)&lt;$D1011,$D1012,$D1011-SUM($K1012:O1012)),0)),0)</f>
        <v>0</v>
      </c>
      <c r="Q1012" s="248">
        <f ca="1">ROUND(IF(OR(AND($D1010=LataProjekcji,$F1010&gt;0),AND($D1010=LataProjekcji,$F1010=0,$E1011&lt;=10)),$F1011,IF($D1010&lt;LataProjekcji,IF((SUM($K1012:P1012)+$D1012)&lt;$D1011,$D1012,$D1011-SUM($K1012:P1012)),0)),0)</f>
        <v>0</v>
      </c>
      <c r="R1012" s="248">
        <f ca="1">ROUND(IF(OR(AND($D1010=LataProjekcji,$F1010&gt;0),AND($D1010=LataProjekcji,$F1010=0,$E1011&lt;=10)),$F1011,IF($D1010&lt;LataProjekcji,IF((SUM($K1012:Q1012)+$D1012)&lt;$D1011,$D1012,$D1011-SUM($K1012:Q1012)),0)),0)</f>
        <v>0</v>
      </c>
      <c r="S1012" s="248">
        <f ca="1">ROUND(IF(OR(AND($D1010=LataProjekcji,$F1010&gt;0),AND($D1010=LataProjekcji,$F1010=0,$E1011&lt;=10)),$F1011,IF($D1010&lt;LataProjekcji,IF((SUM($K1012:R1012)+$D1012)&lt;$D1011,$D1012,$D1011-SUM($K1012:R1012)),0)),0)</f>
        <v>0</v>
      </c>
      <c r="T1012" s="248">
        <f ca="1">ROUND(IF(OR(AND($D1010=LataProjekcji,$F1010&gt;0),AND($D1010=LataProjekcji,$F1010=0,$E1011&lt;=10)),$F1011,IF($D1010&lt;LataProjekcji,IF((SUM($K1012:S1012)+$D1012)&lt;$D1011,$D1012,$D1011-SUM($K1012:S1012)),0)),0)</f>
        <v>0</v>
      </c>
      <c r="U1012" s="248">
        <f ca="1">ROUND(IF(OR(AND($D1010=LataProjekcji,$F1010&gt;0),AND($D1010=LataProjekcji,$F1010=0,$E1011&lt;=10)),$F1011,IF($D1010&lt;LataProjekcji,IF((SUM($K1012:T1012)+$D1012)&lt;$D1011,$D1012,$D1011-SUM($K1012:T1012)),0)),0)</f>
        <v>0</v>
      </c>
      <c r="V1012" s="248">
        <f ca="1">ROUND(IF(OR(AND($D1010=LataProjekcji,$F1010&gt;0),AND($D1010=LataProjekcji,$F1010=0,$E1011&lt;=10)),$F1011,IF($D1010&lt;LataProjekcji,IF((SUM($K1012:U1012)+$D1012)&lt;$D1011,$D1012,$D1011-SUM($K1012:U1012)),0)),0)</f>
        <v>0</v>
      </c>
      <c r="W1012" s="248">
        <f ca="1">ROUND(IF(OR(AND($D1010=LataProjekcji,$F1010&gt;0),AND($D1010=LataProjekcji,$F1010=0,$E1011&lt;=10)),$F1011,IF($D1010&lt;LataProjekcji,IF((SUM($K1012:V1012)+$D1012)&lt;$D1011,$D1012,$D1011-SUM($K1012:V1012)),0)),0)</f>
        <v>0</v>
      </c>
      <c r="X1012" s="248">
        <f ca="1">ROUND(IF(OR(AND($D1010=LataProjekcji,$F1010&gt;0),AND($D1010=LataProjekcji,$F1010=0,$E1011&lt;=10)),$F1011,IF($D1010&lt;LataProjekcji,IF((SUM($K1012:W1012)+$D1012)&lt;$D1011,$D1012,$D1011-SUM($K1012:W1012)),0)),0)</f>
        <v>0</v>
      </c>
    </row>
    <row r="1013" spans="1:24" hidden="1">
      <c r="A1013" s="328"/>
      <c r="B1013" s="21" t="s">
        <v>416</v>
      </c>
      <c r="C1013" s="21"/>
      <c r="D1013" s="22"/>
      <c r="E1013" s="21"/>
      <c r="F1013" s="21"/>
      <c r="G1013" s="21"/>
      <c r="H1013" s="21"/>
      <c r="I1013" s="21"/>
      <c r="J1013" s="21"/>
      <c r="K1013" s="22">
        <f ca="1">ROUND(K1012,0)</f>
        <v>0</v>
      </c>
      <c r="L1013" s="22">
        <f t="shared" ref="L1013" ca="1" si="734">ROUND(K1013+L1012,0)</f>
        <v>0</v>
      </c>
      <c r="M1013" s="22">
        <f t="shared" ref="M1013" ca="1" si="735">ROUND(L1013+M1012,0)</f>
        <v>0</v>
      </c>
      <c r="N1013" s="22">
        <f t="shared" ref="N1013" ca="1" si="736">ROUND(M1013+N1012,0)</f>
        <v>0</v>
      </c>
      <c r="O1013" s="22">
        <f t="shared" ref="O1013" ca="1" si="737">ROUND(N1013+O1012,0)</f>
        <v>0</v>
      </c>
      <c r="P1013" s="22">
        <f t="shared" ref="P1013" ca="1" si="738">ROUND(O1013+P1012,0)</f>
        <v>0</v>
      </c>
      <c r="Q1013" s="22">
        <f t="shared" ref="Q1013" ca="1" si="739">ROUND(P1013+Q1012,0)</f>
        <v>0</v>
      </c>
      <c r="R1013" s="22">
        <f t="shared" ref="R1013" ca="1" si="740">ROUND(Q1013+R1012,0)</f>
        <v>0</v>
      </c>
      <c r="S1013" s="22">
        <f t="shared" ref="S1013" ca="1" si="741">ROUND(R1013+S1012,0)</f>
        <v>0</v>
      </c>
      <c r="T1013" s="22">
        <f t="shared" ref="T1013" ca="1" si="742">ROUND(S1013+T1012,0)</f>
        <v>0</v>
      </c>
      <c r="U1013" s="22">
        <f t="shared" ref="U1013" ca="1" si="743">ROUND(T1013+U1012,0)</f>
        <v>0</v>
      </c>
      <c r="V1013" s="22">
        <f t="shared" ref="V1013" ca="1" si="744">ROUND(U1013+V1012,0)</f>
        <v>0</v>
      </c>
      <c r="W1013" s="22">
        <f t="shared" ref="W1013" ca="1" si="745">ROUND(V1013+W1012,0)</f>
        <v>0</v>
      </c>
      <c r="X1013" s="22">
        <f t="shared" ref="X1013" ca="1" si="746">ROUND(W1013+X1012,0)</f>
        <v>0</v>
      </c>
    </row>
    <row r="1014" spans="1:24" hidden="1">
      <c r="A1014" s="328"/>
      <c r="B1014" s="21" t="s">
        <v>406</v>
      </c>
      <c r="C1014" s="21"/>
      <c r="D1014" s="22"/>
      <c r="E1014" s="21"/>
      <c r="F1014" s="21"/>
      <c r="G1014" s="21"/>
      <c r="H1014" s="21"/>
      <c r="I1014" s="21"/>
      <c r="J1014" s="445">
        <f ca="1">OFFSET($C$96,D1009,0)</f>
        <v>0</v>
      </c>
      <c r="K1014" s="77">
        <f ca="1">IF($D1010=LataProjekcji,ROUND($D1011-K1013,0),ROUND(IF(K1012=0,0,$D1011-K1013),0))</f>
        <v>0</v>
      </c>
      <c r="L1014" s="254">
        <f t="shared" ref="L1014:X1014" ca="1" si="747">IF($D1010=LataProjekcji,ROUND($D1011-L1013,0),ROUND(IF(AND(L1012=0,K1014&gt;0),$D1011-L1013,IF(L1012=0,0,$D1011-L1013)),0))</f>
        <v>0</v>
      </c>
      <c r="M1014" s="254">
        <f t="shared" ca="1" si="747"/>
        <v>0</v>
      </c>
      <c r="N1014" s="254">
        <f t="shared" ca="1" si="747"/>
        <v>0</v>
      </c>
      <c r="O1014" s="254">
        <f t="shared" ca="1" si="747"/>
        <v>0</v>
      </c>
      <c r="P1014" s="254">
        <f t="shared" ca="1" si="747"/>
        <v>0</v>
      </c>
      <c r="Q1014" s="254">
        <f t="shared" ca="1" si="747"/>
        <v>0</v>
      </c>
      <c r="R1014" s="254">
        <f t="shared" ca="1" si="747"/>
        <v>0</v>
      </c>
      <c r="S1014" s="254">
        <f t="shared" ca="1" si="747"/>
        <v>0</v>
      </c>
      <c r="T1014" s="254">
        <f t="shared" ca="1" si="747"/>
        <v>0</v>
      </c>
      <c r="U1014" s="254">
        <f t="shared" ca="1" si="747"/>
        <v>0</v>
      </c>
      <c r="V1014" s="254">
        <f t="shared" ca="1" si="747"/>
        <v>0</v>
      </c>
      <c r="W1014" s="254">
        <f t="shared" ca="1" si="747"/>
        <v>0</v>
      </c>
      <c r="X1014" s="254">
        <f t="shared" ca="1" si="747"/>
        <v>0</v>
      </c>
    </row>
    <row r="1015" spans="1:24" hidden="1">
      <c r="A1015" s="328"/>
      <c r="B1015" s="20">
        <f ca="1">OFFSET($B$96,D1015,0)</f>
        <v>0</v>
      </c>
      <c r="C1015" s="20"/>
      <c r="D1015" s="21">
        <f>D1009+1</f>
        <v>24</v>
      </c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328"/>
      <c r="B1016" s="165" t="s">
        <v>425</v>
      </c>
      <c r="C1016" s="165"/>
      <c r="D1016" s="165">
        <f ca="1">YEAR(OFFSET($E$96,D1015,0))</f>
        <v>1900</v>
      </c>
      <c r="E1016" s="165">
        <f ca="1">MONTH(OFFSET($E$96,D1015,0))</f>
        <v>1</v>
      </c>
      <c r="F1016" s="21">
        <f ca="1">12-$E1016</f>
        <v>11</v>
      </c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328"/>
      <c r="B1017" s="21" t="s">
        <v>406</v>
      </c>
      <c r="C1017" s="21"/>
      <c r="D1017" s="387">
        <f ca="1">IF(E1017&lt;0,0,ROUND(E1017,0))</f>
        <v>0</v>
      </c>
      <c r="E1017" s="249">
        <f ca="1">OFFSET($D$96,D1015,0)</f>
        <v>0</v>
      </c>
      <c r="F1017" s="387">
        <f ca="1">IF(E1017&gt;10,ROUND(($D1018/12)*$F1016,0),$D1017)</f>
        <v>0</v>
      </c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328"/>
      <c r="B1018" s="21" t="s">
        <v>415</v>
      </c>
      <c r="C1018" s="436" t="e">
        <f ca="1">VLOOKUP(OFFSET($C$96,D1015,0),Założenia!$J$48:$K$55,2,FALSE)</f>
        <v>#N/A</v>
      </c>
      <c r="D1018" s="387">
        <f ca="1">IF(ISBLANK(OFFSET($E$96,D1015,0)),0,IF(E1017&gt;10,ROUND(D1017*C1018,0),IF(D1017&lt;0,0,D1017)))</f>
        <v>0</v>
      </c>
      <c r="E1018" s="21"/>
      <c r="F1018" s="21"/>
      <c r="G1018" s="21"/>
      <c r="H1018" s="21"/>
      <c r="I1018" s="21"/>
      <c r="J1018" s="21"/>
      <c r="K1018" s="75">
        <f ca="1">ROUND(IF($D1016=LataProjekcji,$F1017,IF($D1016=LataProjekcji,$D1018,0)),0)</f>
        <v>0</v>
      </c>
      <c r="L1018" s="248">
        <f ca="1">ROUND(IF(OR(AND($D1016=LataProjekcji,$F1016&gt;0),AND($D1016=LataProjekcji,$F1016=0,$E1017&lt;=10)),$F1017,IF($D1016&lt;LataProjekcji,IF((SUM($K1018:K1018)+$D1018)&lt;$D1017,$D1018,$D1017-SUM($K1018:K1018)),0)),0)</f>
        <v>0</v>
      </c>
      <c r="M1018" s="248">
        <f ca="1">ROUND(IF(OR(AND($D1016=LataProjekcji,$F1016&gt;0),AND($D1016=LataProjekcji,$F1016=0,$E1017&lt;=10)),$F1017,IF($D1016&lt;LataProjekcji,IF((SUM($K1018:L1018)+$D1018)&lt;$D1017,$D1018,$D1017-SUM($K1018:L1018)),0)),0)</f>
        <v>0</v>
      </c>
      <c r="N1018" s="248">
        <f ca="1">ROUND(IF(OR(AND($D1016=LataProjekcji,$F1016&gt;0),AND($D1016=LataProjekcji,$F1016=0,$E1017&lt;=10)),$F1017,IF($D1016&lt;LataProjekcji,IF((SUM($K1018:M1018)+$D1018)&lt;$D1017,$D1018,$D1017-SUM($K1018:M1018)),0)),0)</f>
        <v>0</v>
      </c>
      <c r="O1018" s="248">
        <f ca="1">ROUND(IF(OR(AND($D1016=LataProjekcji,$F1016&gt;0),AND($D1016=LataProjekcji,$F1016=0,$E1017&lt;=10)),$F1017,IF($D1016&lt;LataProjekcji,IF((SUM($K1018:N1018)+$D1018)&lt;$D1017,$D1018,$D1017-SUM($K1018:N1018)),0)),0)</f>
        <v>0</v>
      </c>
      <c r="P1018" s="248">
        <f ca="1">ROUND(IF(OR(AND($D1016=LataProjekcji,$F1016&gt;0),AND($D1016=LataProjekcji,$F1016=0,$E1017&lt;=10)),$F1017,IF($D1016&lt;LataProjekcji,IF((SUM($K1018:O1018)+$D1018)&lt;$D1017,$D1018,$D1017-SUM($K1018:O1018)),0)),0)</f>
        <v>0</v>
      </c>
      <c r="Q1018" s="248">
        <f ca="1">ROUND(IF(OR(AND($D1016=LataProjekcji,$F1016&gt;0),AND($D1016=LataProjekcji,$F1016=0,$E1017&lt;=10)),$F1017,IF($D1016&lt;LataProjekcji,IF((SUM($K1018:P1018)+$D1018)&lt;$D1017,$D1018,$D1017-SUM($K1018:P1018)),0)),0)</f>
        <v>0</v>
      </c>
      <c r="R1018" s="248">
        <f ca="1">ROUND(IF(OR(AND($D1016=LataProjekcji,$F1016&gt;0),AND($D1016=LataProjekcji,$F1016=0,$E1017&lt;=10)),$F1017,IF($D1016&lt;LataProjekcji,IF((SUM($K1018:Q1018)+$D1018)&lt;$D1017,$D1018,$D1017-SUM($K1018:Q1018)),0)),0)</f>
        <v>0</v>
      </c>
      <c r="S1018" s="248">
        <f ca="1">ROUND(IF(OR(AND($D1016=LataProjekcji,$F1016&gt;0),AND($D1016=LataProjekcji,$F1016=0,$E1017&lt;=10)),$F1017,IF($D1016&lt;LataProjekcji,IF((SUM($K1018:R1018)+$D1018)&lt;$D1017,$D1018,$D1017-SUM($K1018:R1018)),0)),0)</f>
        <v>0</v>
      </c>
      <c r="T1018" s="248">
        <f ca="1">ROUND(IF(OR(AND($D1016=LataProjekcji,$F1016&gt;0),AND($D1016=LataProjekcji,$F1016=0,$E1017&lt;=10)),$F1017,IF($D1016&lt;LataProjekcji,IF((SUM($K1018:S1018)+$D1018)&lt;$D1017,$D1018,$D1017-SUM($K1018:S1018)),0)),0)</f>
        <v>0</v>
      </c>
      <c r="U1018" s="248">
        <f ca="1">ROUND(IF(OR(AND($D1016=LataProjekcji,$F1016&gt;0),AND($D1016=LataProjekcji,$F1016=0,$E1017&lt;=10)),$F1017,IF($D1016&lt;LataProjekcji,IF((SUM($K1018:T1018)+$D1018)&lt;$D1017,$D1018,$D1017-SUM($K1018:T1018)),0)),0)</f>
        <v>0</v>
      </c>
      <c r="V1018" s="248">
        <f ca="1">ROUND(IF(OR(AND($D1016=LataProjekcji,$F1016&gt;0),AND($D1016=LataProjekcji,$F1016=0,$E1017&lt;=10)),$F1017,IF($D1016&lt;LataProjekcji,IF((SUM($K1018:U1018)+$D1018)&lt;$D1017,$D1018,$D1017-SUM($K1018:U1018)),0)),0)</f>
        <v>0</v>
      </c>
      <c r="W1018" s="248">
        <f ca="1">ROUND(IF(OR(AND($D1016=LataProjekcji,$F1016&gt;0),AND($D1016=LataProjekcji,$F1016=0,$E1017&lt;=10)),$F1017,IF($D1016&lt;LataProjekcji,IF((SUM($K1018:V1018)+$D1018)&lt;$D1017,$D1018,$D1017-SUM($K1018:V1018)),0)),0)</f>
        <v>0</v>
      </c>
      <c r="X1018" s="248">
        <f ca="1">ROUND(IF(OR(AND($D1016=LataProjekcji,$F1016&gt;0),AND($D1016=LataProjekcji,$F1016=0,$E1017&lt;=10)),$F1017,IF($D1016&lt;LataProjekcji,IF((SUM($K1018:W1018)+$D1018)&lt;$D1017,$D1018,$D1017-SUM($K1018:W1018)),0)),0)</f>
        <v>0</v>
      </c>
    </row>
    <row r="1019" spans="1:24" hidden="1">
      <c r="A1019" s="328"/>
      <c r="B1019" s="21" t="s">
        <v>416</v>
      </c>
      <c r="C1019" s="21"/>
      <c r="D1019" s="22"/>
      <c r="E1019" s="21"/>
      <c r="F1019" s="21"/>
      <c r="G1019" s="21"/>
      <c r="H1019" s="21"/>
      <c r="I1019" s="21"/>
      <c r="J1019" s="21"/>
      <c r="K1019" s="22">
        <f ca="1">ROUND(K1018,0)</f>
        <v>0</v>
      </c>
      <c r="L1019" s="22">
        <f t="shared" ref="L1019" ca="1" si="748">ROUND(K1019+L1018,0)</f>
        <v>0</v>
      </c>
      <c r="M1019" s="22">
        <f t="shared" ref="M1019" ca="1" si="749">ROUND(L1019+M1018,0)</f>
        <v>0</v>
      </c>
      <c r="N1019" s="22">
        <f t="shared" ref="N1019" ca="1" si="750">ROUND(M1019+N1018,0)</f>
        <v>0</v>
      </c>
      <c r="O1019" s="22">
        <f t="shared" ref="O1019" ca="1" si="751">ROUND(N1019+O1018,0)</f>
        <v>0</v>
      </c>
      <c r="P1019" s="22">
        <f t="shared" ref="P1019" ca="1" si="752">ROUND(O1019+P1018,0)</f>
        <v>0</v>
      </c>
      <c r="Q1019" s="22">
        <f t="shared" ref="Q1019" ca="1" si="753">ROUND(P1019+Q1018,0)</f>
        <v>0</v>
      </c>
      <c r="R1019" s="22">
        <f t="shared" ref="R1019" ca="1" si="754">ROUND(Q1019+R1018,0)</f>
        <v>0</v>
      </c>
      <c r="S1019" s="22">
        <f t="shared" ref="S1019" ca="1" si="755">ROUND(R1019+S1018,0)</f>
        <v>0</v>
      </c>
      <c r="T1019" s="22">
        <f t="shared" ref="T1019" ca="1" si="756">ROUND(S1019+T1018,0)</f>
        <v>0</v>
      </c>
      <c r="U1019" s="22">
        <f t="shared" ref="U1019" ca="1" si="757">ROUND(T1019+U1018,0)</f>
        <v>0</v>
      </c>
      <c r="V1019" s="22">
        <f t="shared" ref="V1019" ca="1" si="758">ROUND(U1019+V1018,0)</f>
        <v>0</v>
      </c>
      <c r="W1019" s="22">
        <f t="shared" ref="W1019" ca="1" si="759">ROUND(V1019+W1018,0)</f>
        <v>0</v>
      </c>
      <c r="X1019" s="22">
        <f t="shared" ref="X1019" ca="1" si="760">ROUND(W1019+X1018,0)</f>
        <v>0</v>
      </c>
    </row>
    <row r="1020" spans="1:24" hidden="1">
      <c r="A1020" s="328"/>
      <c r="B1020" s="21" t="s">
        <v>406</v>
      </c>
      <c r="C1020" s="21"/>
      <c r="D1020" s="22"/>
      <c r="E1020" s="21"/>
      <c r="F1020" s="21"/>
      <c r="G1020" s="21"/>
      <c r="H1020" s="21"/>
      <c r="I1020" s="21"/>
      <c r="J1020" s="445">
        <f ca="1">OFFSET($C$96,D1015,0)</f>
        <v>0</v>
      </c>
      <c r="K1020" s="77">
        <f ca="1">IF($D1016=LataProjekcji,ROUND($D1017-K1019,0),ROUND(IF(K1018=0,0,$D1017-K1019),0))</f>
        <v>0</v>
      </c>
      <c r="L1020" s="254">
        <f t="shared" ref="L1020:X1020" ca="1" si="761">IF($D1016=LataProjekcji,ROUND($D1017-L1019,0),ROUND(IF(AND(L1018=0,K1020&gt;0),$D1017-L1019,IF(L1018=0,0,$D1017-L1019)),0))</f>
        <v>0</v>
      </c>
      <c r="M1020" s="254">
        <f t="shared" ca="1" si="761"/>
        <v>0</v>
      </c>
      <c r="N1020" s="254">
        <f t="shared" ca="1" si="761"/>
        <v>0</v>
      </c>
      <c r="O1020" s="254">
        <f t="shared" ca="1" si="761"/>
        <v>0</v>
      </c>
      <c r="P1020" s="254">
        <f t="shared" ca="1" si="761"/>
        <v>0</v>
      </c>
      <c r="Q1020" s="254">
        <f t="shared" ca="1" si="761"/>
        <v>0</v>
      </c>
      <c r="R1020" s="254">
        <f t="shared" ca="1" si="761"/>
        <v>0</v>
      </c>
      <c r="S1020" s="254">
        <f t="shared" ca="1" si="761"/>
        <v>0</v>
      </c>
      <c r="T1020" s="254">
        <f t="shared" ca="1" si="761"/>
        <v>0</v>
      </c>
      <c r="U1020" s="254">
        <f t="shared" ca="1" si="761"/>
        <v>0</v>
      </c>
      <c r="V1020" s="254">
        <f t="shared" ca="1" si="761"/>
        <v>0</v>
      </c>
      <c r="W1020" s="254">
        <f t="shared" ca="1" si="761"/>
        <v>0</v>
      </c>
      <c r="X1020" s="254">
        <f t="shared" ca="1" si="761"/>
        <v>0</v>
      </c>
    </row>
    <row r="1021" spans="1:24" hidden="1">
      <c r="A1021" s="328"/>
      <c r="B1021" s="20">
        <f ca="1">OFFSET($B$96,D1021,0)</f>
        <v>0</v>
      </c>
      <c r="C1021" s="20"/>
      <c r="D1021" s="21">
        <f>D1015+1</f>
        <v>25</v>
      </c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</row>
    <row r="1022" spans="1:24" hidden="1">
      <c r="A1022" s="328"/>
      <c r="B1022" s="165" t="s">
        <v>425</v>
      </c>
      <c r="C1022" s="165"/>
      <c r="D1022" s="165">
        <f ca="1">YEAR(OFFSET($E$96,D1021,0))</f>
        <v>1900</v>
      </c>
      <c r="E1022" s="165">
        <f ca="1">MONTH(OFFSET($E$96,D1021,0))</f>
        <v>1</v>
      </c>
      <c r="F1022" s="21">
        <f ca="1">12-$E1022</f>
        <v>11</v>
      </c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328"/>
      <c r="B1023" s="21" t="s">
        <v>406</v>
      </c>
      <c r="C1023" s="21"/>
      <c r="D1023" s="387">
        <f ca="1">IF(E1023&lt;0,0,ROUND(E1023,0))</f>
        <v>0</v>
      </c>
      <c r="E1023" s="249">
        <f ca="1">OFFSET($D$96,D1021,0)</f>
        <v>0</v>
      </c>
      <c r="F1023" s="387">
        <f ca="1">IF(E1023&gt;10,ROUND(($D1024/12)*$F1022,0),$D1023)</f>
        <v>0</v>
      </c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328"/>
      <c r="B1024" s="21" t="s">
        <v>415</v>
      </c>
      <c r="C1024" s="436" t="e">
        <f ca="1">VLOOKUP(OFFSET($C$96,D1021,0),Założenia!$J$48:$K$55,2,FALSE)</f>
        <v>#N/A</v>
      </c>
      <c r="D1024" s="387">
        <f ca="1">IF(ISBLANK(OFFSET($E$96,D1021,0)),0,IF(E1023&gt;10,ROUND(D1023*C1024,0),IF(D1023&lt;0,0,D1023)))</f>
        <v>0</v>
      </c>
      <c r="E1024" s="21"/>
      <c r="F1024" s="21"/>
      <c r="G1024" s="21"/>
      <c r="H1024" s="21"/>
      <c r="I1024" s="21"/>
      <c r="J1024" s="21"/>
      <c r="K1024" s="75">
        <f ca="1">ROUND(IF($D1022=LataProjekcji,$F1023,IF($D1022=LataProjekcji,$D1024,0)),0)</f>
        <v>0</v>
      </c>
      <c r="L1024" s="248">
        <f ca="1">ROUND(IF(OR(AND($D1022=LataProjekcji,$F1022&gt;0),AND($D1022=LataProjekcji,$F1022=0,$E1023&lt;=10)),$F1023,IF($D1022&lt;LataProjekcji,IF((SUM($K1024:K1024)+$D1024)&lt;$D1023,$D1024,$D1023-SUM($K1024:K1024)),0)),0)</f>
        <v>0</v>
      </c>
      <c r="M1024" s="248">
        <f ca="1">ROUND(IF(OR(AND($D1022=LataProjekcji,$F1022&gt;0),AND($D1022=LataProjekcji,$F1022=0,$E1023&lt;=10)),$F1023,IF($D1022&lt;LataProjekcji,IF((SUM($K1024:L1024)+$D1024)&lt;$D1023,$D1024,$D1023-SUM($K1024:L1024)),0)),0)</f>
        <v>0</v>
      </c>
      <c r="N1024" s="248">
        <f ca="1">ROUND(IF(OR(AND($D1022=LataProjekcji,$F1022&gt;0),AND($D1022=LataProjekcji,$F1022=0,$E1023&lt;=10)),$F1023,IF($D1022&lt;LataProjekcji,IF((SUM($K1024:M1024)+$D1024)&lt;$D1023,$D1024,$D1023-SUM($K1024:M1024)),0)),0)</f>
        <v>0</v>
      </c>
      <c r="O1024" s="248">
        <f ca="1">ROUND(IF(OR(AND($D1022=LataProjekcji,$F1022&gt;0),AND($D1022=LataProjekcji,$F1022=0,$E1023&lt;=10)),$F1023,IF($D1022&lt;LataProjekcji,IF((SUM($K1024:N1024)+$D1024)&lt;$D1023,$D1024,$D1023-SUM($K1024:N1024)),0)),0)</f>
        <v>0</v>
      </c>
      <c r="P1024" s="248">
        <f ca="1">ROUND(IF(OR(AND($D1022=LataProjekcji,$F1022&gt;0),AND($D1022=LataProjekcji,$F1022=0,$E1023&lt;=10)),$F1023,IF($D1022&lt;LataProjekcji,IF((SUM($K1024:O1024)+$D1024)&lt;$D1023,$D1024,$D1023-SUM($K1024:O1024)),0)),0)</f>
        <v>0</v>
      </c>
      <c r="Q1024" s="248">
        <f ca="1">ROUND(IF(OR(AND($D1022=LataProjekcji,$F1022&gt;0),AND($D1022=LataProjekcji,$F1022=0,$E1023&lt;=10)),$F1023,IF($D1022&lt;LataProjekcji,IF((SUM($K1024:P1024)+$D1024)&lt;$D1023,$D1024,$D1023-SUM($K1024:P1024)),0)),0)</f>
        <v>0</v>
      </c>
      <c r="R1024" s="248">
        <f ca="1">ROUND(IF(OR(AND($D1022=LataProjekcji,$F1022&gt;0),AND($D1022=LataProjekcji,$F1022=0,$E1023&lt;=10)),$F1023,IF($D1022&lt;LataProjekcji,IF((SUM($K1024:Q1024)+$D1024)&lt;$D1023,$D1024,$D1023-SUM($K1024:Q1024)),0)),0)</f>
        <v>0</v>
      </c>
      <c r="S1024" s="248">
        <f ca="1">ROUND(IF(OR(AND($D1022=LataProjekcji,$F1022&gt;0),AND($D1022=LataProjekcji,$F1022=0,$E1023&lt;=10)),$F1023,IF($D1022&lt;LataProjekcji,IF((SUM($K1024:R1024)+$D1024)&lt;$D1023,$D1024,$D1023-SUM($K1024:R1024)),0)),0)</f>
        <v>0</v>
      </c>
      <c r="T1024" s="248">
        <f ca="1">ROUND(IF(OR(AND($D1022=LataProjekcji,$F1022&gt;0),AND($D1022=LataProjekcji,$F1022=0,$E1023&lt;=10)),$F1023,IF($D1022&lt;LataProjekcji,IF((SUM($K1024:S1024)+$D1024)&lt;$D1023,$D1024,$D1023-SUM($K1024:S1024)),0)),0)</f>
        <v>0</v>
      </c>
      <c r="U1024" s="248">
        <f ca="1">ROUND(IF(OR(AND($D1022=LataProjekcji,$F1022&gt;0),AND($D1022=LataProjekcji,$F1022=0,$E1023&lt;=10)),$F1023,IF($D1022&lt;LataProjekcji,IF((SUM($K1024:T1024)+$D1024)&lt;$D1023,$D1024,$D1023-SUM($K1024:T1024)),0)),0)</f>
        <v>0</v>
      </c>
      <c r="V1024" s="248">
        <f ca="1">ROUND(IF(OR(AND($D1022=LataProjekcji,$F1022&gt;0),AND($D1022=LataProjekcji,$F1022=0,$E1023&lt;=10)),$F1023,IF($D1022&lt;LataProjekcji,IF((SUM($K1024:U1024)+$D1024)&lt;$D1023,$D1024,$D1023-SUM($K1024:U1024)),0)),0)</f>
        <v>0</v>
      </c>
      <c r="W1024" s="248">
        <f ca="1">ROUND(IF(OR(AND($D1022=LataProjekcji,$F1022&gt;0),AND($D1022=LataProjekcji,$F1022=0,$E1023&lt;=10)),$F1023,IF($D1022&lt;LataProjekcji,IF((SUM($K1024:V1024)+$D1024)&lt;$D1023,$D1024,$D1023-SUM($K1024:V1024)),0)),0)</f>
        <v>0</v>
      </c>
      <c r="X1024" s="248">
        <f ca="1">ROUND(IF(OR(AND($D1022=LataProjekcji,$F1022&gt;0),AND($D1022=LataProjekcji,$F1022=0,$E1023&lt;=10)),$F1023,IF($D1022&lt;LataProjekcji,IF((SUM($K1024:W1024)+$D1024)&lt;$D1023,$D1024,$D1023-SUM($K1024:W1024)),0)),0)</f>
        <v>0</v>
      </c>
    </row>
    <row r="1025" spans="1:24" hidden="1">
      <c r="A1025" s="328"/>
      <c r="B1025" s="21" t="s">
        <v>416</v>
      </c>
      <c r="C1025" s="21"/>
      <c r="D1025" s="22"/>
      <c r="E1025" s="21"/>
      <c r="F1025" s="21"/>
      <c r="G1025" s="21"/>
      <c r="H1025" s="21"/>
      <c r="I1025" s="21"/>
      <c r="J1025" s="21"/>
      <c r="K1025" s="22">
        <f ca="1">ROUND(K1024,0)</f>
        <v>0</v>
      </c>
      <c r="L1025" s="22">
        <f t="shared" ref="L1025" ca="1" si="762">ROUND(K1025+L1024,0)</f>
        <v>0</v>
      </c>
      <c r="M1025" s="22">
        <f t="shared" ref="M1025" ca="1" si="763">ROUND(L1025+M1024,0)</f>
        <v>0</v>
      </c>
      <c r="N1025" s="22">
        <f t="shared" ref="N1025" ca="1" si="764">ROUND(M1025+N1024,0)</f>
        <v>0</v>
      </c>
      <c r="O1025" s="22">
        <f t="shared" ref="O1025" ca="1" si="765">ROUND(N1025+O1024,0)</f>
        <v>0</v>
      </c>
      <c r="P1025" s="22">
        <f t="shared" ref="P1025" ca="1" si="766">ROUND(O1025+P1024,0)</f>
        <v>0</v>
      </c>
      <c r="Q1025" s="22">
        <f t="shared" ref="Q1025" ca="1" si="767">ROUND(P1025+Q1024,0)</f>
        <v>0</v>
      </c>
      <c r="R1025" s="22">
        <f t="shared" ref="R1025" ca="1" si="768">ROUND(Q1025+R1024,0)</f>
        <v>0</v>
      </c>
      <c r="S1025" s="22">
        <f t="shared" ref="S1025" ca="1" si="769">ROUND(R1025+S1024,0)</f>
        <v>0</v>
      </c>
      <c r="T1025" s="22">
        <f t="shared" ref="T1025" ca="1" si="770">ROUND(S1025+T1024,0)</f>
        <v>0</v>
      </c>
      <c r="U1025" s="22">
        <f t="shared" ref="U1025" ca="1" si="771">ROUND(T1025+U1024,0)</f>
        <v>0</v>
      </c>
      <c r="V1025" s="22">
        <f t="shared" ref="V1025" ca="1" si="772">ROUND(U1025+V1024,0)</f>
        <v>0</v>
      </c>
      <c r="W1025" s="22">
        <f t="shared" ref="W1025" ca="1" si="773">ROUND(V1025+W1024,0)</f>
        <v>0</v>
      </c>
      <c r="X1025" s="22">
        <f t="shared" ref="X1025" ca="1" si="774">ROUND(W1025+X1024,0)</f>
        <v>0</v>
      </c>
    </row>
    <row r="1026" spans="1:24" hidden="1">
      <c r="A1026" s="328"/>
      <c r="B1026" s="21" t="s">
        <v>406</v>
      </c>
      <c r="C1026" s="21"/>
      <c r="D1026" s="22"/>
      <c r="E1026" s="21"/>
      <c r="F1026" s="21"/>
      <c r="G1026" s="21"/>
      <c r="H1026" s="21"/>
      <c r="I1026" s="21"/>
      <c r="J1026" s="445">
        <f ca="1">OFFSET($C$96,D1021,0)</f>
        <v>0</v>
      </c>
      <c r="K1026" s="77">
        <f ca="1">IF($D1022=LataProjekcji,ROUND($D1023-K1025,0),ROUND(IF(K1024=0,0,$D1023-K1025),0))</f>
        <v>0</v>
      </c>
      <c r="L1026" s="254">
        <f t="shared" ref="L1026:X1026" ca="1" si="775">IF($D1022=LataProjekcji,ROUND($D1023-L1025,0),ROUND(IF(AND(L1024=0,K1026&gt;0),$D1023-L1025,IF(L1024=0,0,$D1023-L1025)),0))</f>
        <v>0</v>
      </c>
      <c r="M1026" s="254">
        <f t="shared" ca="1" si="775"/>
        <v>0</v>
      </c>
      <c r="N1026" s="254">
        <f t="shared" ca="1" si="775"/>
        <v>0</v>
      </c>
      <c r="O1026" s="254">
        <f t="shared" ca="1" si="775"/>
        <v>0</v>
      </c>
      <c r="P1026" s="254">
        <f t="shared" ca="1" si="775"/>
        <v>0</v>
      </c>
      <c r="Q1026" s="254">
        <f t="shared" ca="1" si="775"/>
        <v>0</v>
      </c>
      <c r="R1026" s="254">
        <f t="shared" ca="1" si="775"/>
        <v>0</v>
      </c>
      <c r="S1026" s="254">
        <f t="shared" ca="1" si="775"/>
        <v>0</v>
      </c>
      <c r="T1026" s="254">
        <f t="shared" ca="1" si="775"/>
        <v>0</v>
      </c>
      <c r="U1026" s="254">
        <f t="shared" ca="1" si="775"/>
        <v>0</v>
      </c>
      <c r="V1026" s="254">
        <f t="shared" ca="1" si="775"/>
        <v>0</v>
      </c>
      <c r="W1026" s="254">
        <f t="shared" ca="1" si="775"/>
        <v>0</v>
      </c>
      <c r="X1026" s="254">
        <f t="shared" ca="1" si="775"/>
        <v>0</v>
      </c>
    </row>
    <row r="1027" spans="1:24" hidden="1">
      <c r="A1027" s="328"/>
      <c r="B1027" s="20">
        <f ca="1">OFFSET($B$96,D1027,0)</f>
        <v>0</v>
      </c>
      <c r="C1027" s="20"/>
      <c r="D1027" s="21">
        <f>D1021+1</f>
        <v>26</v>
      </c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</row>
    <row r="1028" spans="1:24" hidden="1">
      <c r="A1028" s="328"/>
      <c r="B1028" s="165" t="s">
        <v>425</v>
      </c>
      <c r="C1028" s="165"/>
      <c r="D1028" s="165">
        <f ca="1">YEAR(OFFSET($E$96,D1027,0))</f>
        <v>1900</v>
      </c>
      <c r="E1028" s="165">
        <f ca="1">MONTH(OFFSET($E$96,D1027,0))</f>
        <v>1</v>
      </c>
      <c r="F1028" s="21">
        <f ca="1">12-$E1028</f>
        <v>11</v>
      </c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</row>
    <row r="1029" spans="1:24" hidden="1">
      <c r="A1029" s="328"/>
      <c r="B1029" s="21" t="s">
        <v>406</v>
      </c>
      <c r="C1029" s="21"/>
      <c r="D1029" s="387">
        <f ca="1">IF(E1029&lt;0,0,ROUND(E1029,0))</f>
        <v>0</v>
      </c>
      <c r="E1029" s="249">
        <f ca="1">OFFSET($D$96,D1027,0)</f>
        <v>0</v>
      </c>
      <c r="F1029" s="387">
        <f ca="1">IF(E1029&gt;10,ROUND(($D1030/12)*$F1028,0),$D1029)</f>
        <v>0</v>
      </c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328"/>
      <c r="B1030" s="21" t="s">
        <v>415</v>
      </c>
      <c r="C1030" s="436" t="e">
        <f ca="1">VLOOKUP(OFFSET($C$96,D1027,0),Założenia!$J$48:$K$55,2,FALSE)</f>
        <v>#N/A</v>
      </c>
      <c r="D1030" s="387">
        <f ca="1">IF(ISBLANK(OFFSET($E$96,D1027,0)),0,IF(E1029&gt;10,ROUND(D1029*C1030,0),IF(D1029&lt;0,0,D1029)))</f>
        <v>0</v>
      </c>
      <c r="E1030" s="21"/>
      <c r="F1030" s="21"/>
      <c r="G1030" s="21"/>
      <c r="H1030" s="21"/>
      <c r="I1030" s="21"/>
      <c r="J1030" s="21"/>
      <c r="K1030" s="75">
        <f ca="1">ROUND(IF($D1028=LataProjekcji,$F1029,IF($D1028=LataProjekcji,$D1030,0)),0)</f>
        <v>0</v>
      </c>
      <c r="L1030" s="248">
        <f ca="1">ROUND(IF(OR(AND($D1028=LataProjekcji,$F1028&gt;0),AND($D1028=LataProjekcji,$F1028=0,$E1029&lt;=10)),$F1029,IF($D1028&lt;LataProjekcji,IF((SUM($K1030:K1030)+$D1030)&lt;$D1029,$D1030,$D1029-SUM($K1030:K1030)),0)),0)</f>
        <v>0</v>
      </c>
      <c r="M1030" s="248">
        <f ca="1">ROUND(IF(OR(AND($D1028=LataProjekcji,$F1028&gt;0),AND($D1028=LataProjekcji,$F1028=0,$E1029&lt;=10)),$F1029,IF($D1028&lt;LataProjekcji,IF((SUM($K1030:L1030)+$D1030)&lt;$D1029,$D1030,$D1029-SUM($K1030:L1030)),0)),0)</f>
        <v>0</v>
      </c>
      <c r="N1030" s="248">
        <f ca="1">ROUND(IF(OR(AND($D1028=LataProjekcji,$F1028&gt;0),AND($D1028=LataProjekcji,$F1028=0,$E1029&lt;=10)),$F1029,IF($D1028&lt;LataProjekcji,IF((SUM($K1030:M1030)+$D1030)&lt;$D1029,$D1030,$D1029-SUM($K1030:M1030)),0)),0)</f>
        <v>0</v>
      </c>
      <c r="O1030" s="248">
        <f ca="1">ROUND(IF(OR(AND($D1028=LataProjekcji,$F1028&gt;0),AND($D1028=LataProjekcji,$F1028=0,$E1029&lt;=10)),$F1029,IF($D1028&lt;LataProjekcji,IF((SUM($K1030:N1030)+$D1030)&lt;$D1029,$D1030,$D1029-SUM($K1030:N1030)),0)),0)</f>
        <v>0</v>
      </c>
      <c r="P1030" s="248">
        <f ca="1">ROUND(IF(OR(AND($D1028=LataProjekcji,$F1028&gt;0),AND($D1028=LataProjekcji,$F1028=0,$E1029&lt;=10)),$F1029,IF($D1028&lt;LataProjekcji,IF((SUM($K1030:O1030)+$D1030)&lt;$D1029,$D1030,$D1029-SUM($K1030:O1030)),0)),0)</f>
        <v>0</v>
      </c>
      <c r="Q1030" s="248">
        <f ca="1">ROUND(IF(OR(AND($D1028=LataProjekcji,$F1028&gt;0),AND($D1028=LataProjekcji,$F1028=0,$E1029&lt;=10)),$F1029,IF($D1028&lt;LataProjekcji,IF((SUM($K1030:P1030)+$D1030)&lt;$D1029,$D1030,$D1029-SUM($K1030:P1030)),0)),0)</f>
        <v>0</v>
      </c>
      <c r="R1030" s="248">
        <f ca="1">ROUND(IF(OR(AND($D1028=LataProjekcji,$F1028&gt;0),AND($D1028=LataProjekcji,$F1028=0,$E1029&lt;=10)),$F1029,IF($D1028&lt;LataProjekcji,IF((SUM($K1030:Q1030)+$D1030)&lt;$D1029,$D1030,$D1029-SUM($K1030:Q1030)),0)),0)</f>
        <v>0</v>
      </c>
      <c r="S1030" s="248">
        <f ca="1">ROUND(IF(OR(AND($D1028=LataProjekcji,$F1028&gt;0),AND($D1028=LataProjekcji,$F1028=0,$E1029&lt;=10)),$F1029,IF($D1028&lt;LataProjekcji,IF((SUM($K1030:R1030)+$D1030)&lt;$D1029,$D1030,$D1029-SUM($K1030:R1030)),0)),0)</f>
        <v>0</v>
      </c>
      <c r="T1030" s="248">
        <f ca="1">ROUND(IF(OR(AND($D1028=LataProjekcji,$F1028&gt;0),AND($D1028=LataProjekcji,$F1028=0,$E1029&lt;=10)),$F1029,IF($D1028&lt;LataProjekcji,IF((SUM($K1030:S1030)+$D1030)&lt;$D1029,$D1030,$D1029-SUM($K1030:S1030)),0)),0)</f>
        <v>0</v>
      </c>
      <c r="U1030" s="248">
        <f ca="1">ROUND(IF(OR(AND($D1028=LataProjekcji,$F1028&gt;0),AND($D1028=LataProjekcji,$F1028=0,$E1029&lt;=10)),$F1029,IF($D1028&lt;LataProjekcji,IF((SUM($K1030:T1030)+$D1030)&lt;$D1029,$D1030,$D1029-SUM($K1030:T1030)),0)),0)</f>
        <v>0</v>
      </c>
      <c r="V1030" s="248">
        <f ca="1">ROUND(IF(OR(AND($D1028=LataProjekcji,$F1028&gt;0),AND($D1028=LataProjekcji,$F1028=0,$E1029&lt;=10)),$F1029,IF($D1028&lt;LataProjekcji,IF((SUM($K1030:U1030)+$D1030)&lt;$D1029,$D1030,$D1029-SUM($K1030:U1030)),0)),0)</f>
        <v>0</v>
      </c>
      <c r="W1030" s="248">
        <f ca="1">ROUND(IF(OR(AND($D1028=LataProjekcji,$F1028&gt;0),AND($D1028=LataProjekcji,$F1028=0,$E1029&lt;=10)),$F1029,IF($D1028&lt;LataProjekcji,IF((SUM($K1030:V1030)+$D1030)&lt;$D1029,$D1030,$D1029-SUM($K1030:V1030)),0)),0)</f>
        <v>0</v>
      </c>
      <c r="X1030" s="248">
        <f ca="1">ROUND(IF(OR(AND($D1028=LataProjekcji,$F1028&gt;0),AND($D1028=LataProjekcji,$F1028=0,$E1029&lt;=10)),$F1029,IF($D1028&lt;LataProjekcji,IF((SUM($K1030:W1030)+$D1030)&lt;$D1029,$D1030,$D1029-SUM($K1030:W1030)),0)),0)</f>
        <v>0</v>
      </c>
    </row>
    <row r="1031" spans="1:24" hidden="1">
      <c r="A1031" s="328"/>
      <c r="B1031" s="21" t="s">
        <v>416</v>
      </c>
      <c r="C1031" s="21"/>
      <c r="D1031" s="22"/>
      <c r="E1031" s="21"/>
      <c r="F1031" s="21"/>
      <c r="G1031" s="21"/>
      <c r="H1031" s="21"/>
      <c r="I1031" s="21"/>
      <c r="J1031" s="21"/>
      <c r="K1031" s="22">
        <f ca="1">ROUND(K1030,0)</f>
        <v>0</v>
      </c>
      <c r="L1031" s="22">
        <f t="shared" ref="L1031" ca="1" si="776">ROUND(K1031+L1030,0)</f>
        <v>0</v>
      </c>
      <c r="M1031" s="22">
        <f t="shared" ref="M1031" ca="1" si="777">ROUND(L1031+M1030,0)</f>
        <v>0</v>
      </c>
      <c r="N1031" s="22">
        <f t="shared" ref="N1031" ca="1" si="778">ROUND(M1031+N1030,0)</f>
        <v>0</v>
      </c>
      <c r="O1031" s="22">
        <f t="shared" ref="O1031" ca="1" si="779">ROUND(N1031+O1030,0)</f>
        <v>0</v>
      </c>
      <c r="P1031" s="22">
        <f t="shared" ref="P1031" ca="1" si="780">ROUND(O1031+P1030,0)</f>
        <v>0</v>
      </c>
      <c r="Q1031" s="22">
        <f t="shared" ref="Q1031" ca="1" si="781">ROUND(P1031+Q1030,0)</f>
        <v>0</v>
      </c>
      <c r="R1031" s="22">
        <f t="shared" ref="R1031" ca="1" si="782">ROUND(Q1031+R1030,0)</f>
        <v>0</v>
      </c>
      <c r="S1031" s="22">
        <f t="shared" ref="S1031" ca="1" si="783">ROUND(R1031+S1030,0)</f>
        <v>0</v>
      </c>
      <c r="T1031" s="22">
        <f t="shared" ref="T1031" ca="1" si="784">ROUND(S1031+T1030,0)</f>
        <v>0</v>
      </c>
      <c r="U1031" s="22">
        <f t="shared" ref="U1031" ca="1" si="785">ROUND(T1031+U1030,0)</f>
        <v>0</v>
      </c>
      <c r="V1031" s="22">
        <f t="shared" ref="V1031" ca="1" si="786">ROUND(U1031+V1030,0)</f>
        <v>0</v>
      </c>
      <c r="W1031" s="22">
        <f t="shared" ref="W1031" ca="1" si="787">ROUND(V1031+W1030,0)</f>
        <v>0</v>
      </c>
      <c r="X1031" s="22">
        <f t="shared" ref="X1031" ca="1" si="788">ROUND(W1031+X1030,0)</f>
        <v>0</v>
      </c>
    </row>
    <row r="1032" spans="1:24" hidden="1">
      <c r="A1032" s="328"/>
      <c r="B1032" s="21" t="s">
        <v>406</v>
      </c>
      <c r="C1032" s="21"/>
      <c r="D1032" s="22"/>
      <c r="E1032" s="21"/>
      <c r="F1032" s="21"/>
      <c r="G1032" s="21"/>
      <c r="H1032" s="21"/>
      <c r="I1032" s="21"/>
      <c r="J1032" s="445">
        <f ca="1">OFFSET($C$96,D1027,0)</f>
        <v>0</v>
      </c>
      <c r="K1032" s="77">
        <f ca="1">IF($D1028=LataProjekcji,ROUND($D1029-K1031,0),ROUND(IF(K1030=0,0,$D1029-K1031),0))</f>
        <v>0</v>
      </c>
      <c r="L1032" s="254">
        <f t="shared" ref="L1032:X1032" ca="1" si="789">IF($D1028=LataProjekcji,ROUND($D1029-L1031,0),ROUND(IF(AND(L1030=0,K1032&gt;0),$D1029-L1031,IF(L1030=0,0,$D1029-L1031)),0))</f>
        <v>0</v>
      </c>
      <c r="M1032" s="254">
        <f t="shared" ca="1" si="789"/>
        <v>0</v>
      </c>
      <c r="N1032" s="254">
        <f t="shared" ca="1" si="789"/>
        <v>0</v>
      </c>
      <c r="O1032" s="254">
        <f t="shared" ca="1" si="789"/>
        <v>0</v>
      </c>
      <c r="P1032" s="254">
        <f t="shared" ca="1" si="789"/>
        <v>0</v>
      </c>
      <c r="Q1032" s="254">
        <f t="shared" ca="1" si="789"/>
        <v>0</v>
      </c>
      <c r="R1032" s="254">
        <f t="shared" ca="1" si="789"/>
        <v>0</v>
      </c>
      <c r="S1032" s="254">
        <f t="shared" ca="1" si="789"/>
        <v>0</v>
      </c>
      <c r="T1032" s="254">
        <f t="shared" ca="1" si="789"/>
        <v>0</v>
      </c>
      <c r="U1032" s="254">
        <f t="shared" ca="1" si="789"/>
        <v>0</v>
      </c>
      <c r="V1032" s="254">
        <f t="shared" ca="1" si="789"/>
        <v>0</v>
      </c>
      <c r="W1032" s="254">
        <f t="shared" ca="1" si="789"/>
        <v>0</v>
      </c>
      <c r="X1032" s="254">
        <f t="shared" ca="1" si="789"/>
        <v>0</v>
      </c>
    </row>
    <row r="1033" spans="1:24" hidden="1">
      <c r="A1033" s="328"/>
      <c r="B1033" s="20">
        <f ca="1">OFFSET($B$96,D1033,0)</f>
        <v>0</v>
      </c>
      <c r="C1033" s="20"/>
      <c r="D1033" s="21">
        <f>D1027+1</f>
        <v>27</v>
      </c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328"/>
      <c r="B1034" s="165" t="s">
        <v>425</v>
      </c>
      <c r="C1034" s="165"/>
      <c r="D1034" s="165">
        <f ca="1">YEAR(OFFSET($E$96,D1033,0))</f>
        <v>1900</v>
      </c>
      <c r="E1034" s="165">
        <f ca="1">MONTH(OFFSET($E$96,D1033,0))</f>
        <v>1</v>
      </c>
      <c r="F1034" s="21">
        <f ca="1">12-$E1034</f>
        <v>11</v>
      </c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</row>
    <row r="1035" spans="1:24" hidden="1">
      <c r="A1035" s="328"/>
      <c r="B1035" s="21" t="s">
        <v>406</v>
      </c>
      <c r="C1035" s="21"/>
      <c r="D1035" s="387">
        <f ca="1">IF(E1035&lt;0,0,ROUND(E1035,0))</f>
        <v>0</v>
      </c>
      <c r="E1035" s="249">
        <f ca="1">OFFSET($D$96,D1033,0)</f>
        <v>0</v>
      </c>
      <c r="F1035" s="387">
        <f ca="1">IF(E1035&gt;10,ROUND(($D1036/12)*$F1034,0),$D1035)</f>
        <v>0</v>
      </c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</row>
    <row r="1036" spans="1:24" hidden="1">
      <c r="A1036" s="328"/>
      <c r="B1036" s="21" t="s">
        <v>415</v>
      </c>
      <c r="C1036" s="436" t="e">
        <f ca="1">VLOOKUP(OFFSET($C$96,D1033,0),Założenia!$J$48:$K$55,2,FALSE)</f>
        <v>#N/A</v>
      </c>
      <c r="D1036" s="387">
        <f ca="1">IF(ISBLANK(OFFSET($E$96,D1033,0)),0,IF(E1035&gt;10,ROUND(D1035*C1036,0),IF(D1035&lt;0,0,D1035)))</f>
        <v>0</v>
      </c>
      <c r="E1036" s="21"/>
      <c r="F1036" s="21"/>
      <c r="G1036" s="21"/>
      <c r="H1036" s="21"/>
      <c r="I1036" s="21"/>
      <c r="J1036" s="21"/>
      <c r="K1036" s="75">
        <f ca="1">ROUND(IF($D1034=LataProjekcji,$F1035,IF($D1034=LataProjekcji,$D1036,0)),0)</f>
        <v>0</v>
      </c>
      <c r="L1036" s="248">
        <f ca="1">ROUND(IF(OR(AND($D1034=LataProjekcji,$F1034&gt;0),AND($D1034=LataProjekcji,$F1034=0,$E1035&lt;=10)),$F1035,IF($D1034&lt;LataProjekcji,IF((SUM($K1036:K1036)+$D1036)&lt;$D1035,$D1036,$D1035-SUM($K1036:K1036)),0)),0)</f>
        <v>0</v>
      </c>
      <c r="M1036" s="248">
        <f ca="1">ROUND(IF(OR(AND($D1034=LataProjekcji,$F1034&gt;0),AND($D1034=LataProjekcji,$F1034=0,$E1035&lt;=10)),$F1035,IF($D1034&lt;LataProjekcji,IF((SUM($K1036:L1036)+$D1036)&lt;$D1035,$D1036,$D1035-SUM($K1036:L1036)),0)),0)</f>
        <v>0</v>
      </c>
      <c r="N1036" s="248">
        <f ca="1">ROUND(IF(OR(AND($D1034=LataProjekcji,$F1034&gt;0),AND($D1034=LataProjekcji,$F1034=0,$E1035&lt;=10)),$F1035,IF($D1034&lt;LataProjekcji,IF((SUM($K1036:M1036)+$D1036)&lt;$D1035,$D1036,$D1035-SUM($K1036:M1036)),0)),0)</f>
        <v>0</v>
      </c>
      <c r="O1036" s="248">
        <f ca="1">ROUND(IF(OR(AND($D1034=LataProjekcji,$F1034&gt;0),AND($D1034=LataProjekcji,$F1034=0,$E1035&lt;=10)),$F1035,IF($D1034&lt;LataProjekcji,IF((SUM($K1036:N1036)+$D1036)&lt;$D1035,$D1036,$D1035-SUM($K1036:N1036)),0)),0)</f>
        <v>0</v>
      </c>
      <c r="P1036" s="248">
        <f ca="1">ROUND(IF(OR(AND($D1034=LataProjekcji,$F1034&gt;0),AND($D1034=LataProjekcji,$F1034=0,$E1035&lt;=10)),$F1035,IF($D1034&lt;LataProjekcji,IF((SUM($K1036:O1036)+$D1036)&lt;$D1035,$D1036,$D1035-SUM($K1036:O1036)),0)),0)</f>
        <v>0</v>
      </c>
      <c r="Q1036" s="248">
        <f ca="1">ROUND(IF(OR(AND($D1034=LataProjekcji,$F1034&gt;0),AND($D1034=LataProjekcji,$F1034=0,$E1035&lt;=10)),$F1035,IF($D1034&lt;LataProjekcji,IF((SUM($K1036:P1036)+$D1036)&lt;$D1035,$D1036,$D1035-SUM($K1036:P1036)),0)),0)</f>
        <v>0</v>
      </c>
      <c r="R1036" s="248">
        <f ca="1">ROUND(IF(OR(AND($D1034=LataProjekcji,$F1034&gt;0),AND($D1034=LataProjekcji,$F1034=0,$E1035&lt;=10)),$F1035,IF($D1034&lt;LataProjekcji,IF((SUM($K1036:Q1036)+$D1036)&lt;$D1035,$D1036,$D1035-SUM($K1036:Q1036)),0)),0)</f>
        <v>0</v>
      </c>
      <c r="S1036" s="248">
        <f ca="1">ROUND(IF(OR(AND($D1034=LataProjekcji,$F1034&gt;0),AND($D1034=LataProjekcji,$F1034=0,$E1035&lt;=10)),$F1035,IF($D1034&lt;LataProjekcji,IF((SUM($K1036:R1036)+$D1036)&lt;$D1035,$D1036,$D1035-SUM($K1036:R1036)),0)),0)</f>
        <v>0</v>
      </c>
      <c r="T1036" s="248">
        <f ca="1">ROUND(IF(OR(AND($D1034=LataProjekcji,$F1034&gt;0),AND($D1034=LataProjekcji,$F1034=0,$E1035&lt;=10)),$F1035,IF($D1034&lt;LataProjekcji,IF((SUM($K1036:S1036)+$D1036)&lt;$D1035,$D1036,$D1035-SUM($K1036:S1036)),0)),0)</f>
        <v>0</v>
      </c>
      <c r="U1036" s="248">
        <f ca="1">ROUND(IF(OR(AND($D1034=LataProjekcji,$F1034&gt;0),AND($D1034=LataProjekcji,$F1034=0,$E1035&lt;=10)),$F1035,IF($D1034&lt;LataProjekcji,IF((SUM($K1036:T1036)+$D1036)&lt;$D1035,$D1036,$D1035-SUM($K1036:T1036)),0)),0)</f>
        <v>0</v>
      </c>
      <c r="V1036" s="248">
        <f ca="1">ROUND(IF(OR(AND($D1034=LataProjekcji,$F1034&gt;0),AND($D1034=LataProjekcji,$F1034=0,$E1035&lt;=10)),$F1035,IF($D1034&lt;LataProjekcji,IF((SUM($K1036:U1036)+$D1036)&lt;$D1035,$D1036,$D1035-SUM($K1036:U1036)),0)),0)</f>
        <v>0</v>
      </c>
      <c r="W1036" s="248">
        <f ca="1">ROUND(IF(OR(AND($D1034=LataProjekcji,$F1034&gt;0),AND($D1034=LataProjekcji,$F1034=0,$E1035&lt;=10)),$F1035,IF($D1034&lt;LataProjekcji,IF((SUM($K1036:V1036)+$D1036)&lt;$D1035,$D1036,$D1035-SUM($K1036:V1036)),0)),0)</f>
        <v>0</v>
      </c>
      <c r="X1036" s="248">
        <f ca="1">ROUND(IF(OR(AND($D1034=LataProjekcji,$F1034&gt;0),AND($D1034=LataProjekcji,$F1034=0,$E1035&lt;=10)),$F1035,IF($D1034&lt;LataProjekcji,IF((SUM($K1036:W1036)+$D1036)&lt;$D1035,$D1036,$D1035-SUM($K1036:W1036)),0)),0)</f>
        <v>0</v>
      </c>
    </row>
    <row r="1037" spans="1:24" hidden="1">
      <c r="A1037" s="328"/>
      <c r="B1037" s="21" t="s">
        <v>416</v>
      </c>
      <c r="C1037" s="21"/>
      <c r="D1037" s="22"/>
      <c r="E1037" s="21"/>
      <c r="F1037" s="21"/>
      <c r="G1037" s="21"/>
      <c r="H1037" s="21"/>
      <c r="I1037" s="21"/>
      <c r="J1037" s="21"/>
      <c r="K1037" s="22">
        <f ca="1">ROUND(K1036,0)</f>
        <v>0</v>
      </c>
      <c r="L1037" s="22">
        <f t="shared" ref="L1037" ca="1" si="790">ROUND(K1037+L1036,0)</f>
        <v>0</v>
      </c>
      <c r="M1037" s="22">
        <f t="shared" ref="M1037" ca="1" si="791">ROUND(L1037+M1036,0)</f>
        <v>0</v>
      </c>
      <c r="N1037" s="22">
        <f t="shared" ref="N1037" ca="1" si="792">ROUND(M1037+N1036,0)</f>
        <v>0</v>
      </c>
      <c r="O1037" s="22">
        <f t="shared" ref="O1037" ca="1" si="793">ROUND(N1037+O1036,0)</f>
        <v>0</v>
      </c>
      <c r="P1037" s="22">
        <f t="shared" ref="P1037" ca="1" si="794">ROUND(O1037+P1036,0)</f>
        <v>0</v>
      </c>
      <c r="Q1037" s="22">
        <f t="shared" ref="Q1037" ca="1" si="795">ROUND(P1037+Q1036,0)</f>
        <v>0</v>
      </c>
      <c r="R1037" s="22">
        <f t="shared" ref="R1037" ca="1" si="796">ROUND(Q1037+R1036,0)</f>
        <v>0</v>
      </c>
      <c r="S1037" s="22">
        <f t="shared" ref="S1037" ca="1" si="797">ROUND(R1037+S1036,0)</f>
        <v>0</v>
      </c>
      <c r="T1037" s="22">
        <f t="shared" ref="T1037" ca="1" si="798">ROUND(S1037+T1036,0)</f>
        <v>0</v>
      </c>
      <c r="U1037" s="22">
        <f t="shared" ref="U1037" ca="1" si="799">ROUND(T1037+U1036,0)</f>
        <v>0</v>
      </c>
      <c r="V1037" s="22">
        <f t="shared" ref="V1037" ca="1" si="800">ROUND(U1037+V1036,0)</f>
        <v>0</v>
      </c>
      <c r="W1037" s="22">
        <f t="shared" ref="W1037" ca="1" si="801">ROUND(V1037+W1036,0)</f>
        <v>0</v>
      </c>
      <c r="X1037" s="22">
        <f t="shared" ref="X1037" ca="1" si="802">ROUND(W1037+X1036,0)</f>
        <v>0</v>
      </c>
    </row>
    <row r="1038" spans="1:24" hidden="1">
      <c r="A1038" s="328"/>
      <c r="B1038" s="21" t="s">
        <v>406</v>
      </c>
      <c r="C1038" s="21"/>
      <c r="D1038" s="22"/>
      <c r="E1038" s="21"/>
      <c r="F1038" s="21"/>
      <c r="G1038" s="21"/>
      <c r="H1038" s="21"/>
      <c r="I1038" s="21"/>
      <c r="J1038" s="445">
        <f ca="1">OFFSET($C$96,D1033,0)</f>
        <v>0</v>
      </c>
      <c r="K1038" s="77">
        <f ca="1">IF($D1034=LataProjekcji,ROUND($D1035-K1037,0),ROUND(IF(K1036=0,0,$D1035-K1037),0))</f>
        <v>0</v>
      </c>
      <c r="L1038" s="254">
        <f t="shared" ref="L1038:X1038" ca="1" si="803">IF($D1034=LataProjekcji,ROUND($D1035-L1037,0),ROUND(IF(AND(L1036=0,K1038&gt;0),$D1035-L1037,IF(L1036=0,0,$D1035-L1037)),0))</f>
        <v>0</v>
      </c>
      <c r="M1038" s="254">
        <f t="shared" ca="1" si="803"/>
        <v>0</v>
      </c>
      <c r="N1038" s="254">
        <f t="shared" ca="1" si="803"/>
        <v>0</v>
      </c>
      <c r="O1038" s="254">
        <f t="shared" ca="1" si="803"/>
        <v>0</v>
      </c>
      <c r="P1038" s="254">
        <f t="shared" ca="1" si="803"/>
        <v>0</v>
      </c>
      <c r="Q1038" s="254">
        <f t="shared" ca="1" si="803"/>
        <v>0</v>
      </c>
      <c r="R1038" s="254">
        <f t="shared" ca="1" si="803"/>
        <v>0</v>
      </c>
      <c r="S1038" s="254">
        <f t="shared" ca="1" si="803"/>
        <v>0</v>
      </c>
      <c r="T1038" s="254">
        <f t="shared" ca="1" si="803"/>
        <v>0</v>
      </c>
      <c r="U1038" s="254">
        <f t="shared" ca="1" si="803"/>
        <v>0</v>
      </c>
      <c r="V1038" s="254">
        <f t="shared" ca="1" si="803"/>
        <v>0</v>
      </c>
      <c r="W1038" s="254">
        <f t="shared" ca="1" si="803"/>
        <v>0</v>
      </c>
      <c r="X1038" s="254">
        <f t="shared" ca="1" si="803"/>
        <v>0</v>
      </c>
    </row>
    <row r="1039" spans="1:24" hidden="1">
      <c r="A1039" s="328"/>
      <c r="B1039" s="20">
        <f ca="1">OFFSET($B$96,D1039,0)</f>
        <v>0</v>
      </c>
      <c r="C1039" s="20"/>
      <c r="D1039" s="21">
        <f>D1033+1</f>
        <v>28</v>
      </c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328"/>
      <c r="B1040" s="165" t="s">
        <v>425</v>
      </c>
      <c r="C1040" s="165"/>
      <c r="D1040" s="165">
        <f ca="1">YEAR(OFFSET($E$96,D1039,0))</f>
        <v>1900</v>
      </c>
      <c r="E1040" s="165">
        <f ca="1">MONTH(OFFSET($E$96,D1039,0))</f>
        <v>1</v>
      </c>
      <c r="F1040" s="21">
        <f ca="1">12-$E1040</f>
        <v>11</v>
      </c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</row>
    <row r="1041" spans="1:24" hidden="1">
      <c r="A1041" s="328"/>
      <c r="B1041" s="21" t="s">
        <v>406</v>
      </c>
      <c r="C1041" s="21"/>
      <c r="D1041" s="387">
        <f ca="1">IF(E1041&lt;0,0,ROUND(E1041,0))</f>
        <v>0</v>
      </c>
      <c r="E1041" s="249">
        <f ca="1">OFFSET($D$96,D1039,0)</f>
        <v>0</v>
      </c>
      <c r="F1041" s="387">
        <f ca="1">IF(E1041&gt;10,ROUND(($D1042/12)*$F1040,0),$D1041)</f>
        <v>0</v>
      </c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328"/>
      <c r="B1042" s="21" t="s">
        <v>415</v>
      </c>
      <c r="C1042" s="436" t="e">
        <f ca="1">VLOOKUP(OFFSET($C$96,D1039,0),Założenia!$J$48:$K$55,2,FALSE)</f>
        <v>#N/A</v>
      </c>
      <c r="D1042" s="387">
        <f ca="1">IF(ISBLANK(OFFSET($E$96,D1039,0)),0,IF(E1041&gt;10,ROUND(D1041*C1042,0),IF(D1041&lt;0,0,D1041)))</f>
        <v>0</v>
      </c>
      <c r="E1042" s="21"/>
      <c r="F1042" s="21"/>
      <c r="G1042" s="21"/>
      <c r="H1042" s="21"/>
      <c r="I1042" s="21"/>
      <c r="J1042" s="21"/>
      <c r="K1042" s="75">
        <f ca="1">ROUND(IF($D1040=LataProjekcji,$F1041,IF($D1040=LataProjekcji,$D1042,0)),0)</f>
        <v>0</v>
      </c>
      <c r="L1042" s="248">
        <f ca="1">ROUND(IF(OR(AND($D1040=LataProjekcji,$F1040&gt;0),AND($D1040=LataProjekcji,$F1040=0,$E1041&lt;=10)),$F1041,IF($D1040&lt;LataProjekcji,IF((SUM($K1042:K1042)+$D1042)&lt;$D1041,$D1042,$D1041-SUM($K1042:K1042)),0)),0)</f>
        <v>0</v>
      </c>
      <c r="M1042" s="248">
        <f ca="1">ROUND(IF(OR(AND($D1040=LataProjekcji,$F1040&gt;0),AND($D1040=LataProjekcji,$F1040=0,$E1041&lt;=10)),$F1041,IF($D1040&lt;LataProjekcji,IF((SUM($K1042:L1042)+$D1042)&lt;$D1041,$D1042,$D1041-SUM($K1042:L1042)),0)),0)</f>
        <v>0</v>
      </c>
      <c r="N1042" s="248">
        <f ca="1">ROUND(IF(OR(AND($D1040=LataProjekcji,$F1040&gt;0),AND($D1040=LataProjekcji,$F1040=0,$E1041&lt;=10)),$F1041,IF($D1040&lt;LataProjekcji,IF((SUM($K1042:M1042)+$D1042)&lt;$D1041,$D1042,$D1041-SUM($K1042:M1042)),0)),0)</f>
        <v>0</v>
      </c>
      <c r="O1042" s="248">
        <f ca="1">ROUND(IF(OR(AND($D1040=LataProjekcji,$F1040&gt;0),AND($D1040=LataProjekcji,$F1040=0,$E1041&lt;=10)),$F1041,IF($D1040&lt;LataProjekcji,IF((SUM($K1042:N1042)+$D1042)&lt;$D1041,$D1042,$D1041-SUM($K1042:N1042)),0)),0)</f>
        <v>0</v>
      </c>
      <c r="P1042" s="248">
        <f ca="1">ROUND(IF(OR(AND($D1040=LataProjekcji,$F1040&gt;0),AND($D1040=LataProjekcji,$F1040=0,$E1041&lt;=10)),$F1041,IF($D1040&lt;LataProjekcji,IF((SUM($K1042:O1042)+$D1042)&lt;$D1041,$D1042,$D1041-SUM($K1042:O1042)),0)),0)</f>
        <v>0</v>
      </c>
      <c r="Q1042" s="248">
        <f ca="1">ROUND(IF(OR(AND($D1040=LataProjekcji,$F1040&gt;0),AND($D1040=LataProjekcji,$F1040=0,$E1041&lt;=10)),$F1041,IF($D1040&lt;LataProjekcji,IF((SUM($K1042:P1042)+$D1042)&lt;$D1041,$D1042,$D1041-SUM($K1042:P1042)),0)),0)</f>
        <v>0</v>
      </c>
      <c r="R1042" s="248">
        <f ca="1">ROUND(IF(OR(AND($D1040=LataProjekcji,$F1040&gt;0),AND($D1040=LataProjekcji,$F1040=0,$E1041&lt;=10)),$F1041,IF($D1040&lt;LataProjekcji,IF((SUM($K1042:Q1042)+$D1042)&lt;$D1041,$D1042,$D1041-SUM($K1042:Q1042)),0)),0)</f>
        <v>0</v>
      </c>
      <c r="S1042" s="248">
        <f ca="1">ROUND(IF(OR(AND($D1040=LataProjekcji,$F1040&gt;0),AND($D1040=LataProjekcji,$F1040=0,$E1041&lt;=10)),$F1041,IF($D1040&lt;LataProjekcji,IF((SUM($K1042:R1042)+$D1042)&lt;$D1041,$D1042,$D1041-SUM($K1042:R1042)),0)),0)</f>
        <v>0</v>
      </c>
      <c r="T1042" s="248">
        <f ca="1">ROUND(IF(OR(AND($D1040=LataProjekcji,$F1040&gt;0),AND($D1040=LataProjekcji,$F1040=0,$E1041&lt;=10)),$F1041,IF($D1040&lt;LataProjekcji,IF((SUM($K1042:S1042)+$D1042)&lt;$D1041,$D1042,$D1041-SUM($K1042:S1042)),0)),0)</f>
        <v>0</v>
      </c>
      <c r="U1042" s="248">
        <f ca="1">ROUND(IF(OR(AND($D1040=LataProjekcji,$F1040&gt;0),AND($D1040=LataProjekcji,$F1040=0,$E1041&lt;=10)),$F1041,IF($D1040&lt;LataProjekcji,IF((SUM($K1042:T1042)+$D1042)&lt;$D1041,$D1042,$D1041-SUM($K1042:T1042)),0)),0)</f>
        <v>0</v>
      </c>
      <c r="V1042" s="248">
        <f ca="1">ROUND(IF(OR(AND($D1040=LataProjekcji,$F1040&gt;0),AND($D1040=LataProjekcji,$F1040=0,$E1041&lt;=10)),$F1041,IF($D1040&lt;LataProjekcji,IF((SUM($K1042:U1042)+$D1042)&lt;$D1041,$D1042,$D1041-SUM($K1042:U1042)),0)),0)</f>
        <v>0</v>
      </c>
      <c r="W1042" s="248">
        <f ca="1">ROUND(IF(OR(AND($D1040=LataProjekcji,$F1040&gt;0),AND($D1040=LataProjekcji,$F1040=0,$E1041&lt;=10)),$F1041,IF($D1040&lt;LataProjekcji,IF((SUM($K1042:V1042)+$D1042)&lt;$D1041,$D1042,$D1041-SUM($K1042:V1042)),0)),0)</f>
        <v>0</v>
      </c>
      <c r="X1042" s="248">
        <f ca="1">ROUND(IF(OR(AND($D1040=LataProjekcji,$F1040&gt;0),AND($D1040=LataProjekcji,$F1040=0,$E1041&lt;=10)),$F1041,IF($D1040&lt;LataProjekcji,IF((SUM($K1042:W1042)+$D1042)&lt;$D1041,$D1042,$D1041-SUM($K1042:W1042)),0)),0)</f>
        <v>0</v>
      </c>
    </row>
    <row r="1043" spans="1:24" hidden="1">
      <c r="A1043" s="328"/>
      <c r="B1043" s="21" t="s">
        <v>416</v>
      </c>
      <c r="C1043" s="21"/>
      <c r="D1043" s="22"/>
      <c r="E1043" s="21"/>
      <c r="F1043" s="21"/>
      <c r="G1043" s="21"/>
      <c r="H1043" s="21"/>
      <c r="I1043" s="21"/>
      <c r="J1043" s="21"/>
      <c r="K1043" s="22">
        <f ca="1">ROUND(K1042,0)</f>
        <v>0</v>
      </c>
      <c r="L1043" s="22">
        <f t="shared" ref="L1043" ca="1" si="804">ROUND(K1043+L1042,0)</f>
        <v>0</v>
      </c>
      <c r="M1043" s="22">
        <f t="shared" ref="M1043" ca="1" si="805">ROUND(L1043+M1042,0)</f>
        <v>0</v>
      </c>
      <c r="N1043" s="22">
        <f t="shared" ref="N1043" ca="1" si="806">ROUND(M1043+N1042,0)</f>
        <v>0</v>
      </c>
      <c r="O1043" s="22">
        <f t="shared" ref="O1043" ca="1" si="807">ROUND(N1043+O1042,0)</f>
        <v>0</v>
      </c>
      <c r="P1043" s="22">
        <f t="shared" ref="P1043" ca="1" si="808">ROUND(O1043+P1042,0)</f>
        <v>0</v>
      </c>
      <c r="Q1043" s="22">
        <f t="shared" ref="Q1043" ca="1" si="809">ROUND(P1043+Q1042,0)</f>
        <v>0</v>
      </c>
      <c r="R1043" s="22">
        <f t="shared" ref="R1043" ca="1" si="810">ROUND(Q1043+R1042,0)</f>
        <v>0</v>
      </c>
      <c r="S1043" s="22">
        <f t="shared" ref="S1043" ca="1" si="811">ROUND(R1043+S1042,0)</f>
        <v>0</v>
      </c>
      <c r="T1043" s="22">
        <f t="shared" ref="T1043" ca="1" si="812">ROUND(S1043+T1042,0)</f>
        <v>0</v>
      </c>
      <c r="U1043" s="22">
        <f t="shared" ref="U1043" ca="1" si="813">ROUND(T1043+U1042,0)</f>
        <v>0</v>
      </c>
      <c r="V1043" s="22">
        <f t="shared" ref="V1043" ca="1" si="814">ROUND(U1043+V1042,0)</f>
        <v>0</v>
      </c>
      <c r="W1043" s="22">
        <f t="shared" ref="W1043" ca="1" si="815">ROUND(V1043+W1042,0)</f>
        <v>0</v>
      </c>
      <c r="X1043" s="22">
        <f t="shared" ref="X1043" ca="1" si="816">ROUND(W1043+X1042,0)</f>
        <v>0</v>
      </c>
    </row>
    <row r="1044" spans="1:24" hidden="1">
      <c r="A1044" s="328"/>
      <c r="B1044" s="21" t="s">
        <v>406</v>
      </c>
      <c r="C1044" s="21"/>
      <c r="D1044" s="22"/>
      <c r="E1044" s="21"/>
      <c r="F1044" s="21"/>
      <c r="G1044" s="21"/>
      <c r="H1044" s="21"/>
      <c r="I1044" s="21"/>
      <c r="J1044" s="445">
        <f ca="1">OFFSET($C$96,D1039,0)</f>
        <v>0</v>
      </c>
      <c r="K1044" s="77">
        <f ca="1">IF($D1040=LataProjekcji,ROUND($D1041-K1043,0),ROUND(IF(K1042=0,0,$D1041-K1043),0))</f>
        <v>0</v>
      </c>
      <c r="L1044" s="254">
        <f t="shared" ref="L1044:X1044" ca="1" si="817">IF($D1040=LataProjekcji,ROUND($D1041-L1043,0),ROUND(IF(AND(L1042=0,K1044&gt;0),$D1041-L1043,IF(L1042=0,0,$D1041-L1043)),0))</f>
        <v>0</v>
      </c>
      <c r="M1044" s="254">
        <f t="shared" ca="1" si="817"/>
        <v>0</v>
      </c>
      <c r="N1044" s="254">
        <f t="shared" ca="1" si="817"/>
        <v>0</v>
      </c>
      <c r="O1044" s="254">
        <f t="shared" ca="1" si="817"/>
        <v>0</v>
      </c>
      <c r="P1044" s="254">
        <f t="shared" ca="1" si="817"/>
        <v>0</v>
      </c>
      <c r="Q1044" s="254">
        <f t="shared" ca="1" si="817"/>
        <v>0</v>
      </c>
      <c r="R1044" s="254">
        <f t="shared" ca="1" si="817"/>
        <v>0</v>
      </c>
      <c r="S1044" s="254">
        <f t="shared" ca="1" si="817"/>
        <v>0</v>
      </c>
      <c r="T1044" s="254">
        <f t="shared" ca="1" si="817"/>
        <v>0</v>
      </c>
      <c r="U1044" s="254">
        <f t="shared" ca="1" si="817"/>
        <v>0</v>
      </c>
      <c r="V1044" s="254">
        <f t="shared" ca="1" si="817"/>
        <v>0</v>
      </c>
      <c r="W1044" s="254">
        <f t="shared" ca="1" si="817"/>
        <v>0</v>
      </c>
      <c r="X1044" s="254">
        <f t="shared" ca="1" si="817"/>
        <v>0</v>
      </c>
    </row>
    <row r="1045" spans="1:24" hidden="1">
      <c r="A1045" s="328"/>
      <c r="B1045" s="20">
        <f ca="1">OFFSET($B$96,D1045,0)</f>
        <v>0</v>
      </c>
      <c r="C1045" s="20"/>
      <c r="D1045" s="21">
        <f>D1039+1</f>
        <v>29</v>
      </c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328"/>
      <c r="B1046" s="165" t="s">
        <v>425</v>
      </c>
      <c r="C1046" s="165"/>
      <c r="D1046" s="165">
        <f ca="1">YEAR(OFFSET($E$96,D1045,0))</f>
        <v>1900</v>
      </c>
      <c r="E1046" s="165">
        <f ca="1">MONTH(OFFSET($E$96,D1045,0))</f>
        <v>1</v>
      </c>
      <c r="F1046" s="21">
        <f ca="1">12-$E1046</f>
        <v>11</v>
      </c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328"/>
      <c r="B1047" s="21" t="s">
        <v>406</v>
      </c>
      <c r="C1047" s="21"/>
      <c r="D1047" s="387">
        <f ca="1">IF(E1047&lt;0,0,ROUND(E1047,0))</f>
        <v>0</v>
      </c>
      <c r="E1047" s="249">
        <f ca="1">OFFSET($D$96,D1045,0)</f>
        <v>0</v>
      </c>
      <c r="F1047" s="387">
        <f ca="1">IF(E1047&gt;10,ROUND(($D1048/12)*$F1046,0),$D1047)</f>
        <v>0</v>
      </c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328"/>
      <c r="B1048" s="21" t="s">
        <v>415</v>
      </c>
      <c r="C1048" s="436" t="e">
        <f ca="1">VLOOKUP(OFFSET($C$96,D1045,0),Założenia!$J$48:$K$55,2,FALSE)</f>
        <v>#N/A</v>
      </c>
      <c r="D1048" s="387">
        <f ca="1">IF(ISBLANK(OFFSET($E$96,D1045,0)),0,IF(E1047&gt;10,ROUND(D1047*C1048,0),IF(D1047&lt;0,0,D1047)))</f>
        <v>0</v>
      </c>
      <c r="E1048" s="21"/>
      <c r="F1048" s="21"/>
      <c r="G1048" s="21"/>
      <c r="H1048" s="21"/>
      <c r="I1048" s="21"/>
      <c r="J1048" s="21"/>
      <c r="K1048" s="75">
        <f ca="1">ROUND(IF($D1046=LataProjekcji,$F1047,IF($D1046=LataProjekcji,$D1048,0)),0)</f>
        <v>0</v>
      </c>
      <c r="L1048" s="248">
        <f ca="1">ROUND(IF(OR(AND($D1046=LataProjekcji,$F1046&gt;0),AND($D1046=LataProjekcji,$F1046=0,$E1047&lt;=10)),$F1047,IF($D1046&lt;LataProjekcji,IF((SUM($K1048:K1048)+$D1048)&lt;$D1047,$D1048,$D1047-SUM($K1048:K1048)),0)),0)</f>
        <v>0</v>
      </c>
      <c r="M1048" s="248">
        <f ca="1">ROUND(IF(OR(AND($D1046=LataProjekcji,$F1046&gt;0),AND($D1046=LataProjekcji,$F1046=0,$E1047&lt;=10)),$F1047,IF($D1046&lt;LataProjekcji,IF((SUM($K1048:L1048)+$D1048)&lt;$D1047,$D1048,$D1047-SUM($K1048:L1048)),0)),0)</f>
        <v>0</v>
      </c>
      <c r="N1048" s="248">
        <f ca="1">ROUND(IF(OR(AND($D1046=LataProjekcji,$F1046&gt;0),AND($D1046=LataProjekcji,$F1046=0,$E1047&lt;=10)),$F1047,IF($D1046&lt;LataProjekcji,IF((SUM($K1048:M1048)+$D1048)&lt;$D1047,$D1048,$D1047-SUM($K1048:M1048)),0)),0)</f>
        <v>0</v>
      </c>
      <c r="O1048" s="248">
        <f ca="1">ROUND(IF(OR(AND($D1046=LataProjekcji,$F1046&gt;0),AND($D1046=LataProjekcji,$F1046=0,$E1047&lt;=10)),$F1047,IF($D1046&lt;LataProjekcji,IF((SUM($K1048:N1048)+$D1048)&lt;$D1047,$D1048,$D1047-SUM($K1048:N1048)),0)),0)</f>
        <v>0</v>
      </c>
      <c r="P1048" s="248">
        <f ca="1">ROUND(IF(OR(AND($D1046=LataProjekcji,$F1046&gt;0),AND($D1046=LataProjekcji,$F1046=0,$E1047&lt;=10)),$F1047,IF($D1046&lt;LataProjekcji,IF((SUM($K1048:O1048)+$D1048)&lt;$D1047,$D1048,$D1047-SUM($K1048:O1048)),0)),0)</f>
        <v>0</v>
      </c>
      <c r="Q1048" s="248">
        <f ca="1">ROUND(IF(OR(AND($D1046=LataProjekcji,$F1046&gt;0),AND($D1046=LataProjekcji,$F1046=0,$E1047&lt;=10)),$F1047,IF($D1046&lt;LataProjekcji,IF((SUM($K1048:P1048)+$D1048)&lt;$D1047,$D1048,$D1047-SUM($K1048:P1048)),0)),0)</f>
        <v>0</v>
      </c>
      <c r="R1048" s="248">
        <f ca="1">ROUND(IF(OR(AND($D1046=LataProjekcji,$F1046&gt;0),AND($D1046=LataProjekcji,$F1046=0,$E1047&lt;=10)),$F1047,IF($D1046&lt;LataProjekcji,IF((SUM($K1048:Q1048)+$D1048)&lt;$D1047,$D1048,$D1047-SUM($K1048:Q1048)),0)),0)</f>
        <v>0</v>
      </c>
      <c r="S1048" s="248">
        <f ca="1">ROUND(IF(OR(AND($D1046=LataProjekcji,$F1046&gt;0),AND($D1046=LataProjekcji,$F1046=0,$E1047&lt;=10)),$F1047,IF($D1046&lt;LataProjekcji,IF((SUM($K1048:R1048)+$D1048)&lt;$D1047,$D1048,$D1047-SUM($K1048:R1048)),0)),0)</f>
        <v>0</v>
      </c>
      <c r="T1048" s="248">
        <f ca="1">ROUND(IF(OR(AND($D1046=LataProjekcji,$F1046&gt;0),AND($D1046=LataProjekcji,$F1046=0,$E1047&lt;=10)),$F1047,IF($D1046&lt;LataProjekcji,IF((SUM($K1048:S1048)+$D1048)&lt;$D1047,$D1048,$D1047-SUM($K1048:S1048)),0)),0)</f>
        <v>0</v>
      </c>
      <c r="U1048" s="248">
        <f ca="1">ROUND(IF(OR(AND($D1046=LataProjekcji,$F1046&gt;0),AND($D1046=LataProjekcji,$F1046=0,$E1047&lt;=10)),$F1047,IF($D1046&lt;LataProjekcji,IF((SUM($K1048:T1048)+$D1048)&lt;$D1047,$D1048,$D1047-SUM($K1048:T1048)),0)),0)</f>
        <v>0</v>
      </c>
      <c r="V1048" s="248">
        <f ca="1">ROUND(IF(OR(AND($D1046=LataProjekcji,$F1046&gt;0),AND($D1046=LataProjekcji,$F1046=0,$E1047&lt;=10)),$F1047,IF($D1046&lt;LataProjekcji,IF((SUM($K1048:U1048)+$D1048)&lt;$D1047,$D1048,$D1047-SUM($K1048:U1048)),0)),0)</f>
        <v>0</v>
      </c>
      <c r="W1048" s="248">
        <f ca="1">ROUND(IF(OR(AND($D1046=LataProjekcji,$F1046&gt;0),AND($D1046=LataProjekcji,$F1046=0,$E1047&lt;=10)),$F1047,IF($D1046&lt;LataProjekcji,IF((SUM($K1048:V1048)+$D1048)&lt;$D1047,$D1048,$D1047-SUM($K1048:V1048)),0)),0)</f>
        <v>0</v>
      </c>
      <c r="X1048" s="248">
        <f ca="1">ROUND(IF(OR(AND($D1046=LataProjekcji,$F1046&gt;0),AND($D1046=LataProjekcji,$F1046=0,$E1047&lt;=10)),$F1047,IF($D1046&lt;LataProjekcji,IF((SUM($K1048:W1048)+$D1048)&lt;$D1047,$D1048,$D1047-SUM($K1048:W1048)),0)),0)</f>
        <v>0</v>
      </c>
    </row>
    <row r="1049" spans="1:24" hidden="1">
      <c r="A1049" s="328"/>
      <c r="B1049" s="21" t="s">
        <v>416</v>
      </c>
      <c r="C1049" s="21"/>
      <c r="D1049" s="22"/>
      <c r="E1049" s="21"/>
      <c r="F1049" s="21"/>
      <c r="G1049" s="21"/>
      <c r="H1049" s="21"/>
      <c r="I1049" s="21"/>
      <c r="J1049" s="21"/>
      <c r="K1049" s="22">
        <f ca="1">ROUND(K1048,0)</f>
        <v>0</v>
      </c>
      <c r="L1049" s="22">
        <f t="shared" ref="L1049" ca="1" si="818">ROUND(K1049+L1048,0)</f>
        <v>0</v>
      </c>
      <c r="M1049" s="22">
        <f t="shared" ref="M1049" ca="1" si="819">ROUND(L1049+M1048,0)</f>
        <v>0</v>
      </c>
      <c r="N1049" s="22">
        <f t="shared" ref="N1049" ca="1" si="820">ROUND(M1049+N1048,0)</f>
        <v>0</v>
      </c>
      <c r="O1049" s="22">
        <f t="shared" ref="O1049" ca="1" si="821">ROUND(N1049+O1048,0)</f>
        <v>0</v>
      </c>
      <c r="P1049" s="22">
        <f t="shared" ref="P1049" ca="1" si="822">ROUND(O1049+P1048,0)</f>
        <v>0</v>
      </c>
      <c r="Q1049" s="22">
        <f t="shared" ref="Q1049" ca="1" si="823">ROUND(P1049+Q1048,0)</f>
        <v>0</v>
      </c>
      <c r="R1049" s="22">
        <f t="shared" ref="R1049" ca="1" si="824">ROUND(Q1049+R1048,0)</f>
        <v>0</v>
      </c>
      <c r="S1049" s="22">
        <f t="shared" ref="S1049" ca="1" si="825">ROUND(R1049+S1048,0)</f>
        <v>0</v>
      </c>
      <c r="T1049" s="22">
        <f t="shared" ref="T1049" ca="1" si="826">ROUND(S1049+T1048,0)</f>
        <v>0</v>
      </c>
      <c r="U1049" s="22">
        <f t="shared" ref="U1049" ca="1" si="827">ROUND(T1049+U1048,0)</f>
        <v>0</v>
      </c>
      <c r="V1049" s="22">
        <f t="shared" ref="V1049" ca="1" si="828">ROUND(U1049+V1048,0)</f>
        <v>0</v>
      </c>
      <c r="W1049" s="22">
        <f t="shared" ref="W1049" ca="1" si="829">ROUND(V1049+W1048,0)</f>
        <v>0</v>
      </c>
      <c r="X1049" s="22">
        <f t="shared" ref="X1049" ca="1" si="830">ROUND(W1049+X1048,0)</f>
        <v>0</v>
      </c>
    </row>
    <row r="1050" spans="1:24" hidden="1">
      <c r="A1050" s="328"/>
      <c r="B1050" s="21" t="s">
        <v>406</v>
      </c>
      <c r="C1050" s="21"/>
      <c r="D1050" s="22"/>
      <c r="E1050" s="21"/>
      <c r="F1050" s="21"/>
      <c r="G1050" s="21"/>
      <c r="H1050" s="21"/>
      <c r="I1050" s="21"/>
      <c r="J1050" s="445">
        <f ca="1">OFFSET($C$96,D1045,0)</f>
        <v>0</v>
      </c>
      <c r="K1050" s="77">
        <f ca="1">IF($D1046=LataProjekcji,ROUND($D1047-K1049,0),ROUND(IF(K1048=0,0,$D1047-K1049),0))</f>
        <v>0</v>
      </c>
      <c r="L1050" s="254">
        <f t="shared" ref="L1050:X1050" ca="1" si="831">IF($D1046=LataProjekcji,ROUND($D1047-L1049,0),ROUND(IF(AND(L1048=0,K1050&gt;0),$D1047-L1049,IF(L1048=0,0,$D1047-L1049)),0))</f>
        <v>0</v>
      </c>
      <c r="M1050" s="254">
        <f t="shared" ca="1" si="831"/>
        <v>0</v>
      </c>
      <c r="N1050" s="254">
        <f t="shared" ca="1" si="831"/>
        <v>0</v>
      </c>
      <c r="O1050" s="254">
        <f t="shared" ca="1" si="831"/>
        <v>0</v>
      </c>
      <c r="P1050" s="254">
        <f t="shared" ca="1" si="831"/>
        <v>0</v>
      </c>
      <c r="Q1050" s="254">
        <f t="shared" ca="1" si="831"/>
        <v>0</v>
      </c>
      <c r="R1050" s="254">
        <f t="shared" ca="1" si="831"/>
        <v>0</v>
      </c>
      <c r="S1050" s="254">
        <f t="shared" ca="1" si="831"/>
        <v>0</v>
      </c>
      <c r="T1050" s="254">
        <f t="shared" ca="1" si="831"/>
        <v>0</v>
      </c>
      <c r="U1050" s="254">
        <f t="shared" ca="1" si="831"/>
        <v>0</v>
      </c>
      <c r="V1050" s="254">
        <f t="shared" ca="1" si="831"/>
        <v>0</v>
      </c>
      <c r="W1050" s="254">
        <f t="shared" ca="1" si="831"/>
        <v>0</v>
      </c>
      <c r="X1050" s="254">
        <f t="shared" ca="1" si="831"/>
        <v>0</v>
      </c>
    </row>
    <row r="1051" spans="1:24" hidden="1">
      <c r="A1051" s="328"/>
      <c r="B1051" s="20">
        <f ca="1">OFFSET($B$96,D1051,0)</f>
        <v>0</v>
      </c>
      <c r="C1051" s="20"/>
      <c r="D1051" s="21">
        <f>D1045+1</f>
        <v>30</v>
      </c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328"/>
      <c r="B1052" s="165" t="s">
        <v>425</v>
      </c>
      <c r="C1052" s="165"/>
      <c r="D1052" s="165">
        <f ca="1">YEAR(OFFSET($E$96,D1051,0))</f>
        <v>1900</v>
      </c>
      <c r="E1052" s="165">
        <f ca="1">MONTH(OFFSET($E$96,D1051,0))</f>
        <v>1</v>
      </c>
      <c r="F1052" s="21">
        <f ca="1">12-$E1052</f>
        <v>11</v>
      </c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328"/>
      <c r="B1053" s="21" t="s">
        <v>406</v>
      </c>
      <c r="C1053" s="21"/>
      <c r="D1053" s="385">
        <f ca="1">IF(E1053&lt;0,0,ROUND(E1053,0))</f>
        <v>0</v>
      </c>
      <c r="E1053" s="249">
        <f ca="1">OFFSET($D$96,D1051,0)</f>
        <v>0</v>
      </c>
      <c r="F1053" s="385">
        <f ca="1">IF(E1053&gt;10,ROUND(($D1054/12)*$F1052,0),$D1053)</f>
        <v>0</v>
      </c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328"/>
      <c r="B1054" s="21" t="s">
        <v>415</v>
      </c>
      <c r="C1054" s="436" t="e">
        <f ca="1">VLOOKUP(OFFSET($C$96,D1051,0),Założenia!$J$48:$K$55,2,FALSE)</f>
        <v>#N/A</v>
      </c>
      <c r="D1054" s="385">
        <f ca="1">IF(ISBLANK(OFFSET($E$96,D1051,0)),0,IF(E1053&gt;10,ROUND(D1053*C1054,0),IF(D1053&lt;0,0,D1053)))</f>
        <v>0</v>
      </c>
      <c r="E1054" s="21"/>
      <c r="F1054" s="21"/>
      <c r="G1054" s="21"/>
      <c r="H1054" s="21"/>
      <c r="I1054" s="21"/>
      <c r="J1054" s="21"/>
      <c r="K1054" s="75">
        <f ca="1">ROUND(IF($D1052=LataProjekcji,$F1053,IF($D1052=LataProjekcji,$D1054,0)),0)</f>
        <v>0</v>
      </c>
      <c r="L1054" s="248">
        <f ca="1">ROUND(IF(OR(AND($D1052=LataProjekcji,$F1052&gt;0),AND($D1052=LataProjekcji,$F1052=0,$E1053&lt;=10)),$F1053,IF($D1052&lt;LataProjekcji,IF((SUM($K1054:K1054)+$D1054)&lt;$D1053,$D1054,$D1053-SUM($K1054:K1054)),0)),0)</f>
        <v>0</v>
      </c>
      <c r="M1054" s="248">
        <f ca="1">ROUND(IF(OR(AND($D1052=LataProjekcji,$F1052&gt;0),AND($D1052=LataProjekcji,$F1052=0,$E1053&lt;=10)),$F1053,IF($D1052&lt;LataProjekcji,IF((SUM($K1054:L1054)+$D1054)&lt;$D1053,$D1054,$D1053-SUM($K1054:L1054)),0)),0)</f>
        <v>0</v>
      </c>
      <c r="N1054" s="248">
        <f ca="1">ROUND(IF(OR(AND($D1052=LataProjekcji,$F1052&gt;0),AND($D1052=LataProjekcji,$F1052=0,$E1053&lt;=10)),$F1053,IF($D1052&lt;LataProjekcji,IF((SUM($K1054:M1054)+$D1054)&lt;$D1053,$D1054,$D1053-SUM($K1054:M1054)),0)),0)</f>
        <v>0</v>
      </c>
      <c r="O1054" s="248">
        <f ca="1">ROUND(IF(OR(AND($D1052=LataProjekcji,$F1052&gt;0),AND($D1052=LataProjekcji,$F1052=0,$E1053&lt;=10)),$F1053,IF($D1052&lt;LataProjekcji,IF((SUM($K1054:N1054)+$D1054)&lt;$D1053,$D1054,$D1053-SUM($K1054:N1054)),0)),0)</f>
        <v>0</v>
      </c>
      <c r="P1054" s="248">
        <f ca="1">ROUND(IF(OR(AND($D1052=LataProjekcji,$F1052&gt;0),AND($D1052=LataProjekcji,$F1052=0,$E1053&lt;=10)),$F1053,IF($D1052&lt;LataProjekcji,IF((SUM($K1054:O1054)+$D1054)&lt;$D1053,$D1054,$D1053-SUM($K1054:O1054)),0)),0)</f>
        <v>0</v>
      </c>
      <c r="Q1054" s="248">
        <f ca="1">ROUND(IF(OR(AND($D1052=LataProjekcji,$F1052&gt;0),AND($D1052=LataProjekcji,$F1052=0,$E1053&lt;=10)),$F1053,IF($D1052&lt;LataProjekcji,IF((SUM($K1054:P1054)+$D1054)&lt;$D1053,$D1054,$D1053-SUM($K1054:P1054)),0)),0)</f>
        <v>0</v>
      </c>
      <c r="R1054" s="248">
        <f ca="1">ROUND(IF(OR(AND($D1052=LataProjekcji,$F1052&gt;0),AND($D1052=LataProjekcji,$F1052=0,$E1053&lt;=10)),$F1053,IF($D1052&lt;LataProjekcji,IF((SUM($K1054:Q1054)+$D1054)&lt;$D1053,$D1054,$D1053-SUM($K1054:Q1054)),0)),0)</f>
        <v>0</v>
      </c>
      <c r="S1054" s="248">
        <f ca="1">ROUND(IF(OR(AND($D1052=LataProjekcji,$F1052&gt;0),AND($D1052=LataProjekcji,$F1052=0,$E1053&lt;=10)),$F1053,IF($D1052&lt;LataProjekcji,IF((SUM($K1054:R1054)+$D1054)&lt;$D1053,$D1054,$D1053-SUM($K1054:R1054)),0)),0)</f>
        <v>0</v>
      </c>
      <c r="T1054" s="248">
        <f ca="1">ROUND(IF(OR(AND($D1052=LataProjekcji,$F1052&gt;0),AND($D1052=LataProjekcji,$F1052=0,$E1053&lt;=10)),$F1053,IF($D1052&lt;LataProjekcji,IF((SUM($K1054:S1054)+$D1054)&lt;$D1053,$D1054,$D1053-SUM($K1054:S1054)),0)),0)</f>
        <v>0</v>
      </c>
      <c r="U1054" s="248">
        <f ca="1">ROUND(IF(OR(AND($D1052=LataProjekcji,$F1052&gt;0),AND($D1052=LataProjekcji,$F1052=0,$E1053&lt;=10)),$F1053,IF($D1052&lt;LataProjekcji,IF((SUM($K1054:T1054)+$D1054)&lt;$D1053,$D1054,$D1053-SUM($K1054:T1054)),0)),0)</f>
        <v>0</v>
      </c>
      <c r="V1054" s="248">
        <f ca="1">ROUND(IF(OR(AND($D1052=LataProjekcji,$F1052&gt;0),AND($D1052=LataProjekcji,$F1052=0,$E1053&lt;=10)),$F1053,IF($D1052&lt;LataProjekcji,IF((SUM($K1054:U1054)+$D1054)&lt;$D1053,$D1054,$D1053-SUM($K1054:U1054)),0)),0)</f>
        <v>0</v>
      </c>
      <c r="W1054" s="248">
        <f ca="1">ROUND(IF(OR(AND($D1052=LataProjekcji,$F1052&gt;0),AND($D1052=LataProjekcji,$F1052=0,$E1053&lt;=10)),$F1053,IF($D1052&lt;LataProjekcji,IF((SUM($K1054:V1054)+$D1054)&lt;$D1053,$D1054,$D1053-SUM($K1054:V1054)),0)),0)</f>
        <v>0</v>
      </c>
      <c r="X1054" s="248">
        <f ca="1">ROUND(IF(OR(AND($D1052=LataProjekcji,$F1052&gt;0),AND($D1052=LataProjekcji,$F1052=0,$E1053&lt;=10)),$F1053,IF($D1052&lt;LataProjekcji,IF((SUM($K1054:W1054)+$D1054)&lt;$D1053,$D1054,$D1053-SUM($K1054:W1054)),0)),0)</f>
        <v>0</v>
      </c>
    </row>
    <row r="1055" spans="1:24" hidden="1">
      <c r="A1055" s="328"/>
      <c r="B1055" s="21" t="s">
        <v>416</v>
      </c>
      <c r="C1055" s="21"/>
      <c r="D1055" s="22"/>
      <c r="E1055" s="21"/>
      <c r="F1055" s="21"/>
      <c r="G1055" s="21"/>
      <c r="H1055" s="21"/>
      <c r="I1055" s="21"/>
      <c r="J1055" s="21"/>
      <c r="K1055" s="22">
        <f ca="1">ROUND(K1054,0)</f>
        <v>0</v>
      </c>
      <c r="L1055" s="22">
        <f t="shared" ref="L1055" ca="1" si="832">ROUND(K1055+L1054,0)</f>
        <v>0</v>
      </c>
      <c r="M1055" s="22">
        <f t="shared" ref="M1055" ca="1" si="833">ROUND(L1055+M1054,0)</f>
        <v>0</v>
      </c>
      <c r="N1055" s="22">
        <f t="shared" ref="N1055" ca="1" si="834">ROUND(M1055+N1054,0)</f>
        <v>0</v>
      </c>
      <c r="O1055" s="22">
        <f t="shared" ref="O1055" ca="1" si="835">ROUND(N1055+O1054,0)</f>
        <v>0</v>
      </c>
      <c r="P1055" s="22">
        <f t="shared" ref="P1055" ca="1" si="836">ROUND(O1055+P1054,0)</f>
        <v>0</v>
      </c>
      <c r="Q1055" s="22">
        <f t="shared" ref="Q1055" ca="1" si="837">ROUND(P1055+Q1054,0)</f>
        <v>0</v>
      </c>
      <c r="R1055" s="22">
        <f t="shared" ref="R1055" ca="1" si="838">ROUND(Q1055+R1054,0)</f>
        <v>0</v>
      </c>
      <c r="S1055" s="22">
        <f t="shared" ref="S1055" ca="1" si="839">ROUND(R1055+S1054,0)</f>
        <v>0</v>
      </c>
      <c r="T1055" s="22">
        <f t="shared" ref="T1055" ca="1" si="840">ROUND(S1055+T1054,0)</f>
        <v>0</v>
      </c>
      <c r="U1055" s="22">
        <f t="shared" ref="U1055" ca="1" si="841">ROUND(T1055+U1054,0)</f>
        <v>0</v>
      </c>
      <c r="V1055" s="22">
        <f t="shared" ref="V1055" ca="1" si="842">ROUND(U1055+V1054,0)</f>
        <v>0</v>
      </c>
      <c r="W1055" s="22">
        <f t="shared" ref="W1055" ca="1" si="843">ROUND(V1055+W1054,0)</f>
        <v>0</v>
      </c>
      <c r="X1055" s="22">
        <f t="shared" ref="X1055" ca="1" si="844">ROUND(W1055+X1054,0)</f>
        <v>0</v>
      </c>
    </row>
    <row r="1056" spans="1:24" hidden="1">
      <c r="A1056" s="328"/>
      <c r="B1056" s="21" t="s">
        <v>406</v>
      </c>
      <c r="C1056" s="21"/>
      <c r="D1056" s="22"/>
      <c r="E1056" s="21"/>
      <c r="F1056" s="21"/>
      <c r="G1056" s="21"/>
      <c r="H1056" s="21"/>
      <c r="I1056" s="21"/>
      <c r="J1056" s="445">
        <f ca="1">OFFSET($C$96,D1051,0)</f>
        <v>0</v>
      </c>
      <c r="K1056" s="77">
        <f ca="1">IF($D1052=LataProjekcji,ROUND($D1053-K1055,0),ROUND(IF(K1054=0,0,$D1053-K1055),0))</f>
        <v>0</v>
      </c>
      <c r="L1056" s="254">
        <f t="shared" ref="L1056:X1056" ca="1" si="845">IF($D1052=LataProjekcji,ROUND($D1053-L1055,0),ROUND(IF(AND(L1054=0,K1056&gt;0),$D1053-L1055,IF(L1054=0,0,$D1053-L1055)),0))</f>
        <v>0</v>
      </c>
      <c r="M1056" s="254">
        <f t="shared" ca="1" si="845"/>
        <v>0</v>
      </c>
      <c r="N1056" s="254">
        <f t="shared" ca="1" si="845"/>
        <v>0</v>
      </c>
      <c r="O1056" s="254">
        <f t="shared" ca="1" si="845"/>
        <v>0</v>
      </c>
      <c r="P1056" s="254">
        <f t="shared" ca="1" si="845"/>
        <v>0</v>
      </c>
      <c r="Q1056" s="254">
        <f t="shared" ca="1" si="845"/>
        <v>0</v>
      </c>
      <c r="R1056" s="254">
        <f t="shared" ca="1" si="845"/>
        <v>0</v>
      </c>
      <c r="S1056" s="254">
        <f t="shared" ca="1" si="845"/>
        <v>0</v>
      </c>
      <c r="T1056" s="254">
        <f t="shared" ca="1" si="845"/>
        <v>0</v>
      </c>
      <c r="U1056" s="254">
        <f t="shared" ca="1" si="845"/>
        <v>0</v>
      </c>
      <c r="V1056" s="254">
        <f t="shared" ca="1" si="845"/>
        <v>0</v>
      </c>
      <c r="W1056" s="254">
        <f t="shared" ca="1" si="845"/>
        <v>0</v>
      </c>
      <c r="X1056" s="254">
        <f t="shared" ca="1" si="845"/>
        <v>0</v>
      </c>
    </row>
    <row r="1057" spans="1:24" hidden="1">
      <c r="A1057" s="328"/>
      <c r="B1057" s="20">
        <f ca="1">OFFSET($B$96,D1057,0)</f>
        <v>0</v>
      </c>
      <c r="C1057" s="20"/>
      <c r="D1057" s="21">
        <f>D1051+1</f>
        <v>31</v>
      </c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328"/>
      <c r="B1058" s="165" t="s">
        <v>425</v>
      </c>
      <c r="C1058" s="165"/>
      <c r="D1058" s="165">
        <f ca="1">YEAR(OFFSET($E$96,D1057,0))</f>
        <v>1900</v>
      </c>
      <c r="E1058" s="165">
        <f ca="1">MONTH(OFFSET($E$96,D1057,0))</f>
        <v>1</v>
      </c>
      <c r="F1058" s="21">
        <f ca="1">12-$E1058</f>
        <v>11</v>
      </c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328"/>
      <c r="B1059" s="21" t="s">
        <v>406</v>
      </c>
      <c r="C1059" s="21"/>
      <c r="D1059" s="386">
        <f ca="1">IF(E1059&lt;0,0,ROUND(E1059,0))</f>
        <v>0</v>
      </c>
      <c r="E1059" s="249">
        <f ca="1">OFFSET($D$96,D1057,0)</f>
        <v>0</v>
      </c>
      <c r="F1059" s="386">
        <f ca="1">IF(E1059&gt;10,ROUND(($D1060/12)*$F1058,0),$D1059)</f>
        <v>0</v>
      </c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328"/>
      <c r="B1060" s="21" t="s">
        <v>415</v>
      </c>
      <c r="C1060" s="436" t="e">
        <f ca="1">VLOOKUP(OFFSET($C$96,D1057,0),Założenia!$J$48:$K$55,2,FALSE)</f>
        <v>#N/A</v>
      </c>
      <c r="D1060" s="386">
        <f ca="1">IF(ISBLANK(OFFSET($E$96,D1057,0)),0,IF(E1059&gt;10,ROUND(D1059*C1060,0),IF(D1059&lt;0,0,D1059)))</f>
        <v>0</v>
      </c>
      <c r="E1060" s="21"/>
      <c r="F1060" s="21"/>
      <c r="G1060" s="21"/>
      <c r="H1060" s="21"/>
      <c r="I1060" s="21"/>
      <c r="J1060" s="21"/>
      <c r="K1060" s="75">
        <f ca="1">ROUND(IF($D1058=LataProjekcji,$F1059,IF($D1058=LataProjekcji,$D1060,0)),0)</f>
        <v>0</v>
      </c>
      <c r="L1060" s="248">
        <f ca="1">ROUND(IF(OR(AND($D1058=LataProjekcji,$F1058&gt;0),AND($D1058=LataProjekcji,$F1058=0,$E1059&lt;=10)),$F1059,IF($D1058&lt;LataProjekcji,IF((SUM($K1060:K1060)+$D1060)&lt;$D1059,$D1060,$D1059-SUM($K1060:K1060)),0)),0)</f>
        <v>0</v>
      </c>
      <c r="M1060" s="248">
        <f ca="1">ROUND(IF(OR(AND($D1058=LataProjekcji,$F1058&gt;0),AND($D1058=LataProjekcji,$F1058=0,$E1059&lt;=10)),$F1059,IF($D1058&lt;LataProjekcji,IF((SUM($K1060:L1060)+$D1060)&lt;$D1059,$D1060,$D1059-SUM($K1060:L1060)),0)),0)</f>
        <v>0</v>
      </c>
      <c r="N1060" s="248">
        <f ca="1">ROUND(IF(OR(AND($D1058=LataProjekcji,$F1058&gt;0),AND($D1058=LataProjekcji,$F1058=0,$E1059&lt;=10)),$F1059,IF($D1058&lt;LataProjekcji,IF((SUM($K1060:M1060)+$D1060)&lt;$D1059,$D1060,$D1059-SUM($K1060:M1060)),0)),0)</f>
        <v>0</v>
      </c>
      <c r="O1060" s="248">
        <f ca="1">ROUND(IF(OR(AND($D1058=LataProjekcji,$F1058&gt;0),AND($D1058=LataProjekcji,$F1058=0,$E1059&lt;=10)),$F1059,IF($D1058&lt;LataProjekcji,IF((SUM($K1060:N1060)+$D1060)&lt;$D1059,$D1060,$D1059-SUM($K1060:N1060)),0)),0)</f>
        <v>0</v>
      </c>
      <c r="P1060" s="248">
        <f ca="1">ROUND(IF(OR(AND($D1058=LataProjekcji,$F1058&gt;0),AND($D1058=LataProjekcji,$F1058=0,$E1059&lt;=10)),$F1059,IF($D1058&lt;LataProjekcji,IF((SUM($K1060:O1060)+$D1060)&lt;$D1059,$D1060,$D1059-SUM($K1060:O1060)),0)),0)</f>
        <v>0</v>
      </c>
      <c r="Q1060" s="248">
        <f ca="1">ROUND(IF(OR(AND($D1058=LataProjekcji,$F1058&gt;0),AND($D1058=LataProjekcji,$F1058=0,$E1059&lt;=10)),$F1059,IF($D1058&lt;LataProjekcji,IF((SUM($K1060:P1060)+$D1060)&lt;$D1059,$D1060,$D1059-SUM($K1060:P1060)),0)),0)</f>
        <v>0</v>
      </c>
      <c r="R1060" s="248">
        <f ca="1">ROUND(IF(OR(AND($D1058=LataProjekcji,$F1058&gt;0),AND($D1058=LataProjekcji,$F1058=0,$E1059&lt;=10)),$F1059,IF($D1058&lt;LataProjekcji,IF((SUM($K1060:Q1060)+$D1060)&lt;$D1059,$D1060,$D1059-SUM($K1060:Q1060)),0)),0)</f>
        <v>0</v>
      </c>
      <c r="S1060" s="248">
        <f ca="1">ROUND(IF(OR(AND($D1058=LataProjekcji,$F1058&gt;0),AND($D1058=LataProjekcji,$F1058=0,$E1059&lt;=10)),$F1059,IF($D1058&lt;LataProjekcji,IF((SUM($K1060:R1060)+$D1060)&lt;$D1059,$D1060,$D1059-SUM($K1060:R1060)),0)),0)</f>
        <v>0</v>
      </c>
      <c r="T1060" s="248">
        <f ca="1">ROUND(IF(OR(AND($D1058=LataProjekcji,$F1058&gt;0),AND($D1058=LataProjekcji,$F1058=0,$E1059&lt;=10)),$F1059,IF($D1058&lt;LataProjekcji,IF((SUM($K1060:S1060)+$D1060)&lt;$D1059,$D1060,$D1059-SUM($K1060:S1060)),0)),0)</f>
        <v>0</v>
      </c>
      <c r="U1060" s="248">
        <f ca="1">ROUND(IF(OR(AND($D1058=LataProjekcji,$F1058&gt;0),AND($D1058=LataProjekcji,$F1058=0,$E1059&lt;=10)),$F1059,IF($D1058&lt;LataProjekcji,IF((SUM($K1060:T1060)+$D1060)&lt;$D1059,$D1060,$D1059-SUM($K1060:T1060)),0)),0)</f>
        <v>0</v>
      </c>
      <c r="V1060" s="248">
        <f ca="1">ROUND(IF(OR(AND($D1058=LataProjekcji,$F1058&gt;0),AND($D1058=LataProjekcji,$F1058=0,$E1059&lt;=10)),$F1059,IF($D1058&lt;LataProjekcji,IF((SUM($K1060:U1060)+$D1060)&lt;$D1059,$D1060,$D1059-SUM($K1060:U1060)),0)),0)</f>
        <v>0</v>
      </c>
      <c r="W1060" s="248">
        <f ca="1">ROUND(IF(OR(AND($D1058=LataProjekcji,$F1058&gt;0),AND($D1058=LataProjekcji,$F1058=0,$E1059&lt;=10)),$F1059,IF($D1058&lt;LataProjekcji,IF((SUM($K1060:V1060)+$D1060)&lt;$D1059,$D1060,$D1059-SUM($K1060:V1060)),0)),0)</f>
        <v>0</v>
      </c>
      <c r="X1060" s="248">
        <f ca="1">ROUND(IF(OR(AND($D1058=LataProjekcji,$F1058&gt;0),AND($D1058=LataProjekcji,$F1058=0,$E1059&lt;=10)),$F1059,IF($D1058&lt;LataProjekcji,IF((SUM($K1060:W1060)+$D1060)&lt;$D1059,$D1060,$D1059-SUM($K1060:W1060)),0)),0)</f>
        <v>0</v>
      </c>
    </row>
    <row r="1061" spans="1:24" hidden="1">
      <c r="A1061" s="328"/>
      <c r="B1061" s="21" t="s">
        <v>416</v>
      </c>
      <c r="C1061" s="21"/>
      <c r="D1061" s="22"/>
      <c r="E1061" s="21"/>
      <c r="F1061" s="21"/>
      <c r="G1061" s="21"/>
      <c r="H1061" s="21"/>
      <c r="I1061" s="21"/>
      <c r="J1061" s="21"/>
      <c r="K1061" s="22">
        <f ca="1">ROUND(K1060,0)</f>
        <v>0</v>
      </c>
      <c r="L1061" s="22">
        <f t="shared" ref="L1061" ca="1" si="846">ROUND(K1061+L1060,0)</f>
        <v>0</v>
      </c>
      <c r="M1061" s="22">
        <f t="shared" ref="M1061" ca="1" si="847">ROUND(L1061+M1060,0)</f>
        <v>0</v>
      </c>
      <c r="N1061" s="22">
        <f t="shared" ref="N1061" ca="1" si="848">ROUND(M1061+N1060,0)</f>
        <v>0</v>
      </c>
      <c r="O1061" s="22">
        <f t="shared" ref="O1061" ca="1" si="849">ROUND(N1061+O1060,0)</f>
        <v>0</v>
      </c>
      <c r="P1061" s="22">
        <f t="shared" ref="P1061" ca="1" si="850">ROUND(O1061+P1060,0)</f>
        <v>0</v>
      </c>
      <c r="Q1061" s="22">
        <f t="shared" ref="Q1061" ca="1" si="851">ROUND(P1061+Q1060,0)</f>
        <v>0</v>
      </c>
      <c r="R1061" s="22">
        <f t="shared" ref="R1061" ca="1" si="852">ROUND(Q1061+R1060,0)</f>
        <v>0</v>
      </c>
      <c r="S1061" s="22">
        <f t="shared" ref="S1061" ca="1" si="853">ROUND(R1061+S1060,0)</f>
        <v>0</v>
      </c>
      <c r="T1061" s="22">
        <f t="shared" ref="T1061" ca="1" si="854">ROUND(S1061+T1060,0)</f>
        <v>0</v>
      </c>
      <c r="U1061" s="22">
        <f t="shared" ref="U1061" ca="1" si="855">ROUND(T1061+U1060,0)</f>
        <v>0</v>
      </c>
      <c r="V1061" s="22">
        <f t="shared" ref="V1061" ca="1" si="856">ROUND(U1061+V1060,0)</f>
        <v>0</v>
      </c>
      <c r="W1061" s="22">
        <f t="shared" ref="W1061" ca="1" si="857">ROUND(V1061+W1060,0)</f>
        <v>0</v>
      </c>
      <c r="X1061" s="22">
        <f t="shared" ref="X1061" ca="1" si="858">ROUND(W1061+X1060,0)</f>
        <v>0</v>
      </c>
    </row>
    <row r="1062" spans="1:24" hidden="1">
      <c r="A1062" s="328"/>
      <c r="B1062" s="21" t="s">
        <v>406</v>
      </c>
      <c r="C1062" s="21"/>
      <c r="D1062" s="22"/>
      <c r="E1062" s="21"/>
      <c r="F1062" s="21"/>
      <c r="G1062" s="21"/>
      <c r="H1062" s="21"/>
      <c r="I1062" s="21"/>
      <c r="J1062" s="445">
        <f ca="1">OFFSET($C$96,D1057,0)</f>
        <v>0</v>
      </c>
      <c r="K1062" s="77">
        <f ca="1">IF($D1058=LataProjekcji,ROUND($D1059-K1061,0),ROUND(IF(K1060=0,0,$D1059-K1061),0))</f>
        <v>0</v>
      </c>
      <c r="L1062" s="254">
        <f t="shared" ref="L1062:X1062" ca="1" si="859">IF($D1058=LataProjekcji,ROUND($D1059-L1061,0),ROUND(IF(AND(L1060=0,K1062&gt;0),$D1059-L1061,IF(L1060=0,0,$D1059-L1061)),0))</f>
        <v>0</v>
      </c>
      <c r="M1062" s="254">
        <f t="shared" ca="1" si="859"/>
        <v>0</v>
      </c>
      <c r="N1062" s="254">
        <f t="shared" ca="1" si="859"/>
        <v>0</v>
      </c>
      <c r="O1062" s="254">
        <f t="shared" ca="1" si="859"/>
        <v>0</v>
      </c>
      <c r="P1062" s="254">
        <f t="shared" ca="1" si="859"/>
        <v>0</v>
      </c>
      <c r="Q1062" s="254">
        <f t="shared" ca="1" si="859"/>
        <v>0</v>
      </c>
      <c r="R1062" s="254">
        <f t="shared" ca="1" si="859"/>
        <v>0</v>
      </c>
      <c r="S1062" s="254">
        <f t="shared" ca="1" si="859"/>
        <v>0</v>
      </c>
      <c r="T1062" s="254">
        <f t="shared" ca="1" si="859"/>
        <v>0</v>
      </c>
      <c r="U1062" s="254">
        <f t="shared" ca="1" si="859"/>
        <v>0</v>
      </c>
      <c r="V1062" s="254">
        <f t="shared" ca="1" si="859"/>
        <v>0</v>
      </c>
      <c r="W1062" s="254">
        <f t="shared" ca="1" si="859"/>
        <v>0</v>
      </c>
      <c r="X1062" s="254">
        <f t="shared" ca="1" si="859"/>
        <v>0</v>
      </c>
    </row>
    <row r="1063" spans="1:24" hidden="1">
      <c r="A1063" s="328"/>
      <c r="B1063" s="20">
        <f ca="1">OFFSET($B$96,D1063,0)</f>
        <v>0</v>
      </c>
      <c r="C1063" s="20"/>
      <c r="D1063" s="21">
        <f>D1057+1</f>
        <v>32</v>
      </c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328"/>
      <c r="B1064" s="165" t="s">
        <v>425</v>
      </c>
      <c r="C1064" s="165"/>
      <c r="D1064" s="165">
        <f ca="1">YEAR(OFFSET($E$96,D1063,0))</f>
        <v>1900</v>
      </c>
      <c r="E1064" s="165">
        <f ca="1">MONTH(OFFSET($E$96,D1063,0))</f>
        <v>1</v>
      </c>
      <c r="F1064" s="21">
        <f ca="1">12-$E1064</f>
        <v>11</v>
      </c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328"/>
      <c r="B1065" s="21" t="s">
        <v>406</v>
      </c>
      <c r="C1065" s="21"/>
      <c r="D1065" s="387">
        <f ca="1">IF(E1065&lt;0,0,ROUND(E1065,0))</f>
        <v>0</v>
      </c>
      <c r="E1065" s="249">
        <f ca="1">OFFSET($D$96,D1063,0)</f>
        <v>0</v>
      </c>
      <c r="F1065" s="387">
        <f ca="1">IF(E1065&gt;10,ROUND(($D1066/12)*$F1064,0),$D1065)</f>
        <v>0</v>
      </c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328"/>
      <c r="B1066" s="21" t="s">
        <v>415</v>
      </c>
      <c r="C1066" s="436" t="e">
        <f ca="1">VLOOKUP(OFFSET($C$96,D1063,0),Założenia!$J$48:$K$55,2,FALSE)</f>
        <v>#N/A</v>
      </c>
      <c r="D1066" s="387">
        <f ca="1">IF(ISBLANK(OFFSET($E$96,D1063,0)),0,IF(E1065&gt;10,ROUND(D1065*C1066,0),IF(D1065&lt;0,0,D1065)))</f>
        <v>0</v>
      </c>
      <c r="E1066" s="21"/>
      <c r="F1066" s="21"/>
      <c r="G1066" s="21"/>
      <c r="H1066" s="21"/>
      <c r="I1066" s="21"/>
      <c r="J1066" s="21"/>
      <c r="K1066" s="75">
        <f ca="1">ROUND(IF($D1064=LataProjekcji,$F1065,IF($D1064=LataProjekcji,$D1066,0)),0)</f>
        <v>0</v>
      </c>
      <c r="L1066" s="248">
        <f ca="1">ROUND(IF(OR(AND($D1064=LataProjekcji,$F1064&gt;0),AND($D1064=LataProjekcji,$F1064=0,$E1065&lt;=10)),$F1065,IF($D1064&lt;LataProjekcji,IF((SUM($K1066:K1066)+$D1066)&lt;$D1065,$D1066,$D1065-SUM($K1066:K1066)),0)),0)</f>
        <v>0</v>
      </c>
      <c r="M1066" s="248">
        <f ca="1">ROUND(IF(OR(AND($D1064=LataProjekcji,$F1064&gt;0),AND($D1064=LataProjekcji,$F1064=0,$E1065&lt;=10)),$F1065,IF($D1064&lt;LataProjekcji,IF((SUM($K1066:L1066)+$D1066)&lt;$D1065,$D1066,$D1065-SUM($K1066:L1066)),0)),0)</f>
        <v>0</v>
      </c>
      <c r="N1066" s="248">
        <f ca="1">ROUND(IF(OR(AND($D1064=LataProjekcji,$F1064&gt;0),AND($D1064=LataProjekcji,$F1064=0,$E1065&lt;=10)),$F1065,IF($D1064&lt;LataProjekcji,IF((SUM($K1066:M1066)+$D1066)&lt;$D1065,$D1066,$D1065-SUM($K1066:M1066)),0)),0)</f>
        <v>0</v>
      </c>
      <c r="O1066" s="248">
        <f ca="1">ROUND(IF(OR(AND($D1064=LataProjekcji,$F1064&gt;0),AND($D1064=LataProjekcji,$F1064=0,$E1065&lt;=10)),$F1065,IF($D1064&lt;LataProjekcji,IF((SUM($K1066:N1066)+$D1066)&lt;$D1065,$D1066,$D1065-SUM($K1066:N1066)),0)),0)</f>
        <v>0</v>
      </c>
      <c r="P1066" s="248">
        <f ca="1">ROUND(IF(OR(AND($D1064=LataProjekcji,$F1064&gt;0),AND($D1064=LataProjekcji,$F1064=0,$E1065&lt;=10)),$F1065,IF($D1064&lt;LataProjekcji,IF((SUM($K1066:O1066)+$D1066)&lt;$D1065,$D1066,$D1065-SUM($K1066:O1066)),0)),0)</f>
        <v>0</v>
      </c>
      <c r="Q1066" s="248">
        <f ca="1">ROUND(IF(OR(AND($D1064=LataProjekcji,$F1064&gt;0),AND($D1064=LataProjekcji,$F1064=0,$E1065&lt;=10)),$F1065,IF($D1064&lt;LataProjekcji,IF((SUM($K1066:P1066)+$D1066)&lt;$D1065,$D1066,$D1065-SUM($K1066:P1066)),0)),0)</f>
        <v>0</v>
      </c>
      <c r="R1066" s="248">
        <f ca="1">ROUND(IF(OR(AND($D1064=LataProjekcji,$F1064&gt;0),AND($D1064=LataProjekcji,$F1064=0,$E1065&lt;=10)),$F1065,IF($D1064&lt;LataProjekcji,IF((SUM($K1066:Q1066)+$D1066)&lt;$D1065,$D1066,$D1065-SUM($K1066:Q1066)),0)),0)</f>
        <v>0</v>
      </c>
      <c r="S1066" s="248">
        <f ca="1">ROUND(IF(OR(AND($D1064=LataProjekcji,$F1064&gt;0),AND($D1064=LataProjekcji,$F1064=0,$E1065&lt;=10)),$F1065,IF($D1064&lt;LataProjekcji,IF((SUM($K1066:R1066)+$D1066)&lt;$D1065,$D1066,$D1065-SUM($K1066:R1066)),0)),0)</f>
        <v>0</v>
      </c>
      <c r="T1066" s="248">
        <f ca="1">ROUND(IF(OR(AND($D1064=LataProjekcji,$F1064&gt;0),AND($D1064=LataProjekcji,$F1064=0,$E1065&lt;=10)),$F1065,IF($D1064&lt;LataProjekcji,IF((SUM($K1066:S1066)+$D1066)&lt;$D1065,$D1066,$D1065-SUM($K1066:S1066)),0)),0)</f>
        <v>0</v>
      </c>
      <c r="U1066" s="248">
        <f ca="1">ROUND(IF(OR(AND($D1064=LataProjekcji,$F1064&gt;0),AND($D1064=LataProjekcji,$F1064=0,$E1065&lt;=10)),$F1065,IF($D1064&lt;LataProjekcji,IF((SUM($K1066:T1066)+$D1066)&lt;$D1065,$D1066,$D1065-SUM($K1066:T1066)),0)),0)</f>
        <v>0</v>
      </c>
      <c r="V1066" s="248">
        <f ca="1">ROUND(IF(OR(AND($D1064=LataProjekcji,$F1064&gt;0),AND($D1064=LataProjekcji,$F1064=0,$E1065&lt;=10)),$F1065,IF($D1064&lt;LataProjekcji,IF((SUM($K1066:U1066)+$D1066)&lt;$D1065,$D1066,$D1065-SUM($K1066:U1066)),0)),0)</f>
        <v>0</v>
      </c>
      <c r="W1066" s="248">
        <f ca="1">ROUND(IF(OR(AND($D1064=LataProjekcji,$F1064&gt;0),AND($D1064=LataProjekcji,$F1064=0,$E1065&lt;=10)),$F1065,IF($D1064&lt;LataProjekcji,IF((SUM($K1066:V1066)+$D1066)&lt;$D1065,$D1066,$D1065-SUM($K1066:V1066)),0)),0)</f>
        <v>0</v>
      </c>
      <c r="X1066" s="248">
        <f ca="1">ROUND(IF(OR(AND($D1064=LataProjekcji,$F1064&gt;0),AND($D1064=LataProjekcji,$F1064=0,$E1065&lt;=10)),$F1065,IF($D1064&lt;LataProjekcji,IF((SUM($K1066:W1066)+$D1066)&lt;$D1065,$D1066,$D1065-SUM($K1066:W1066)),0)),0)</f>
        <v>0</v>
      </c>
    </row>
    <row r="1067" spans="1:24" hidden="1">
      <c r="A1067" s="328"/>
      <c r="B1067" s="21" t="s">
        <v>416</v>
      </c>
      <c r="C1067" s="21"/>
      <c r="D1067" s="22"/>
      <c r="E1067" s="21"/>
      <c r="F1067" s="21"/>
      <c r="G1067" s="21"/>
      <c r="H1067" s="21"/>
      <c r="I1067" s="21"/>
      <c r="J1067" s="21"/>
      <c r="K1067" s="22">
        <f ca="1">ROUND(K1066,0)</f>
        <v>0</v>
      </c>
      <c r="L1067" s="22">
        <f t="shared" ref="L1067" ca="1" si="860">ROUND(K1067+L1066,0)</f>
        <v>0</v>
      </c>
      <c r="M1067" s="22">
        <f t="shared" ref="M1067" ca="1" si="861">ROUND(L1067+M1066,0)</f>
        <v>0</v>
      </c>
      <c r="N1067" s="22">
        <f t="shared" ref="N1067" ca="1" si="862">ROUND(M1067+N1066,0)</f>
        <v>0</v>
      </c>
      <c r="O1067" s="22">
        <f t="shared" ref="O1067" ca="1" si="863">ROUND(N1067+O1066,0)</f>
        <v>0</v>
      </c>
      <c r="P1067" s="22">
        <f t="shared" ref="P1067" ca="1" si="864">ROUND(O1067+P1066,0)</f>
        <v>0</v>
      </c>
      <c r="Q1067" s="22">
        <f t="shared" ref="Q1067" ca="1" si="865">ROUND(P1067+Q1066,0)</f>
        <v>0</v>
      </c>
      <c r="R1067" s="22">
        <f t="shared" ref="R1067" ca="1" si="866">ROUND(Q1067+R1066,0)</f>
        <v>0</v>
      </c>
      <c r="S1067" s="22">
        <f t="shared" ref="S1067" ca="1" si="867">ROUND(R1067+S1066,0)</f>
        <v>0</v>
      </c>
      <c r="T1067" s="22">
        <f t="shared" ref="T1067" ca="1" si="868">ROUND(S1067+T1066,0)</f>
        <v>0</v>
      </c>
      <c r="U1067" s="22">
        <f t="shared" ref="U1067" ca="1" si="869">ROUND(T1067+U1066,0)</f>
        <v>0</v>
      </c>
      <c r="V1067" s="22">
        <f t="shared" ref="V1067" ca="1" si="870">ROUND(U1067+V1066,0)</f>
        <v>0</v>
      </c>
      <c r="W1067" s="22">
        <f t="shared" ref="W1067" ca="1" si="871">ROUND(V1067+W1066,0)</f>
        <v>0</v>
      </c>
      <c r="X1067" s="22">
        <f t="shared" ref="X1067" ca="1" si="872">ROUND(W1067+X1066,0)</f>
        <v>0</v>
      </c>
    </row>
    <row r="1068" spans="1:24" hidden="1">
      <c r="A1068" s="328"/>
      <c r="B1068" s="21" t="s">
        <v>406</v>
      </c>
      <c r="C1068" s="21"/>
      <c r="D1068" s="22"/>
      <c r="E1068" s="21"/>
      <c r="F1068" s="21"/>
      <c r="G1068" s="21"/>
      <c r="H1068" s="21"/>
      <c r="I1068" s="21"/>
      <c r="J1068" s="445">
        <f ca="1">OFFSET($C$96,D1063,0)</f>
        <v>0</v>
      </c>
      <c r="K1068" s="77">
        <f ca="1">IF($D1064=LataProjekcji,ROUND($D1065-K1067,0),ROUND(IF(K1066=0,0,$D1065-K1067),0))</f>
        <v>0</v>
      </c>
      <c r="L1068" s="254">
        <f t="shared" ref="L1068:X1068" ca="1" si="873">IF($D1064=LataProjekcji,ROUND($D1065-L1067,0),ROUND(IF(AND(L1066=0,K1068&gt;0),$D1065-L1067,IF(L1066=0,0,$D1065-L1067)),0))</f>
        <v>0</v>
      </c>
      <c r="M1068" s="254">
        <f t="shared" ca="1" si="873"/>
        <v>0</v>
      </c>
      <c r="N1068" s="254">
        <f t="shared" ca="1" si="873"/>
        <v>0</v>
      </c>
      <c r="O1068" s="254">
        <f t="shared" ca="1" si="873"/>
        <v>0</v>
      </c>
      <c r="P1068" s="254">
        <f t="shared" ca="1" si="873"/>
        <v>0</v>
      </c>
      <c r="Q1068" s="254">
        <f t="shared" ca="1" si="873"/>
        <v>0</v>
      </c>
      <c r="R1068" s="254">
        <f t="shared" ca="1" si="873"/>
        <v>0</v>
      </c>
      <c r="S1068" s="254">
        <f t="shared" ca="1" si="873"/>
        <v>0</v>
      </c>
      <c r="T1068" s="254">
        <f t="shared" ca="1" si="873"/>
        <v>0</v>
      </c>
      <c r="U1068" s="254">
        <f t="shared" ca="1" si="873"/>
        <v>0</v>
      </c>
      <c r="V1068" s="254">
        <f t="shared" ca="1" si="873"/>
        <v>0</v>
      </c>
      <c r="W1068" s="254">
        <f t="shared" ca="1" si="873"/>
        <v>0</v>
      </c>
      <c r="X1068" s="254">
        <f t="shared" ca="1" si="873"/>
        <v>0</v>
      </c>
    </row>
    <row r="1069" spans="1:24" hidden="1">
      <c r="A1069" s="328"/>
      <c r="B1069" s="20">
        <f ca="1">OFFSET($B$96,D1069,0)</f>
        <v>0</v>
      </c>
      <c r="C1069" s="20"/>
      <c r="D1069" s="21">
        <f>D1063+1</f>
        <v>33</v>
      </c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328"/>
      <c r="B1070" s="165" t="s">
        <v>425</v>
      </c>
      <c r="C1070" s="165"/>
      <c r="D1070" s="165">
        <f ca="1">YEAR(OFFSET($E$96,D1069,0))</f>
        <v>1900</v>
      </c>
      <c r="E1070" s="165">
        <f ca="1">MONTH(OFFSET($E$96,D1069,0))</f>
        <v>1</v>
      </c>
      <c r="F1070" s="21">
        <f ca="1">12-$E1070</f>
        <v>11</v>
      </c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328"/>
      <c r="B1071" s="21" t="s">
        <v>406</v>
      </c>
      <c r="C1071" s="21"/>
      <c r="D1071" s="387">
        <f ca="1">IF(E1071&lt;0,0,ROUND(E1071,0))</f>
        <v>0</v>
      </c>
      <c r="E1071" s="249">
        <f ca="1">OFFSET($D$96,D1069,0)</f>
        <v>0</v>
      </c>
      <c r="F1071" s="387">
        <f ca="1">IF(E1071&gt;10,ROUND(($D1072/12)*$F1070,0),$D1071)</f>
        <v>0</v>
      </c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328"/>
      <c r="B1072" s="21" t="s">
        <v>415</v>
      </c>
      <c r="C1072" s="436" t="e">
        <f ca="1">VLOOKUP(OFFSET($C$96,D1069,0),Założenia!$J$48:$K$55,2,FALSE)</f>
        <v>#N/A</v>
      </c>
      <c r="D1072" s="387">
        <f ca="1">IF(ISBLANK(OFFSET($E$96,D1069,0)),0,IF(E1071&gt;10,ROUND(D1071*C1072,0),IF(D1071&lt;0,0,D1071)))</f>
        <v>0</v>
      </c>
      <c r="E1072" s="21"/>
      <c r="F1072" s="21"/>
      <c r="G1072" s="21"/>
      <c r="H1072" s="21"/>
      <c r="I1072" s="21"/>
      <c r="J1072" s="21"/>
      <c r="K1072" s="75">
        <f ca="1">ROUND(IF($D1070=LataProjekcji,$F1071,IF($D1070=LataProjekcji,$D1072,0)),0)</f>
        <v>0</v>
      </c>
      <c r="L1072" s="248">
        <f ca="1">ROUND(IF(OR(AND($D1070=LataProjekcji,$F1070&gt;0),AND($D1070=LataProjekcji,$F1070=0,$E1071&lt;=10)),$F1071,IF($D1070&lt;LataProjekcji,IF((SUM($K1072:K1072)+$D1072)&lt;$D1071,$D1072,$D1071-SUM($K1072:K1072)),0)),0)</f>
        <v>0</v>
      </c>
      <c r="M1072" s="248">
        <f ca="1">ROUND(IF(OR(AND($D1070=LataProjekcji,$F1070&gt;0),AND($D1070=LataProjekcji,$F1070=0,$E1071&lt;=10)),$F1071,IF($D1070&lt;LataProjekcji,IF((SUM($K1072:L1072)+$D1072)&lt;$D1071,$D1072,$D1071-SUM($K1072:L1072)),0)),0)</f>
        <v>0</v>
      </c>
      <c r="N1072" s="248">
        <f ca="1">ROUND(IF(OR(AND($D1070=LataProjekcji,$F1070&gt;0),AND($D1070=LataProjekcji,$F1070=0,$E1071&lt;=10)),$F1071,IF($D1070&lt;LataProjekcji,IF((SUM($K1072:M1072)+$D1072)&lt;$D1071,$D1072,$D1071-SUM($K1072:M1072)),0)),0)</f>
        <v>0</v>
      </c>
      <c r="O1072" s="248">
        <f ca="1">ROUND(IF(OR(AND($D1070=LataProjekcji,$F1070&gt;0),AND($D1070=LataProjekcji,$F1070=0,$E1071&lt;=10)),$F1071,IF($D1070&lt;LataProjekcji,IF((SUM($K1072:N1072)+$D1072)&lt;$D1071,$D1072,$D1071-SUM($K1072:N1072)),0)),0)</f>
        <v>0</v>
      </c>
      <c r="P1072" s="248">
        <f ca="1">ROUND(IF(OR(AND($D1070=LataProjekcji,$F1070&gt;0),AND($D1070=LataProjekcji,$F1070=0,$E1071&lt;=10)),$F1071,IF($D1070&lt;LataProjekcji,IF((SUM($K1072:O1072)+$D1072)&lt;$D1071,$D1072,$D1071-SUM($K1072:O1072)),0)),0)</f>
        <v>0</v>
      </c>
      <c r="Q1072" s="248">
        <f ca="1">ROUND(IF(OR(AND($D1070=LataProjekcji,$F1070&gt;0),AND($D1070=LataProjekcji,$F1070=0,$E1071&lt;=10)),$F1071,IF($D1070&lt;LataProjekcji,IF((SUM($K1072:P1072)+$D1072)&lt;$D1071,$D1072,$D1071-SUM($K1072:P1072)),0)),0)</f>
        <v>0</v>
      </c>
      <c r="R1072" s="248">
        <f ca="1">ROUND(IF(OR(AND($D1070=LataProjekcji,$F1070&gt;0),AND($D1070=LataProjekcji,$F1070=0,$E1071&lt;=10)),$F1071,IF($D1070&lt;LataProjekcji,IF((SUM($K1072:Q1072)+$D1072)&lt;$D1071,$D1072,$D1071-SUM($K1072:Q1072)),0)),0)</f>
        <v>0</v>
      </c>
      <c r="S1072" s="248">
        <f ca="1">ROUND(IF(OR(AND($D1070=LataProjekcji,$F1070&gt;0),AND($D1070=LataProjekcji,$F1070=0,$E1071&lt;=10)),$F1071,IF($D1070&lt;LataProjekcji,IF((SUM($K1072:R1072)+$D1072)&lt;$D1071,$D1072,$D1071-SUM($K1072:R1072)),0)),0)</f>
        <v>0</v>
      </c>
      <c r="T1072" s="248">
        <f ca="1">ROUND(IF(OR(AND($D1070=LataProjekcji,$F1070&gt;0),AND($D1070=LataProjekcji,$F1070=0,$E1071&lt;=10)),$F1071,IF($D1070&lt;LataProjekcji,IF((SUM($K1072:S1072)+$D1072)&lt;$D1071,$D1072,$D1071-SUM($K1072:S1072)),0)),0)</f>
        <v>0</v>
      </c>
      <c r="U1072" s="248">
        <f ca="1">ROUND(IF(OR(AND($D1070=LataProjekcji,$F1070&gt;0),AND($D1070=LataProjekcji,$F1070=0,$E1071&lt;=10)),$F1071,IF($D1070&lt;LataProjekcji,IF((SUM($K1072:T1072)+$D1072)&lt;$D1071,$D1072,$D1071-SUM($K1072:T1072)),0)),0)</f>
        <v>0</v>
      </c>
      <c r="V1072" s="248">
        <f ca="1">ROUND(IF(OR(AND($D1070=LataProjekcji,$F1070&gt;0),AND($D1070=LataProjekcji,$F1070=0,$E1071&lt;=10)),$F1071,IF($D1070&lt;LataProjekcji,IF((SUM($K1072:U1072)+$D1072)&lt;$D1071,$D1072,$D1071-SUM($K1072:U1072)),0)),0)</f>
        <v>0</v>
      </c>
      <c r="W1072" s="248">
        <f ca="1">ROUND(IF(OR(AND($D1070=LataProjekcji,$F1070&gt;0),AND($D1070=LataProjekcji,$F1070=0,$E1071&lt;=10)),$F1071,IF($D1070&lt;LataProjekcji,IF((SUM($K1072:V1072)+$D1072)&lt;$D1071,$D1072,$D1071-SUM($K1072:V1072)),0)),0)</f>
        <v>0</v>
      </c>
      <c r="X1072" s="248">
        <f ca="1">ROUND(IF(OR(AND($D1070=LataProjekcji,$F1070&gt;0),AND($D1070=LataProjekcji,$F1070=0,$E1071&lt;=10)),$F1071,IF($D1070&lt;LataProjekcji,IF((SUM($K1072:W1072)+$D1072)&lt;$D1071,$D1072,$D1071-SUM($K1072:W1072)),0)),0)</f>
        <v>0</v>
      </c>
    </row>
    <row r="1073" spans="1:24" hidden="1">
      <c r="A1073" s="328"/>
      <c r="B1073" s="21" t="s">
        <v>416</v>
      </c>
      <c r="C1073" s="21"/>
      <c r="D1073" s="22"/>
      <c r="E1073" s="21"/>
      <c r="F1073" s="21"/>
      <c r="G1073" s="21"/>
      <c r="H1073" s="21"/>
      <c r="I1073" s="21"/>
      <c r="J1073" s="21"/>
      <c r="K1073" s="22">
        <f ca="1">ROUND(K1072,0)</f>
        <v>0</v>
      </c>
      <c r="L1073" s="22">
        <f t="shared" ref="L1073" ca="1" si="874">ROUND(K1073+L1072,0)</f>
        <v>0</v>
      </c>
      <c r="M1073" s="22">
        <f t="shared" ref="M1073" ca="1" si="875">ROUND(L1073+M1072,0)</f>
        <v>0</v>
      </c>
      <c r="N1073" s="22">
        <f t="shared" ref="N1073" ca="1" si="876">ROUND(M1073+N1072,0)</f>
        <v>0</v>
      </c>
      <c r="O1073" s="22">
        <f t="shared" ref="O1073" ca="1" si="877">ROUND(N1073+O1072,0)</f>
        <v>0</v>
      </c>
      <c r="P1073" s="22">
        <f t="shared" ref="P1073" ca="1" si="878">ROUND(O1073+P1072,0)</f>
        <v>0</v>
      </c>
      <c r="Q1073" s="22">
        <f t="shared" ref="Q1073" ca="1" si="879">ROUND(P1073+Q1072,0)</f>
        <v>0</v>
      </c>
      <c r="R1073" s="22">
        <f t="shared" ref="R1073" ca="1" si="880">ROUND(Q1073+R1072,0)</f>
        <v>0</v>
      </c>
      <c r="S1073" s="22">
        <f t="shared" ref="S1073" ca="1" si="881">ROUND(R1073+S1072,0)</f>
        <v>0</v>
      </c>
      <c r="T1073" s="22">
        <f t="shared" ref="T1073" ca="1" si="882">ROUND(S1073+T1072,0)</f>
        <v>0</v>
      </c>
      <c r="U1073" s="22">
        <f t="shared" ref="U1073" ca="1" si="883">ROUND(T1073+U1072,0)</f>
        <v>0</v>
      </c>
      <c r="V1073" s="22">
        <f t="shared" ref="V1073" ca="1" si="884">ROUND(U1073+V1072,0)</f>
        <v>0</v>
      </c>
      <c r="W1073" s="22">
        <f t="shared" ref="W1073" ca="1" si="885">ROUND(V1073+W1072,0)</f>
        <v>0</v>
      </c>
      <c r="X1073" s="22">
        <f t="shared" ref="X1073" ca="1" si="886">ROUND(W1073+X1072,0)</f>
        <v>0</v>
      </c>
    </row>
    <row r="1074" spans="1:24" hidden="1">
      <c r="A1074" s="328"/>
      <c r="B1074" s="21" t="s">
        <v>406</v>
      </c>
      <c r="C1074" s="21"/>
      <c r="D1074" s="22"/>
      <c r="E1074" s="21"/>
      <c r="F1074" s="21"/>
      <c r="G1074" s="21"/>
      <c r="H1074" s="21"/>
      <c r="I1074" s="21"/>
      <c r="J1074" s="445">
        <f ca="1">OFFSET($C$96,D1069,0)</f>
        <v>0</v>
      </c>
      <c r="K1074" s="77">
        <f ca="1">IF($D1070=LataProjekcji,ROUND($D1071-K1073,0),ROUND(IF(K1072=0,0,$D1071-K1073),0))</f>
        <v>0</v>
      </c>
      <c r="L1074" s="254">
        <f t="shared" ref="L1074:X1074" ca="1" si="887">IF($D1070=LataProjekcji,ROUND($D1071-L1073,0),ROUND(IF(AND(L1072=0,K1074&gt;0),$D1071-L1073,IF(L1072=0,0,$D1071-L1073)),0))</f>
        <v>0</v>
      </c>
      <c r="M1074" s="254">
        <f t="shared" ca="1" si="887"/>
        <v>0</v>
      </c>
      <c r="N1074" s="254">
        <f t="shared" ca="1" si="887"/>
        <v>0</v>
      </c>
      <c r="O1074" s="254">
        <f t="shared" ca="1" si="887"/>
        <v>0</v>
      </c>
      <c r="P1074" s="254">
        <f t="shared" ca="1" si="887"/>
        <v>0</v>
      </c>
      <c r="Q1074" s="254">
        <f t="shared" ca="1" si="887"/>
        <v>0</v>
      </c>
      <c r="R1074" s="254">
        <f t="shared" ca="1" si="887"/>
        <v>0</v>
      </c>
      <c r="S1074" s="254">
        <f t="shared" ca="1" si="887"/>
        <v>0</v>
      </c>
      <c r="T1074" s="254">
        <f t="shared" ca="1" si="887"/>
        <v>0</v>
      </c>
      <c r="U1074" s="254">
        <f t="shared" ca="1" si="887"/>
        <v>0</v>
      </c>
      <c r="V1074" s="254">
        <f t="shared" ca="1" si="887"/>
        <v>0</v>
      </c>
      <c r="W1074" s="254">
        <f t="shared" ca="1" si="887"/>
        <v>0</v>
      </c>
      <c r="X1074" s="254">
        <f t="shared" ca="1" si="887"/>
        <v>0</v>
      </c>
    </row>
    <row r="1075" spans="1:24" hidden="1">
      <c r="A1075" s="328"/>
      <c r="B1075" s="20">
        <f ca="1">OFFSET($B$96,D1075,0)</f>
        <v>0</v>
      </c>
      <c r="C1075" s="20"/>
      <c r="D1075" s="21">
        <f>D1069+1</f>
        <v>34</v>
      </c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328"/>
      <c r="B1076" s="165" t="s">
        <v>425</v>
      </c>
      <c r="C1076" s="165"/>
      <c r="D1076" s="165">
        <f ca="1">YEAR(OFFSET($E$96,D1075,0))</f>
        <v>1900</v>
      </c>
      <c r="E1076" s="165">
        <f ca="1">MONTH(OFFSET($E$96,D1075,0))</f>
        <v>1</v>
      </c>
      <c r="F1076" s="21">
        <f ca="1">12-$E1076</f>
        <v>11</v>
      </c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328"/>
      <c r="B1077" s="21" t="s">
        <v>406</v>
      </c>
      <c r="C1077" s="21"/>
      <c r="D1077" s="387">
        <f ca="1">IF(E1077&lt;0,0,ROUND(E1077,0))</f>
        <v>0</v>
      </c>
      <c r="E1077" s="249">
        <f ca="1">OFFSET($D$96,D1075,0)</f>
        <v>0</v>
      </c>
      <c r="F1077" s="387">
        <f ca="1">IF(E1077&gt;10,ROUND(($D1078/12)*$F1076,0),$D1077)</f>
        <v>0</v>
      </c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328"/>
      <c r="B1078" s="21" t="s">
        <v>415</v>
      </c>
      <c r="C1078" s="436" t="e">
        <f ca="1">VLOOKUP(OFFSET($C$96,D1075,0),Założenia!$J$48:$K$55,2,FALSE)</f>
        <v>#N/A</v>
      </c>
      <c r="D1078" s="387">
        <f ca="1">IF(ISBLANK(OFFSET($E$96,D1075,0)),0,IF(E1077&gt;10,ROUND(D1077*C1078,0),IF(D1077&lt;0,0,D1077)))</f>
        <v>0</v>
      </c>
      <c r="E1078" s="21"/>
      <c r="F1078" s="21"/>
      <c r="G1078" s="21"/>
      <c r="H1078" s="21"/>
      <c r="I1078" s="21"/>
      <c r="J1078" s="21"/>
      <c r="K1078" s="75">
        <f ca="1">ROUND(IF($D1076=LataProjekcji,$F1077,IF($D1076=LataProjekcji,$D1078,0)),0)</f>
        <v>0</v>
      </c>
      <c r="L1078" s="248">
        <f ca="1">ROUND(IF(OR(AND($D1076=LataProjekcji,$F1076&gt;0),AND($D1076=LataProjekcji,$F1076=0,$E1077&lt;=10)),$F1077,IF($D1076&lt;LataProjekcji,IF((SUM($K1078:K1078)+$D1078)&lt;$D1077,$D1078,$D1077-SUM($K1078:K1078)),0)),0)</f>
        <v>0</v>
      </c>
      <c r="M1078" s="248">
        <f ca="1">ROUND(IF(OR(AND($D1076=LataProjekcji,$F1076&gt;0),AND($D1076=LataProjekcji,$F1076=0,$E1077&lt;=10)),$F1077,IF($D1076&lt;LataProjekcji,IF((SUM($K1078:L1078)+$D1078)&lt;$D1077,$D1078,$D1077-SUM($K1078:L1078)),0)),0)</f>
        <v>0</v>
      </c>
      <c r="N1078" s="248">
        <f ca="1">ROUND(IF(OR(AND($D1076=LataProjekcji,$F1076&gt;0),AND($D1076=LataProjekcji,$F1076=0,$E1077&lt;=10)),$F1077,IF($D1076&lt;LataProjekcji,IF((SUM($K1078:M1078)+$D1078)&lt;$D1077,$D1078,$D1077-SUM($K1078:M1078)),0)),0)</f>
        <v>0</v>
      </c>
      <c r="O1078" s="248">
        <f ca="1">ROUND(IF(OR(AND($D1076=LataProjekcji,$F1076&gt;0),AND($D1076=LataProjekcji,$F1076=0,$E1077&lt;=10)),$F1077,IF($D1076&lt;LataProjekcji,IF((SUM($K1078:N1078)+$D1078)&lt;$D1077,$D1078,$D1077-SUM($K1078:N1078)),0)),0)</f>
        <v>0</v>
      </c>
      <c r="P1078" s="248">
        <f ca="1">ROUND(IF(OR(AND($D1076=LataProjekcji,$F1076&gt;0),AND($D1076=LataProjekcji,$F1076=0,$E1077&lt;=10)),$F1077,IF($D1076&lt;LataProjekcji,IF((SUM($K1078:O1078)+$D1078)&lt;$D1077,$D1078,$D1077-SUM($K1078:O1078)),0)),0)</f>
        <v>0</v>
      </c>
      <c r="Q1078" s="248">
        <f ca="1">ROUND(IF(OR(AND($D1076=LataProjekcji,$F1076&gt;0),AND($D1076=LataProjekcji,$F1076=0,$E1077&lt;=10)),$F1077,IF($D1076&lt;LataProjekcji,IF((SUM($K1078:P1078)+$D1078)&lt;$D1077,$D1078,$D1077-SUM($K1078:P1078)),0)),0)</f>
        <v>0</v>
      </c>
      <c r="R1078" s="248">
        <f ca="1">ROUND(IF(OR(AND($D1076=LataProjekcji,$F1076&gt;0),AND($D1076=LataProjekcji,$F1076=0,$E1077&lt;=10)),$F1077,IF($D1076&lt;LataProjekcji,IF((SUM($K1078:Q1078)+$D1078)&lt;$D1077,$D1078,$D1077-SUM($K1078:Q1078)),0)),0)</f>
        <v>0</v>
      </c>
      <c r="S1078" s="248">
        <f ca="1">ROUND(IF(OR(AND($D1076=LataProjekcji,$F1076&gt;0),AND($D1076=LataProjekcji,$F1076=0,$E1077&lt;=10)),$F1077,IF($D1076&lt;LataProjekcji,IF((SUM($K1078:R1078)+$D1078)&lt;$D1077,$D1078,$D1077-SUM($K1078:R1078)),0)),0)</f>
        <v>0</v>
      </c>
      <c r="T1078" s="248">
        <f ca="1">ROUND(IF(OR(AND($D1076=LataProjekcji,$F1076&gt;0),AND($D1076=LataProjekcji,$F1076=0,$E1077&lt;=10)),$F1077,IF($D1076&lt;LataProjekcji,IF((SUM($K1078:S1078)+$D1078)&lt;$D1077,$D1078,$D1077-SUM($K1078:S1078)),0)),0)</f>
        <v>0</v>
      </c>
      <c r="U1078" s="248">
        <f ca="1">ROUND(IF(OR(AND($D1076=LataProjekcji,$F1076&gt;0),AND($D1076=LataProjekcji,$F1076=0,$E1077&lt;=10)),$F1077,IF($D1076&lt;LataProjekcji,IF((SUM($K1078:T1078)+$D1078)&lt;$D1077,$D1078,$D1077-SUM($K1078:T1078)),0)),0)</f>
        <v>0</v>
      </c>
      <c r="V1078" s="248">
        <f ca="1">ROUND(IF(OR(AND($D1076=LataProjekcji,$F1076&gt;0),AND($D1076=LataProjekcji,$F1076=0,$E1077&lt;=10)),$F1077,IF($D1076&lt;LataProjekcji,IF((SUM($K1078:U1078)+$D1078)&lt;$D1077,$D1078,$D1077-SUM($K1078:U1078)),0)),0)</f>
        <v>0</v>
      </c>
      <c r="W1078" s="248">
        <f ca="1">ROUND(IF(OR(AND($D1076=LataProjekcji,$F1076&gt;0),AND($D1076=LataProjekcji,$F1076=0,$E1077&lt;=10)),$F1077,IF($D1076&lt;LataProjekcji,IF((SUM($K1078:V1078)+$D1078)&lt;$D1077,$D1078,$D1077-SUM($K1078:V1078)),0)),0)</f>
        <v>0</v>
      </c>
      <c r="X1078" s="248">
        <f ca="1">ROUND(IF(OR(AND($D1076=LataProjekcji,$F1076&gt;0),AND($D1076=LataProjekcji,$F1076=0,$E1077&lt;=10)),$F1077,IF($D1076&lt;LataProjekcji,IF((SUM($K1078:W1078)+$D1078)&lt;$D1077,$D1078,$D1077-SUM($K1078:W1078)),0)),0)</f>
        <v>0</v>
      </c>
    </row>
    <row r="1079" spans="1:24" hidden="1">
      <c r="A1079" s="328"/>
      <c r="B1079" s="21" t="s">
        <v>416</v>
      </c>
      <c r="C1079" s="21"/>
      <c r="D1079" s="22"/>
      <c r="E1079" s="21"/>
      <c r="F1079" s="21"/>
      <c r="G1079" s="21"/>
      <c r="H1079" s="21"/>
      <c r="I1079" s="21"/>
      <c r="J1079" s="21"/>
      <c r="K1079" s="22">
        <f ca="1">ROUND(K1078,0)</f>
        <v>0</v>
      </c>
      <c r="L1079" s="22">
        <f t="shared" ref="L1079" ca="1" si="888">ROUND(K1079+L1078,0)</f>
        <v>0</v>
      </c>
      <c r="M1079" s="22">
        <f t="shared" ref="M1079" ca="1" si="889">ROUND(L1079+M1078,0)</f>
        <v>0</v>
      </c>
      <c r="N1079" s="22">
        <f t="shared" ref="N1079" ca="1" si="890">ROUND(M1079+N1078,0)</f>
        <v>0</v>
      </c>
      <c r="O1079" s="22">
        <f t="shared" ref="O1079" ca="1" si="891">ROUND(N1079+O1078,0)</f>
        <v>0</v>
      </c>
      <c r="P1079" s="22">
        <f t="shared" ref="P1079" ca="1" si="892">ROUND(O1079+P1078,0)</f>
        <v>0</v>
      </c>
      <c r="Q1079" s="22">
        <f t="shared" ref="Q1079" ca="1" si="893">ROUND(P1079+Q1078,0)</f>
        <v>0</v>
      </c>
      <c r="R1079" s="22">
        <f t="shared" ref="R1079" ca="1" si="894">ROUND(Q1079+R1078,0)</f>
        <v>0</v>
      </c>
      <c r="S1079" s="22">
        <f t="shared" ref="S1079" ca="1" si="895">ROUND(R1079+S1078,0)</f>
        <v>0</v>
      </c>
      <c r="T1079" s="22">
        <f t="shared" ref="T1079" ca="1" si="896">ROUND(S1079+T1078,0)</f>
        <v>0</v>
      </c>
      <c r="U1079" s="22">
        <f t="shared" ref="U1079" ca="1" si="897">ROUND(T1079+U1078,0)</f>
        <v>0</v>
      </c>
      <c r="V1079" s="22">
        <f t="shared" ref="V1079" ca="1" si="898">ROUND(U1079+V1078,0)</f>
        <v>0</v>
      </c>
      <c r="W1079" s="22">
        <f t="shared" ref="W1079" ca="1" si="899">ROUND(V1079+W1078,0)</f>
        <v>0</v>
      </c>
      <c r="X1079" s="22">
        <f t="shared" ref="X1079" ca="1" si="900">ROUND(W1079+X1078,0)</f>
        <v>0</v>
      </c>
    </row>
    <row r="1080" spans="1:24" hidden="1">
      <c r="A1080" s="328"/>
      <c r="B1080" s="21" t="s">
        <v>406</v>
      </c>
      <c r="C1080" s="21"/>
      <c r="D1080" s="22"/>
      <c r="E1080" s="21"/>
      <c r="F1080" s="21"/>
      <c r="G1080" s="21"/>
      <c r="H1080" s="21"/>
      <c r="I1080" s="21"/>
      <c r="J1080" s="445">
        <f ca="1">OFFSET($C$96,D1075,0)</f>
        <v>0</v>
      </c>
      <c r="K1080" s="77">
        <f ca="1">IF($D1076=LataProjekcji,ROUND($D1077-K1079,0),ROUND(IF(K1078=0,0,$D1077-K1079),0))</f>
        <v>0</v>
      </c>
      <c r="L1080" s="254">
        <f t="shared" ref="L1080:X1080" ca="1" si="901">IF($D1076=LataProjekcji,ROUND($D1077-L1079,0),ROUND(IF(AND(L1078=0,K1080&gt;0),$D1077-L1079,IF(L1078=0,0,$D1077-L1079)),0))</f>
        <v>0</v>
      </c>
      <c r="M1080" s="254">
        <f t="shared" ca="1" si="901"/>
        <v>0</v>
      </c>
      <c r="N1080" s="254">
        <f t="shared" ca="1" si="901"/>
        <v>0</v>
      </c>
      <c r="O1080" s="254">
        <f t="shared" ca="1" si="901"/>
        <v>0</v>
      </c>
      <c r="P1080" s="254">
        <f t="shared" ca="1" si="901"/>
        <v>0</v>
      </c>
      <c r="Q1080" s="254">
        <f t="shared" ca="1" si="901"/>
        <v>0</v>
      </c>
      <c r="R1080" s="254">
        <f t="shared" ca="1" si="901"/>
        <v>0</v>
      </c>
      <c r="S1080" s="254">
        <f t="shared" ca="1" si="901"/>
        <v>0</v>
      </c>
      <c r="T1080" s="254">
        <f t="shared" ca="1" si="901"/>
        <v>0</v>
      </c>
      <c r="U1080" s="254">
        <f t="shared" ca="1" si="901"/>
        <v>0</v>
      </c>
      <c r="V1080" s="254">
        <f t="shared" ca="1" si="901"/>
        <v>0</v>
      </c>
      <c r="W1080" s="254">
        <f t="shared" ca="1" si="901"/>
        <v>0</v>
      </c>
      <c r="X1080" s="254">
        <f t="shared" ca="1" si="901"/>
        <v>0</v>
      </c>
    </row>
    <row r="1081" spans="1:24" hidden="1">
      <c r="A1081" s="328"/>
      <c r="B1081" s="20">
        <f ca="1">OFFSET($B$96,D1081,0)</f>
        <v>0</v>
      </c>
      <c r="C1081" s="20"/>
      <c r="D1081" s="21">
        <f>D1075+1</f>
        <v>35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328"/>
      <c r="B1082" s="165" t="s">
        <v>425</v>
      </c>
      <c r="C1082" s="165"/>
      <c r="D1082" s="165">
        <f ca="1">YEAR(OFFSET($E$96,D1081,0))</f>
        <v>1900</v>
      </c>
      <c r="E1082" s="165">
        <f ca="1">MONTH(OFFSET($E$96,D1081,0))</f>
        <v>1</v>
      </c>
      <c r="F1082" s="21">
        <f ca="1">12-$E1082</f>
        <v>11</v>
      </c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328"/>
      <c r="B1083" s="21" t="s">
        <v>406</v>
      </c>
      <c r="C1083" s="21"/>
      <c r="D1083" s="387">
        <f ca="1">IF(E1083&lt;0,0,ROUND(E1083,0))</f>
        <v>0</v>
      </c>
      <c r="E1083" s="249">
        <f ca="1">OFFSET($D$96,D1081,0)</f>
        <v>0</v>
      </c>
      <c r="F1083" s="387">
        <f ca="1">IF(E1083&gt;10,ROUND(($D1084/12)*$F1082,0),$D1083)</f>
        <v>0</v>
      </c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328"/>
      <c r="B1084" s="21" t="s">
        <v>415</v>
      </c>
      <c r="C1084" s="436" t="e">
        <f ca="1">VLOOKUP(OFFSET($C$96,D1081,0),Założenia!$J$48:$K$55,2,FALSE)</f>
        <v>#N/A</v>
      </c>
      <c r="D1084" s="387">
        <f ca="1">IF(ISBLANK(OFFSET($E$96,D1081,0)),0,IF(E1083&gt;10,ROUND(D1083*C1084,0),IF(D1083&lt;0,0,D1083)))</f>
        <v>0</v>
      </c>
      <c r="E1084" s="21"/>
      <c r="F1084" s="21"/>
      <c r="G1084" s="21"/>
      <c r="H1084" s="21"/>
      <c r="I1084" s="21"/>
      <c r="J1084" s="21"/>
      <c r="K1084" s="75">
        <f ca="1">ROUND(IF($D1082=LataProjekcji,$F1083,IF($D1082=LataProjekcji,$D1084,0)),0)</f>
        <v>0</v>
      </c>
      <c r="L1084" s="248">
        <f ca="1">ROUND(IF(OR(AND($D1082=LataProjekcji,$F1082&gt;0),AND($D1082=LataProjekcji,$F1082=0,$E1083&lt;=10)),$F1083,IF($D1082&lt;LataProjekcji,IF((SUM($K1084:K1084)+$D1084)&lt;$D1083,$D1084,$D1083-SUM($K1084:K1084)),0)),0)</f>
        <v>0</v>
      </c>
      <c r="M1084" s="248">
        <f ca="1">ROUND(IF(OR(AND($D1082=LataProjekcji,$F1082&gt;0),AND($D1082=LataProjekcji,$F1082=0,$E1083&lt;=10)),$F1083,IF($D1082&lt;LataProjekcji,IF((SUM($K1084:L1084)+$D1084)&lt;$D1083,$D1084,$D1083-SUM($K1084:L1084)),0)),0)</f>
        <v>0</v>
      </c>
      <c r="N1084" s="248">
        <f ca="1">ROUND(IF(OR(AND($D1082=LataProjekcji,$F1082&gt;0),AND($D1082=LataProjekcji,$F1082=0,$E1083&lt;=10)),$F1083,IF($D1082&lt;LataProjekcji,IF((SUM($K1084:M1084)+$D1084)&lt;$D1083,$D1084,$D1083-SUM($K1084:M1084)),0)),0)</f>
        <v>0</v>
      </c>
      <c r="O1084" s="248">
        <f ca="1">ROUND(IF(OR(AND($D1082=LataProjekcji,$F1082&gt;0),AND($D1082=LataProjekcji,$F1082=0,$E1083&lt;=10)),$F1083,IF($D1082&lt;LataProjekcji,IF((SUM($K1084:N1084)+$D1084)&lt;$D1083,$D1084,$D1083-SUM($K1084:N1084)),0)),0)</f>
        <v>0</v>
      </c>
      <c r="P1084" s="248">
        <f ca="1">ROUND(IF(OR(AND($D1082=LataProjekcji,$F1082&gt;0),AND($D1082=LataProjekcji,$F1082=0,$E1083&lt;=10)),$F1083,IF($D1082&lt;LataProjekcji,IF((SUM($K1084:O1084)+$D1084)&lt;$D1083,$D1084,$D1083-SUM($K1084:O1084)),0)),0)</f>
        <v>0</v>
      </c>
      <c r="Q1084" s="248">
        <f ca="1">ROUND(IF(OR(AND($D1082=LataProjekcji,$F1082&gt;0),AND($D1082=LataProjekcji,$F1082=0,$E1083&lt;=10)),$F1083,IF($D1082&lt;LataProjekcji,IF((SUM($K1084:P1084)+$D1084)&lt;$D1083,$D1084,$D1083-SUM($K1084:P1084)),0)),0)</f>
        <v>0</v>
      </c>
      <c r="R1084" s="248">
        <f ca="1">ROUND(IF(OR(AND($D1082=LataProjekcji,$F1082&gt;0),AND($D1082=LataProjekcji,$F1082=0,$E1083&lt;=10)),$F1083,IF($D1082&lt;LataProjekcji,IF((SUM($K1084:Q1084)+$D1084)&lt;$D1083,$D1084,$D1083-SUM($K1084:Q1084)),0)),0)</f>
        <v>0</v>
      </c>
      <c r="S1084" s="248">
        <f ca="1">ROUND(IF(OR(AND($D1082=LataProjekcji,$F1082&gt;0),AND($D1082=LataProjekcji,$F1082=0,$E1083&lt;=10)),$F1083,IF($D1082&lt;LataProjekcji,IF((SUM($K1084:R1084)+$D1084)&lt;$D1083,$D1084,$D1083-SUM($K1084:R1084)),0)),0)</f>
        <v>0</v>
      </c>
      <c r="T1084" s="248">
        <f ca="1">ROUND(IF(OR(AND($D1082=LataProjekcji,$F1082&gt;0),AND($D1082=LataProjekcji,$F1082=0,$E1083&lt;=10)),$F1083,IF($D1082&lt;LataProjekcji,IF((SUM($K1084:S1084)+$D1084)&lt;$D1083,$D1084,$D1083-SUM($K1084:S1084)),0)),0)</f>
        <v>0</v>
      </c>
      <c r="U1084" s="248">
        <f ca="1">ROUND(IF(OR(AND($D1082=LataProjekcji,$F1082&gt;0),AND($D1082=LataProjekcji,$F1082=0,$E1083&lt;=10)),$F1083,IF($D1082&lt;LataProjekcji,IF((SUM($K1084:T1084)+$D1084)&lt;$D1083,$D1084,$D1083-SUM($K1084:T1084)),0)),0)</f>
        <v>0</v>
      </c>
      <c r="V1084" s="248">
        <f ca="1">ROUND(IF(OR(AND($D1082=LataProjekcji,$F1082&gt;0),AND($D1082=LataProjekcji,$F1082=0,$E1083&lt;=10)),$F1083,IF($D1082&lt;LataProjekcji,IF((SUM($K1084:U1084)+$D1084)&lt;$D1083,$D1084,$D1083-SUM($K1084:U1084)),0)),0)</f>
        <v>0</v>
      </c>
      <c r="W1084" s="248">
        <f ca="1">ROUND(IF(OR(AND($D1082=LataProjekcji,$F1082&gt;0),AND($D1082=LataProjekcji,$F1082=0,$E1083&lt;=10)),$F1083,IF($D1082&lt;LataProjekcji,IF((SUM($K1084:V1084)+$D1084)&lt;$D1083,$D1084,$D1083-SUM($K1084:V1084)),0)),0)</f>
        <v>0</v>
      </c>
      <c r="X1084" s="248">
        <f ca="1">ROUND(IF(OR(AND($D1082=LataProjekcji,$F1082&gt;0),AND($D1082=LataProjekcji,$F1082=0,$E1083&lt;=10)),$F1083,IF($D1082&lt;LataProjekcji,IF((SUM($K1084:W1084)+$D1084)&lt;$D1083,$D1084,$D1083-SUM($K1084:W1084)),0)),0)</f>
        <v>0</v>
      </c>
    </row>
    <row r="1085" spans="1:24" hidden="1">
      <c r="A1085" s="328"/>
      <c r="B1085" s="21" t="s">
        <v>416</v>
      </c>
      <c r="C1085" s="21"/>
      <c r="D1085" s="22"/>
      <c r="E1085" s="21"/>
      <c r="F1085" s="21"/>
      <c r="G1085" s="21"/>
      <c r="H1085" s="21"/>
      <c r="I1085" s="21"/>
      <c r="J1085" s="21"/>
      <c r="K1085" s="22">
        <f ca="1">ROUND(K1084,0)</f>
        <v>0</v>
      </c>
      <c r="L1085" s="22">
        <f t="shared" ref="L1085" ca="1" si="902">ROUND(K1085+L1084,0)</f>
        <v>0</v>
      </c>
      <c r="M1085" s="22">
        <f t="shared" ref="M1085" ca="1" si="903">ROUND(L1085+M1084,0)</f>
        <v>0</v>
      </c>
      <c r="N1085" s="22">
        <f t="shared" ref="N1085" ca="1" si="904">ROUND(M1085+N1084,0)</f>
        <v>0</v>
      </c>
      <c r="O1085" s="22">
        <f t="shared" ref="O1085" ca="1" si="905">ROUND(N1085+O1084,0)</f>
        <v>0</v>
      </c>
      <c r="P1085" s="22">
        <f t="shared" ref="P1085" ca="1" si="906">ROUND(O1085+P1084,0)</f>
        <v>0</v>
      </c>
      <c r="Q1085" s="22">
        <f t="shared" ref="Q1085" ca="1" si="907">ROUND(P1085+Q1084,0)</f>
        <v>0</v>
      </c>
      <c r="R1085" s="22">
        <f t="shared" ref="R1085" ca="1" si="908">ROUND(Q1085+R1084,0)</f>
        <v>0</v>
      </c>
      <c r="S1085" s="22">
        <f t="shared" ref="S1085" ca="1" si="909">ROUND(R1085+S1084,0)</f>
        <v>0</v>
      </c>
      <c r="T1085" s="22">
        <f t="shared" ref="T1085" ca="1" si="910">ROUND(S1085+T1084,0)</f>
        <v>0</v>
      </c>
      <c r="U1085" s="22">
        <f t="shared" ref="U1085" ca="1" si="911">ROUND(T1085+U1084,0)</f>
        <v>0</v>
      </c>
      <c r="V1085" s="22">
        <f t="shared" ref="V1085" ca="1" si="912">ROUND(U1085+V1084,0)</f>
        <v>0</v>
      </c>
      <c r="W1085" s="22">
        <f t="shared" ref="W1085" ca="1" si="913">ROUND(V1085+W1084,0)</f>
        <v>0</v>
      </c>
      <c r="X1085" s="22">
        <f t="shared" ref="X1085" ca="1" si="914">ROUND(W1085+X1084,0)</f>
        <v>0</v>
      </c>
    </row>
    <row r="1086" spans="1:24" hidden="1">
      <c r="A1086" s="328"/>
      <c r="B1086" s="21" t="s">
        <v>406</v>
      </c>
      <c r="C1086" s="21"/>
      <c r="D1086" s="22"/>
      <c r="E1086" s="21"/>
      <c r="F1086" s="21"/>
      <c r="G1086" s="21"/>
      <c r="H1086" s="21"/>
      <c r="I1086" s="21"/>
      <c r="J1086" s="445">
        <f ca="1">OFFSET($C$96,D1081,0)</f>
        <v>0</v>
      </c>
      <c r="K1086" s="77">
        <f ca="1">IF($D1082=LataProjekcji,ROUND($D1083-K1085,0),ROUND(IF(K1084=0,0,$D1083-K1085),0))</f>
        <v>0</v>
      </c>
      <c r="L1086" s="254">
        <f t="shared" ref="L1086:X1086" ca="1" si="915">IF($D1082=LataProjekcji,ROUND($D1083-L1085,0),ROUND(IF(AND(L1084=0,K1086&gt;0),$D1083-L1085,IF(L1084=0,0,$D1083-L1085)),0))</f>
        <v>0</v>
      </c>
      <c r="M1086" s="254">
        <f t="shared" ca="1" si="915"/>
        <v>0</v>
      </c>
      <c r="N1086" s="254">
        <f t="shared" ca="1" si="915"/>
        <v>0</v>
      </c>
      <c r="O1086" s="254">
        <f t="shared" ca="1" si="915"/>
        <v>0</v>
      </c>
      <c r="P1086" s="254">
        <f t="shared" ca="1" si="915"/>
        <v>0</v>
      </c>
      <c r="Q1086" s="254">
        <f t="shared" ca="1" si="915"/>
        <v>0</v>
      </c>
      <c r="R1086" s="254">
        <f t="shared" ca="1" si="915"/>
        <v>0</v>
      </c>
      <c r="S1086" s="254">
        <f t="shared" ca="1" si="915"/>
        <v>0</v>
      </c>
      <c r="T1086" s="254">
        <f t="shared" ca="1" si="915"/>
        <v>0</v>
      </c>
      <c r="U1086" s="254">
        <f t="shared" ca="1" si="915"/>
        <v>0</v>
      </c>
      <c r="V1086" s="254">
        <f t="shared" ca="1" si="915"/>
        <v>0</v>
      </c>
      <c r="W1086" s="254">
        <f t="shared" ca="1" si="915"/>
        <v>0</v>
      </c>
      <c r="X1086" s="254">
        <f t="shared" ca="1" si="915"/>
        <v>0</v>
      </c>
    </row>
    <row r="1087" spans="1:24" hidden="1">
      <c r="A1087" s="328"/>
      <c r="B1087" s="20">
        <f ca="1">OFFSET($B$96,D1087,0)</f>
        <v>0</v>
      </c>
      <c r="C1087" s="20"/>
      <c r="D1087" s="21">
        <f>D1081+1</f>
        <v>36</v>
      </c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</row>
    <row r="1088" spans="1:24" hidden="1">
      <c r="A1088" s="328"/>
      <c r="B1088" s="165" t="s">
        <v>425</v>
      </c>
      <c r="C1088" s="165"/>
      <c r="D1088" s="165">
        <f ca="1">YEAR(OFFSET($E$96,D1087,0))</f>
        <v>1900</v>
      </c>
      <c r="E1088" s="165">
        <f ca="1">MONTH(OFFSET($E$96,D1087,0))</f>
        <v>1</v>
      </c>
      <c r="F1088" s="21">
        <f ca="1">12-$E1088</f>
        <v>11</v>
      </c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328"/>
      <c r="B1089" s="21" t="s">
        <v>406</v>
      </c>
      <c r="C1089" s="21"/>
      <c r="D1089" s="387">
        <f ca="1">IF(E1089&lt;0,0,ROUND(E1089,0))</f>
        <v>0</v>
      </c>
      <c r="E1089" s="249">
        <f ca="1">OFFSET($D$96,D1087,0)</f>
        <v>0</v>
      </c>
      <c r="F1089" s="387">
        <f ca="1">IF(E1089&gt;10,ROUND(($D1090/12)*$F1088,0),$D1089)</f>
        <v>0</v>
      </c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328"/>
      <c r="B1090" s="21" t="s">
        <v>415</v>
      </c>
      <c r="C1090" s="436" t="e">
        <f ca="1">VLOOKUP(OFFSET($C$96,D1087,0),Założenia!$J$48:$K$55,2,FALSE)</f>
        <v>#N/A</v>
      </c>
      <c r="D1090" s="387">
        <f ca="1">IF(ISBLANK(OFFSET($E$96,D1087,0)),0,IF(E1089&gt;10,ROUND(D1089*C1090,0),IF(D1089&lt;0,0,D1089)))</f>
        <v>0</v>
      </c>
      <c r="E1090" s="21"/>
      <c r="F1090" s="21"/>
      <c r="G1090" s="21"/>
      <c r="H1090" s="21"/>
      <c r="I1090" s="21"/>
      <c r="J1090" s="21"/>
      <c r="K1090" s="75">
        <f ca="1">ROUND(IF($D1088=LataProjekcji,$F1089,IF($D1088=LataProjekcji,$D1090,0)),0)</f>
        <v>0</v>
      </c>
      <c r="L1090" s="248">
        <f ca="1">ROUND(IF(OR(AND($D1088=LataProjekcji,$F1088&gt;0),AND($D1088=LataProjekcji,$F1088=0,$E1089&lt;=10)),$F1089,IF($D1088&lt;LataProjekcji,IF((SUM($K1090:K1090)+$D1090)&lt;$D1089,$D1090,$D1089-SUM($K1090:K1090)),0)),0)</f>
        <v>0</v>
      </c>
      <c r="M1090" s="248">
        <f ca="1">ROUND(IF(OR(AND($D1088=LataProjekcji,$F1088&gt;0),AND($D1088=LataProjekcji,$F1088=0,$E1089&lt;=10)),$F1089,IF($D1088&lt;LataProjekcji,IF((SUM($K1090:L1090)+$D1090)&lt;$D1089,$D1090,$D1089-SUM($K1090:L1090)),0)),0)</f>
        <v>0</v>
      </c>
      <c r="N1090" s="248">
        <f ca="1">ROUND(IF(OR(AND($D1088=LataProjekcji,$F1088&gt;0),AND($D1088=LataProjekcji,$F1088=0,$E1089&lt;=10)),$F1089,IF($D1088&lt;LataProjekcji,IF((SUM($K1090:M1090)+$D1090)&lt;$D1089,$D1090,$D1089-SUM($K1090:M1090)),0)),0)</f>
        <v>0</v>
      </c>
      <c r="O1090" s="248">
        <f ca="1">ROUND(IF(OR(AND($D1088=LataProjekcji,$F1088&gt;0),AND($D1088=LataProjekcji,$F1088=0,$E1089&lt;=10)),$F1089,IF($D1088&lt;LataProjekcji,IF((SUM($K1090:N1090)+$D1090)&lt;$D1089,$D1090,$D1089-SUM($K1090:N1090)),0)),0)</f>
        <v>0</v>
      </c>
      <c r="P1090" s="248">
        <f ca="1">ROUND(IF(OR(AND($D1088=LataProjekcji,$F1088&gt;0),AND($D1088=LataProjekcji,$F1088=0,$E1089&lt;=10)),$F1089,IF($D1088&lt;LataProjekcji,IF((SUM($K1090:O1090)+$D1090)&lt;$D1089,$D1090,$D1089-SUM($K1090:O1090)),0)),0)</f>
        <v>0</v>
      </c>
      <c r="Q1090" s="248">
        <f ca="1">ROUND(IF(OR(AND($D1088=LataProjekcji,$F1088&gt;0),AND($D1088=LataProjekcji,$F1088=0,$E1089&lt;=10)),$F1089,IF($D1088&lt;LataProjekcji,IF((SUM($K1090:P1090)+$D1090)&lt;$D1089,$D1090,$D1089-SUM($K1090:P1090)),0)),0)</f>
        <v>0</v>
      </c>
      <c r="R1090" s="248">
        <f ca="1">ROUND(IF(OR(AND($D1088=LataProjekcji,$F1088&gt;0),AND($D1088=LataProjekcji,$F1088=0,$E1089&lt;=10)),$F1089,IF($D1088&lt;LataProjekcji,IF((SUM($K1090:Q1090)+$D1090)&lt;$D1089,$D1090,$D1089-SUM($K1090:Q1090)),0)),0)</f>
        <v>0</v>
      </c>
      <c r="S1090" s="248">
        <f ca="1">ROUND(IF(OR(AND($D1088=LataProjekcji,$F1088&gt;0),AND($D1088=LataProjekcji,$F1088=0,$E1089&lt;=10)),$F1089,IF($D1088&lt;LataProjekcji,IF((SUM($K1090:R1090)+$D1090)&lt;$D1089,$D1090,$D1089-SUM($K1090:R1090)),0)),0)</f>
        <v>0</v>
      </c>
      <c r="T1090" s="248">
        <f ca="1">ROUND(IF(OR(AND($D1088=LataProjekcji,$F1088&gt;0),AND($D1088=LataProjekcji,$F1088=0,$E1089&lt;=10)),$F1089,IF($D1088&lt;LataProjekcji,IF((SUM($K1090:S1090)+$D1090)&lt;$D1089,$D1090,$D1089-SUM($K1090:S1090)),0)),0)</f>
        <v>0</v>
      </c>
      <c r="U1090" s="248">
        <f ca="1">ROUND(IF(OR(AND($D1088=LataProjekcji,$F1088&gt;0),AND($D1088=LataProjekcji,$F1088=0,$E1089&lt;=10)),$F1089,IF($D1088&lt;LataProjekcji,IF((SUM($K1090:T1090)+$D1090)&lt;$D1089,$D1090,$D1089-SUM($K1090:T1090)),0)),0)</f>
        <v>0</v>
      </c>
      <c r="V1090" s="248">
        <f ca="1">ROUND(IF(OR(AND($D1088=LataProjekcji,$F1088&gt;0),AND($D1088=LataProjekcji,$F1088=0,$E1089&lt;=10)),$F1089,IF($D1088&lt;LataProjekcji,IF((SUM($K1090:U1090)+$D1090)&lt;$D1089,$D1090,$D1089-SUM($K1090:U1090)),0)),0)</f>
        <v>0</v>
      </c>
      <c r="W1090" s="248">
        <f ca="1">ROUND(IF(OR(AND($D1088=LataProjekcji,$F1088&gt;0),AND($D1088=LataProjekcji,$F1088=0,$E1089&lt;=10)),$F1089,IF($D1088&lt;LataProjekcji,IF((SUM($K1090:V1090)+$D1090)&lt;$D1089,$D1090,$D1089-SUM($K1090:V1090)),0)),0)</f>
        <v>0</v>
      </c>
      <c r="X1090" s="248">
        <f ca="1">ROUND(IF(OR(AND($D1088=LataProjekcji,$F1088&gt;0),AND($D1088=LataProjekcji,$F1088=0,$E1089&lt;=10)),$F1089,IF($D1088&lt;LataProjekcji,IF((SUM($K1090:W1090)+$D1090)&lt;$D1089,$D1090,$D1089-SUM($K1090:W1090)),0)),0)</f>
        <v>0</v>
      </c>
    </row>
    <row r="1091" spans="1:24" hidden="1">
      <c r="A1091" s="328"/>
      <c r="B1091" s="21" t="s">
        <v>416</v>
      </c>
      <c r="C1091" s="21"/>
      <c r="D1091" s="22"/>
      <c r="E1091" s="21"/>
      <c r="F1091" s="21"/>
      <c r="G1091" s="21"/>
      <c r="H1091" s="21"/>
      <c r="I1091" s="21"/>
      <c r="J1091" s="21"/>
      <c r="K1091" s="22">
        <f ca="1">ROUND(K1090,0)</f>
        <v>0</v>
      </c>
      <c r="L1091" s="22">
        <f t="shared" ref="L1091" ca="1" si="916">ROUND(K1091+L1090,0)</f>
        <v>0</v>
      </c>
      <c r="M1091" s="22">
        <f t="shared" ref="M1091" ca="1" si="917">ROUND(L1091+M1090,0)</f>
        <v>0</v>
      </c>
      <c r="N1091" s="22">
        <f t="shared" ref="N1091" ca="1" si="918">ROUND(M1091+N1090,0)</f>
        <v>0</v>
      </c>
      <c r="O1091" s="22">
        <f t="shared" ref="O1091" ca="1" si="919">ROUND(N1091+O1090,0)</f>
        <v>0</v>
      </c>
      <c r="P1091" s="22">
        <f t="shared" ref="P1091" ca="1" si="920">ROUND(O1091+P1090,0)</f>
        <v>0</v>
      </c>
      <c r="Q1091" s="22">
        <f t="shared" ref="Q1091" ca="1" si="921">ROUND(P1091+Q1090,0)</f>
        <v>0</v>
      </c>
      <c r="R1091" s="22">
        <f t="shared" ref="R1091" ca="1" si="922">ROUND(Q1091+R1090,0)</f>
        <v>0</v>
      </c>
      <c r="S1091" s="22">
        <f t="shared" ref="S1091" ca="1" si="923">ROUND(R1091+S1090,0)</f>
        <v>0</v>
      </c>
      <c r="T1091" s="22">
        <f t="shared" ref="T1091" ca="1" si="924">ROUND(S1091+T1090,0)</f>
        <v>0</v>
      </c>
      <c r="U1091" s="22">
        <f t="shared" ref="U1091" ca="1" si="925">ROUND(T1091+U1090,0)</f>
        <v>0</v>
      </c>
      <c r="V1091" s="22">
        <f t="shared" ref="V1091" ca="1" si="926">ROUND(U1091+V1090,0)</f>
        <v>0</v>
      </c>
      <c r="W1091" s="22">
        <f t="shared" ref="W1091" ca="1" si="927">ROUND(V1091+W1090,0)</f>
        <v>0</v>
      </c>
      <c r="X1091" s="22">
        <f t="shared" ref="X1091" ca="1" si="928">ROUND(W1091+X1090,0)</f>
        <v>0</v>
      </c>
    </row>
    <row r="1092" spans="1:24" hidden="1">
      <c r="A1092" s="328"/>
      <c r="B1092" s="21" t="s">
        <v>406</v>
      </c>
      <c r="C1092" s="21"/>
      <c r="D1092" s="22"/>
      <c r="E1092" s="21"/>
      <c r="F1092" s="21"/>
      <c r="G1092" s="21"/>
      <c r="H1092" s="21"/>
      <c r="I1092" s="21"/>
      <c r="J1092" s="445">
        <f ca="1">OFFSET($C$96,D1087,0)</f>
        <v>0</v>
      </c>
      <c r="K1092" s="77">
        <f ca="1">IF($D1088=LataProjekcji,ROUND($D1089-K1091,0),ROUND(IF(K1090=0,0,$D1089-K1091),0))</f>
        <v>0</v>
      </c>
      <c r="L1092" s="254">
        <f t="shared" ref="L1092:X1092" ca="1" si="929">IF($D1088=LataProjekcji,ROUND($D1089-L1091,0),ROUND(IF(AND(L1090=0,K1092&gt;0),$D1089-L1091,IF(L1090=0,0,$D1089-L1091)),0))</f>
        <v>0</v>
      </c>
      <c r="M1092" s="254">
        <f t="shared" ca="1" si="929"/>
        <v>0</v>
      </c>
      <c r="N1092" s="254">
        <f t="shared" ca="1" si="929"/>
        <v>0</v>
      </c>
      <c r="O1092" s="254">
        <f t="shared" ca="1" si="929"/>
        <v>0</v>
      </c>
      <c r="P1092" s="254">
        <f t="shared" ca="1" si="929"/>
        <v>0</v>
      </c>
      <c r="Q1092" s="254">
        <f t="shared" ca="1" si="929"/>
        <v>0</v>
      </c>
      <c r="R1092" s="254">
        <f t="shared" ca="1" si="929"/>
        <v>0</v>
      </c>
      <c r="S1092" s="254">
        <f t="shared" ca="1" si="929"/>
        <v>0</v>
      </c>
      <c r="T1092" s="254">
        <f t="shared" ca="1" si="929"/>
        <v>0</v>
      </c>
      <c r="U1092" s="254">
        <f t="shared" ca="1" si="929"/>
        <v>0</v>
      </c>
      <c r="V1092" s="254">
        <f t="shared" ca="1" si="929"/>
        <v>0</v>
      </c>
      <c r="W1092" s="254">
        <f t="shared" ca="1" si="929"/>
        <v>0</v>
      </c>
      <c r="X1092" s="254">
        <f t="shared" ca="1" si="929"/>
        <v>0</v>
      </c>
    </row>
    <row r="1093" spans="1:24" hidden="1">
      <c r="A1093" s="328"/>
      <c r="B1093" s="20">
        <f ca="1">OFFSET($B$96,D1093,0)</f>
        <v>0</v>
      </c>
      <c r="C1093" s="20"/>
      <c r="D1093" s="21">
        <f>D1087+1</f>
        <v>37</v>
      </c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</row>
    <row r="1094" spans="1:24" hidden="1">
      <c r="A1094" s="328"/>
      <c r="B1094" s="165" t="s">
        <v>425</v>
      </c>
      <c r="C1094" s="165"/>
      <c r="D1094" s="165">
        <f ca="1">YEAR(OFFSET($E$96,D1093,0))</f>
        <v>1900</v>
      </c>
      <c r="E1094" s="165">
        <f ca="1">MONTH(OFFSET($E$96,D1093,0))</f>
        <v>1</v>
      </c>
      <c r="F1094" s="21">
        <f ca="1">12-$E1094</f>
        <v>11</v>
      </c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</row>
    <row r="1095" spans="1:24" hidden="1">
      <c r="A1095" s="328"/>
      <c r="B1095" s="21" t="s">
        <v>406</v>
      </c>
      <c r="C1095" s="21"/>
      <c r="D1095" s="387">
        <f ca="1">IF(E1095&lt;0,0,ROUND(E1095,0))</f>
        <v>0</v>
      </c>
      <c r="E1095" s="249">
        <f ca="1">OFFSET($D$96,D1093,0)</f>
        <v>0</v>
      </c>
      <c r="F1095" s="387">
        <f ca="1">IF(E1095&gt;10,ROUND(($D1096/12)*$F1094,0),$D1095)</f>
        <v>0</v>
      </c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328"/>
      <c r="B1096" s="21" t="s">
        <v>415</v>
      </c>
      <c r="C1096" s="436" t="e">
        <f ca="1">VLOOKUP(OFFSET($C$96,D1093,0),Założenia!$J$48:$K$55,2,FALSE)</f>
        <v>#N/A</v>
      </c>
      <c r="D1096" s="387">
        <f ca="1">IF(ISBLANK(OFFSET($E$96,D1093,0)),0,IF(E1095&gt;10,ROUND(D1095*C1096,0),IF(D1095&lt;0,0,D1095)))</f>
        <v>0</v>
      </c>
      <c r="E1096" s="21"/>
      <c r="F1096" s="21"/>
      <c r="G1096" s="21"/>
      <c r="H1096" s="21"/>
      <c r="I1096" s="21"/>
      <c r="J1096" s="21"/>
      <c r="K1096" s="75">
        <f ca="1">ROUND(IF($D1094=LataProjekcji,$F1095,IF($D1094=LataProjekcji,$D1096,0)),0)</f>
        <v>0</v>
      </c>
      <c r="L1096" s="248">
        <f ca="1">ROUND(IF(OR(AND($D1094=LataProjekcji,$F1094&gt;0),AND($D1094=LataProjekcji,$F1094=0,$E1095&lt;=10)),$F1095,IF($D1094&lt;LataProjekcji,IF((SUM($K1096:K1096)+$D1096)&lt;$D1095,$D1096,$D1095-SUM($K1096:K1096)),0)),0)</f>
        <v>0</v>
      </c>
      <c r="M1096" s="248">
        <f ca="1">ROUND(IF(OR(AND($D1094=LataProjekcji,$F1094&gt;0),AND($D1094=LataProjekcji,$F1094=0,$E1095&lt;=10)),$F1095,IF($D1094&lt;LataProjekcji,IF((SUM($K1096:L1096)+$D1096)&lt;$D1095,$D1096,$D1095-SUM($K1096:L1096)),0)),0)</f>
        <v>0</v>
      </c>
      <c r="N1096" s="248">
        <f ca="1">ROUND(IF(OR(AND($D1094=LataProjekcji,$F1094&gt;0),AND($D1094=LataProjekcji,$F1094=0,$E1095&lt;=10)),$F1095,IF($D1094&lt;LataProjekcji,IF((SUM($K1096:M1096)+$D1096)&lt;$D1095,$D1096,$D1095-SUM($K1096:M1096)),0)),0)</f>
        <v>0</v>
      </c>
      <c r="O1096" s="248">
        <f ca="1">ROUND(IF(OR(AND($D1094=LataProjekcji,$F1094&gt;0),AND($D1094=LataProjekcji,$F1094=0,$E1095&lt;=10)),$F1095,IF($D1094&lt;LataProjekcji,IF((SUM($K1096:N1096)+$D1096)&lt;$D1095,$D1096,$D1095-SUM($K1096:N1096)),0)),0)</f>
        <v>0</v>
      </c>
      <c r="P1096" s="248">
        <f ca="1">ROUND(IF(OR(AND($D1094=LataProjekcji,$F1094&gt;0),AND($D1094=LataProjekcji,$F1094=0,$E1095&lt;=10)),$F1095,IF($D1094&lt;LataProjekcji,IF((SUM($K1096:O1096)+$D1096)&lt;$D1095,$D1096,$D1095-SUM($K1096:O1096)),0)),0)</f>
        <v>0</v>
      </c>
      <c r="Q1096" s="248">
        <f ca="1">ROUND(IF(OR(AND($D1094=LataProjekcji,$F1094&gt;0),AND($D1094=LataProjekcji,$F1094=0,$E1095&lt;=10)),$F1095,IF($D1094&lt;LataProjekcji,IF((SUM($K1096:P1096)+$D1096)&lt;$D1095,$D1096,$D1095-SUM($K1096:P1096)),0)),0)</f>
        <v>0</v>
      </c>
      <c r="R1096" s="248">
        <f ca="1">ROUND(IF(OR(AND($D1094=LataProjekcji,$F1094&gt;0),AND($D1094=LataProjekcji,$F1094=0,$E1095&lt;=10)),$F1095,IF($D1094&lt;LataProjekcji,IF((SUM($K1096:Q1096)+$D1096)&lt;$D1095,$D1096,$D1095-SUM($K1096:Q1096)),0)),0)</f>
        <v>0</v>
      </c>
      <c r="S1096" s="248">
        <f ca="1">ROUND(IF(OR(AND($D1094=LataProjekcji,$F1094&gt;0),AND($D1094=LataProjekcji,$F1094=0,$E1095&lt;=10)),$F1095,IF($D1094&lt;LataProjekcji,IF((SUM($K1096:R1096)+$D1096)&lt;$D1095,$D1096,$D1095-SUM($K1096:R1096)),0)),0)</f>
        <v>0</v>
      </c>
      <c r="T1096" s="248">
        <f ca="1">ROUND(IF(OR(AND($D1094=LataProjekcji,$F1094&gt;0),AND($D1094=LataProjekcji,$F1094=0,$E1095&lt;=10)),$F1095,IF($D1094&lt;LataProjekcji,IF((SUM($K1096:S1096)+$D1096)&lt;$D1095,$D1096,$D1095-SUM($K1096:S1096)),0)),0)</f>
        <v>0</v>
      </c>
      <c r="U1096" s="248">
        <f ca="1">ROUND(IF(OR(AND($D1094=LataProjekcji,$F1094&gt;0),AND($D1094=LataProjekcji,$F1094=0,$E1095&lt;=10)),$F1095,IF($D1094&lt;LataProjekcji,IF((SUM($K1096:T1096)+$D1096)&lt;$D1095,$D1096,$D1095-SUM($K1096:T1096)),0)),0)</f>
        <v>0</v>
      </c>
      <c r="V1096" s="248">
        <f ca="1">ROUND(IF(OR(AND($D1094=LataProjekcji,$F1094&gt;0),AND($D1094=LataProjekcji,$F1094=0,$E1095&lt;=10)),$F1095,IF($D1094&lt;LataProjekcji,IF((SUM($K1096:U1096)+$D1096)&lt;$D1095,$D1096,$D1095-SUM($K1096:U1096)),0)),0)</f>
        <v>0</v>
      </c>
      <c r="W1096" s="248">
        <f ca="1">ROUND(IF(OR(AND($D1094=LataProjekcji,$F1094&gt;0),AND($D1094=LataProjekcji,$F1094=0,$E1095&lt;=10)),$F1095,IF($D1094&lt;LataProjekcji,IF((SUM($K1096:V1096)+$D1096)&lt;$D1095,$D1096,$D1095-SUM($K1096:V1096)),0)),0)</f>
        <v>0</v>
      </c>
      <c r="X1096" s="248">
        <f ca="1">ROUND(IF(OR(AND($D1094=LataProjekcji,$F1094&gt;0),AND($D1094=LataProjekcji,$F1094=0,$E1095&lt;=10)),$F1095,IF($D1094&lt;LataProjekcji,IF((SUM($K1096:W1096)+$D1096)&lt;$D1095,$D1096,$D1095-SUM($K1096:W1096)),0)),0)</f>
        <v>0</v>
      </c>
    </row>
    <row r="1097" spans="1:24" hidden="1">
      <c r="A1097" s="328"/>
      <c r="B1097" s="21" t="s">
        <v>416</v>
      </c>
      <c r="C1097" s="21"/>
      <c r="D1097" s="22"/>
      <c r="E1097" s="21"/>
      <c r="F1097" s="21"/>
      <c r="G1097" s="21"/>
      <c r="H1097" s="21"/>
      <c r="I1097" s="21"/>
      <c r="J1097" s="21"/>
      <c r="K1097" s="22">
        <f ca="1">ROUND(K1096,0)</f>
        <v>0</v>
      </c>
      <c r="L1097" s="22">
        <f t="shared" ref="L1097" ca="1" si="930">ROUND(K1097+L1096,0)</f>
        <v>0</v>
      </c>
      <c r="M1097" s="22">
        <f t="shared" ref="M1097" ca="1" si="931">ROUND(L1097+M1096,0)</f>
        <v>0</v>
      </c>
      <c r="N1097" s="22">
        <f t="shared" ref="N1097" ca="1" si="932">ROUND(M1097+N1096,0)</f>
        <v>0</v>
      </c>
      <c r="O1097" s="22">
        <f t="shared" ref="O1097" ca="1" si="933">ROUND(N1097+O1096,0)</f>
        <v>0</v>
      </c>
      <c r="P1097" s="22">
        <f t="shared" ref="P1097" ca="1" si="934">ROUND(O1097+P1096,0)</f>
        <v>0</v>
      </c>
      <c r="Q1097" s="22">
        <f t="shared" ref="Q1097" ca="1" si="935">ROUND(P1097+Q1096,0)</f>
        <v>0</v>
      </c>
      <c r="R1097" s="22">
        <f t="shared" ref="R1097" ca="1" si="936">ROUND(Q1097+R1096,0)</f>
        <v>0</v>
      </c>
      <c r="S1097" s="22">
        <f t="shared" ref="S1097" ca="1" si="937">ROUND(R1097+S1096,0)</f>
        <v>0</v>
      </c>
      <c r="T1097" s="22">
        <f t="shared" ref="T1097" ca="1" si="938">ROUND(S1097+T1096,0)</f>
        <v>0</v>
      </c>
      <c r="U1097" s="22">
        <f t="shared" ref="U1097" ca="1" si="939">ROUND(T1097+U1096,0)</f>
        <v>0</v>
      </c>
      <c r="V1097" s="22">
        <f t="shared" ref="V1097" ca="1" si="940">ROUND(U1097+V1096,0)</f>
        <v>0</v>
      </c>
      <c r="W1097" s="22">
        <f t="shared" ref="W1097" ca="1" si="941">ROUND(V1097+W1096,0)</f>
        <v>0</v>
      </c>
      <c r="X1097" s="22">
        <f t="shared" ref="X1097" ca="1" si="942">ROUND(W1097+X1096,0)</f>
        <v>0</v>
      </c>
    </row>
    <row r="1098" spans="1:24" hidden="1">
      <c r="A1098" s="328"/>
      <c r="B1098" s="21" t="s">
        <v>406</v>
      </c>
      <c r="C1098" s="21"/>
      <c r="D1098" s="22"/>
      <c r="E1098" s="21"/>
      <c r="F1098" s="21"/>
      <c r="G1098" s="21"/>
      <c r="H1098" s="21"/>
      <c r="I1098" s="21"/>
      <c r="J1098" s="445">
        <f ca="1">OFFSET($C$96,D1093,0)</f>
        <v>0</v>
      </c>
      <c r="K1098" s="77">
        <f ca="1">IF($D1094=LataProjekcji,ROUND($D1095-K1097,0),ROUND(IF(K1096=0,0,$D1095-K1097),0))</f>
        <v>0</v>
      </c>
      <c r="L1098" s="254">
        <f t="shared" ref="L1098:X1098" ca="1" si="943">IF($D1094=LataProjekcji,ROUND($D1095-L1097,0),ROUND(IF(AND(L1096=0,K1098&gt;0),$D1095-L1097,IF(L1096=0,0,$D1095-L1097)),0))</f>
        <v>0</v>
      </c>
      <c r="M1098" s="254">
        <f t="shared" ca="1" si="943"/>
        <v>0</v>
      </c>
      <c r="N1098" s="254">
        <f t="shared" ca="1" si="943"/>
        <v>0</v>
      </c>
      <c r="O1098" s="254">
        <f t="shared" ca="1" si="943"/>
        <v>0</v>
      </c>
      <c r="P1098" s="254">
        <f t="shared" ca="1" si="943"/>
        <v>0</v>
      </c>
      <c r="Q1098" s="254">
        <f t="shared" ca="1" si="943"/>
        <v>0</v>
      </c>
      <c r="R1098" s="254">
        <f t="shared" ca="1" si="943"/>
        <v>0</v>
      </c>
      <c r="S1098" s="254">
        <f t="shared" ca="1" si="943"/>
        <v>0</v>
      </c>
      <c r="T1098" s="254">
        <f t="shared" ca="1" si="943"/>
        <v>0</v>
      </c>
      <c r="U1098" s="254">
        <f t="shared" ca="1" si="943"/>
        <v>0</v>
      </c>
      <c r="V1098" s="254">
        <f t="shared" ca="1" si="943"/>
        <v>0</v>
      </c>
      <c r="W1098" s="254">
        <f t="shared" ca="1" si="943"/>
        <v>0</v>
      </c>
      <c r="X1098" s="254">
        <f t="shared" ca="1" si="943"/>
        <v>0</v>
      </c>
    </row>
    <row r="1099" spans="1:24" hidden="1">
      <c r="A1099" s="328"/>
      <c r="B1099" s="20">
        <f ca="1">OFFSET($B$96,D1099,0)</f>
        <v>0</v>
      </c>
      <c r="C1099" s="20"/>
      <c r="D1099" s="21">
        <f>D1093+1</f>
        <v>38</v>
      </c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328"/>
      <c r="B1100" s="165" t="s">
        <v>425</v>
      </c>
      <c r="C1100" s="165"/>
      <c r="D1100" s="165">
        <f ca="1">YEAR(OFFSET($E$96,D1099,0))</f>
        <v>1900</v>
      </c>
      <c r="E1100" s="165">
        <f ca="1">MONTH(OFFSET($E$96,D1099,0))</f>
        <v>1</v>
      </c>
      <c r="F1100" s="21">
        <f ca="1">12-$E1100</f>
        <v>11</v>
      </c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</row>
    <row r="1101" spans="1:24" hidden="1">
      <c r="A1101" s="328"/>
      <c r="B1101" s="21" t="s">
        <v>406</v>
      </c>
      <c r="C1101" s="21"/>
      <c r="D1101" s="387">
        <f ca="1">IF(E1101&lt;0,0,ROUND(E1101,0))</f>
        <v>0</v>
      </c>
      <c r="E1101" s="249">
        <f ca="1">OFFSET($D$96,D1099,0)</f>
        <v>0</v>
      </c>
      <c r="F1101" s="387">
        <f ca="1">IF(E1101&gt;10,ROUND(($D1102/12)*$F1100,0),$D1101)</f>
        <v>0</v>
      </c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</row>
    <row r="1102" spans="1:24" hidden="1">
      <c r="A1102" s="328"/>
      <c r="B1102" s="21" t="s">
        <v>415</v>
      </c>
      <c r="C1102" s="436" t="e">
        <f ca="1">VLOOKUP(OFFSET($C$96,D1099,0),Założenia!$J$48:$K$55,2,FALSE)</f>
        <v>#N/A</v>
      </c>
      <c r="D1102" s="387">
        <f ca="1">IF(ISBLANK(OFFSET($E$96,D1099,0)),0,IF(E1101&gt;10,ROUND(D1101*C1102,0),IF(D1101&lt;0,0,D1101)))</f>
        <v>0</v>
      </c>
      <c r="E1102" s="21"/>
      <c r="F1102" s="21"/>
      <c r="G1102" s="21"/>
      <c r="H1102" s="21"/>
      <c r="I1102" s="21"/>
      <c r="J1102" s="21"/>
      <c r="K1102" s="75">
        <f ca="1">ROUND(IF($D1100=LataProjekcji,$F1101,IF($D1100=LataProjekcji,$D1102,0)),0)</f>
        <v>0</v>
      </c>
      <c r="L1102" s="248">
        <f ca="1">ROUND(IF(OR(AND($D1100=LataProjekcji,$F1100&gt;0),AND($D1100=LataProjekcji,$F1100=0,$E1101&lt;=10)),$F1101,IF($D1100&lt;LataProjekcji,IF((SUM($K1102:K1102)+$D1102)&lt;$D1101,$D1102,$D1101-SUM($K1102:K1102)),0)),0)</f>
        <v>0</v>
      </c>
      <c r="M1102" s="248">
        <f ca="1">ROUND(IF(OR(AND($D1100=LataProjekcji,$F1100&gt;0),AND($D1100=LataProjekcji,$F1100=0,$E1101&lt;=10)),$F1101,IF($D1100&lt;LataProjekcji,IF((SUM($K1102:L1102)+$D1102)&lt;$D1101,$D1102,$D1101-SUM($K1102:L1102)),0)),0)</f>
        <v>0</v>
      </c>
      <c r="N1102" s="248">
        <f ca="1">ROUND(IF(OR(AND($D1100=LataProjekcji,$F1100&gt;0),AND($D1100=LataProjekcji,$F1100=0,$E1101&lt;=10)),$F1101,IF($D1100&lt;LataProjekcji,IF((SUM($K1102:M1102)+$D1102)&lt;$D1101,$D1102,$D1101-SUM($K1102:M1102)),0)),0)</f>
        <v>0</v>
      </c>
      <c r="O1102" s="248">
        <f ca="1">ROUND(IF(OR(AND($D1100=LataProjekcji,$F1100&gt;0),AND($D1100=LataProjekcji,$F1100=0,$E1101&lt;=10)),$F1101,IF($D1100&lt;LataProjekcji,IF((SUM($K1102:N1102)+$D1102)&lt;$D1101,$D1102,$D1101-SUM($K1102:N1102)),0)),0)</f>
        <v>0</v>
      </c>
      <c r="P1102" s="248">
        <f ca="1">ROUND(IF(OR(AND($D1100=LataProjekcji,$F1100&gt;0),AND($D1100=LataProjekcji,$F1100=0,$E1101&lt;=10)),$F1101,IF($D1100&lt;LataProjekcji,IF((SUM($K1102:O1102)+$D1102)&lt;$D1101,$D1102,$D1101-SUM($K1102:O1102)),0)),0)</f>
        <v>0</v>
      </c>
      <c r="Q1102" s="248">
        <f ca="1">ROUND(IF(OR(AND($D1100=LataProjekcji,$F1100&gt;0),AND($D1100=LataProjekcji,$F1100=0,$E1101&lt;=10)),$F1101,IF($D1100&lt;LataProjekcji,IF((SUM($K1102:P1102)+$D1102)&lt;$D1101,$D1102,$D1101-SUM($K1102:P1102)),0)),0)</f>
        <v>0</v>
      </c>
      <c r="R1102" s="248">
        <f ca="1">ROUND(IF(OR(AND($D1100=LataProjekcji,$F1100&gt;0),AND($D1100=LataProjekcji,$F1100=0,$E1101&lt;=10)),$F1101,IF($D1100&lt;LataProjekcji,IF((SUM($K1102:Q1102)+$D1102)&lt;$D1101,$D1102,$D1101-SUM($K1102:Q1102)),0)),0)</f>
        <v>0</v>
      </c>
      <c r="S1102" s="248">
        <f ca="1">ROUND(IF(OR(AND($D1100=LataProjekcji,$F1100&gt;0),AND($D1100=LataProjekcji,$F1100=0,$E1101&lt;=10)),$F1101,IF($D1100&lt;LataProjekcji,IF((SUM($K1102:R1102)+$D1102)&lt;$D1101,$D1102,$D1101-SUM($K1102:R1102)),0)),0)</f>
        <v>0</v>
      </c>
      <c r="T1102" s="248">
        <f ca="1">ROUND(IF(OR(AND($D1100=LataProjekcji,$F1100&gt;0),AND($D1100=LataProjekcji,$F1100=0,$E1101&lt;=10)),$F1101,IF($D1100&lt;LataProjekcji,IF((SUM($K1102:S1102)+$D1102)&lt;$D1101,$D1102,$D1101-SUM($K1102:S1102)),0)),0)</f>
        <v>0</v>
      </c>
      <c r="U1102" s="248">
        <f ca="1">ROUND(IF(OR(AND($D1100=LataProjekcji,$F1100&gt;0),AND($D1100=LataProjekcji,$F1100=0,$E1101&lt;=10)),$F1101,IF($D1100&lt;LataProjekcji,IF((SUM($K1102:T1102)+$D1102)&lt;$D1101,$D1102,$D1101-SUM($K1102:T1102)),0)),0)</f>
        <v>0</v>
      </c>
      <c r="V1102" s="248">
        <f ca="1">ROUND(IF(OR(AND($D1100=LataProjekcji,$F1100&gt;0),AND($D1100=LataProjekcji,$F1100=0,$E1101&lt;=10)),$F1101,IF($D1100&lt;LataProjekcji,IF((SUM($K1102:U1102)+$D1102)&lt;$D1101,$D1102,$D1101-SUM($K1102:U1102)),0)),0)</f>
        <v>0</v>
      </c>
      <c r="W1102" s="248">
        <f ca="1">ROUND(IF(OR(AND($D1100=LataProjekcji,$F1100&gt;0),AND($D1100=LataProjekcji,$F1100=0,$E1101&lt;=10)),$F1101,IF($D1100&lt;LataProjekcji,IF((SUM($K1102:V1102)+$D1102)&lt;$D1101,$D1102,$D1101-SUM($K1102:V1102)),0)),0)</f>
        <v>0</v>
      </c>
      <c r="X1102" s="248">
        <f ca="1">ROUND(IF(OR(AND($D1100=LataProjekcji,$F1100&gt;0),AND($D1100=LataProjekcji,$F1100=0,$E1101&lt;=10)),$F1101,IF($D1100&lt;LataProjekcji,IF((SUM($K1102:W1102)+$D1102)&lt;$D1101,$D1102,$D1101-SUM($K1102:W1102)),0)),0)</f>
        <v>0</v>
      </c>
    </row>
    <row r="1103" spans="1:24" hidden="1">
      <c r="A1103" s="328"/>
      <c r="B1103" s="21" t="s">
        <v>416</v>
      </c>
      <c r="C1103" s="21"/>
      <c r="D1103" s="22"/>
      <c r="E1103" s="21"/>
      <c r="F1103" s="21"/>
      <c r="G1103" s="21"/>
      <c r="H1103" s="21"/>
      <c r="I1103" s="21"/>
      <c r="J1103" s="21"/>
      <c r="K1103" s="22">
        <f ca="1">ROUND(K1102,0)</f>
        <v>0</v>
      </c>
      <c r="L1103" s="22">
        <f t="shared" ref="L1103" ca="1" si="944">ROUND(K1103+L1102,0)</f>
        <v>0</v>
      </c>
      <c r="M1103" s="22">
        <f t="shared" ref="M1103" ca="1" si="945">ROUND(L1103+M1102,0)</f>
        <v>0</v>
      </c>
      <c r="N1103" s="22">
        <f t="shared" ref="N1103" ca="1" si="946">ROUND(M1103+N1102,0)</f>
        <v>0</v>
      </c>
      <c r="O1103" s="22">
        <f t="shared" ref="O1103" ca="1" si="947">ROUND(N1103+O1102,0)</f>
        <v>0</v>
      </c>
      <c r="P1103" s="22">
        <f t="shared" ref="P1103" ca="1" si="948">ROUND(O1103+P1102,0)</f>
        <v>0</v>
      </c>
      <c r="Q1103" s="22">
        <f t="shared" ref="Q1103" ca="1" si="949">ROUND(P1103+Q1102,0)</f>
        <v>0</v>
      </c>
      <c r="R1103" s="22">
        <f t="shared" ref="R1103" ca="1" si="950">ROUND(Q1103+R1102,0)</f>
        <v>0</v>
      </c>
      <c r="S1103" s="22">
        <f t="shared" ref="S1103" ca="1" si="951">ROUND(R1103+S1102,0)</f>
        <v>0</v>
      </c>
      <c r="T1103" s="22">
        <f t="shared" ref="T1103" ca="1" si="952">ROUND(S1103+T1102,0)</f>
        <v>0</v>
      </c>
      <c r="U1103" s="22">
        <f t="shared" ref="U1103" ca="1" si="953">ROUND(T1103+U1102,0)</f>
        <v>0</v>
      </c>
      <c r="V1103" s="22">
        <f t="shared" ref="V1103" ca="1" si="954">ROUND(U1103+V1102,0)</f>
        <v>0</v>
      </c>
      <c r="W1103" s="22">
        <f t="shared" ref="W1103" ca="1" si="955">ROUND(V1103+W1102,0)</f>
        <v>0</v>
      </c>
      <c r="X1103" s="22">
        <f t="shared" ref="X1103" ca="1" si="956">ROUND(W1103+X1102,0)</f>
        <v>0</v>
      </c>
    </row>
    <row r="1104" spans="1:24" hidden="1">
      <c r="A1104" s="328"/>
      <c r="B1104" s="21" t="s">
        <v>406</v>
      </c>
      <c r="C1104" s="21"/>
      <c r="D1104" s="22"/>
      <c r="E1104" s="21"/>
      <c r="F1104" s="21"/>
      <c r="G1104" s="21"/>
      <c r="H1104" s="21"/>
      <c r="I1104" s="21"/>
      <c r="J1104" s="445">
        <f ca="1">OFFSET($C$96,D1099,0)</f>
        <v>0</v>
      </c>
      <c r="K1104" s="77">
        <f ca="1">IF($D1100=LataProjekcji,ROUND($D1101-K1103,0),ROUND(IF(K1102=0,0,$D1101-K1103),0))</f>
        <v>0</v>
      </c>
      <c r="L1104" s="254">
        <f t="shared" ref="L1104:X1104" ca="1" si="957">IF($D1100=LataProjekcji,ROUND($D1101-L1103,0),ROUND(IF(AND(L1102=0,K1104&gt;0),$D1101-L1103,IF(L1102=0,0,$D1101-L1103)),0))</f>
        <v>0</v>
      </c>
      <c r="M1104" s="254">
        <f t="shared" ca="1" si="957"/>
        <v>0</v>
      </c>
      <c r="N1104" s="254">
        <f t="shared" ca="1" si="957"/>
        <v>0</v>
      </c>
      <c r="O1104" s="254">
        <f t="shared" ca="1" si="957"/>
        <v>0</v>
      </c>
      <c r="P1104" s="254">
        <f t="shared" ca="1" si="957"/>
        <v>0</v>
      </c>
      <c r="Q1104" s="254">
        <f t="shared" ca="1" si="957"/>
        <v>0</v>
      </c>
      <c r="R1104" s="254">
        <f t="shared" ca="1" si="957"/>
        <v>0</v>
      </c>
      <c r="S1104" s="254">
        <f t="shared" ca="1" si="957"/>
        <v>0</v>
      </c>
      <c r="T1104" s="254">
        <f t="shared" ca="1" si="957"/>
        <v>0</v>
      </c>
      <c r="U1104" s="254">
        <f t="shared" ca="1" si="957"/>
        <v>0</v>
      </c>
      <c r="V1104" s="254">
        <f t="shared" ca="1" si="957"/>
        <v>0</v>
      </c>
      <c r="W1104" s="254">
        <f t="shared" ca="1" si="957"/>
        <v>0</v>
      </c>
      <c r="X1104" s="254">
        <f t="shared" ca="1" si="957"/>
        <v>0</v>
      </c>
    </row>
    <row r="1105" spans="1:24" hidden="1">
      <c r="A1105" s="328"/>
      <c r="B1105" s="20">
        <f ca="1">OFFSET($B$96,D1105,0)</f>
        <v>0</v>
      </c>
      <c r="C1105" s="20"/>
      <c r="D1105" s="21">
        <f>D1099+1</f>
        <v>39</v>
      </c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328"/>
      <c r="B1106" s="165" t="s">
        <v>425</v>
      </c>
      <c r="C1106" s="165"/>
      <c r="D1106" s="165">
        <f ca="1">YEAR(OFFSET($E$96,D1105,0))</f>
        <v>1900</v>
      </c>
      <c r="E1106" s="165">
        <f ca="1">MONTH(OFFSET($E$96,D1105,0))</f>
        <v>1</v>
      </c>
      <c r="F1106" s="21">
        <f ca="1">12-$E1106</f>
        <v>11</v>
      </c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328"/>
      <c r="B1107" s="21" t="s">
        <v>406</v>
      </c>
      <c r="C1107" s="21"/>
      <c r="D1107" s="387">
        <f ca="1">IF(E1107&lt;0,0,ROUND(E1107,0))</f>
        <v>0</v>
      </c>
      <c r="E1107" s="249">
        <f ca="1">OFFSET($D$96,D1105,0)</f>
        <v>0</v>
      </c>
      <c r="F1107" s="387">
        <f ca="1">IF(E1107&gt;10,ROUND(($D1108/12)*$F1106,0),$D1107)</f>
        <v>0</v>
      </c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</row>
    <row r="1108" spans="1:24" hidden="1">
      <c r="A1108" s="328"/>
      <c r="B1108" s="21" t="s">
        <v>415</v>
      </c>
      <c r="C1108" s="436" t="e">
        <f ca="1">VLOOKUP(OFFSET($C$96,D1105,0),Założenia!$J$48:$K$55,2,FALSE)</f>
        <v>#N/A</v>
      </c>
      <c r="D1108" s="387">
        <f ca="1">IF(ISBLANK(OFFSET($E$96,D1105,0)),0,IF(E1107&gt;10,ROUND(D1107*C1108,0),IF(D1107&lt;0,0,D1107)))</f>
        <v>0</v>
      </c>
      <c r="E1108" s="21"/>
      <c r="F1108" s="21"/>
      <c r="G1108" s="21"/>
      <c r="H1108" s="21"/>
      <c r="I1108" s="21"/>
      <c r="J1108" s="21"/>
      <c r="K1108" s="75">
        <f ca="1">ROUND(IF($D1106=LataProjekcji,$F1107,IF($D1106=LataProjekcji,$D1108,0)),0)</f>
        <v>0</v>
      </c>
      <c r="L1108" s="248">
        <f ca="1">ROUND(IF(OR(AND($D1106=LataProjekcji,$F1106&gt;0),AND($D1106=LataProjekcji,$F1106=0,$E1107&lt;=10)),$F1107,IF($D1106&lt;LataProjekcji,IF((SUM($K1108:K1108)+$D1108)&lt;$D1107,$D1108,$D1107-SUM($K1108:K1108)),0)),0)</f>
        <v>0</v>
      </c>
      <c r="M1108" s="248">
        <f ca="1">ROUND(IF(OR(AND($D1106=LataProjekcji,$F1106&gt;0),AND($D1106=LataProjekcji,$F1106=0,$E1107&lt;=10)),$F1107,IF($D1106&lt;LataProjekcji,IF((SUM($K1108:L1108)+$D1108)&lt;$D1107,$D1108,$D1107-SUM($K1108:L1108)),0)),0)</f>
        <v>0</v>
      </c>
      <c r="N1108" s="248">
        <f ca="1">ROUND(IF(OR(AND($D1106=LataProjekcji,$F1106&gt;0),AND($D1106=LataProjekcji,$F1106=0,$E1107&lt;=10)),$F1107,IF($D1106&lt;LataProjekcji,IF((SUM($K1108:M1108)+$D1108)&lt;$D1107,$D1108,$D1107-SUM($K1108:M1108)),0)),0)</f>
        <v>0</v>
      </c>
      <c r="O1108" s="248">
        <f ca="1">ROUND(IF(OR(AND($D1106=LataProjekcji,$F1106&gt;0),AND($D1106=LataProjekcji,$F1106=0,$E1107&lt;=10)),$F1107,IF($D1106&lt;LataProjekcji,IF((SUM($K1108:N1108)+$D1108)&lt;$D1107,$D1108,$D1107-SUM($K1108:N1108)),0)),0)</f>
        <v>0</v>
      </c>
      <c r="P1108" s="248">
        <f ca="1">ROUND(IF(OR(AND($D1106=LataProjekcji,$F1106&gt;0),AND($D1106=LataProjekcji,$F1106=0,$E1107&lt;=10)),$F1107,IF($D1106&lt;LataProjekcji,IF((SUM($K1108:O1108)+$D1108)&lt;$D1107,$D1108,$D1107-SUM($K1108:O1108)),0)),0)</f>
        <v>0</v>
      </c>
      <c r="Q1108" s="248">
        <f ca="1">ROUND(IF(OR(AND($D1106=LataProjekcji,$F1106&gt;0),AND($D1106=LataProjekcji,$F1106=0,$E1107&lt;=10)),$F1107,IF($D1106&lt;LataProjekcji,IF((SUM($K1108:P1108)+$D1108)&lt;$D1107,$D1108,$D1107-SUM($K1108:P1108)),0)),0)</f>
        <v>0</v>
      </c>
      <c r="R1108" s="248">
        <f ca="1">ROUND(IF(OR(AND($D1106=LataProjekcji,$F1106&gt;0),AND($D1106=LataProjekcji,$F1106=0,$E1107&lt;=10)),$F1107,IF($D1106&lt;LataProjekcji,IF((SUM($K1108:Q1108)+$D1108)&lt;$D1107,$D1108,$D1107-SUM($K1108:Q1108)),0)),0)</f>
        <v>0</v>
      </c>
      <c r="S1108" s="248">
        <f ca="1">ROUND(IF(OR(AND($D1106=LataProjekcji,$F1106&gt;0),AND($D1106=LataProjekcji,$F1106=0,$E1107&lt;=10)),$F1107,IF($D1106&lt;LataProjekcji,IF((SUM($K1108:R1108)+$D1108)&lt;$D1107,$D1108,$D1107-SUM($K1108:R1108)),0)),0)</f>
        <v>0</v>
      </c>
      <c r="T1108" s="248">
        <f ca="1">ROUND(IF(OR(AND($D1106=LataProjekcji,$F1106&gt;0),AND($D1106=LataProjekcji,$F1106=0,$E1107&lt;=10)),$F1107,IF($D1106&lt;LataProjekcji,IF((SUM($K1108:S1108)+$D1108)&lt;$D1107,$D1108,$D1107-SUM($K1108:S1108)),0)),0)</f>
        <v>0</v>
      </c>
      <c r="U1108" s="248">
        <f ca="1">ROUND(IF(OR(AND($D1106=LataProjekcji,$F1106&gt;0),AND($D1106=LataProjekcji,$F1106=0,$E1107&lt;=10)),$F1107,IF($D1106&lt;LataProjekcji,IF((SUM($K1108:T1108)+$D1108)&lt;$D1107,$D1108,$D1107-SUM($K1108:T1108)),0)),0)</f>
        <v>0</v>
      </c>
      <c r="V1108" s="248">
        <f ca="1">ROUND(IF(OR(AND($D1106=LataProjekcji,$F1106&gt;0),AND($D1106=LataProjekcji,$F1106=0,$E1107&lt;=10)),$F1107,IF($D1106&lt;LataProjekcji,IF((SUM($K1108:U1108)+$D1108)&lt;$D1107,$D1108,$D1107-SUM($K1108:U1108)),0)),0)</f>
        <v>0</v>
      </c>
      <c r="W1108" s="248">
        <f ca="1">ROUND(IF(OR(AND($D1106=LataProjekcji,$F1106&gt;0),AND($D1106=LataProjekcji,$F1106=0,$E1107&lt;=10)),$F1107,IF($D1106&lt;LataProjekcji,IF((SUM($K1108:V1108)+$D1108)&lt;$D1107,$D1108,$D1107-SUM($K1108:V1108)),0)),0)</f>
        <v>0</v>
      </c>
      <c r="X1108" s="248">
        <f ca="1">ROUND(IF(OR(AND($D1106=LataProjekcji,$F1106&gt;0),AND($D1106=LataProjekcji,$F1106=0,$E1107&lt;=10)),$F1107,IF($D1106&lt;LataProjekcji,IF((SUM($K1108:W1108)+$D1108)&lt;$D1107,$D1108,$D1107-SUM($K1108:W1108)),0)),0)</f>
        <v>0</v>
      </c>
    </row>
    <row r="1109" spans="1:24" hidden="1">
      <c r="A1109" s="328"/>
      <c r="B1109" s="21" t="s">
        <v>416</v>
      </c>
      <c r="C1109" s="21"/>
      <c r="D1109" s="22"/>
      <c r="E1109" s="21"/>
      <c r="F1109" s="21"/>
      <c r="G1109" s="21"/>
      <c r="H1109" s="21"/>
      <c r="I1109" s="21"/>
      <c r="J1109" s="21"/>
      <c r="K1109" s="22">
        <f ca="1">ROUND(K1108,0)</f>
        <v>0</v>
      </c>
      <c r="L1109" s="22">
        <f t="shared" ref="L1109" ca="1" si="958">ROUND(K1109+L1108,0)</f>
        <v>0</v>
      </c>
      <c r="M1109" s="22">
        <f t="shared" ref="M1109" ca="1" si="959">ROUND(L1109+M1108,0)</f>
        <v>0</v>
      </c>
      <c r="N1109" s="22">
        <f t="shared" ref="N1109" ca="1" si="960">ROUND(M1109+N1108,0)</f>
        <v>0</v>
      </c>
      <c r="O1109" s="22">
        <f t="shared" ref="O1109" ca="1" si="961">ROUND(N1109+O1108,0)</f>
        <v>0</v>
      </c>
      <c r="P1109" s="22">
        <f t="shared" ref="P1109" ca="1" si="962">ROUND(O1109+P1108,0)</f>
        <v>0</v>
      </c>
      <c r="Q1109" s="22">
        <f t="shared" ref="Q1109" ca="1" si="963">ROUND(P1109+Q1108,0)</f>
        <v>0</v>
      </c>
      <c r="R1109" s="22">
        <f t="shared" ref="R1109" ca="1" si="964">ROUND(Q1109+R1108,0)</f>
        <v>0</v>
      </c>
      <c r="S1109" s="22">
        <f t="shared" ref="S1109" ca="1" si="965">ROUND(R1109+S1108,0)</f>
        <v>0</v>
      </c>
      <c r="T1109" s="22">
        <f t="shared" ref="T1109" ca="1" si="966">ROUND(S1109+T1108,0)</f>
        <v>0</v>
      </c>
      <c r="U1109" s="22">
        <f t="shared" ref="U1109" ca="1" si="967">ROUND(T1109+U1108,0)</f>
        <v>0</v>
      </c>
      <c r="V1109" s="22">
        <f t="shared" ref="V1109" ca="1" si="968">ROUND(U1109+V1108,0)</f>
        <v>0</v>
      </c>
      <c r="W1109" s="22">
        <f t="shared" ref="W1109" ca="1" si="969">ROUND(V1109+W1108,0)</f>
        <v>0</v>
      </c>
      <c r="X1109" s="22">
        <f t="shared" ref="X1109" ca="1" si="970">ROUND(W1109+X1108,0)</f>
        <v>0</v>
      </c>
    </row>
    <row r="1110" spans="1:24" hidden="1">
      <c r="A1110" s="328"/>
      <c r="B1110" s="21" t="s">
        <v>406</v>
      </c>
      <c r="C1110" s="21"/>
      <c r="D1110" s="22"/>
      <c r="E1110" s="21"/>
      <c r="F1110" s="21"/>
      <c r="G1110" s="21"/>
      <c r="H1110" s="21"/>
      <c r="I1110" s="21"/>
      <c r="J1110" s="445">
        <f ca="1">OFFSET($C$96,D1105,0)</f>
        <v>0</v>
      </c>
      <c r="K1110" s="77">
        <f ca="1">IF($D1106=LataProjekcji,ROUND($D1107-K1109,0),ROUND(IF(K1108=0,0,$D1107-K1109),0))</f>
        <v>0</v>
      </c>
      <c r="L1110" s="254">
        <f t="shared" ref="L1110:X1110" ca="1" si="971">IF($D1106=LataProjekcji,ROUND($D1107-L1109,0),ROUND(IF(AND(L1108=0,K1110&gt;0),$D1107-L1109,IF(L1108=0,0,$D1107-L1109)),0))</f>
        <v>0</v>
      </c>
      <c r="M1110" s="254">
        <f t="shared" ca="1" si="971"/>
        <v>0</v>
      </c>
      <c r="N1110" s="254">
        <f t="shared" ca="1" si="971"/>
        <v>0</v>
      </c>
      <c r="O1110" s="254">
        <f t="shared" ca="1" si="971"/>
        <v>0</v>
      </c>
      <c r="P1110" s="254">
        <f t="shared" ca="1" si="971"/>
        <v>0</v>
      </c>
      <c r="Q1110" s="254">
        <f t="shared" ca="1" si="971"/>
        <v>0</v>
      </c>
      <c r="R1110" s="254">
        <f t="shared" ca="1" si="971"/>
        <v>0</v>
      </c>
      <c r="S1110" s="254">
        <f t="shared" ca="1" si="971"/>
        <v>0</v>
      </c>
      <c r="T1110" s="254">
        <f t="shared" ca="1" si="971"/>
        <v>0</v>
      </c>
      <c r="U1110" s="254">
        <f t="shared" ca="1" si="971"/>
        <v>0</v>
      </c>
      <c r="V1110" s="254">
        <f t="shared" ca="1" si="971"/>
        <v>0</v>
      </c>
      <c r="W1110" s="254">
        <f t="shared" ca="1" si="971"/>
        <v>0</v>
      </c>
      <c r="X1110" s="254">
        <f t="shared" ca="1" si="971"/>
        <v>0</v>
      </c>
    </row>
    <row r="1111" spans="1:24" hidden="1">
      <c r="A1111" s="328"/>
      <c r="B1111" s="21"/>
      <c r="C1111" s="21"/>
      <c r="D1111" s="22"/>
      <c r="E1111" s="21"/>
      <c r="F1111" s="21"/>
      <c r="G1111" s="21"/>
      <c r="H1111" s="21"/>
      <c r="I1111" s="21"/>
      <c r="J1111" s="21"/>
      <c r="K1111" s="77"/>
      <c r="L1111" s="77"/>
      <c r="M1111" s="77"/>
      <c r="N1111" s="77"/>
      <c r="O1111" s="77"/>
      <c r="P1111" s="77"/>
      <c r="Q1111" s="77"/>
      <c r="R1111" s="77"/>
      <c r="S1111" s="77"/>
      <c r="T1111" s="77"/>
      <c r="U1111" s="77"/>
      <c r="V1111" s="77"/>
      <c r="W1111" s="77"/>
      <c r="X1111" s="77"/>
    </row>
    <row r="1112" spans="1:24" hidden="1">
      <c r="A1112" s="328"/>
    </row>
    <row r="1113" spans="1:24" hidden="1">
      <c r="A1113" s="328"/>
    </row>
    <row r="1114" spans="1:24" hidden="1">
      <c r="A1114" s="328"/>
    </row>
    <row r="1115" spans="1:24" hidden="1">
      <c r="A1115" s="328"/>
    </row>
    <row r="1116" spans="1:24" ht="12.6" hidden="1" thickBot="1">
      <c r="A1116" s="328"/>
      <c r="B1116" s="464" t="s">
        <v>754</v>
      </c>
    </row>
    <row r="1117" spans="1:24" ht="12.6" hidden="1" thickBot="1">
      <c r="A1117" s="328"/>
      <c r="B1117" s="20" t="s">
        <v>410</v>
      </c>
      <c r="C1117" s="20"/>
      <c r="D1117" s="250">
        <v>0</v>
      </c>
      <c r="E1117" s="21"/>
      <c r="F1117" s="21" t="s">
        <v>411</v>
      </c>
      <c r="G1117" s="48"/>
      <c r="H1117" s="50" t="s">
        <v>412</v>
      </c>
      <c r="I1117" s="21" t="s">
        <v>413</v>
      </c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328"/>
      <c r="B1118" s="21" t="s">
        <v>414</v>
      </c>
      <c r="C1118" s="21"/>
      <c r="D1118" s="165">
        <f ca="1">IFERROR(YEAR(OFFSET($E$195,D1117,0)),0)</f>
        <v>0</v>
      </c>
      <c r="E1118" s="165">
        <f ca="1">IFERROR(MONTH(OFFSET($E$195,D1117,0)),0)</f>
        <v>0</v>
      </c>
      <c r="F1118" s="21">
        <f ca="1">12-$E1118</f>
        <v>12</v>
      </c>
      <c r="G1118" s="49"/>
      <c r="H1118" s="51">
        <f>D217-G1118</f>
        <v>0</v>
      </c>
      <c r="I1118" s="22">
        <f>D217-G1118-H1118</f>
        <v>0</v>
      </c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328"/>
      <c r="B1119" s="21" t="s">
        <v>406</v>
      </c>
      <c r="C1119" s="21"/>
      <c r="D1119" s="247">
        <f ca="1">IF(E1119&lt;0,0,ROUND(E1119,0))</f>
        <v>0</v>
      </c>
      <c r="E1119" s="249">
        <f ca="1">OFFSET($D$195,D1117,0)</f>
        <v>0</v>
      </c>
      <c r="F1119" s="247">
        <f ca="1">IF(E1119&gt;10,ROUND(($D1120/12)*$F1118,0),$D1119)</f>
        <v>0</v>
      </c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328"/>
      <c r="B1120" s="21" t="s">
        <v>415</v>
      </c>
      <c r="C1120" s="21"/>
      <c r="D1120" s="247">
        <f ca="1">IF(ISBLANK(OFFSET($E$195,D1117,0)),0,IF(E1119&gt;10,ROUND(D1119*am_prace_rozwojowe,0),IF(D1119&lt;0,0,D1119)))</f>
        <v>0</v>
      </c>
      <c r="E1120" s="21"/>
      <c r="F1120" s="21"/>
      <c r="G1120" s="21"/>
      <c r="H1120" s="21"/>
      <c r="I1120" s="21"/>
      <c r="J1120" s="21"/>
      <c r="K1120" s="75">
        <f ca="1">ROUND(IF(($D1118+1)=K$192,$D1120,0),0)</f>
        <v>0</v>
      </c>
      <c r="L1120" s="248">
        <f ca="1">ROUND(IF(OR(AND($D1118=LataProjekcji,$F1118&gt;0),AND($D1118=LataProjekcji,$F1118=0,$E1119&lt;=10)),$F1119,IF($D1118&lt;LataProjekcji,IF((SUM($K1120:K1120)+$D1120)&lt;$D1119,$D1120,$D1119-SUM($K1120:K1120)),0)),0)</f>
        <v>0</v>
      </c>
      <c r="M1120" s="248">
        <f ca="1">ROUND(IF(OR(AND($D1118=LataProjekcji,$F1118&gt;0),AND($D1118=LataProjekcji,$F1118=0,$E1119&lt;=10)),$F1119,IF($D1118&lt;LataProjekcji,IF((SUM($K1120:L1120)+$D1120)&lt;$D1119,$D1120,$D1119-SUM($K1120:L1120)),0)),0)</f>
        <v>0</v>
      </c>
      <c r="N1120" s="248">
        <f ca="1">ROUND(IF(OR(AND($D1118=LataProjekcji,$F1118&gt;0),AND($D1118=LataProjekcji,$F1118=0,$E1119&lt;=10)),$F1119,IF($D1118&lt;LataProjekcji,IF((SUM($K1120:M1120)+$D1120)&lt;$D1119,$D1120,$D1119-SUM($K1120:M1120)),0)),0)</f>
        <v>0</v>
      </c>
      <c r="O1120" s="248">
        <f ca="1">ROUND(IF(OR(AND($D1118=LataProjekcji,$F1118&gt;0),AND($D1118=LataProjekcji,$F1118=0,$E1119&lt;=10)),$F1119,IF($D1118&lt;LataProjekcji,IF((SUM($K1120:N1120)+$D1120)&lt;$D1119,$D1120,$D1119-SUM($K1120:N1120)),0)),0)</f>
        <v>0</v>
      </c>
      <c r="P1120" s="248">
        <f ca="1">ROUND(IF(OR(AND($D1118=LataProjekcji,$F1118&gt;0),AND($D1118=LataProjekcji,$F1118=0,$E1119&lt;=10)),$F1119,IF($D1118&lt;LataProjekcji,IF((SUM($K1120:O1120)+$D1120)&lt;$D1119,$D1120,$D1119-SUM($K1120:O1120)),0)),0)</f>
        <v>0</v>
      </c>
      <c r="Q1120" s="248">
        <f ca="1">ROUND(IF(OR(AND($D1118=LataProjekcji,$F1118&gt;0),AND($D1118=LataProjekcji,$F1118=0,$E1119&lt;=10)),$F1119,IF($D1118&lt;LataProjekcji,IF((SUM($K1120:P1120)+$D1120)&lt;$D1119,$D1120,$D1119-SUM($K1120:P1120)),0)),0)</f>
        <v>0</v>
      </c>
      <c r="R1120" s="248">
        <f ca="1">ROUND(IF(OR(AND($D1118=LataProjekcji,$F1118&gt;0),AND($D1118=LataProjekcji,$F1118=0,$E1119&lt;=10)),$F1119,IF($D1118&lt;LataProjekcji,IF((SUM($K1120:Q1120)+$D1120)&lt;$D1119,$D1120,$D1119-SUM($K1120:Q1120)),0)),0)</f>
        <v>0</v>
      </c>
      <c r="S1120" s="248">
        <f ca="1">ROUND(IF(OR(AND($D1118=LataProjekcji,$F1118&gt;0),AND($D1118=LataProjekcji,$F1118=0,$E1119&lt;=10)),$F1119,IF($D1118&lt;LataProjekcji,IF((SUM($K1120:R1120)+$D1120)&lt;$D1119,$D1120,$D1119-SUM($K1120:R1120)),0)),0)</f>
        <v>0</v>
      </c>
      <c r="T1120" s="248">
        <f ca="1">ROUND(IF(OR(AND($D1118=LataProjekcji,$F1118&gt;0),AND($D1118=LataProjekcji,$F1118=0,$E1119&lt;=10)),$F1119,IF($D1118&lt;LataProjekcji,IF((SUM($K1120:S1120)+$D1120)&lt;$D1119,$D1120,$D1119-SUM($K1120:S1120)),0)),0)</f>
        <v>0</v>
      </c>
      <c r="U1120" s="248">
        <f ca="1">ROUND(IF(OR(AND($D1118=LataProjekcji,$F1118&gt;0),AND($D1118=LataProjekcji,$F1118=0,$E1119&lt;=10)),$F1119,IF($D1118&lt;LataProjekcji,IF((SUM($K1120:T1120)+$D1120)&lt;$D1119,$D1120,$D1119-SUM($K1120:T1120)),0)),0)</f>
        <v>0</v>
      </c>
      <c r="V1120" s="248">
        <f ca="1">ROUND(IF(OR(AND($D1118=LataProjekcji,$F1118&gt;0),AND($D1118=LataProjekcji,$F1118=0,$E1119&lt;=10)),$F1119,IF($D1118&lt;LataProjekcji,IF((SUM($K1120:U1120)+$D1120)&lt;$D1119,$D1120,$D1119-SUM($K1120:U1120)),0)),0)</f>
        <v>0</v>
      </c>
      <c r="W1120" s="248">
        <f ca="1">ROUND(IF(OR(AND($D1118=LataProjekcji,$F1118&gt;0),AND($D1118=LataProjekcji,$F1118=0,$E1119&lt;=10)),$F1119,IF($D1118&lt;LataProjekcji,IF((SUM($K1120:V1120)+$D1120)&lt;$D1119,$D1120,$D1119-SUM($K1120:V1120)),0)),0)</f>
        <v>0</v>
      </c>
      <c r="X1120" s="248">
        <f ca="1">ROUND(IF(OR(AND($D1118=LataProjekcji,$F1118&gt;0),AND($D1118=LataProjekcji,$F1118=0,$E1119&lt;=10)),$F1119,IF($D1118&lt;LataProjekcji,IF((SUM($K1120:W1120)+$D1120)&lt;$D1119,$D1120,$D1119-SUM($K1120:W1120)),0)),0)</f>
        <v>0</v>
      </c>
    </row>
    <row r="1121" spans="1:24" hidden="1">
      <c r="A1121" s="328"/>
      <c r="B1121" s="21" t="s">
        <v>416</v>
      </c>
      <c r="C1121" s="21"/>
      <c r="D1121" s="22"/>
      <c r="E1121" s="21"/>
      <c r="F1121" s="21"/>
      <c r="G1121" s="21"/>
      <c r="H1121" s="21"/>
      <c r="I1121" s="21"/>
      <c r="J1121" s="21"/>
      <c r="K1121" s="22">
        <f ca="1">ROUND(K1120,0)</f>
        <v>0</v>
      </c>
      <c r="L1121" s="22">
        <f t="shared" ref="L1121:X1121" ca="1" si="972">ROUND(K1121+L1120,0)</f>
        <v>0</v>
      </c>
      <c r="M1121" s="22">
        <f t="shared" ca="1" si="972"/>
        <v>0</v>
      </c>
      <c r="N1121" s="22">
        <f t="shared" ca="1" si="972"/>
        <v>0</v>
      </c>
      <c r="O1121" s="22">
        <f t="shared" ca="1" si="972"/>
        <v>0</v>
      </c>
      <c r="P1121" s="22">
        <f t="shared" ca="1" si="972"/>
        <v>0</v>
      </c>
      <c r="Q1121" s="22">
        <f t="shared" ca="1" si="972"/>
        <v>0</v>
      </c>
      <c r="R1121" s="22">
        <f t="shared" ca="1" si="972"/>
        <v>0</v>
      </c>
      <c r="S1121" s="22">
        <f t="shared" ca="1" si="972"/>
        <v>0</v>
      </c>
      <c r="T1121" s="22">
        <f t="shared" ca="1" si="972"/>
        <v>0</v>
      </c>
      <c r="U1121" s="22">
        <f t="shared" ca="1" si="972"/>
        <v>0</v>
      </c>
      <c r="V1121" s="22">
        <f t="shared" ca="1" si="972"/>
        <v>0</v>
      </c>
      <c r="W1121" s="22">
        <f t="shared" ca="1" si="972"/>
        <v>0</v>
      </c>
      <c r="X1121" s="22">
        <f t="shared" ca="1" si="972"/>
        <v>0</v>
      </c>
    </row>
    <row r="1122" spans="1:24" hidden="1">
      <c r="A1122" s="328"/>
      <c r="B1122" s="21" t="s">
        <v>406</v>
      </c>
      <c r="C1122" s="21"/>
      <c r="D1122" s="22"/>
      <c r="E1122" s="21"/>
      <c r="F1122" s="251"/>
      <c r="G1122" s="21"/>
      <c r="H1122" s="21"/>
      <c r="I1122" s="21"/>
      <c r="J1122" s="21"/>
      <c r="K1122" s="77">
        <f ca="1">IF($D1118=LataProjekcji,ROUND($D1119-K1121,0),ROUND(IF(K1120=0,0,$D1119-K1121),0))</f>
        <v>0</v>
      </c>
      <c r="L1122" s="254">
        <f t="shared" ref="L1122:X1122" ca="1" si="973">IF($D1118=LataProjekcji,ROUND($D1119-L1121,0),ROUND(IF(AND(L1120=0,K1122&gt;0),$D1119-L1121,IF(L1120=0,0,$D1119-L1121)),0))</f>
        <v>0</v>
      </c>
      <c r="M1122" s="254">
        <f t="shared" ca="1" si="973"/>
        <v>0</v>
      </c>
      <c r="N1122" s="254">
        <f t="shared" ca="1" si="973"/>
        <v>0</v>
      </c>
      <c r="O1122" s="254">
        <f t="shared" ca="1" si="973"/>
        <v>0</v>
      </c>
      <c r="P1122" s="254">
        <f t="shared" ca="1" si="973"/>
        <v>0</v>
      </c>
      <c r="Q1122" s="254">
        <f t="shared" ca="1" si="973"/>
        <v>0</v>
      </c>
      <c r="R1122" s="254">
        <f t="shared" ca="1" si="973"/>
        <v>0</v>
      </c>
      <c r="S1122" s="254">
        <f t="shared" ca="1" si="973"/>
        <v>0</v>
      </c>
      <c r="T1122" s="254">
        <f t="shared" ca="1" si="973"/>
        <v>0</v>
      </c>
      <c r="U1122" s="254">
        <f t="shared" ca="1" si="973"/>
        <v>0</v>
      </c>
      <c r="V1122" s="254">
        <f t="shared" ca="1" si="973"/>
        <v>0</v>
      </c>
      <c r="W1122" s="254">
        <f t="shared" ca="1" si="973"/>
        <v>0</v>
      </c>
      <c r="X1122" s="254">
        <f t="shared" ca="1" si="973"/>
        <v>0</v>
      </c>
    </row>
    <row r="1123" spans="1:24" hidden="1">
      <c r="A1123" s="328"/>
      <c r="B1123" s="21"/>
      <c r="C1123" s="21"/>
      <c r="D1123" s="22"/>
      <c r="E1123" s="21"/>
      <c r="F1123" s="25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328"/>
      <c r="B1124" s="20" t="s">
        <v>417</v>
      </c>
      <c r="C1124" s="20"/>
      <c r="D1124" s="21">
        <f>D1117+1</f>
        <v>1</v>
      </c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328"/>
      <c r="B1125" s="21" t="s">
        <v>414</v>
      </c>
      <c r="C1125" s="21"/>
      <c r="D1125" s="165">
        <f ca="1">IFERROR(YEAR(OFFSET($E$195,D1124,0)),0)</f>
        <v>0</v>
      </c>
      <c r="E1125" s="165">
        <f ca="1">IFERROR(MONTH(OFFSET($E$195,D1124,0)),0)</f>
        <v>0</v>
      </c>
      <c r="F1125" s="21">
        <f ca="1">12-$E1125</f>
        <v>12</v>
      </c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328"/>
      <c r="B1126" s="21" t="s">
        <v>406</v>
      </c>
      <c r="C1126" s="21"/>
      <c r="D1126" s="247">
        <f ca="1">IF(E1126&lt;0,0,ROUND(E1126,0))</f>
        <v>0</v>
      </c>
      <c r="E1126" s="249">
        <f ca="1">OFFSET($D$195,D1124,0)</f>
        <v>0</v>
      </c>
      <c r="F1126" s="247">
        <f ca="1">IF(E1126&gt;10,ROUND(($D1127/12)*$F1125,0),$D1126)</f>
        <v>0</v>
      </c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328"/>
      <c r="B1127" s="21" t="s">
        <v>415</v>
      </c>
      <c r="C1127" s="21"/>
      <c r="D1127" s="247">
        <f ca="1">IF(ISBLANK(OFFSET($E$195,D1124,0)),0,IF(E1126&gt;10,ROUND(D1126*am_prace_rozwojowe,0),IF(D1126&lt;0,0,D1126)))</f>
        <v>0</v>
      </c>
      <c r="E1127" s="21"/>
      <c r="F1127" s="21"/>
      <c r="G1127" s="21"/>
      <c r="H1127" s="21"/>
      <c r="I1127" s="21"/>
      <c r="J1127" s="21"/>
      <c r="K1127" s="75">
        <f ca="1">ROUND(IF(($D1125+1)=K$192,$D1127,0),0)</f>
        <v>0</v>
      </c>
      <c r="L1127" s="248">
        <f ca="1">ROUND(IF(OR(AND($D1125=LataProjekcji,$F1125&gt;0),AND($D1125=LataProjekcji,$F1125=0,$E1126&lt;=10)),$F1126,IF($D1125&lt;LataProjekcji,IF((SUM($K1127:K1127)+$D1127)&lt;$D1126,$D1127,$D1126-SUM($K1127:K1127)),0)),0)</f>
        <v>0</v>
      </c>
      <c r="M1127" s="248">
        <f ca="1">ROUND(IF(OR(AND($D1125=LataProjekcji,$F1125&gt;0),AND($D1125=LataProjekcji,$F1125=0,$E1126&lt;=10)),$F1126,IF($D1125&lt;LataProjekcji,IF((SUM($K1127:L1127)+$D1127)&lt;$D1126,$D1127,$D1126-SUM($K1127:L1127)),0)),0)</f>
        <v>0</v>
      </c>
      <c r="N1127" s="248">
        <f ca="1">ROUND(IF(OR(AND($D1125=LataProjekcji,$F1125&gt;0),AND($D1125=LataProjekcji,$F1125=0,$E1126&lt;=10)),$F1126,IF($D1125&lt;LataProjekcji,IF((SUM($K1127:M1127)+$D1127)&lt;$D1126,$D1127,$D1126-SUM($K1127:M1127)),0)),0)</f>
        <v>0</v>
      </c>
      <c r="O1127" s="248">
        <f ca="1">ROUND(IF(OR(AND($D1125=LataProjekcji,$F1125&gt;0),AND($D1125=LataProjekcji,$F1125=0,$E1126&lt;=10)),$F1126,IF($D1125&lt;LataProjekcji,IF((SUM($K1127:N1127)+$D1127)&lt;$D1126,$D1127,$D1126-SUM($K1127:N1127)),0)),0)</f>
        <v>0</v>
      </c>
      <c r="P1127" s="248">
        <f ca="1">ROUND(IF(OR(AND($D1125=LataProjekcji,$F1125&gt;0),AND($D1125=LataProjekcji,$F1125=0,$E1126&lt;=10)),$F1126,IF($D1125&lt;LataProjekcji,IF((SUM($K1127:O1127)+$D1127)&lt;$D1126,$D1127,$D1126-SUM($K1127:O1127)),0)),0)</f>
        <v>0</v>
      </c>
      <c r="Q1127" s="248">
        <f ca="1">ROUND(IF(OR(AND($D1125=LataProjekcji,$F1125&gt;0),AND($D1125=LataProjekcji,$F1125=0,$E1126&lt;=10)),$F1126,IF($D1125&lt;LataProjekcji,IF((SUM($K1127:P1127)+$D1127)&lt;$D1126,$D1127,$D1126-SUM($K1127:P1127)),0)),0)</f>
        <v>0</v>
      </c>
      <c r="R1127" s="248">
        <f ca="1">ROUND(IF(OR(AND($D1125=LataProjekcji,$F1125&gt;0),AND($D1125=LataProjekcji,$F1125=0,$E1126&lt;=10)),$F1126,IF($D1125&lt;LataProjekcji,IF((SUM($K1127:Q1127)+$D1127)&lt;$D1126,$D1127,$D1126-SUM($K1127:Q1127)),0)),0)</f>
        <v>0</v>
      </c>
      <c r="S1127" s="248">
        <f ca="1">ROUND(IF(OR(AND($D1125=LataProjekcji,$F1125&gt;0),AND($D1125=LataProjekcji,$F1125=0,$E1126&lt;=10)),$F1126,IF($D1125&lt;LataProjekcji,IF((SUM($K1127:R1127)+$D1127)&lt;$D1126,$D1127,$D1126-SUM($K1127:R1127)),0)),0)</f>
        <v>0</v>
      </c>
      <c r="T1127" s="248">
        <f ca="1">ROUND(IF(OR(AND($D1125=LataProjekcji,$F1125&gt;0),AND($D1125=LataProjekcji,$F1125=0,$E1126&lt;=10)),$F1126,IF($D1125&lt;LataProjekcji,IF((SUM($K1127:S1127)+$D1127)&lt;$D1126,$D1127,$D1126-SUM($K1127:S1127)),0)),0)</f>
        <v>0</v>
      </c>
      <c r="U1127" s="248">
        <f ca="1">ROUND(IF(OR(AND($D1125=LataProjekcji,$F1125&gt;0),AND($D1125=LataProjekcji,$F1125=0,$E1126&lt;=10)),$F1126,IF($D1125&lt;LataProjekcji,IF((SUM($K1127:T1127)+$D1127)&lt;$D1126,$D1127,$D1126-SUM($K1127:T1127)),0)),0)</f>
        <v>0</v>
      </c>
      <c r="V1127" s="248">
        <f ca="1">ROUND(IF(OR(AND($D1125=LataProjekcji,$F1125&gt;0),AND($D1125=LataProjekcji,$F1125=0,$E1126&lt;=10)),$F1126,IF($D1125&lt;LataProjekcji,IF((SUM($K1127:U1127)+$D1127)&lt;$D1126,$D1127,$D1126-SUM($K1127:U1127)),0)),0)</f>
        <v>0</v>
      </c>
      <c r="W1127" s="248">
        <f ca="1">ROUND(IF(OR(AND($D1125=LataProjekcji,$F1125&gt;0),AND($D1125=LataProjekcji,$F1125=0,$E1126&lt;=10)),$F1126,IF($D1125&lt;LataProjekcji,IF((SUM($K1127:V1127)+$D1127)&lt;$D1126,$D1127,$D1126-SUM($K1127:V1127)),0)),0)</f>
        <v>0</v>
      </c>
      <c r="X1127" s="248">
        <f ca="1">ROUND(IF(OR(AND($D1125=LataProjekcji,$F1125&gt;0),AND($D1125=LataProjekcji,$F1125=0,$E1126&lt;=10)),$F1126,IF($D1125&lt;LataProjekcji,IF((SUM($K1127:W1127)+$D1127)&lt;$D1126,$D1127,$D1126-SUM($K1127:W1127)),0)),0)</f>
        <v>0</v>
      </c>
    </row>
    <row r="1128" spans="1:24" hidden="1">
      <c r="A1128" s="328"/>
      <c r="B1128" s="21" t="s">
        <v>416</v>
      </c>
      <c r="C1128" s="21"/>
      <c r="D1128" s="22"/>
      <c r="E1128" s="21"/>
      <c r="F1128" s="21"/>
      <c r="G1128" s="21"/>
      <c r="H1128" s="21"/>
      <c r="I1128" s="21"/>
      <c r="J1128" s="21"/>
      <c r="K1128" s="22">
        <f ca="1">ROUND(K1127,0)</f>
        <v>0</v>
      </c>
      <c r="L1128" s="22">
        <f t="shared" ref="L1128:X1128" ca="1" si="974">ROUND(K1128+L1127,0)</f>
        <v>0</v>
      </c>
      <c r="M1128" s="22">
        <f t="shared" ca="1" si="974"/>
        <v>0</v>
      </c>
      <c r="N1128" s="22">
        <f t="shared" ca="1" si="974"/>
        <v>0</v>
      </c>
      <c r="O1128" s="22">
        <f t="shared" ca="1" si="974"/>
        <v>0</v>
      </c>
      <c r="P1128" s="22">
        <f t="shared" ca="1" si="974"/>
        <v>0</v>
      </c>
      <c r="Q1128" s="22">
        <f t="shared" ca="1" si="974"/>
        <v>0</v>
      </c>
      <c r="R1128" s="22">
        <f t="shared" ca="1" si="974"/>
        <v>0</v>
      </c>
      <c r="S1128" s="22">
        <f t="shared" ca="1" si="974"/>
        <v>0</v>
      </c>
      <c r="T1128" s="22">
        <f t="shared" ca="1" si="974"/>
        <v>0</v>
      </c>
      <c r="U1128" s="22">
        <f t="shared" ca="1" si="974"/>
        <v>0</v>
      </c>
      <c r="V1128" s="22">
        <f t="shared" ca="1" si="974"/>
        <v>0</v>
      </c>
      <c r="W1128" s="22">
        <f t="shared" ca="1" si="974"/>
        <v>0</v>
      </c>
      <c r="X1128" s="22">
        <f t="shared" ca="1" si="974"/>
        <v>0</v>
      </c>
    </row>
    <row r="1129" spans="1:24" hidden="1">
      <c r="A1129" s="328"/>
      <c r="B1129" s="21" t="s">
        <v>406</v>
      </c>
      <c r="C1129" s="21"/>
      <c r="D1129" s="22"/>
      <c r="E1129" s="21"/>
      <c r="F1129" s="21"/>
      <c r="G1129" s="21"/>
      <c r="H1129" s="21"/>
      <c r="I1129" s="21"/>
      <c r="J1129" s="21"/>
      <c r="K1129" s="77">
        <f ca="1">IF($D1125=LataProjekcji,ROUND($D1126-K1128,0),ROUND(IF(K1127=0,0,$D1126-K1128),0))</f>
        <v>0</v>
      </c>
      <c r="L1129" s="254">
        <f t="shared" ref="L1129:X1129" ca="1" si="975">IF($D1125=LataProjekcji,ROUND($D1126-L1128,0),ROUND(IF(AND(L1127=0,K1129&gt;0),$D1126-L1128,IF(L1127=0,0,$D1126-L1128)),0))</f>
        <v>0</v>
      </c>
      <c r="M1129" s="254">
        <f t="shared" ca="1" si="975"/>
        <v>0</v>
      </c>
      <c r="N1129" s="254">
        <f t="shared" ca="1" si="975"/>
        <v>0</v>
      </c>
      <c r="O1129" s="254">
        <f t="shared" ca="1" si="975"/>
        <v>0</v>
      </c>
      <c r="P1129" s="254">
        <f t="shared" ca="1" si="975"/>
        <v>0</v>
      </c>
      <c r="Q1129" s="254">
        <f t="shared" ca="1" si="975"/>
        <v>0</v>
      </c>
      <c r="R1129" s="254">
        <f t="shared" ca="1" si="975"/>
        <v>0</v>
      </c>
      <c r="S1129" s="254">
        <f t="shared" ca="1" si="975"/>
        <v>0</v>
      </c>
      <c r="T1129" s="254">
        <f t="shared" ca="1" si="975"/>
        <v>0</v>
      </c>
      <c r="U1129" s="254">
        <f t="shared" ca="1" si="975"/>
        <v>0</v>
      </c>
      <c r="V1129" s="254">
        <f t="shared" ca="1" si="975"/>
        <v>0</v>
      </c>
      <c r="W1129" s="254">
        <f t="shared" ca="1" si="975"/>
        <v>0</v>
      </c>
      <c r="X1129" s="254">
        <f t="shared" ca="1" si="975"/>
        <v>0</v>
      </c>
    </row>
    <row r="1130" spans="1:24" hidden="1">
      <c r="A1130" s="328"/>
      <c r="B1130" s="20"/>
      <c r="C1130" s="20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328"/>
      <c r="B1131" s="20" t="s">
        <v>418</v>
      </c>
      <c r="C1131" s="20"/>
      <c r="D1131" s="21">
        <f>D1124+1</f>
        <v>2</v>
      </c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328"/>
      <c r="B1132" s="21" t="s">
        <v>414</v>
      </c>
      <c r="C1132" s="21"/>
      <c r="D1132" s="165">
        <f ca="1">YEAR(OFFSET($E$195,D1131,0))</f>
        <v>1900</v>
      </c>
      <c r="E1132" s="165">
        <f ca="1">MONTH(OFFSET($E$195,D1131,0))</f>
        <v>1</v>
      </c>
      <c r="F1132" s="21">
        <f ca="1">12-$E1132</f>
        <v>11</v>
      </c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328"/>
      <c r="B1133" s="21" t="s">
        <v>406</v>
      </c>
      <c r="C1133" s="21"/>
      <c r="D1133" s="247">
        <f ca="1">IF(E1133&lt;0,0,ROUND(E1133,0))</f>
        <v>0</v>
      </c>
      <c r="E1133" s="249">
        <f ca="1">OFFSET($D$195,D1131,0)</f>
        <v>0</v>
      </c>
      <c r="F1133" s="247">
        <f ca="1">IF(E1133&gt;10,ROUND(($D1134/12)*$F1132,0),$D1133)</f>
        <v>0</v>
      </c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328"/>
      <c r="B1134" s="21" t="s">
        <v>415</v>
      </c>
      <c r="C1134" s="21"/>
      <c r="D1134" s="247">
        <f ca="1">IF(ISBLANK(OFFSET($E$195,D1131,0)),0,IF(E1133&gt;10,ROUND(D1133*am_prace_rozwojowe,0),IF(D1133&lt;0,0,D1133)))</f>
        <v>0</v>
      </c>
      <c r="E1134" s="21"/>
      <c r="F1134" s="21"/>
      <c r="G1134" s="21"/>
      <c r="H1134" s="21"/>
      <c r="I1134" s="21"/>
      <c r="J1134" s="21"/>
      <c r="K1134" s="75">
        <f ca="1">ROUND(IF(($D1132+1)=K$192,$D1134,0),0)</f>
        <v>0</v>
      </c>
      <c r="L1134" s="248">
        <f ca="1">ROUND(IF(OR(AND($D1132=LataProjekcji,$F1132&gt;0),AND($D1132=LataProjekcji,$F1132=0,$E1133&lt;=10)),$F1133,IF($D1132&lt;LataProjekcji,IF((SUM($K1134:K1134)+$D1134)&lt;$D1133,$D1134,$D1133-SUM($K1134:K1134)),0)),0)</f>
        <v>0</v>
      </c>
      <c r="M1134" s="248">
        <f ca="1">ROUND(IF(OR(AND($D1132=LataProjekcji,$F1132&gt;0),AND($D1132=LataProjekcji,$F1132=0,$E1133&lt;=10)),$F1133,IF($D1132&lt;LataProjekcji,IF((SUM($K1134:L1134)+$D1134)&lt;$D1133,$D1134,$D1133-SUM($K1134:L1134)),0)),0)</f>
        <v>0</v>
      </c>
      <c r="N1134" s="248">
        <f ca="1">ROUND(IF(OR(AND($D1132=LataProjekcji,$F1132&gt;0),AND($D1132=LataProjekcji,$F1132=0,$E1133&lt;=10)),$F1133,IF($D1132&lt;LataProjekcji,IF((SUM($K1134:M1134)+$D1134)&lt;$D1133,$D1134,$D1133-SUM($K1134:M1134)),0)),0)</f>
        <v>0</v>
      </c>
      <c r="O1134" s="248">
        <f ca="1">ROUND(IF(OR(AND($D1132=LataProjekcji,$F1132&gt;0),AND($D1132=LataProjekcji,$F1132=0,$E1133&lt;=10)),$F1133,IF($D1132&lt;LataProjekcji,IF((SUM($K1134:N1134)+$D1134)&lt;$D1133,$D1134,$D1133-SUM($K1134:N1134)),0)),0)</f>
        <v>0</v>
      </c>
      <c r="P1134" s="248">
        <f ca="1">ROUND(IF(OR(AND($D1132=LataProjekcji,$F1132&gt;0),AND($D1132=LataProjekcji,$F1132=0,$E1133&lt;=10)),$F1133,IF($D1132&lt;LataProjekcji,IF((SUM($K1134:O1134)+$D1134)&lt;$D1133,$D1134,$D1133-SUM($K1134:O1134)),0)),0)</f>
        <v>0</v>
      </c>
      <c r="Q1134" s="248">
        <f ca="1">ROUND(IF(OR(AND($D1132=LataProjekcji,$F1132&gt;0),AND($D1132=LataProjekcji,$F1132=0,$E1133&lt;=10)),$F1133,IF($D1132&lt;LataProjekcji,IF((SUM($K1134:P1134)+$D1134)&lt;$D1133,$D1134,$D1133-SUM($K1134:P1134)),0)),0)</f>
        <v>0</v>
      </c>
      <c r="R1134" s="248">
        <f ca="1">ROUND(IF(OR(AND($D1132=LataProjekcji,$F1132&gt;0),AND($D1132=LataProjekcji,$F1132=0,$E1133&lt;=10)),$F1133,IF($D1132&lt;LataProjekcji,IF((SUM($K1134:Q1134)+$D1134)&lt;$D1133,$D1134,$D1133-SUM($K1134:Q1134)),0)),0)</f>
        <v>0</v>
      </c>
      <c r="S1134" s="248">
        <f ca="1">ROUND(IF(OR(AND($D1132=LataProjekcji,$F1132&gt;0),AND($D1132=LataProjekcji,$F1132=0,$E1133&lt;=10)),$F1133,IF($D1132&lt;LataProjekcji,IF((SUM($K1134:R1134)+$D1134)&lt;$D1133,$D1134,$D1133-SUM($K1134:R1134)),0)),0)</f>
        <v>0</v>
      </c>
      <c r="T1134" s="248">
        <f ca="1">ROUND(IF(OR(AND($D1132=LataProjekcji,$F1132&gt;0),AND($D1132=LataProjekcji,$F1132=0,$E1133&lt;=10)),$F1133,IF($D1132&lt;LataProjekcji,IF((SUM($K1134:S1134)+$D1134)&lt;$D1133,$D1134,$D1133-SUM($K1134:S1134)),0)),0)</f>
        <v>0</v>
      </c>
      <c r="U1134" s="248">
        <f ca="1">ROUND(IF(OR(AND($D1132=LataProjekcji,$F1132&gt;0),AND($D1132=LataProjekcji,$F1132=0,$E1133&lt;=10)),$F1133,IF($D1132&lt;LataProjekcji,IF((SUM($K1134:T1134)+$D1134)&lt;$D1133,$D1134,$D1133-SUM($K1134:T1134)),0)),0)</f>
        <v>0</v>
      </c>
      <c r="V1134" s="248">
        <f ca="1">ROUND(IF(OR(AND($D1132=LataProjekcji,$F1132&gt;0),AND($D1132=LataProjekcji,$F1132=0,$E1133&lt;=10)),$F1133,IF($D1132&lt;LataProjekcji,IF((SUM($K1134:U1134)+$D1134)&lt;$D1133,$D1134,$D1133-SUM($K1134:U1134)),0)),0)</f>
        <v>0</v>
      </c>
      <c r="W1134" s="248">
        <f ca="1">ROUND(IF(OR(AND($D1132=LataProjekcji,$F1132&gt;0),AND($D1132=LataProjekcji,$F1132=0,$E1133&lt;=10)),$F1133,IF($D1132&lt;LataProjekcji,IF((SUM($K1134:V1134)+$D1134)&lt;$D1133,$D1134,$D1133-SUM($K1134:V1134)),0)),0)</f>
        <v>0</v>
      </c>
      <c r="X1134" s="248">
        <f ca="1">ROUND(IF(OR(AND($D1132=LataProjekcji,$F1132&gt;0),AND($D1132=LataProjekcji,$F1132=0,$E1133&lt;=10)),$F1133,IF($D1132&lt;LataProjekcji,IF((SUM($K1134:W1134)+$D1134)&lt;$D1133,$D1134,$D1133-SUM($K1134:W1134)),0)),0)</f>
        <v>0</v>
      </c>
    </row>
    <row r="1135" spans="1:24" hidden="1">
      <c r="A1135" s="328"/>
      <c r="B1135" s="21" t="s">
        <v>416</v>
      </c>
      <c r="C1135" s="21"/>
      <c r="D1135" s="22"/>
      <c r="E1135" s="21"/>
      <c r="F1135" s="21"/>
      <c r="G1135" s="21"/>
      <c r="H1135" s="21"/>
      <c r="I1135" s="21"/>
      <c r="J1135" s="21"/>
      <c r="K1135" s="22">
        <f ca="1">ROUND(K1134,0)</f>
        <v>0</v>
      </c>
      <c r="L1135" s="22">
        <f t="shared" ref="L1135:X1135" ca="1" si="976">ROUND(K1135+L1134,0)</f>
        <v>0</v>
      </c>
      <c r="M1135" s="22">
        <f t="shared" ca="1" si="976"/>
        <v>0</v>
      </c>
      <c r="N1135" s="22">
        <f t="shared" ca="1" si="976"/>
        <v>0</v>
      </c>
      <c r="O1135" s="22">
        <f t="shared" ca="1" si="976"/>
        <v>0</v>
      </c>
      <c r="P1135" s="22">
        <f t="shared" ca="1" si="976"/>
        <v>0</v>
      </c>
      <c r="Q1135" s="22">
        <f t="shared" ca="1" si="976"/>
        <v>0</v>
      </c>
      <c r="R1135" s="22">
        <f t="shared" ca="1" si="976"/>
        <v>0</v>
      </c>
      <c r="S1135" s="22">
        <f t="shared" ca="1" si="976"/>
        <v>0</v>
      </c>
      <c r="T1135" s="22">
        <f t="shared" ca="1" si="976"/>
        <v>0</v>
      </c>
      <c r="U1135" s="22">
        <f t="shared" ca="1" si="976"/>
        <v>0</v>
      </c>
      <c r="V1135" s="22">
        <f t="shared" ca="1" si="976"/>
        <v>0</v>
      </c>
      <c r="W1135" s="22">
        <f t="shared" ca="1" si="976"/>
        <v>0</v>
      </c>
      <c r="X1135" s="22">
        <f t="shared" ca="1" si="976"/>
        <v>0</v>
      </c>
    </row>
    <row r="1136" spans="1:24" hidden="1">
      <c r="A1136" s="328"/>
      <c r="B1136" s="21" t="s">
        <v>406</v>
      </c>
      <c r="C1136" s="21"/>
      <c r="D1136" s="22"/>
      <c r="E1136" s="21"/>
      <c r="F1136" s="21"/>
      <c r="G1136" s="21"/>
      <c r="H1136" s="21"/>
      <c r="I1136" s="21"/>
      <c r="J1136" s="21"/>
      <c r="K1136" s="77">
        <f ca="1">IF($D1132=LataProjekcji,ROUND($D1133-K1135,0),ROUND(IF(K1134=0,0,$D1133-K1135),0))</f>
        <v>0</v>
      </c>
      <c r="L1136" s="254">
        <f t="shared" ref="L1136:X1136" ca="1" si="977">IF($D1132=LataProjekcji,ROUND($D1133-L1135,0),ROUND(IF(AND(L1134=0,K1136&gt;0),$D1133-L1135,IF(L1134=0,0,$D1133-L1135)),0))</f>
        <v>0</v>
      </c>
      <c r="M1136" s="254">
        <f t="shared" ca="1" si="977"/>
        <v>0</v>
      </c>
      <c r="N1136" s="254">
        <f t="shared" ca="1" si="977"/>
        <v>0</v>
      </c>
      <c r="O1136" s="254">
        <f t="shared" ca="1" si="977"/>
        <v>0</v>
      </c>
      <c r="P1136" s="254">
        <f t="shared" ca="1" si="977"/>
        <v>0</v>
      </c>
      <c r="Q1136" s="254">
        <f t="shared" ca="1" si="977"/>
        <v>0</v>
      </c>
      <c r="R1136" s="254">
        <f t="shared" ca="1" si="977"/>
        <v>0</v>
      </c>
      <c r="S1136" s="254">
        <f t="shared" ca="1" si="977"/>
        <v>0</v>
      </c>
      <c r="T1136" s="254">
        <f t="shared" ca="1" si="977"/>
        <v>0</v>
      </c>
      <c r="U1136" s="254">
        <f t="shared" ca="1" si="977"/>
        <v>0</v>
      </c>
      <c r="V1136" s="254">
        <f t="shared" ca="1" si="977"/>
        <v>0</v>
      </c>
      <c r="W1136" s="254">
        <f t="shared" ca="1" si="977"/>
        <v>0</v>
      </c>
      <c r="X1136" s="254">
        <f t="shared" ca="1" si="977"/>
        <v>0</v>
      </c>
    </row>
    <row r="1137" spans="1:24" hidden="1">
      <c r="A1137" s="328"/>
      <c r="B1137" s="21"/>
      <c r="C1137" s="21"/>
      <c r="D1137" s="22"/>
      <c r="E1137" s="21"/>
      <c r="F1137" s="21"/>
      <c r="G1137" s="21"/>
      <c r="H1137" s="404">
        <v>0</v>
      </c>
      <c r="I1137" s="483" cm="1">
        <f t="array" aca="1" ref="I1137" ca="1">OFFSET('Środki trwałe'!$C$197,H1137,,)</f>
        <v>0</v>
      </c>
      <c r="J1137" s="404" t="s">
        <v>427</v>
      </c>
      <c r="K1137" s="405">
        <f t="shared" ref="K1137:X1137" ca="1" si="978">IF(AND(OFFSET($F$195,$D1131,0)="tak",OFFSET($G$195,$D1131,0)="tak",OFFSET($J$195,$D1131,0)="ok",LataProjekcji&lt;=Koniec_Projekt),ROUND(K1134*OFFSET($K$223,$H1137,(COLUMN()-11)),0),0)</f>
        <v>0</v>
      </c>
      <c r="L1137" s="405">
        <f t="shared" ca="1" si="978"/>
        <v>0</v>
      </c>
      <c r="M1137" s="405">
        <f t="shared" ca="1" si="978"/>
        <v>0</v>
      </c>
      <c r="N1137" s="405">
        <f t="shared" ca="1" si="978"/>
        <v>0</v>
      </c>
      <c r="O1137" s="405">
        <f t="shared" ca="1" si="978"/>
        <v>0</v>
      </c>
      <c r="P1137" s="405">
        <f t="shared" ca="1" si="978"/>
        <v>0</v>
      </c>
      <c r="Q1137" s="405">
        <f t="shared" ca="1" si="978"/>
        <v>0</v>
      </c>
      <c r="R1137" s="405">
        <f t="shared" ca="1" si="978"/>
        <v>0</v>
      </c>
      <c r="S1137" s="405">
        <f t="shared" ca="1" si="978"/>
        <v>0</v>
      </c>
      <c r="T1137" s="405">
        <f t="shared" ca="1" si="978"/>
        <v>0</v>
      </c>
      <c r="U1137" s="405">
        <f t="shared" ca="1" si="978"/>
        <v>0</v>
      </c>
      <c r="V1137" s="405">
        <f t="shared" ca="1" si="978"/>
        <v>0</v>
      </c>
      <c r="W1137" s="405">
        <f t="shared" ca="1" si="978"/>
        <v>0</v>
      </c>
      <c r="X1137" s="405">
        <f t="shared" ca="1" si="978"/>
        <v>0</v>
      </c>
    </row>
    <row r="1138" spans="1:24" hidden="1">
      <c r="A1138" s="328"/>
      <c r="B1138" s="20" t="s">
        <v>419</v>
      </c>
      <c r="C1138" s="20"/>
      <c r="D1138" s="21">
        <f>D1131+1</f>
        <v>3</v>
      </c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328"/>
      <c r="B1139" s="21" t="s">
        <v>414</v>
      </c>
      <c r="C1139" s="21"/>
      <c r="D1139" s="165">
        <f ca="1">YEAR(OFFSET($E$195,D1138,0))</f>
        <v>1900</v>
      </c>
      <c r="E1139" s="165">
        <f ca="1">MONTH(OFFSET($E$195,D1138,0))</f>
        <v>1</v>
      </c>
      <c r="F1139" s="21">
        <f ca="1">12-$E1139</f>
        <v>11</v>
      </c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328"/>
      <c r="B1140" s="21" t="s">
        <v>406</v>
      </c>
      <c r="C1140" s="21"/>
      <c r="D1140" s="247">
        <f ca="1">IF(E1140&lt;0,0,ROUND(E1140,0))</f>
        <v>0</v>
      </c>
      <c r="E1140" s="249">
        <f ca="1">OFFSET($D$195,D1138,0)</f>
        <v>0</v>
      </c>
      <c r="F1140" s="247">
        <f ca="1">IF(E1140&gt;10,ROUND(($D1141/12)*$F1139,0),$D1140)</f>
        <v>0</v>
      </c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328"/>
      <c r="B1141" s="21" t="s">
        <v>415</v>
      </c>
      <c r="C1141" s="21"/>
      <c r="D1141" s="247">
        <f ca="1">IF(ISBLANK(OFFSET($E$195,D1138,0)),0,IF(E1140&gt;10,ROUND(D1140*am_prace_rozwojowe,0),IF(D1140&lt;0,0,D1140)))</f>
        <v>0</v>
      </c>
      <c r="E1141" s="21"/>
      <c r="F1141" s="21"/>
      <c r="G1141" s="21"/>
      <c r="H1141" s="21"/>
      <c r="I1141" s="21"/>
      <c r="J1141" s="21"/>
      <c r="K1141" s="75">
        <f ca="1">ROUND(IF(($D1139+1)=K$192,$D1141,0),0)</f>
        <v>0</v>
      </c>
      <c r="L1141" s="248">
        <f ca="1">ROUND(IF(OR(AND($D1139=LataProjekcji,$F1139&gt;0),AND($D1139=LataProjekcji,$F1139=0,$E1140&lt;=10)),$F1140,IF($D1139&lt;LataProjekcji,IF((SUM($K1141:K1141)+$D1141)&lt;$D1140,$D1141,$D1140-SUM($K1141:K1141)),0)),0)</f>
        <v>0</v>
      </c>
      <c r="M1141" s="248">
        <f ca="1">ROUND(IF(OR(AND($D1139=LataProjekcji,$F1139&gt;0),AND($D1139=LataProjekcji,$F1139=0,$E1140&lt;=10)),$F1140,IF($D1139&lt;LataProjekcji,IF((SUM($K1141:L1141)+$D1141)&lt;$D1140,$D1141,$D1140-SUM($K1141:L1141)),0)),0)</f>
        <v>0</v>
      </c>
      <c r="N1141" s="248">
        <f ca="1">ROUND(IF(OR(AND($D1139=LataProjekcji,$F1139&gt;0),AND($D1139=LataProjekcji,$F1139=0,$E1140&lt;=10)),$F1140,IF($D1139&lt;LataProjekcji,IF((SUM($K1141:M1141)+$D1141)&lt;$D1140,$D1141,$D1140-SUM($K1141:M1141)),0)),0)</f>
        <v>0</v>
      </c>
      <c r="O1141" s="248">
        <f ca="1">ROUND(IF(OR(AND($D1139=LataProjekcji,$F1139&gt;0),AND($D1139=LataProjekcji,$F1139=0,$E1140&lt;=10)),$F1140,IF($D1139&lt;LataProjekcji,IF((SUM($K1141:N1141)+$D1141)&lt;$D1140,$D1141,$D1140-SUM($K1141:N1141)),0)),0)</f>
        <v>0</v>
      </c>
      <c r="P1141" s="248">
        <f ca="1">ROUND(IF(OR(AND($D1139=LataProjekcji,$F1139&gt;0),AND($D1139=LataProjekcji,$F1139=0,$E1140&lt;=10)),$F1140,IF($D1139&lt;LataProjekcji,IF((SUM($K1141:O1141)+$D1141)&lt;$D1140,$D1141,$D1140-SUM($K1141:O1141)),0)),0)</f>
        <v>0</v>
      </c>
      <c r="Q1141" s="248">
        <f ca="1">ROUND(IF(OR(AND($D1139=LataProjekcji,$F1139&gt;0),AND($D1139=LataProjekcji,$F1139=0,$E1140&lt;=10)),$F1140,IF($D1139&lt;LataProjekcji,IF((SUM($K1141:P1141)+$D1141)&lt;$D1140,$D1141,$D1140-SUM($K1141:P1141)),0)),0)</f>
        <v>0</v>
      </c>
      <c r="R1141" s="248">
        <f ca="1">ROUND(IF(OR(AND($D1139=LataProjekcji,$F1139&gt;0),AND($D1139=LataProjekcji,$F1139=0,$E1140&lt;=10)),$F1140,IF($D1139&lt;LataProjekcji,IF((SUM($K1141:Q1141)+$D1141)&lt;$D1140,$D1141,$D1140-SUM($K1141:Q1141)),0)),0)</f>
        <v>0</v>
      </c>
      <c r="S1141" s="248">
        <f ca="1">ROUND(IF(OR(AND($D1139=LataProjekcji,$F1139&gt;0),AND($D1139=LataProjekcji,$F1139=0,$E1140&lt;=10)),$F1140,IF($D1139&lt;LataProjekcji,IF((SUM($K1141:R1141)+$D1141)&lt;$D1140,$D1141,$D1140-SUM($K1141:R1141)),0)),0)</f>
        <v>0</v>
      </c>
      <c r="T1141" s="248">
        <f ca="1">ROUND(IF(OR(AND($D1139=LataProjekcji,$F1139&gt;0),AND($D1139=LataProjekcji,$F1139=0,$E1140&lt;=10)),$F1140,IF($D1139&lt;LataProjekcji,IF((SUM($K1141:S1141)+$D1141)&lt;$D1140,$D1141,$D1140-SUM($K1141:S1141)),0)),0)</f>
        <v>0</v>
      </c>
      <c r="U1141" s="248">
        <f ca="1">ROUND(IF(OR(AND($D1139=LataProjekcji,$F1139&gt;0),AND($D1139=LataProjekcji,$F1139=0,$E1140&lt;=10)),$F1140,IF($D1139&lt;LataProjekcji,IF((SUM($K1141:T1141)+$D1141)&lt;$D1140,$D1141,$D1140-SUM($K1141:T1141)),0)),0)</f>
        <v>0</v>
      </c>
      <c r="V1141" s="248">
        <f ca="1">ROUND(IF(OR(AND($D1139=LataProjekcji,$F1139&gt;0),AND($D1139=LataProjekcji,$F1139=0,$E1140&lt;=10)),$F1140,IF($D1139&lt;LataProjekcji,IF((SUM($K1141:U1141)+$D1141)&lt;$D1140,$D1141,$D1140-SUM($K1141:U1141)),0)),0)</f>
        <v>0</v>
      </c>
      <c r="W1141" s="248">
        <f ca="1">ROUND(IF(OR(AND($D1139=LataProjekcji,$F1139&gt;0),AND($D1139=LataProjekcji,$F1139=0,$E1140&lt;=10)),$F1140,IF($D1139&lt;LataProjekcji,IF((SUM($K1141:V1141)+$D1141)&lt;$D1140,$D1141,$D1140-SUM($K1141:V1141)),0)),0)</f>
        <v>0</v>
      </c>
      <c r="X1141" s="248">
        <f ca="1">ROUND(IF(OR(AND($D1139=LataProjekcji,$F1139&gt;0),AND($D1139=LataProjekcji,$F1139=0,$E1140&lt;=10)),$F1140,IF($D1139&lt;LataProjekcji,IF((SUM($K1141:W1141)+$D1141)&lt;$D1140,$D1141,$D1140-SUM($K1141:W1141)),0)),0)</f>
        <v>0</v>
      </c>
    </row>
    <row r="1142" spans="1:24" hidden="1">
      <c r="A1142" s="328"/>
      <c r="B1142" s="21" t="s">
        <v>416</v>
      </c>
      <c r="C1142" s="21"/>
      <c r="D1142" s="22"/>
      <c r="E1142" s="21"/>
      <c r="F1142" s="21"/>
      <c r="G1142" s="21"/>
      <c r="H1142" s="21"/>
      <c r="I1142" s="21"/>
      <c r="J1142" s="21"/>
      <c r="K1142" s="22">
        <f ca="1">ROUND(K1141,0)</f>
        <v>0</v>
      </c>
      <c r="L1142" s="22">
        <f t="shared" ref="L1142:X1142" ca="1" si="979">ROUND(K1142+L1141,0)</f>
        <v>0</v>
      </c>
      <c r="M1142" s="22">
        <f t="shared" ca="1" si="979"/>
        <v>0</v>
      </c>
      <c r="N1142" s="22">
        <f t="shared" ca="1" si="979"/>
        <v>0</v>
      </c>
      <c r="O1142" s="22">
        <f t="shared" ca="1" si="979"/>
        <v>0</v>
      </c>
      <c r="P1142" s="22">
        <f t="shared" ca="1" si="979"/>
        <v>0</v>
      </c>
      <c r="Q1142" s="22">
        <f t="shared" ca="1" si="979"/>
        <v>0</v>
      </c>
      <c r="R1142" s="22">
        <f t="shared" ca="1" si="979"/>
        <v>0</v>
      </c>
      <c r="S1142" s="22">
        <f t="shared" ca="1" si="979"/>
        <v>0</v>
      </c>
      <c r="T1142" s="22">
        <f t="shared" ca="1" si="979"/>
        <v>0</v>
      </c>
      <c r="U1142" s="22">
        <f t="shared" ca="1" si="979"/>
        <v>0</v>
      </c>
      <c r="V1142" s="22">
        <f t="shared" ca="1" si="979"/>
        <v>0</v>
      </c>
      <c r="W1142" s="22">
        <f t="shared" ca="1" si="979"/>
        <v>0</v>
      </c>
      <c r="X1142" s="22">
        <f t="shared" ca="1" si="979"/>
        <v>0</v>
      </c>
    </row>
    <row r="1143" spans="1:24" hidden="1">
      <c r="A1143" s="328"/>
      <c r="B1143" s="21" t="s">
        <v>406</v>
      </c>
      <c r="C1143" s="21"/>
      <c r="D1143" s="22"/>
      <c r="E1143" s="21"/>
      <c r="F1143" s="21"/>
      <c r="G1143" s="21"/>
      <c r="H1143" s="21"/>
      <c r="I1143" s="21"/>
      <c r="J1143" s="21"/>
      <c r="K1143" s="77">
        <f ca="1">IF($D1139=LataProjekcji,ROUND($D1140-K1142,0),ROUND(IF(K1141=0,0,$D1140-K1142),0))</f>
        <v>0</v>
      </c>
      <c r="L1143" s="254">
        <f t="shared" ref="L1143:X1143" ca="1" si="980">IF($D1139=LataProjekcji,ROUND($D1140-L1142,0),ROUND(IF(AND(L1141=0,K1143&gt;0),$D1140-L1142,IF(L1141=0,0,$D1140-L1142)),0))</f>
        <v>0</v>
      </c>
      <c r="M1143" s="254">
        <f t="shared" ca="1" si="980"/>
        <v>0</v>
      </c>
      <c r="N1143" s="254">
        <f t="shared" ca="1" si="980"/>
        <v>0</v>
      </c>
      <c r="O1143" s="254">
        <f t="shared" ca="1" si="980"/>
        <v>0</v>
      </c>
      <c r="P1143" s="254">
        <f t="shared" ca="1" si="980"/>
        <v>0</v>
      </c>
      <c r="Q1143" s="254">
        <f t="shared" ca="1" si="980"/>
        <v>0</v>
      </c>
      <c r="R1143" s="254">
        <f t="shared" ca="1" si="980"/>
        <v>0</v>
      </c>
      <c r="S1143" s="254">
        <f t="shared" ca="1" si="980"/>
        <v>0</v>
      </c>
      <c r="T1143" s="254">
        <f t="shared" ca="1" si="980"/>
        <v>0</v>
      </c>
      <c r="U1143" s="254">
        <f t="shared" ca="1" si="980"/>
        <v>0</v>
      </c>
      <c r="V1143" s="254">
        <f t="shared" ca="1" si="980"/>
        <v>0</v>
      </c>
      <c r="W1143" s="254">
        <f t="shared" ca="1" si="980"/>
        <v>0</v>
      </c>
      <c r="X1143" s="254">
        <f t="shared" ca="1" si="980"/>
        <v>0</v>
      </c>
    </row>
    <row r="1144" spans="1:24" hidden="1">
      <c r="A1144" s="328"/>
      <c r="B1144" s="21"/>
      <c r="C1144" s="21"/>
      <c r="D1144" s="21"/>
      <c r="E1144" s="21"/>
      <c r="F1144" s="21"/>
      <c r="G1144" s="21"/>
      <c r="H1144" s="404">
        <f>H1137+1</f>
        <v>1</v>
      </c>
      <c r="I1144" s="483" cm="1">
        <f t="array" aca="1" ref="I1144" ca="1">OFFSET('Środki trwałe'!$C$197,H1144,,)</f>
        <v>0</v>
      </c>
      <c r="J1144" s="404" t="s">
        <v>427</v>
      </c>
      <c r="K1144" s="405">
        <f t="shared" ref="K1144:X1144" ca="1" si="981">IF(AND(OFFSET($F$195,$D1138,0)="tak",OFFSET($G$195,$D1138,0)="tak",OFFSET($J$195,$D1138,0)="ok",LataProjekcji&lt;=Koniec_Projekt),ROUND(K1141*OFFSET($K$223,$H1144,(COLUMN()-11)),0),0)</f>
        <v>0</v>
      </c>
      <c r="L1144" s="405">
        <f t="shared" ca="1" si="981"/>
        <v>0</v>
      </c>
      <c r="M1144" s="405">
        <f t="shared" ca="1" si="981"/>
        <v>0</v>
      </c>
      <c r="N1144" s="405">
        <f t="shared" ca="1" si="981"/>
        <v>0</v>
      </c>
      <c r="O1144" s="405">
        <f t="shared" ca="1" si="981"/>
        <v>0</v>
      </c>
      <c r="P1144" s="405">
        <f t="shared" ca="1" si="981"/>
        <v>0</v>
      </c>
      <c r="Q1144" s="405">
        <f t="shared" ca="1" si="981"/>
        <v>0</v>
      </c>
      <c r="R1144" s="405">
        <f t="shared" ca="1" si="981"/>
        <v>0</v>
      </c>
      <c r="S1144" s="405">
        <f t="shared" ca="1" si="981"/>
        <v>0</v>
      </c>
      <c r="T1144" s="405">
        <f t="shared" ca="1" si="981"/>
        <v>0</v>
      </c>
      <c r="U1144" s="405">
        <f t="shared" ca="1" si="981"/>
        <v>0</v>
      </c>
      <c r="V1144" s="405">
        <f t="shared" ca="1" si="981"/>
        <v>0</v>
      </c>
      <c r="W1144" s="405">
        <f t="shared" ca="1" si="981"/>
        <v>0</v>
      </c>
      <c r="X1144" s="405">
        <f t="shared" ca="1" si="981"/>
        <v>0</v>
      </c>
    </row>
    <row r="1145" spans="1:24" hidden="1">
      <c r="A1145" s="328"/>
      <c r="B1145" s="20" t="s">
        <v>418</v>
      </c>
      <c r="C1145" s="20"/>
      <c r="D1145" s="21">
        <f>D1138+1</f>
        <v>4</v>
      </c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</row>
    <row r="1146" spans="1:24" hidden="1">
      <c r="A1146" s="328"/>
      <c r="B1146" s="21" t="s">
        <v>414</v>
      </c>
      <c r="C1146" s="21"/>
      <c r="D1146" s="165">
        <f ca="1">YEAR(OFFSET($E$195,D1145,0))</f>
        <v>1900</v>
      </c>
      <c r="E1146" s="165">
        <f ca="1">MONTH(OFFSET($E$195,D1145,0))</f>
        <v>1</v>
      </c>
      <c r="F1146" s="21">
        <f ca="1">12-$E1146</f>
        <v>11</v>
      </c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</row>
    <row r="1147" spans="1:24" hidden="1">
      <c r="A1147" s="328"/>
      <c r="B1147" s="21" t="s">
        <v>406</v>
      </c>
      <c r="C1147" s="21"/>
      <c r="D1147" s="247">
        <f ca="1">IF(E1147&lt;0,0,ROUND(E1147,0))</f>
        <v>0</v>
      </c>
      <c r="E1147" s="249">
        <f ca="1">OFFSET($D$195,D1145,0)</f>
        <v>0</v>
      </c>
      <c r="F1147" s="247">
        <f ca="1">IF(E1147&gt;10,ROUND(($D1148/12)*$F1146,0),$D1147)</f>
        <v>0</v>
      </c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</row>
    <row r="1148" spans="1:24" hidden="1">
      <c r="A1148" s="328"/>
      <c r="B1148" s="21" t="s">
        <v>415</v>
      </c>
      <c r="C1148" s="21"/>
      <c r="D1148" s="247">
        <f ca="1">IF(ISBLANK(OFFSET($E$195,D1145,0)),0,IF(E1147&gt;10,ROUND(D1147*am_prace_rozwojowe,0),IF(D1147&lt;0,0,D1147)))</f>
        <v>0</v>
      </c>
      <c r="E1148" s="21"/>
      <c r="F1148" s="21"/>
      <c r="G1148" s="21"/>
      <c r="H1148" s="21"/>
      <c r="I1148" s="21"/>
      <c r="J1148" s="21"/>
      <c r="K1148" s="75">
        <f ca="1">ROUND(IF(($D1146+1)=K$192,$D1148,0),0)</f>
        <v>0</v>
      </c>
      <c r="L1148" s="248">
        <f ca="1">ROUND(IF(OR(AND($D1146=LataProjekcji,$F1146&gt;0),AND($D1146=LataProjekcji,$F1146=0,$E1147&lt;=10)),$F1147,IF($D1146&lt;LataProjekcji,IF((SUM($K1148:K1148)+$D1148)&lt;$D1147,$D1148,$D1147-SUM($K1148:K1148)),0)),0)</f>
        <v>0</v>
      </c>
      <c r="M1148" s="248">
        <f ca="1">ROUND(IF(OR(AND($D1146=LataProjekcji,$F1146&gt;0),AND($D1146=LataProjekcji,$F1146=0,$E1147&lt;=10)),$F1147,IF($D1146&lt;LataProjekcji,IF((SUM($K1148:L1148)+$D1148)&lt;$D1147,$D1148,$D1147-SUM($K1148:L1148)),0)),0)</f>
        <v>0</v>
      </c>
      <c r="N1148" s="248">
        <f ca="1">ROUND(IF(OR(AND($D1146=LataProjekcji,$F1146&gt;0),AND($D1146=LataProjekcji,$F1146=0,$E1147&lt;=10)),$F1147,IF($D1146&lt;LataProjekcji,IF((SUM($K1148:M1148)+$D1148)&lt;$D1147,$D1148,$D1147-SUM($K1148:M1148)),0)),0)</f>
        <v>0</v>
      </c>
      <c r="O1148" s="248">
        <f ca="1">ROUND(IF(OR(AND($D1146=LataProjekcji,$F1146&gt;0),AND($D1146=LataProjekcji,$F1146=0,$E1147&lt;=10)),$F1147,IF($D1146&lt;LataProjekcji,IF((SUM($K1148:N1148)+$D1148)&lt;$D1147,$D1148,$D1147-SUM($K1148:N1148)),0)),0)</f>
        <v>0</v>
      </c>
      <c r="P1148" s="248">
        <f ca="1">ROUND(IF(OR(AND($D1146=LataProjekcji,$F1146&gt;0),AND($D1146=LataProjekcji,$F1146=0,$E1147&lt;=10)),$F1147,IF($D1146&lt;LataProjekcji,IF((SUM($K1148:O1148)+$D1148)&lt;$D1147,$D1148,$D1147-SUM($K1148:O1148)),0)),0)</f>
        <v>0</v>
      </c>
      <c r="Q1148" s="248">
        <f ca="1">ROUND(IF(OR(AND($D1146=LataProjekcji,$F1146&gt;0),AND($D1146=LataProjekcji,$F1146=0,$E1147&lt;=10)),$F1147,IF($D1146&lt;LataProjekcji,IF((SUM($K1148:P1148)+$D1148)&lt;$D1147,$D1148,$D1147-SUM($K1148:P1148)),0)),0)</f>
        <v>0</v>
      </c>
      <c r="R1148" s="248">
        <f ca="1">ROUND(IF(OR(AND($D1146=LataProjekcji,$F1146&gt;0),AND($D1146=LataProjekcji,$F1146=0,$E1147&lt;=10)),$F1147,IF($D1146&lt;LataProjekcji,IF((SUM($K1148:Q1148)+$D1148)&lt;$D1147,$D1148,$D1147-SUM($K1148:Q1148)),0)),0)</f>
        <v>0</v>
      </c>
      <c r="S1148" s="248">
        <f ca="1">ROUND(IF(OR(AND($D1146=LataProjekcji,$F1146&gt;0),AND($D1146=LataProjekcji,$F1146=0,$E1147&lt;=10)),$F1147,IF($D1146&lt;LataProjekcji,IF((SUM($K1148:R1148)+$D1148)&lt;$D1147,$D1148,$D1147-SUM($K1148:R1148)),0)),0)</f>
        <v>0</v>
      </c>
      <c r="T1148" s="248">
        <f ca="1">ROUND(IF(OR(AND($D1146=LataProjekcji,$F1146&gt;0),AND($D1146=LataProjekcji,$F1146=0,$E1147&lt;=10)),$F1147,IF($D1146&lt;LataProjekcji,IF((SUM($K1148:S1148)+$D1148)&lt;$D1147,$D1148,$D1147-SUM($K1148:S1148)),0)),0)</f>
        <v>0</v>
      </c>
      <c r="U1148" s="248">
        <f ca="1">ROUND(IF(OR(AND($D1146=LataProjekcji,$F1146&gt;0),AND($D1146=LataProjekcji,$F1146=0,$E1147&lt;=10)),$F1147,IF($D1146&lt;LataProjekcji,IF((SUM($K1148:T1148)+$D1148)&lt;$D1147,$D1148,$D1147-SUM($K1148:T1148)),0)),0)</f>
        <v>0</v>
      </c>
      <c r="V1148" s="248">
        <f ca="1">ROUND(IF(OR(AND($D1146=LataProjekcji,$F1146&gt;0),AND($D1146=LataProjekcji,$F1146=0,$E1147&lt;=10)),$F1147,IF($D1146&lt;LataProjekcji,IF((SUM($K1148:U1148)+$D1148)&lt;$D1147,$D1148,$D1147-SUM($K1148:U1148)),0)),0)</f>
        <v>0</v>
      </c>
      <c r="W1148" s="248">
        <f ca="1">ROUND(IF(OR(AND($D1146=LataProjekcji,$F1146&gt;0),AND($D1146=LataProjekcji,$F1146=0,$E1147&lt;=10)),$F1147,IF($D1146&lt;LataProjekcji,IF((SUM($K1148:V1148)+$D1148)&lt;$D1147,$D1148,$D1147-SUM($K1148:V1148)),0)),0)</f>
        <v>0</v>
      </c>
      <c r="X1148" s="248">
        <f ca="1">ROUND(IF(OR(AND($D1146=LataProjekcji,$F1146&gt;0),AND($D1146=LataProjekcji,$F1146=0,$E1147&lt;=10)),$F1147,IF($D1146&lt;LataProjekcji,IF((SUM($K1148:W1148)+$D1148)&lt;$D1147,$D1148,$D1147-SUM($K1148:W1148)),0)),0)</f>
        <v>0</v>
      </c>
    </row>
    <row r="1149" spans="1:24" hidden="1">
      <c r="A1149" s="328"/>
      <c r="B1149" s="21" t="s">
        <v>416</v>
      </c>
      <c r="C1149" s="21"/>
      <c r="D1149" s="22"/>
      <c r="E1149" s="21"/>
      <c r="F1149" s="21"/>
      <c r="G1149" s="21"/>
      <c r="H1149" s="21"/>
      <c r="I1149" s="21"/>
      <c r="J1149" s="21"/>
      <c r="K1149" s="22">
        <f ca="1">ROUND(K1148,0)</f>
        <v>0</v>
      </c>
      <c r="L1149" s="22">
        <f t="shared" ref="L1149" ca="1" si="982">ROUND(K1149+L1148,0)</f>
        <v>0</v>
      </c>
      <c r="M1149" s="22">
        <f t="shared" ref="M1149" ca="1" si="983">ROUND(L1149+M1148,0)</f>
        <v>0</v>
      </c>
      <c r="N1149" s="22">
        <f t="shared" ref="N1149" ca="1" si="984">ROUND(M1149+N1148,0)</f>
        <v>0</v>
      </c>
      <c r="O1149" s="22">
        <f t="shared" ref="O1149" ca="1" si="985">ROUND(N1149+O1148,0)</f>
        <v>0</v>
      </c>
      <c r="P1149" s="22">
        <f t="shared" ref="P1149" ca="1" si="986">ROUND(O1149+P1148,0)</f>
        <v>0</v>
      </c>
      <c r="Q1149" s="22">
        <f t="shared" ref="Q1149" ca="1" si="987">ROUND(P1149+Q1148,0)</f>
        <v>0</v>
      </c>
      <c r="R1149" s="22">
        <f t="shared" ref="R1149" ca="1" si="988">ROUND(Q1149+R1148,0)</f>
        <v>0</v>
      </c>
      <c r="S1149" s="22">
        <f t="shared" ref="S1149" ca="1" si="989">ROUND(R1149+S1148,0)</f>
        <v>0</v>
      </c>
      <c r="T1149" s="22">
        <f t="shared" ref="T1149" ca="1" si="990">ROUND(S1149+T1148,0)</f>
        <v>0</v>
      </c>
      <c r="U1149" s="22">
        <f t="shared" ref="U1149" ca="1" si="991">ROUND(T1149+U1148,0)</f>
        <v>0</v>
      </c>
      <c r="V1149" s="22">
        <f t="shared" ref="V1149" ca="1" si="992">ROUND(U1149+V1148,0)</f>
        <v>0</v>
      </c>
      <c r="W1149" s="22">
        <f t="shared" ref="W1149" ca="1" si="993">ROUND(V1149+W1148,0)</f>
        <v>0</v>
      </c>
      <c r="X1149" s="22">
        <f t="shared" ref="X1149" ca="1" si="994">ROUND(W1149+X1148,0)</f>
        <v>0</v>
      </c>
    </row>
    <row r="1150" spans="1:24" hidden="1">
      <c r="A1150" s="328"/>
      <c r="B1150" s="21" t="s">
        <v>406</v>
      </c>
      <c r="C1150" s="21"/>
      <c r="D1150" s="22"/>
      <c r="E1150" s="21"/>
      <c r="F1150" s="21"/>
      <c r="G1150" s="21"/>
      <c r="H1150" s="21"/>
      <c r="I1150" s="21"/>
      <c r="J1150" s="21"/>
      <c r="K1150" s="77">
        <f ca="1">IF($D1146=LataProjekcji,ROUND($D1147-K1149,0),ROUND(IF(K1148=0,0,$D1147-K1149),0))</f>
        <v>0</v>
      </c>
      <c r="L1150" s="254">
        <f t="shared" ref="L1150:X1150" ca="1" si="995">IF($D1146=LataProjekcji,ROUND($D1147-L1149,0),ROUND(IF(AND(L1148=0,K1150&gt;0),$D1147-L1149,IF(L1148=0,0,$D1147-L1149)),0))</f>
        <v>0</v>
      </c>
      <c r="M1150" s="254">
        <f t="shared" ca="1" si="995"/>
        <v>0</v>
      </c>
      <c r="N1150" s="254">
        <f t="shared" ca="1" si="995"/>
        <v>0</v>
      </c>
      <c r="O1150" s="254">
        <f t="shared" ca="1" si="995"/>
        <v>0</v>
      </c>
      <c r="P1150" s="254">
        <f t="shared" ca="1" si="995"/>
        <v>0</v>
      </c>
      <c r="Q1150" s="254">
        <f t="shared" ca="1" si="995"/>
        <v>0</v>
      </c>
      <c r="R1150" s="254">
        <f t="shared" ca="1" si="995"/>
        <v>0</v>
      </c>
      <c r="S1150" s="254">
        <f t="shared" ca="1" si="995"/>
        <v>0</v>
      </c>
      <c r="T1150" s="254">
        <f t="shared" ca="1" si="995"/>
        <v>0</v>
      </c>
      <c r="U1150" s="254">
        <f t="shared" ca="1" si="995"/>
        <v>0</v>
      </c>
      <c r="V1150" s="254">
        <f t="shared" ca="1" si="995"/>
        <v>0</v>
      </c>
      <c r="W1150" s="254">
        <f t="shared" ca="1" si="995"/>
        <v>0</v>
      </c>
      <c r="X1150" s="254">
        <f t="shared" ca="1" si="995"/>
        <v>0</v>
      </c>
    </row>
    <row r="1151" spans="1:24" hidden="1">
      <c r="A1151" s="328"/>
      <c r="B1151" s="21"/>
      <c r="C1151" s="21"/>
      <c r="D1151" s="22"/>
      <c r="E1151" s="21"/>
      <c r="F1151" s="21"/>
      <c r="G1151" s="21"/>
      <c r="H1151" s="404">
        <f>H1144+1</f>
        <v>2</v>
      </c>
      <c r="I1151" s="483" cm="1">
        <f t="array" aca="1" ref="I1151" ca="1">OFFSET('Środki trwałe'!$C$197,H1151,,)</f>
        <v>0</v>
      </c>
      <c r="J1151" s="404" t="s">
        <v>427</v>
      </c>
      <c r="K1151" s="405">
        <f t="shared" ref="K1151:X1151" ca="1" si="996">IF(AND(OFFSET($F$195,$D1145,0)="tak",OFFSET($G$195,$D1145,0)="tak",OFFSET($J$195,$D1145,0)="ok",LataProjekcji&lt;=Koniec_Projekt),ROUND(K1148*OFFSET($K$223,$H1151,(COLUMN()-11)),0),0)</f>
        <v>0</v>
      </c>
      <c r="L1151" s="405">
        <f t="shared" ca="1" si="996"/>
        <v>0</v>
      </c>
      <c r="M1151" s="405">
        <f t="shared" ca="1" si="996"/>
        <v>0</v>
      </c>
      <c r="N1151" s="405">
        <f t="shared" ca="1" si="996"/>
        <v>0</v>
      </c>
      <c r="O1151" s="405">
        <f t="shared" ca="1" si="996"/>
        <v>0</v>
      </c>
      <c r="P1151" s="405">
        <f t="shared" ca="1" si="996"/>
        <v>0</v>
      </c>
      <c r="Q1151" s="405">
        <f t="shared" ca="1" si="996"/>
        <v>0</v>
      </c>
      <c r="R1151" s="405">
        <f t="shared" ca="1" si="996"/>
        <v>0</v>
      </c>
      <c r="S1151" s="405">
        <f t="shared" ca="1" si="996"/>
        <v>0</v>
      </c>
      <c r="T1151" s="405">
        <f t="shared" ca="1" si="996"/>
        <v>0</v>
      </c>
      <c r="U1151" s="405">
        <f t="shared" ca="1" si="996"/>
        <v>0</v>
      </c>
      <c r="V1151" s="405">
        <f t="shared" ca="1" si="996"/>
        <v>0</v>
      </c>
      <c r="W1151" s="405">
        <f t="shared" ca="1" si="996"/>
        <v>0</v>
      </c>
      <c r="X1151" s="405">
        <f t="shared" ca="1" si="996"/>
        <v>0</v>
      </c>
    </row>
    <row r="1152" spans="1:24" hidden="1">
      <c r="A1152" s="328"/>
      <c r="B1152" s="20" t="s">
        <v>419</v>
      </c>
      <c r="C1152" s="20"/>
      <c r="D1152" s="21">
        <f>D1145+1</f>
        <v>5</v>
      </c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</row>
    <row r="1153" spans="1:24" hidden="1">
      <c r="A1153" s="328"/>
      <c r="B1153" s="21" t="s">
        <v>414</v>
      </c>
      <c r="C1153" s="21"/>
      <c r="D1153" s="165">
        <f ca="1">YEAR(OFFSET($E$195,D1152,0))</f>
        <v>1900</v>
      </c>
      <c r="E1153" s="165">
        <f ca="1">MONTH(OFFSET($E$195,D1152,0))</f>
        <v>1</v>
      </c>
      <c r="F1153" s="21">
        <f ca="1">12-$E1153</f>
        <v>11</v>
      </c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</row>
    <row r="1154" spans="1:24" hidden="1">
      <c r="A1154" s="328"/>
      <c r="B1154" s="21" t="s">
        <v>406</v>
      </c>
      <c r="C1154" s="21"/>
      <c r="D1154" s="247">
        <f ca="1">IF(E1154&lt;0,0,ROUND(E1154,0))</f>
        <v>0</v>
      </c>
      <c r="E1154" s="249">
        <f ca="1">OFFSET($D$195,D1152,0)</f>
        <v>0</v>
      </c>
      <c r="F1154" s="247">
        <f ca="1">IF(E1154&gt;10,ROUND(($D1155/12)*$F1153,0),$D1154)</f>
        <v>0</v>
      </c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328"/>
      <c r="B1155" s="21" t="s">
        <v>415</v>
      </c>
      <c r="C1155" s="21"/>
      <c r="D1155" s="247">
        <f ca="1">IF(ISBLANK(OFFSET($E$195,D1152,0)),0,IF(E1154&gt;10,ROUND(D1154*am_prace_rozwojowe,0),IF(D1154&lt;0,0,D1154)))</f>
        <v>0</v>
      </c>
      <c r="E1155" s="21"/>
      <c r="F1155" s="21"/>
      <c r="G1155" s="21"/>
      <c r="H1155" s="21"/>
      <c r="I1155" s="21"/>
      <c r="J1155" s="21"/>
      <c r="K1155" s="75">
        <f ca="1">ROUND(IF(($D1153+1)=K$192,$D1155,0),0)</f>
        <v>0</v>
      </c>
      <c r="L1155" s="248">
        <f ca="1">ROUND(IF(OR(AND($D1153=LataProjekcji,$F1153&gt;0),AND($D1153=LataProjekcji,$F1153=0,$E1154&lt;=10)),$F1154,IF($D1153&lt;LataProjekcji,IF((SUM($K1155:K1155)+$D1155)&lt;$D1154,$D1155,$D1154-SUM($K1155:K1155)),0)),0)</f>
        <v>0</v>
      </c>
      <c r="M1155" s="248">
        <f ca="1">ROUND(IF(OR(AND($D1153=LataProjekcji,$F1153&gt;0),AND($D1153=LataProjekcji,$F1153=0,$E1154&lt;=10)),$F1154,IF($D1153&lt;LataProjekcji,IF((SUM($K1155:L1155)+$D1155)&lt;$D1154,$D1155,$D1154-SUM($K1155:L1155)),0)),0)</f>
        <v>0</v>
      </c>
      <c r="N1155" s="248">
        <f ca="1">ROUND(IF(OR(AND($D1153=LataProjekcji,$F1153&gt;0),AND($D1153=LataProjekcji,$F1153=0,$E1154&lt;=10)),$F1154,IF($D1153&lt;LataProjekcji,IF((SUM($K1155:M1155)+$D1155)&lt;$D1154,$D1155,$D1154-SUM($K1155:M1155)),0)),0)</f>
        <v>0</v>
      </c>
      <c r="O1155" s="248">
        <f ca="1">ROUND(IF(OR(AND($D1153=LataProjekcji,$F1153&gt;0),AND($D1153=LataProjekcji,$F1153=0,$E1154&lt;=10)),$F1154,IF($D1153&lt;LataProjekcji,IF((SUM($K1155:N1155)+$D1155)&lt;$D1154,$D1155,$D1154-SUM($K1155:N1155)),0)),0)</f>
        <v>0</v>
      </c>
      <c r="P1155" s="248">
        <f ca="1">ROUND(IF(OR(AND($D1153=LataProjekcji,$F1153&gt;0),AND($D1153=LataProjekcji,$F1153=0,$E1154&lt;=10)),$F1154,IF($D1153&lt;LataProjekcji,IF((SUM($K1155:O1155)+$D1155)&lt;$D1154,$D1155,$D1154-SUM($K1155:O1155)),0)),0)</f>
        <v>0</v>
      </c>
      <c r="Q1155" s="248">
        <f ca="1">ROUND(IF(OR(AND($D1153=LataProjekcji,$F1153&gt;0),AND($D1153=LataProjekcji,$F1153=0,$E1154&lt;=10)),$F1154,IF($D1153&lt;LataProjekcji,IF((SUM($K1155:P1155)+$D1155)&lt;$D1154,$D1155,$D1154-SUM($K1155:P1155)),0)),0)</f>
        <v>0</v>
      </c>
      <c r="R1155" s="248">
        <f ca="1">ROUND(IF(OR(AND($D1153=LataProjekcji,$F1153&gt;0),AND($D1153=LataProjekcji,$F1153=0,$E1154&lt;=10)),$F1154,IF($D1153&lt;LataProjekcji,IF((SUM($K1155:Q1155)+$D1155)&lt;$D1154,$D1155,$D1154-SUM($K1155:Q1155)),0)),0)</f>
        <v>0</v>
      </c>
      <c r="S1155" s="248">
        <f ca="1">ROUND(IF(OR(AND($D1153=LataProjekcji,$F1153&gt;0),AND($D1153=LataProjekcji,$F1153=0,$E1154&lt;=10)),$F1154,IF($D1153&lt;LataProjekcji,IF((SUM($K1155:R1155)+$D1155)&lt;$D1154,$D1155,$D1154-SUM($K1155:R1155)),0)),0)</f>
        <v>0</v>
      </c>
      <c r="T1155" s="248">
        <f ca="1">ROUND(IF(OR(AND($D1153=LataProjekcji,$F1153&gt;0),AND($D1153=LataProjekcji,$F1153=0,$E1154&lt;=10)),$F1154,IF($D1153&lt;LataProjekcji,IF((SUM($K1155:S1155)+$D1155)&lt;$D1154,$D1155,$D1154-SUM($K1155:S1155)),0)),0)</f>
        <v>0</v>
      </c>
      <c r="U1155" s="248">
        <f ca="1">ROUND(IF(OR(AND($D1153=LataProjekcji,$F1153&gt;0),AND($D1153=LataProjekcji,$F1153=0,$E1154&lt;=10)),$F1154,IF($D1153&lt;LataProjekcji,IF((SUM($K1155:T1155)+$D1155)&lt;$D1154,$D1155,$D1154-SUM($K1155:T1155)),0)),0)</f>
        <v>0</v>
      </c>
      <c r="V1155" s="248">
        <f ca="1">ROUND(IF(OR(AND($D1153=LataProjekcji,$F1153&gt;0),AND($D1153=LataProjekcji,$F1153=0,$E1154&lt;=10)),$F1154,IF($D1153&lt;LataProjekcji,IF((SUM($K1155:U1155)+$D1155)&lt;$D1154,$D1155,$D1154-SUM($K1155:U1155)),0)),0)</f>
        <v>0</v>
      </c>
      <c r="W1155" s="248">
        <f ca="1">ROUND(IF(OR(AND($D1153=LataProjekcji,$F1153&gt;0),AND($D1153=LataProjekcji,$F1153=0,$E1154&lt;=10)),$F1154,IF($D1153&lt;LataProjekcji,IF((SUM($K1155:V1155)+$D1155)&lt;$D1154,$D1155,$D1154-SUM($K1155:V1155)),0)),0)</f>
        <v>0</v>
      </c>
      <c r="X1155" s="248">
        <f ca="1">ROUND(IF(OR(AND($D1153=LataProjekcji,$F1153&gt;0),AND($D1153=LataProjekcji,$F1153=0,$E1154&lt;=10)),$F1154,IF($D1153&lt;LataProjekcji,IF((SUM($K1155:W1155)+$D1155)&lt;$D1154,$D1155,$D1154-SUM($K1155:W1155)),0)),0)</f>
        <v>0</v>
      </c>
    </row>
    <row r="1156" spans="1:24" hidden="1">
      <c r="A1156" s="328"/>
      <c r="B1156" s="21" t="s">
        <v>416</v>
      </c>
      <c r="C1156" s="21"/>
      <c r="D1156" s="22"/>
      <c r="E1156" s="21"/>
      <c r="F1156" s="21"/>
      <c r="G1156" s="21"/>
      <c r="H1156" s="21"/>
      <c r="I1156" s="21"/>
      <c r="J1156" s="21"/>
      <c r="K1156" s="22">
        <f ca="1">ROUND(K1155,0)</f>
        <v>0</v>
      </c>
      <c r="L1156" s="22">
        <f t="shared" ref="L1156" ca="1" si="997">ROUND(K1156+L1155,0)</f>
        <v>0</v>
      </c>
      <c r="M1156" s="22">
        <f t="shared" ref="M1156" ca="1" si="998">ROUND(L1156+M1155,0)</f>
        <v>0</v>
      </c>
      <c r="N1156" s="22">
        <f t="shared" ref="N1156" ca="1" si="999">ROUND(M1156+N1155,0)</f>
        <v>0</v>
      </c>
      <c r="O1156" s="22">
        <f t="shared" ref="O1156" ca="1" si="1000">ROUND(N1156+O1155,0)</f>
        <v>0</v>
      </c>
      <c r="P1156" s="22">
        <f t="shared" ref="P1156" ca="1" si="1001">ROUND(O1156+P1155,0)</f>
        <v>0</v>
      </c>
      <c r="Q1156" s="22">
        <f t="shared" ref="Q1156" ca="1" si="1002">ROUND(P1156+Q1155,0)</f>
        <v>0</v>
      </c>
      <c r="R1156" s="22">
        <f t="shared" ref="R1156" ca="1" si="1003">ROUND(Q1156+R1155,0)</f>
        <v>0</v>
      </c>
      <c r="S1156" s="22">
        <f t="shared" ref="S1156" ca="1" si="1004">ROUND(R1156+S1155,0)</f>
        <v>0</v>
      </c>
      <c r="T1156" s="22">
        <f t="shared" ref="T1156" ca="1" si="1005">ROUND(S1156+T1155,0)</f>
        <v>0</v>
      </c>
      <c r="U1156" s="22">
        <f t="shared" ref="U1156" ca="1" si="1006">ROUND(T1156+U1155,0)</f>
        <v>0</v>
      </c>
      <c r="V1156" s="22">
        <f t="shared" ref="V1156" ca="1" si="1007">ROUND(U1156+V1155,0)</f>
        <v>0</v>
      </c>
      <c r="W1156" s="22">
        <f t="shared" ref="W1156" ca="1" si="1008">ROUND(V1156+W1155,0)</f>
        <v>0</v>
      </c>
      <c r="X1156" s="22">
        <f t="shared" ref="X1156" ca="1" si="1009">ROUND(W1156+X1155,0)</f>
        <v>0</v>
      </c>
    </row>
    <row r="1157" spans="1:24" hidden="1">
      <c r="A1157" s="328"/>
      <c r="B1157" s="21" t="s">
        <v>406</v>
      </c>
      <c r="C1157" s="21"/>
      <c r="D1157" s="22"/>
      <c r="E1157" s="21"/>
      <c r="F1157" s="21"/>
      <c r="G1157" s="21"/>
      <c r="H1157" s="21"/>
      <c r="I1157" s="21"/>
      <c r="J1157" s="21"/>
      <c r="K1157" s="77">
        <f ca="1">IF($D1153=LataProjekcji,ROUND($D1154-K1156,0),ROUND(IF(K1155=0,0,$D1154-K1156),0))</f>
        <v>0</v>
      </c>
      <c r="L1157" s="254">
        <f t="shared" ref="L1157:X1157" ca="1" si="1010">IF($D1153=LataProjekcji,ROUND($D1154-L1156,0),ROUND(IF(AND(L1155=0,K1157&gt;0),$D1154-L1156,IF(L1155=0,0,$D1154-L1156)),0))</f>
        <v>0</v>
      </c>
      <c r="M1157" s="254">
        <f t="shared" ca="1" si="1010"/>
        <v>0</v>
      </c>
      <c r="N1157" s="254">
        <f t="shared" ca="1" si="1010"/>
        <v>0</v>
      </c>
      <c r="O1157" s="254">
        <f t="shared" ca="1" si="1010"/>
        <v>0</v>
      </c>
      <c r="P1157" s="254">
        <f t="shared" ca="1" si="1010"/>
        <v>0</v>
      </c>
      <c r="Q1157" s="254">
        <f t="shared" ca="1" si="1010"/>
        <v>0</v>
      </c>
      <c r="R1157" s="254">
        <f t="shared" ca="1" si="1010"/>
        <v>0</v>
      </c>
      <c r="S1157" s="254">
        <f t="shared" ca="1" si="1010"/>
        <v>0</v>
      </c>
      <c r="T1157" s="254">
        <f t="shared" ca="1" si="1010"/>
        <v>0</v>
      </c>
      <c r="U1157" s="254">
        <f t="shared" ca="1" si="1010"/>
        <v>0</v>
      </c>
      <c r="V1157" s="254">
        <f t="shared" ca="1" si="1010"/>
        <v>0</v>
      </c>
      <c r="W1157" s="254">
        <f t="shared" ca="1" si="1010"/>
        <v>0</v>
      </c>
      <c r="X1157" s="254">
        <f t="shared" ca="1" si="1010"/>
        <v>0</v>
      </c>
    </row>
    <row r="1158" spans="1:24" hidden="1">
      <c r="A1158" s="328"/>
      <c r="B1158" s="21"/>
      <c r="C1158" s="21"/>
      <c r="D1158" s="21"/>
      <c r="E1158" s="21"/>
      <c r="F1158" s="21"/>
      <c r="G1158" s="21"/>
      <c r="H1158" s="404">
        <f>H1151+1</f>
        <v>3</v>
      </c>
      <c r="I1158" s="483" cm="1">
        <f t="array" aca="1" ref="I1158" ca="1">OFFSET('Środki trwałe'!$C$197,H1158,,)</f>
        <v>0</v>
      </c>
      <c r="J1158" s="404" t="s">
        <v>427</v>
      </c>
      <c r="K1158" s="405">
        <f t="shared" ref="K1158:X1158" ca="1" si="1011">IF(AND(OFFSET($F$195,$D1152,0)="tak",OFFSET($G$195,$D1152,0)="tak",OFFSET($J$195,$D1152,0)="ok",LataProjekcji&lt;=Koniec_Projekt),ROUND(K1155*OFFSET($K$223,$H1158,(COLUMN()-11)),0),0)</f>
        <v>0</v>
      </c>
      <c r="L1158" s="405">
        <f t="shared" ca="1" si="1011"/>
        <v>0</v>
      </c>
      <c r="M1158" s="405">
        <f t="shared" ca="1" si="1011"/>
        <v>0</v>
      </c>
      <c r="N1158" s="405">
        <f t="shared" ca="1" si="1011"/>
        <v>0</v>
      </c>
      <c r="O1158" s="405">
        <f t="shared" ca="1" si="1011"/>
        <v>0</v>
      </c>
      <c r="P1158" s="405">
        <f t="shared" ca="1" si="1011"/>
        <v>0</v>
      </c>
      <c r="Q1158" s="405">
        <f t="shared" ca="1" si="1011"/>
        <v>0</v>
      </c>
      <c r="R1158" s="405">
        <f t="shared" ca="1" si="1011"/>
        <v>0</v>
      </c>
      <c r="S1158" s="405">
        <f t="shared" ca="1" si="1011"/>
        <v>0</v>
      </c>
      <c r="T1158" s="405">
        <f t="shared" ca="1" si="1011"/>
        <v>0</v>
      </c>
      <c r="U1158" s="405">
        <f t="shared" ca="1" si="1011"/>
        <v>0</v>
      </c>
      <c r="V1158" s="405">
        <f t="shared" ca="1" si="1011"/>
        <v>0</v>
      </c>
      <c r="W1158" s="405">
        <f t="shared" ca="1" si="1011"/>
        <v>0</v>
      </c>
      <c r="X1158" s="405">
        <f t="shared" ca="1" si="1011"/>
        <v>0</v>
      </c>
    </row>
    <row r="1159" spans="1:24" hidden="1">
      <c r="A1159" s="328"/>
      <c r="B1159" s="20" t="s">
        <v>418</v>
      </c>
      <c r="C1159" s="20"/>
      <c r="D1159" s="21">
        <f>D1152+1</f>
        <v>6</v>
      </c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</row>
    <row r="1160" spans="1:24" hidden="1">
      <c r="A1160" s="328"/>
      <c r="B1160" s="21" t="s">
        <v>414</v>
      </c>
      <c r="C1160" s="21"/>
      <c r="D1160" s="165">
        <f ca="1">YEAR(OFFSET($E$195,D1159,0))</f>
        <v>1900</v>
      </c>
      <c r="E1160" s="165">
        <f ca="1">MONTH(OFFSET($E$195,D1159,0))</f>
        <v>1</v>
      </c>
      <c r="F1160" s="21">
        <f ca="1">12-$E1160</f>
        <v>11</v>
      </c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</row>
    <row r="1161" spans="1:24" hidden="1">
      <c r="A1161" s="328"/>
      <c r="B1161" s="21" t="s">
        <v>406</v>
      </c>
      <c r="C1161" s="21"/>
      <c r="D1161" s="247">
        <f ca="1">IF(E1161&lt;0,0,ROUND(E1161,0))</f>
        <v>0</v>
      </c>
      <c r="E1161" s="249">
        <f ca="1">OFFSET($D$195,D1159,0)</f>
        <v>0</v>
      </c>
      <c r="F1161" s="247">
        <f ca="1">IF(E1161&gt;10,ROUND(($D1162/12)*$F1160,0),$D1161)</f>
        <v>0</v>
      </c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328"/>
      <c r="B1162" s="21" t="s">
        <v>415</v>
      </c>
      <c r="C1162" s="21"/>
      <c r="D1162" s="247">
        <f ca="1">IF(ISBLANK(OFFSET($E$195,D1159,0)),0,IF(E1161&gt;10,ROUND(D1161*am_prace_rozwojowe,0),IF(D1161&lt;0,0,D1161)))</f>
        <v>0</v>
      </c>
      <c r="E1162" s="21"/>
      <c r="F1162" s="21"/>
      <c r="G1162" s="21"/>
      <c r="H1162" s="21"/>
      <c r="I1162" s="21"/>
      <c r="J1162" s="21"/>
      <c r="K1162" s="75">
        <f ca="1">ROUND(IF(($D1160+1)=K$192,$D1162,0),0)</f>
        <v>0</v>
      </c>
      <c r="L1162" s="248">
        <f ca="1">ROUND(IF(OR(AND($D1160=LataProjekcji,$F1160&gt;0),AND($D1160=LataProjekcji,$F1160=0,$E1161&lt;=10)),$F1161,IF($D1160&lt;LataProjekcji,IF((SUM($K1162:K1162)+$D1162)&lt;$D1161,$D1162,$D1161-SUM($K1162:K1162)),0)),0)</f>
        <v>0</v>
      </c>
      <c r="M1162" s="248">
        <f ca="1">ROUND(IF(OR(AND($D1160=LataProjekcji,$F1160&gt;0),AND($D1160=LataProjekcji,$F1160=0,$E1161&lt;=10)),$F1161,IF($D1160&lt;LataProjekcji,IF((SUM($K1162:L1162)+$D1162)&lt;$D1161,$D1162,$D1161-SUM($K1162:L1162)),0)),0)</f>
        <v>0</v>
      </c>
      <c r="N1162" s="248">
        <f ca="1">ROUND(IF(OR(AND($D1160=LataProjekcji,$F1160&gt;0),AND($D1160=LataProjekcji,$F1160=0,$E1161&lt;=10)),$F1161,IF($D1160&lt;LataProjekcji,IF((SUM($K1162:M1162)+$D1162)&lt;$D1161,$D1162,$D1161-SUM($K1162:M1162)),0)),0)</f>
        <v>0</v>
      </c>
      <c r="O1162" s="248">
        <f ca="1">ROUND(IF(OR(AND($D1160=LataProjekcji,$F1160&gt;0),AND($D1160=LataProjekcji,$F1160=0,$E1161&lt;=10)),$F1161,IF($D1160&lt;LataProjekcji,IF((SUM($K1162:N1162)+$D1162)&lt;$D1161,$D1162,$D1161-SUM($K1162:N1162)),0)),0)</f>
        <v>0</v>
      </c>
      <c r="P1162" s="248">
        <f ca="1">ROUND(IF(OR(AND($D1160=LataProjekcji,$F1160&gt;0),AND($D1160=LataProjekcji,$F1160=0,$E1161&lt;=10)),$F1161,IF($D1160&lt;LataProjekcji,IF((SUM($K1162:O1162)+$D1162)&lt;$D1161,$D1162,$D1161-SUM($K1162:O1162)),0)),0)</f>
        <v>0</v>
      </c>
      <c r="Q1162" s="248">
        <f ca="1">ROUND(IF(OR(AND($D1160=LataProjekcji,$F1160&gt;0),AND($D1160=LataProjekcji,$F1160=0,$E1161&lt;=10)),$F1161,IF($D1160&lt;LataProjekcji,IF((SUM($K1162:P1162)+$D1162)&lt;$D1161,$D1162,$D1161-SUM($K1162:P1162)),0)),0)</f>
        <v>0</v>
      </c>
      <c r="R1162" s="248">
        <f ca="1">ROUND(IF(OR(AND($D1160=LataProjekcji,$F1160&gt;0),AND($D1160=LataProjekcji,$F1160=0,$E1161&lt;=10)),$F1161,IF($D1160&lt;LataProjekcji,IF((SUM($K1162:Q1162)+$D1162)&lt;$D1161,$D1162,$D1161-SUM($K1162:Q1162)),0)),0)</f>
        <v>0</v>
      </c>
      <c r="S1162" s="248">
        <f ca="1">ROUND(IF(OR(AND($D1160=LataProjekcji,$F1160&gt;0),AND($D1160=LataProjekcji,$F1160=0,$E1161&lt;=10)),$F1161,IF($D1160&lt;LataProjekcji,IF((SUM($K1162:R1162)+$D1162)&lt;$D1161,$D1162,$D1161-SUM($K1162:R1162)),0)),0)</f>
        <v>0</v>
      </c>
      <c r="T1162" s="248">
        <f ca="1">ROUND(IF(OR(AND($D1160=LataProjekcji,$F1160&gt;0),AND($D1160=LataProjekcji,$F1160=0,$E1161&lt;=10)),$F1161,IF($D1160&lt;LataProjekcji,IF((SUM($K1162:S1162)+$D1162)&lt;$D1161,$D1162,$D1161-SUM($K1162:S1162)),0)),0)</f>
        <v>0</v>
      </c>
      <c r="U1162" s="248">
        <f ca="1">ROUND(IF(OR(AND($D1160=LataProjekcji,$F1160&gt;0),AND($D1160=LataProjekcji,$F1160=0,$E1161&lt;=10)),$F1161,IF($D1160&lt;LataProjekcji,IF((SUM($K1162:T1162)+$D1162)&lt;$D1161,$D1162,$D1161-SUM($K1162:T1162)),0)),0)</f>
        <v>0</v>
      </c>
      <c r="V1162" s="248">
        <f ca="1">ROUND(IF(OR(AND($D1160=LataProjekcji,$F1160&gt;0),AND($D1160=LataProjekcji,$F1160=0,$E1161&lt;=10)),$F1161,IF($D1160&lt;LataProjekcji,IF((SUM($K1162:U1162)+$D1162)&lt;$D1161,$D1162,$D1161-SUM($K1162:U1162)),0)),0)</f>
        <v>0</v>
      </c>
      <c r="W1162" s="248">
        <f ca="1">ROUND(IF(OR(AND($D1160=LataProjekcji,$F1160&gt;0),AND($D1160=LataProjekcji,$F1160=0,$E1161&lt;=10)),$F1161,IF($D1160&lt;LataProjekcji,IF((SUM($K1162:V1162)+$D1162)&lt;$D1161,$D1162,$D1161-SUM($K1162:V1162)),0)),0)</f>
        <v>0</v>
      </c>
      <c r="X1162" s="248">
        <f ca="1">ROUND(IF(OR(AND($D1160=LataProjekcji,$F1160&gt;0),AND($D1160=LataProjekcji,$F1160=0,$E1161&lt;=10)),$F1161,IF($D1160&lt;LataProjekcji,IF((SUM($K1162:W1162)+$D1162)&lt;$D1161,$D1162,$D1161-SUM($K1162:W1162)),0)),0)</f>
        <v>0</v>
      </c>
    </row>
    <row r="1163" spans="1:24" hidden="1">
      <c r="A1163" s="328"/>
      <c r="B1163" s="21" t="s">
        <v>416</v>
      </c>
      <c r="C1163" s="21"/>
      <c r="D1163" s="22"/>
      <c r="E1163" s="21"/>
      <c r="F1163" s="21"/>
      <c r="G1163" s="21"/>
      <c r="H1163" s="21"/>
      <c r="I1163" s="21"/>
      <c r="J1163" s="21"/>
      <c r="K1163" s="22">
        <f ca="1">ROUND(K1162,0)</f>
        <v>0</v>
      </c>
      <c r="L1163" s="22">
        <f t="shared" ref="L1163" ca="1" si="1012">ROUND(K1163+L1162,0)</f>
        <v>0</v>
      </c>
      <c r="M1163" s="22">
        <f t="shared" ref="M1163" ca="1" si="1013">ROUND(L1163+M1162,0)</f>
        <v>0</v>
      </c>
      <c r="N1163" s="22">
        <f t="shared" ref="N1163" ca="1" si="1014">ROUND(M1163+N1162,0)</f>
        <v>0</v>
      </c>
      <c r="O1163" s="22">
        <f t="shared" ref="O1163" ca="1" si="1015">ROUND(N1163+O1162,0)</f>
        <v>0</v>
      </c>
      <c r="P1163" s="22">
        <f t="shared" ref="P1163" ca="1" si="1016">ROUND(O1163+P1162,0)</f>
        <v>0</v>
      </c>
      <c r="Q1163" s="22">
        <f t="shared" ref="Q1163" ca="1" si="1017">ROUND(P1163+Q1162,0)</f>
        <v>0</v>
      </c>
      <c r="R1163" s="22">
        <f t="shared" ref="R1163" ca="1" si="1018">ROUND(Q1163+R1162,0)</f>
        <v>0</v>
      </c>
      <c r="S1163" s="22">
        <f t="shared" ref="S1163" ca="1" si="1019">ROUND(R1163+S1162,0)</f>
        <v>0</v>
      </c>
      <c r="T1163" s="22">
        <f t="shared" ref="T1163" ca="1" si="1020">ROUND(S1163+T1162,0)</f>
        <v>0</v>
      </c>
      <c r="U1163" s="22">
        <f t="shared" ref="U1163" ca="1" si="1021">ROUND(T1163+U1162,0)</f>
        <v>0</v>
      </c>
      <c r="V1163" s="22">
        <f t="shared" ref="V1163" ca="1" si="1022">ROUND(U1163+V1162,0)</f>
        <v>0</v>
      </c>
      <c r="W1163" s="22">
        <f t="shared" ref="W1163" ca="1" si="1023">ROUND(V1163+W1162,0)</f>
        <v>0</v>
      </c>
      <c r="X1163" s="22">
        <f t="shared" ref="X1163" ca="1" si="1024">ROUND(W1163+X1162,0)</f>
        <v>0</v>
      </c>
    </row>
    <row r="1164" spans="1:24" hidden="1">
      <c r="A1164" s="328"/>
      <c r="B1164" s="21" t="s">
        <v>406</v>
      </c>
      <c r="C1164" s="21"/>
      <c r="D1164" s="22"/>
      <c r="E1164" s="21"/>
      <c r="F1164" s="21"/>
      <c r="G1164" s="21"/>
      <c r="H1164" s="21"/>
      <c r="I1164" s="21"/>
      <c r="J1164" s="21"/>
      <c r="K1164" s="77">
        <f ca="1">IF($D1160=LataProjekcji,ROUND($D1161-K1163,0),ROUND(IF(K1162=0,0,$D1161-K1163),0))</f>
        <v>0</v>
      </c>
      <c r="L1164" s="254">
        <f t="shared" ref="L1164:X1164" ca="1" si="1025">IF($D1160=LataProjekcji,ROUND($D1161-L1163,0),ROUND(IF(AND(L1162=0,K1164&gt;0),$D1161-L1163,IF(L1162=0,0,$D1161-L1163)),0))</f>
        <v>0</v>
      </c>
      <c r="M1164" s="254">
        <f t="shared" ca="1" si="1025"/>
        <v>0</v>
      </c>
      <c r="N1164" s="254">
        <f t="shared" ca="1" si="1025"/>
        <v>0</v>
      </c>
      <c r="O1164" s="254">
        <f t="shared" ca="1" si="1025"/>
        <v>0</v>
      </c>
      <c r="P1164" s="254">
        <f t="shared" ca="1" si="1025"/>
        <v>0</v>
      </c>
      <c r="Q1164" s="254">
        <f t="shared" ca="1" si="1025"/>
        <v>0</v>
      </c>
      <c r="R1164" s="254">
        <f t="shared" ca="1" si="1025"/>
        <v>0</v>
      </c>
      <c r="S1164" s="254">
        <f t="shared" ca="1" si="1025"/>
        <v>0</v>
      </c>
      <c r="T1164" s="254">
        <f t="shared" ca="1" si="1025"/>
        <v>0</v>
      </c>
      <c r="U1164" s="254">
        <f t="shared" ca="1" si="1025"/>
        <v>0</v>
      </c>
      <c r="V1164" s="254">
        <f t="shared" ca="1" si="1025"/>
        <v>0</v>
      </c>
      <c r="W1164" s="254">
        <f t="shared" ca="1" si="1025"/>
        <v>0</v>
      </c>
      <c r="X1164" s="254">
        <f t="shared" ca="1" si="1025"/>
        <v>0</v>
      </c>
    </row>
    <row r="1165" spans="1:24" hidden="1">
      <c r="A1165" s="328"/>
      <c r="B1165" s="21"/>
      <c r="C1165" s="21"/>
      <c r="D1165" s="22"/>
      <c r="E1165" s="21"/>
      <c r="F1165" s="21"/>
      <c r="G1165" s="21"/>
      <c r="H1165" s="404">
        <f>H1158+1</f>
        <v>4</v>
      </c>
      <c r="I1165" s="483" cm="1">
        <f t="array" aca="1" ref="I1165" ca="1">OFFSET('Środki trwałe'!$C$197,H1165,,)</f>
        <v>0</v>
      </c>
      <c r="J1165" s="404" t="s">
        <v>427</v>
      </c>
      <c r="K1165" s="405">
        <f t="shared" ref="K1165:X1165" ca="1" si="1026">IF(AND(OFFSET($F$195,$D1159,0)="tak",OFFSET($G$195,$D1159,0)="tak",OFFSET($J$195,$D1159,0)="ok",LataProjekcji&lt;=Koniec_Projekt),ROUND(K1162*OFFSET($K$223,$H1165,(COLUMN()-11)),0),0)</f>
        <v>0</v>
      </c>
      <c r="L1165" s="405">
        <f t="shared" ca="1" si="1026"/>
        <v>0</v>
      </c>
      <c r="M1165" s="405">
        <f t="shared" ca="1" si="1026"/>
        <v>0</v>
      </c>
      <c r="N1165" s="405">
        <f t="shared" ca="1" si="1026"/>
        <v>0</v>
      </c>
      <c r="O1165" s="405">
        <f t="shared" ca="1" si="1026"/>
        <v>0</v>
      </c>
      <c r="P1165" s="405">
        <f t="shared" ca="1" si="1026"/>
        <v>0</v>
      </c>
      <c r="Q1165" s="405">
        <f t="shared" ca="1" si="1026"/>
        <v>0</v>
      </c>
      <c r="R1165" s="405">
        <f t="shared" ca="1" si="1026"/>
        <v>0</v>
      </c>
      <c r="S1165" s="405">
        <f t="shared" ca="1" si="1026"/>
        <v>0</v>
      </c>
      <c r="T1165" s="405">
        <f t="shared" ca="1" si="1026"/>
        <v>0</v>
      </c>
      <c r="U1165" s="405">
        <f t="shared" ca="1" si="1026"/>
        <v>0</v>
      </c>
      <c r="V1165" s="405">
        <f t="shared" ca="1" si="1026"/>
        <v>0</v>
      </c>
      <c r="W1165" s="405">
        <f t="shared" ca="1" si="1026"/>
        <v>0</v>
      </c>
      <c r="X1165" s="405">
        <f t="shared" ca="1" si="1026"/>
        <v>0</v>
      </c>
    </row>
    <row r="1166" spans="1:24" hidden="1">
      <c r="A1166" s="328"/>
      <c r="B1166" s="20" t="s">
        <v>419</v>
      </c>
      <c r="C1166" s="20"/>
      <c r="D1166" s="21">
        <f>D1159+1</f>
        <v>7</v>
      </c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</row>
    <row r="1167" spans="1:24" hidden="1">
      <c r="A1167" s="328"/>
      <c r="B1167" s="21" t="s">
        <v>414</v>
      </c>
      <c r="C1167" s="21"/>
      <c r="D1167" s="165">
        <f ca="1">YEAR(OFFSET($E$195,D1166,0))</f>
        <v>1900</v>
      </c>
      <c r="E1167" s="165">
        <f ca="1">MONTH(OFFSET($E$195,D1166,0))</f>
        <v>1</v>
      </c>
      <c r="F1167" s="21">
        <f ca="1">12-$E1167</f>
        <v>11</v>
      </c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</row>
    <row r="1168" spans="1:24" hidden="1">
      <c r="A1168" s="328"/>
      <c r="B1168" s="21" t="s">
        <v>406</v>
      </c>
      <c r="C1168" s="21"/>
      <c r="D1168" s="247">
        <f ca="1">IF(E1168&lt;0,0,ROUND(E1168,0))</f>
        <v>0</v>
      </c>
      <c r="E1168" s="249">
        <f ca="1">OFFSET($D$195,D1166,0)</f>
        <v>0</v>
      </c>
      <c r="F1168" s="247">
        <f ca="1">IF(E1168&gt;10,ROUND(($D1169/12)*$F1167,0),$D1168)</f>
        <v>0</v>
      </c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328"/>
      <c r="B1169" s="21" t="s">
        <v>415</v>
      </c>
      <c r="C1169" s="21"/>
      <c r="D1169" s="247">
        <f ca="1">IF(ISBLANK(OFFSET($E$195,D1166,0)),0,IF(E1168&gt;10,ROUND(D1168*am_prace_rozwojowe,0),IF(D1168&lt;0,0,D1168)))</f>
        <v>0</v>
      </c>
      <c r="E1169" s="21"/>
      <c r="F1169" s="21"/>
      <c r="G1169" s="21"/>
      <c r="H1169" s="21"/>
      <c r="I1169" s="21"/>
      <c r="J1169" s="21"/>
      <c r="K1169" s="75">
        <f ca="1">ROUND(IF(($D1167+1)=K$192,$D1169,0),0)</f>
        <v>0</v>
      </c>
      <c r="L1169" s="248">
        <f ca="1">ROUND(IF(OR(AND($D1167=LataProjekcji,$F1167&gt;0),AND($D1167=LataProjekcji,$F1167=0,$E1168&lt;=10)),$F1168,IF($D1167&lt;LataProjekcji,IF((SUM($K1169:K1169)+$D1169)&lt;$D1168,$D1169,$D1168-SUM($K1169:K1169)),0)),0)</f>
        <v>0</v>
      </c>
      <c r="M1169" s="248">
        <f ca="1">ROUND(IF(OR(AND($D1167=LataProjekcji,$F1167&gt;0),AND($D1167=LataProjekcji,$F1167=0,$E1168&lt;=10)),$F1168,IF($D1167&lt;LataProjekcji,IF((SUM($K1169:L1169)+$D1169)&lt;$D1168,$D1169,$D1168-SUM($K1169:L1169)),0)),0)</f>
        <v>0</v>
      </c>
      <c r="N1169" s="248">
        <f ca="1">ROUND(IF(OR(AND($D1167=LataProjekcji,$F1167&gt;0),AND($D1167=LataProjekcji,$F1167=0,$E1168&lt;=10)),$F1168,IF($D1167&lt;LataProjekcji,IF((SUM($K1169:M1169)+$D1169)&lt;$D1168,$D1169,$D1168-SUM($K1169:M1169)),0)),0)</f>
        <v>0</v>
      </c>
      <c r="O1169" s="248">
        <f ca="1">ROUND(IF(OR(AND($D1167=LataProjekcji,$F1167&gt;0),AND($D1167=LataProjekcji,$F1167=0,$E1168&lt;=10)),$F1168,IF($D1167&lt;LataProjekcji,IF((SUM($K1169:N1169)+$D1169)&lt;$D1168,$D1169,$D1168-SUM($K1169:N1169)),0)),0)</f>
        <v>0</v>
      </c>
      <c r="P1169" s="248">
        <f ca="1">ROUND(IF(OR(AND($D1167=LataProjekcji,$F1167&gt;0),AND($D1167=LataProjekcji,$F1167=0,$E1168&lt;=10)),$F1168,IF($D1167&lt;LataProjekcji,IF((SUM($K1169:O1169)+$D1169)&lt;$D1168,$D1169,$D1168-SUM($K1169:O1169)),0)),0)</f>
        <v>0</v>
      </c>
      <c r="Q1169" s="248">
        <f ca="1">ROUND(IF(OR(AND($D1167=LataProjekcji,$F1167&gt;0),AND($D1167=LataProjekcji,$F1167=0,$E1168&lt;=10)),$F1168,IF($D1167&lt;LataProjekcji,IF((SUM($K1169:P1169)+$D1169)&lt;$D1168,$D1169,$D1168-SUM($K1169:P1169)),0)),0)</f>
        <v>0</v>
      </c>
      <c r="R1169" s="248">
        <f ca="1">ROUND(IF(OR(AND($D1167=LataProjekcji,$F1167&gt;0),AND($D1167=LataProjekcji,$F1167=0,$E1168&lt;=10)),$F1168,IF($D1167&lt;LataProjekcji,IF((SUM($K1169:Q1169)+$D1169)&lt;$D1168,$D1169,$D1168-SUM($K1169:Q1169)),0)),0)</f>
        <v>0</v>
      </c>
      <c r="S1169" s="248">
        <f ca="1">ROUND(IF(OR(AND($D1167=LataProjekcji,$F1167&gt;0),AND($D1167=LataProjekcji,$F1167=0,$E1168&lt;=10)),$F1168,IF($D1167&lt;LataProjekcji,IF((SUM($K1169:R1169)+$D1169)&lt;$D1168,$D1169,$D1168-SUM($K1169:R1169)),0)),0)</f>
        <v>0</v>
      </c>
      <c r="T1169" s="248">
        <f ca="1">ROUND(IF(OR(AND($D1167=LataProjekcji,$F1167&gt;0),AND($D1167=LataProjekcji,$F1167=0,$E1168&lt;=10)),$F1168,IF($D1167&lt;LataProjekcji,IF((SUM($K1169:S1169)+$D1169)&lt;$D1168,$D1169,$D1168-SUM($K1169:S1169)),0)),0)</f>
        <v>0</v>
      </c>
      <c r="U1169" s="248">
        <f ca="1">ROUND(IF(OR(AND($D1167=LataProjekcji,$F1167&gt;0),AND($D1167=LataProjekcji,$F1167=0,$E1168&lt;=10)),$F1168,IF($D1167&lt;LataProjekcji,IF((SUM($K1169:T1169)+$D1169)&lt;$D1168,$D1169,$D1168-SUM($K1169:T1169)),0)),0)</f>
        <v>0</v>
      </c>
      <c r="V1169" s="248">
        <f ca="1">ROUND(IF(OR(AND($D1167=LataProjekcji,$F1167&gt;0),AND($D1167=LataProjekcji,$F1167=0,$E1168&lt;=10)),$F1168,IF($D1167&lt;LataProjekcji,IF((SUM($K1169:U1169)+$D1169)&lt;$D1168,$D1169,$D1168-SUM($K1169:U1169)),0)),0)</f>
        <v>0</v>
      </c>
      <c r="W1169" s="248">
        <f ca="1">ROUND(IF(OR(AND($D1167=LataProjekcji,$F1167&gt;0),AND($D1167=LataProjekcji,$F1167=0,$E1168&lt;=10)),$F1168,IF($D1167&lt;LataProjekcji,IF((SUM($K1169:V1169)+$D1169)&lt;$D1168,$D1169,$D1168-SUM($K1169:V1169)),0)),0)</f>
        <v>0</v>
      </c>
      <c r="X1169" s="248">
        <f ca="1">ROUND(IF(OR(AND($D1167=LataProjekcji,$F1167&gt;0),AND($D1167=LataProjekcji,$F1167=0,$E1168&lt;=10)),$F1168,IF($D1167&lt;LataProjekcji,IF((SUM($K1169:W1169)+$D1169)&lt;$D1168,$D1169,$D1168-SUM($K1169:W1169)),0)),0)</f>
        <v>0</v>
      </c>
    </row>
    <row r="1170" spans="1:24" hidden="1">
      <c r="A1170" s="328"/>
      <c r="B1170" s="21" t="s">
        <v>416</v>
      </c>
      <c r="C1170" s="21"/>
      <c r="D1170" s="22"/>
      <c r="E1170" s="21"/>
      <c r="F1170" s="21"/>
      <c r="G1170" s="21"/>
      <c r="H1170" s="21"/>
      <c r="I1170" s="21"/>
      <c r="J1170" s="21"/>
      <c r="K1170" s="22">
        <f ca="1">ROUND(K1169,0)</f>
        <v>0</v>
      </c>
      <c r="L1170" s="22">
        <f t="shared" ref="L1170" ca="1" si="1027">ROUND(K1170+L1169,0)</f>
        <v>0</v>
      </c>
      <c r="M1170" s="22">
        <f t="shared" ref="M1170" ca="1" si="1028">ROUND(L1170+M1169,0)</f>
        <v>0</v>
      </c>
      <c r="N1170" s="22">
        <f t="shared" ref="N1170" ca="1" si="1029">ROUND(M1170+N1169,0)</f>
        <v>0</v>
      </c>
      <c r="O1170" s="22">
        <f t="shared" ref="O1170" ca="1" si="1030">ROUND(N1170+O1169,0)</f>
        <v>0</v>
      </c>
      <c r="P1170" s="22">
        <f t="shared" ref="P1170" ca="1" si="1031">ROUND(O1170+P1169,0)</f>
        <v>0</v>
      </c>
      <c r="Q1170" s="22">
        <f t="shared" ref="Q1170" ca="1" si="1032">ROUND(P1170+Q1169,0)</f>
        <v>0</v>
      </c>
      <c r="R1170" s="22">
        <f t="shared" ref="R1170" ca="1" si="1033">ROUND(Q1170+R1169,0)</f>
        <v>0</v>
      </c>
      <c r="S1170" s="22">
        <f t="shared" ref="S1170" ca="1" si="1034">ROUND(R1170+S1169,0)</f>
        <v>0</v>
      </c>
      <c r="T1170" s="22">
        <f t="shared" ref="T1170" ca="1" si="1035">ROUND(S1170+T1169,0)</f>
        <v>0</v>
      </c>
      <c r="U1170" s="22">
        <f t="shared" ref="U1170" ca="1" si="1036">ROUND(T1170+U1169,0)</f>
        <v>0</v>
      </c>
      <c r="V1170" s="22">
        <f t="shared" ref="V1170" ca="1" si="1037">ROUND(U1170+V1169,0)</f>
        <v>0</v>
      </c>
      <c r="W1170" s="22">
        <f t="shared" ref="W1170" ca="1" si="1038">ROUND(V1170+W1169,0)</f>
        <v>0</v>
      </c>
      <c r="X1170" s="22">
        <f t="shared" ref="X1170" ca="1" si="1039">ROUND(W1170+X1169,0)</f>
        <v>0</v>
      </c>
    </row>
    <row r="1171" spans="1:24" hidden="1">
      <c r="A1171" s="328"/>
      <c r="B1171" s="21" t="s">
        <v>406</v>
      </c>
      <c r="C1171" s="21"/>
      <c r="D1171" s="22"/>
      <c r="E1171" s="21"/>
      <c r="F1171" s="21"/>
      <c r="G1171" s="21"/>
      <c r="H1171" s="21"/>
      <c r="I1171" s="21"/>
      <c r="J1171" s="21"/>
      <c r="K1171" s="77">
        <f ca="1">IF($D1167=LataProjekcji,ROUND($D1168-K1170,0),ROUND(IF(K1169=0,0,$D1168-K1170),0))</f>
        <v>0</v>
      </c>
      <c r="L1171" s="254">
        <f t="shared" ref="L1171:X1171" ca="1" si="1040">IF($D1167=LataProjekcji,ROUND($D1168-L1170,0),ROUND(IF(AND(L1169=0,K1171&gt;0),$D1168-L1170,IF(L1169=0,0,$D1168-L1170)),0))</f>
        <v>0</v>
      </c>
      <c r="M1171" s="254">
        <f t="shared" ca="1" si="1040"/>
        <v>0</v>
      </c>
      <c r="N1171" s="254">
        <f t="shared" ca="1" si="1040"/>
        <v>0</v>
      </c>
      <c r="O1171" s="254">
        <f t="shared" ca="1" si="1040"/>
        <v>0</v>
      </c>
      <c r="P1171" s="254">
        <f t="shared" ca="1" si="1040"/>
        <v>0</v>
      </c>
      <c r="Q1171" s="254">
        <f t="shared" ca="1" si="1040"/>
        <v>0</v>
      </c>
      <c r="R1171" s="254">
        <f t="shared" ca="1" si="1040"/>
        <v>0</v>
      </c>
      <c r="S1171" s="254">
        <f t="shared" ca="1" si="1040"/>
        <v>0</v>
      </c>
      <c r="T1171" s="254">
        <f t="shared" ca="1" si="1040"/>
        <v>0</v>
      </c>
      <c r="U1171" s="254">
        <f t="shared" ca="1" si="1040"/>
        <v>0</v>
      </c>
      <c r="V1171" s="254">
        <f t="shared" ca="1" si="1040"/>
        <v>0</v>
      </c>
      <c r="W1171" s="254">
        <f t="shared" ca="1" si="1040"/>
        <v>0</v>
      </c>
      <c r="X1171" s="254">
        <f t="shared" ca="1" si="1040"/>
        <v>0</v>
      </c>
    </row>
    <row r="1172" spans="1:24" hidden="1">
      <c r="A1172" s="328"/>
      <c r="B1172" s="21"/>
      <c r="C1172" s="21"/>
      <c r="D1172" s="21"/>
      <c r="E1172" s="21"/>
      <c r="F1172" s="21"/>
      <c r="G1172" s="21"/>
      <c r="H1172" s="404">
        <f>H1165+1</f>
        <v>5</v>
      </c>
      <c r="I1172" s="483" cm="1">
        <f t="array" aca="1" ref="I1172" ca="1">OFFSET('Środki trwałe'!$C$197,H1172,,)</f>
        <v>0</v>
      </c>
      <c r="J1172" s="404" t="s">
        <v>427</v>
      </c>
      <c r="K1172" s="405">
        <f t="shared" ref="K1172:X1172" ca="1" si="1041">IF(AND(OFFSET($F$195,$D1166,0)="tak",OFFSET($G$195,$D1166,0)="tak",OFFSET($J$195,$D1166,0)="ok",LataProjekcji&lt;=Koniec_Projekt),ROUND(K1169*OFFSET($K$223,$H1172,(COLUMN()-11)),0),0)</f>
        <v>0</v>
      </c>
      <c r="L1172" s="405">
        <f t="shared" ca="1" si="1041"/>
        <v>0</v>
      </c>
      <c r="M1172" s="405">
        <f t="shared" ca="1" si="1041"/>
        <v>0</v>
      </c>
      <c r="N1172" s="405">
        <f t="shared" ca="1" si="1041"/>
        <v>0</v>
      </c>
      <c r="O1172" s="405">
        <f t="shared" ca="1" si="1041"/>
        <v>0</v>
      </c>
      <c r="P1172" s="405">
        <f t="shared" ca="1" si="1041"/>
        <v>0</v>
      </c>
      <c r="Q1172" s="405">
        <f t="shared" ca="1" si="1041"/>
        <v>0</v>
      </c>
      <c r="R1172" s="405">
        <f t="shared" ca="1" si="1041"/>
        <v>0</v>
      </c>
      <c r="S1172" s="405">
        <f t="shared" ca="1" si="1041"/>
        <v>0</v>
      </c>
      <c r="T1172" s="405">
        <f t="shared" ca="1" si="1041"/>
        <v>0</v>
      </c>
      <c r="U1172" s="405">
        <f t="shared" ca="1" si="1041"/>
        <v>0</v>
      </c>
      <c r="V1172" s="405">
        <f t="shared" ca="1" si="1041"/>
        <v>0</v>
      </c>
      <c r="W1172" s="405">
        <f t="shared" ca="1" si="1041"/>
        <v>0</v>
      </c>
      <c r="X1172" s="405">
        <f t="shared" ca="1" si="1041"/>
        <v>0</v>
      </c>
    </row>
    <row r="1173" spans="1:24" hidden="1">
      <c r="A1173" s="328"/>
      <c r="B1173" s="20" t="s">
        <v>418</v>
      </c>
      <c r="C1173" s="20"/>
      <c r="D1173" s="21">
        <f>D1166+1</f>
        <v>8</v>
      </c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</row>
    <row r="1174" spans="1:24" hidden="1">
      <c r="A1174" s="328"/>
      <c r="B1174" s="21" t="s">
        <v>414</v>
      </c>
      <c r="C1174" s="21"/>
      <c r="D1174" s="165">
        <f ca="1">YEAR(OFFSET($E$195,D1173,0))</f>
        <v>1900</v>
      </c>
      <c r="E1174" s="165">
        <f ca="1">MONTH(OFFSET($E$195,D1173,0))</f>
        <v>1</v>
      </c>
      <c r="F1174" s="21">
        <f ca="1">12-$E1174</f>
        <v>11</v>
      </c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</row>
    <row r="1175" spans="1:24" hidden="1">
      <c r="A1175" s="328"/>
      <c r="B1175" s="21" t="s">
        <v>406</v>
      </c>
      <c r="C1175" s="21"/>
      <c r="D1175" s="247">
        <f ca="1">IF(E1175&lt;0,0,ROUND(E1175,0))</f>
        <v>0</v>
      </c>
      <c r="E1175" s="249">
        <f ca="1">OFFSET($D$195,D1173,0)</f>
        <v>0</v>
      </c>
      <c r="F1175" s="247">
        <f ca="1">IF(E1175&gt;10,ROUND(($D1176/12)*$F1174,0),$D1175)</f>
        <v>0</v>
      </c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328"/>
      <c r="B1176" s="21" t="s">
        <v>415</v>
      </c>
      <c r="C1176" s="21"/>
      <c r="D1176" s="247">
        <f ca="1">IF(ISBLANK(OFFSET($E$195,D1173,0)),0,IF(E1175&gt;10,ROUND(D1175*am_prace_rozwojowe,0),IF(D1175&lt;0,0,D1175)))</f>
        <v>0</v>
      </c>
      <c r="E1176" s="21"/>
      <c r="F1176" s="21"/>
      <c r="G1176" s="21"/>
      <c r="H1176" s="21"/>
      <c r="I1176" s="21"/>
      <c r="J1176" s="21"/>
      <c r="K1176" s="75">
        <f ca="1">ROUND(IF(($D1174+1)=K$192,$D1176,0),0)</f>
        <v>0</v>
      </c>
      <c r="L1176" s="248">
        <f ca="1">ROUND(IF(OR(AND($D1174=LataProjekcji,$F1174&gt;0),AND($D1174=LataProjekcji,$F1174=0,$E1175&lt;=10)),$F1175,IF($D1174&lt;LataProjekcji,IF((SUM($K1176:K1176)+$D1176)&lt;$D1175,$D1176,$D1175-SUM($K1176:K1176)),0)),0)</f>
        <v>0</v>
      </c>
      <c r="M1176" s="248">
        <f ca="1">ROUND(IF(OR(AND($D1174=LataProjekcji,$F1174&gt;0),AND($D1174=LataProjekcji,$F1174=0,$E1175&lt;=10)),$F1175,IF($D1174&lt;LataProjekcji,IF((SUM($K1176:L1176)+$D1176)&lt;$D1175,$D1176,$D1175-SUM($K1176:L1176)),0)),0)</f>
        <v>0</v>
      </c>
      <c r="N1176" s="248">
        <f ca="1">ROUND(IF(OR(AND($D1174=LataProjekcji,$F1174&gt;0),AND($D1174=LataProjekcji,$F1174=0,$E1175&lt;=10)),$F1175,IF($D1174&lt;LataProjekcji,IF((SUM($K1176:M1176)+$D1176)&lt;$D1175,$D1176,$D1175-SUM($K1176:M1176)),0)),0)</f>
        <v>0</v>
      </c>
      <c r="O1176" s="248">
        <f ca="1">ROUND(IF(OR(AND($D1174=LataProjekcji,$F1174&gt;0),AND($D1174=LataProjekcji,$F1174=0,$E1175&lt;=10)),$F1175,IF($D1174&lt;LataProjekcji,IF((SUM($K1176:N1176)+$D1176)&lt;$D1175,$D1176,$D1175-SUM($K1176:N1176)),0)),0)</f>
        <v>0</v>
      </c>
      <c r="P1176" s="248">
        <f ca="1">ROUND(IF(OR(AND($D1174=LataProjekcji,$F1174&gt;0),AND($D1174=LataProjekcji,$F1174=0,$E1175&lt;=10)),$F1175,IF($D1174&lt;LataProjekcji,IF((SUM($K1176:O1176)+$D1176)&lt;$D1175,$D1176,$D1175-SUM($K1176:O1176)),0)),0)</f>
        <v>0</v>
      </c>
      <c r="Q1176" s="248">
        <f ca="1">ROUND(IF(OR(AND($D1174=LataProjekcji,$F1174&gt;0),AND($D1174=LataProjekcji,$F1174=0,$E1175&lt;=10)),$F1175,IF($D1174&lt;LataProjekcji,IF((SUM($K1176:P1176)+$D1176)&lt;$D1175,$D1176,$D1175-SUM($K1176:P1176)),0)),0)</f>
        <v>0</v>
      </c>
      <c r="R1176" s="248">
        <f ca="1">ROUND(IF(OR(AND($D1174=LataProjekcji,$F1174&gt;0),AND($D1174=LataProjekcji,$F1174=0,$E1175&lt;=10)),$F1175,IF($D1174&lt;LataProjekcji,IF((SUM($K1176:Q1176)+$D1176)&lt;$D1175,$D1176,$D1175-SUM($K1176:Q1176)),0)),0)</f>
        <v>0</v>
      </c>
      <c r="S1176" s="248">
        <f ca="1">ROUND(IF(OR(AND($D1174=LataProjekcji,$F1174&gt;0),AND($D1174=LataProjekcji,$F1174=0,$E1175&lt;=10)),$F1175,IF($D1174&lt;LataProjekcji,IF((SUM($K1176:R1176)+$D1176)&lt;$D1175,$D1176,$D1175-SUM($K1176:R1176)),0)),0)</f>
        <v>0</v>
      </c>
      <c r="T1176" s="248">
        <f ca="1">ROUND(IF(OR(AND($D1174=LataProjekcji,$F1174&gt;0),AND($D1174=LataProjekcji,$F1174=0,$E1175&lt;=10)),$F1175,IF($D1174&lt;LataProjekcji,IF((SUM($K1176:S1176)+$D1176)&lt;$D1175,$D1176,$D1175-SUM($K1176:S1176)),0)),0)</f>
        <v>0</v>
      </c>
      <c r="U1176" s="248">
        <f ca="1">ROUND(IF(OR(AND($D1174=LataProjekcji,$F1174&gt;0),AND($D1174=LataProjekcji,$F1174=0,$E1175&lt;=10)),$F1175,IF($D1174&lt;LataProjekcji,IF((SUM($K1176:T1176)+$D1176)&lt;$D1175,$D1176,$D1175-SUM($K1176:T1176)),0)),0)</f>
        <v>0</v>
      </c>
      <c r="V1176" s="248">
        <f ca="1">ROUND(IF(OR(AND($D1174=LataProjekcji,$F1174&gt;0),AND($D1174=LataProjekcji,$F1174=0,$E1175&lt;=10)),$F1175,IF($D1174&lt;LataProjekcji,IF((SUM($K1176:U1176)+$D1176)&lt;$D1175,$D1176,$D1175-SUM($K1176:U1176)),0)),0)</f>
        <v>0</v>
      </c>
      <c r="W1176" s="248">
        <f ca="1">ROUND(IF(OR(AND($D1174=LataProjekcji,$F1174&gt;0),AND($D1174=LataProjekcji,$F1174=0,$E1175&lt;=10)),$F1175,IF($D1174&lt;LataProjekcji,IF((SUM($K1176:V1176)+$D1176)&lt;$D1175,$D1176,$D1175-SUM($K1176:V1176)),0)),0)</f>
        <v>0</v>
      </c>
      <c r="X1176" s="248">
        <f ca="1">ROUND(IF(OR(AND($D1174=LataProjekcji,$F1174&gt;0),AND($D1174=LataProjekcji,$F1174=0,$E1175&lt;=10)),$F1175,IF($D1174&lt;LataProjekcji,IF((SUM($K1176:W1176)+$D1176)&lt;$D1175,$D1176,$D1175-SUM($K1176:W1176)),0)),0)</f>
        <v>0</v>
      </c>
    </row>
    <row r="1177" spans="1:24" hidden="1">
      <c r="A1177" s="328"/>
      <c r="B1177" s="21" t="s">
        <v>416</v>
      </c>
      <c r="C1177" s="21"/>
      <c r="D1177" s="22"/>
      <c r="E1177" s="21"/>
      <c r="F1177" s="21"/>
      <c r="G1177" s="21"/>
      <c r="H1177" s="21"/>
      <c r="I1177" s="21"/>
      <c r="J1177" s="21"/>
      <c r="K1177" s="22">
        <f ca="1">ROUND(K1176,0)</f>
        <v>0</v>
      </c>
      <c r="L1177" s="22">
        <f t="shared" ref="L1177" ca="1" si="1042">ROUND(K1177+L1176,0)</f>
        <v>0</v>
      </c>
      <c r="M1177" s="22">
        <f t="shared" ref="M1177" ca="1" si="1043">ROUND(L1177+M1176,0)</f>
        <v>0</v>
      </c>
      <c r="N1177" s="22">
        <f t="shared" ref="N1177" ca="1" si="1044">ROUND(M1177+N1176,0)</f>
        <v>0</v>
      </c>
      <c r="O1177" s="22">
        <f t="shared" ref="O1177" ca="1" si="1045">ROUND(N1177+O1176,0)</f>
        <v>0</v>
      </c>
      <c r="P1177" s="22">
        <f t="shared" ref="P1177" ca="1" si="1046">ROUND(O1177+P1176,0)</f>
        <v>0</v>
      </c>
      <c r="Q1177" s="22">
        <f t="shared" ref="Q1177" ca="1" si="1047">ROUND(P1177+Q1176,0)</f>
        <v>0</v>
      </c>
      <c r="R1177" s="22">
        <f t="shared" ref="R1177" ca="1" si="1048">ROUND(Q1177+R1176,0)</f>
        <v>0</v>
      </c>
      <c r="S1177" s="22">
        <f t="shared" ref="S1177" ca="1" si="1049">ROUND(R1177+S1176,0)</f>
        <v>0</v>
      </c>
      <c r="T1177" s="22">
        <f t="shared" ref="T1177" ca="1" si="1050">ROUND(S1177+T1176,0)</f>
        <v>0</v>
      </c>
      <c r="U1177" s="22">
        <f t="shared" ref="U1177" ca="1" si="1051">ROUND(T1177+U1176,0)</f>
        <v>0</v>
      </c>
      <c r="V1177" s="22">
        <f t="shared" ref="V1177" ca="1" si="1052">ROUND(U1177+V1176,0)</f>
        <v>0</v>
      </c>
      <c r="W1177" s="22">
        <f t="shared" ref="W1177" ca="1" si="1053">ROUND(V1177+W1176,0)</f>
        <v>0</v>
      </c>
      <c r="X1177" s="22">
        <f t="shared" ref="X1177" ca="1" si="1054">ROUND(W1177+X1176,0)</f>
        <v>0</v>
      </c>
    </row>
    <row r="1178" spans="1:24" hidden="1">
      <c r="A1178" s="328"/>
      <c r="B1178" s="21" t="s">
        <v>406</v>
      </c>
      <c r="C1178" s="21"/>
      <c r="D1178" s="22"/>
      <c r="E1178" s="21"/>
      <c r="F1178" s="21"/>
      <c r="G1178" s="21"/>
      <c r="H1178" s="21"/>
      <c r="I1178" s="21"/>
      <c r="J1178" s="21"/>
      <c r="K1178" s="77">
        <f ca="1">IF($D1174=LataProjekcji,ROUND($D1175-K1177,0),ROUND(IF(K1176=0,0,$D1175-K1177),0))</f>
        <v>0</v>
      </c>
      <c r="L1178" s="254">
        <f t="shared" ref="L1178:X1178" ca="1" si="1055">IF($D1174=LataProjekcji,ROUND($D1175-L1177,0),ROUND(IF(AND(L1176=0,K1178&gt;0),$D1175-L1177,IF(L1176=0,0,$D1175-L1177)),0))</f>
        <v>0</v>
      </c>
      <c r="M1178" s="254">
        <f t="shared" ca="1" si="1055"/>
        <v>0</v>
      </c>
      <c r="N1178" s="254">
        <f t="shared" ca="1" si="1055"/>
        <v>0</v>
      </c>
      <c r="O1178" s="254">
        <f t="shared" ca="1" si="1055"/>
        <v>0</v>
      </c>
      <c r="P1178" s="254">
        <f t="shared" ca="1" si="1055"/>
        <v>0</v>
      </c>
      <c r="Q1178" s="254">
        <f t="shared" ca="1" si="1055"/>
        <v>0</v>
      </c>
      <c r="R1178" s="254">
        <f t="shared" ca="1" si="1055"/>
        <v>0</v>
      </c>
      <c r="S1178" s="254">
        <f t="shared" ca="1" si="1055"/>
        <v>0</v>
      </c>
      <c r="T1178" s="254">
        <f t="shared" ca="1" si="1055"/>
        <v>0</v>
      </c>
      <c r="U1178" s="254">
        <f t="shared" ca="1" si="1055"/>
        <v>0</v>
      </c>
      <c r="V1178" s="254">
        <f t="shared" ca="1" si="1055"/>
        <v>0</v>
      </c>
      <c r="W1178" s="254">
        <f t="shared" ca="1" si="1055"/>
        <v>0</v>
      </c>
      <c r="X1178" s="254">
        <f t="shared" ca="1" si="1055"/>
        <v>0</v>
      </c>
    </row>
    <row r="1179" spans="1:24" hidden="1">
      <c r="A1179" s="328"/>
      <c r="B1179" s="21"/>
      <c r="C1179" s="21"/>
      <c r="D1179" s="22"/>
      <c r="E1179" s="21"/>
      <c r="F1179" s="21"/>
      <c r="G1179" s="21"/>
      <c r="H1179" s="404">
        <f>H1172+1</f>
        <v>6</v>
      </c>
      <c r="I1179" s="483" cm="1">
        <f t="array" aca="1" ref="I1179" ca="1">OFFSET('Środki trwałe'!$C$197,H1179,,)</f>
        <v>0</v>
      </c>
      <c r="J1179" s="404" t="s">
        <v>427</v>
      </c>
      <c r="K1179" s="405">
        <f t="shared" ref="K1179:X1179" ca="1" si="1056">IF(AND(OFFSET($F$195,$D1173,0)="tak",OFFSET($G$195,$D1173,0)="tak",OFFSET($J$195,$D1173,0)="ok",LataProjekcji&lt;=Koniec_Projekt),ROUND(K1176*OFFSET($K$223,$H1179,(COLUMN()-11)),0),0)</f>
        <v>0</v>
      </c>
      <c r="L1179" s="405">
        <f t="shared" ca="1" si="1056"/>
        <v>0</v>
      </c>
      <c r="M1179" s="405">
        <f t="shared" ca="1" si="1056"/>
        <v>0</v>
      </c>
      <c r="N1179" s="405">
        <f t="shared" ca="1" si="1056"/>
        <v>0</v>
      </c>
      <c r="O1179" s="405">
        <f t="shared" ca="1" si="1056"/>
        <v>0</v>
      </c>
      <c r="P1179" s="405">
        <f t="shared" ca="1" si="1056"/>
        <v>0</v>
      </c>
      <c r="Q1179" s="405">
        <f t="shared" ca="1" si="1056"/>
        <v>0</v>
      </c>
      <c r="R1179" s="405">
        <f t="shared" ca="1" si="1056"/>
        <v>0</v>
      </c>
      <c r="S1179" s="405">
        <f t="shared" ca="1" si="1056"/>
        <v>0</v>
      </c>
      <c r="T1179" s="405">
        <f t="shared" ca="1" si="1056"/>
        <v>0</v>
      </c>
      <c r="U1179" s="405">
        <f t="shared" ca="1" si="1056"/>
        <v>0</v>
      </c>
      <c r="V1179" s="405">
        <f t="shared" ca="1" si="1056"/>
        <v>0</v>
      </c>
      <c r="W1179" s="405">
        <f t="shared" ca="1" si="1056"/>
        <v>0</v>
      </c>
      <c r="X1179" s="405">
        <f t="shared" ca="1" si="1056"/>
        <v>0</v>
      </c>
    </row>
    <row r="1180" spans="1:24" hidden="1">
      <c r="A1180" s="328"/>
      <c r="B1180" s="20" t="s">
        <v>419</v>
      </c>
      <c r="C1180" s="20"/>
      <c r="D1180" s="21">
        <f>D1173+1</f>
        <v>9</v>
      </c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</row>
    <row r="1181" spans="1:24" hidden="1">
      <c r="A1181" s="328"/>
      <c r="B1181" s="21" t="s">
        <v>414</v>
      </c>
      <c r="C1181" s="21"/>
      <c r="D1181" s="165">
        <f ca="1">YEAR(OFFSET($E$195,D1180,0))</f>
        <v>1900</v>
      </c>
      <c r="E1181" s="165">
        <f ca="1">MONTH(OFFSET($E$195,D1180,0))</f>
        <v>1</v>
      </c>
      <c r="F1181" s="21">
        <f ca="1">12-$E1181</f>
        <v>11</v>
      </c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</row>
    <row r="1182" spans="1:24" hidden="1">
      <c r="A1182" s="328"/>
      <c r="B1182" s="21" t="s">
        <v>406</v>
      </c>
      <c r="C1182" s="21"/>
      <c r="D1182" s="247">
        <f ca="1">IF(E1182&lt;0,0,ROUND(E1182,0))</f>
        <v>0</v>
      </c>
      <c r="E1182" s="249">
        <f ca="1">OFFSET($D$195,D1180,0)</f>
        <v>0</v>
      </c>
      <c r="F1182" s="247">
        <f ca="1">IF(E1182&gt;10,ROUND(($D1183/12)*$F1181,0),$D1182)</f>
        <v>0</v>
      </c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328"/>
      <c r="B1183" s="21" t="s">
        <v>415</v>
      </c>
      <c r="C1183" s="21"/>
      <c r="D1183" s="247">
        <f ca="1">IF(ISBLANK(OFFSET($E$195,D1180,0)),0,IF(E1182&gt;10,ROUND(D1182*am_prace_rozwojowe,0),IF(D1182&lt;0,0,D1182)))</f>
        <v>0</v>
      </c>
      <c r="E1183" s="21"/>
      <c r="F1183" s="21"/>
      <c r="G1183" s="21"/>
      <c r="H1183" s="21"/>
      <c r="I1183" s="21"/>
      <c r="J1183" s="21"/>
      <c r="K1183" s="75">
        <f ca="1">ROUND(IF(($D1181+1)=K$192,$D1183,0),0)</f>
        <v>0</v>
      </c>
      <c r="L1183" s="248">
        <f ca="1">ROUND(IF(OR(AND($D1181=LataProjekcji,$F1181&gt;0),AND($D1181=LataProjekcji,$F1181=0,$E1182&lt;=10)),$F1182,IF($D1181&lt;LataProjekcji,IF((SUM($K1183:K1183)+$D1183)&lt;$D1182,$D1183,$D1182-SUM($K1183:K1183)),0)),0)</f>
        <v>0</v>
      </c>
      <c r="M1183" s="248">
        <f ca="1">ROUND(IF(OR(AND($D1181=LataProjekcji,$F1181&gt;0),AND($D1181=LataProjekcji,$F1181=0,$E1182&lt;=10)),$F1182,IF($D1181&lt;LataProjekcji,IF((SUM($K1183:L1183)+$D1183)&lt;$D1182,$D1183,$D1182-SUM($K1183:L1183)),0)),0)</f>
        <v>0</v>
      </c>
      <c r="N1183" s="248">
        <f ca="1">ROUND(IF(OR(AND($D1181=LataProjekcji,$F1181&gt;0),AND($D1181=LataProjekcji,$F1181=0,$E1182&lt;=10)),$F1182,IF($D1181&lt;LataProjekcji,IF((SUM($K1183:M1183)+$D1183)&lt;$D1182,$D1183,$D1182-SUM($K1183:M1183)),0)),0)</f>
        <v>0</v>
      </c>
      <c r="O1183" s="248">
        <f ca="1">ROUND(IF(OR(AND($D1181=LataProjekcji,$F1181&gt;0),AND($D1181=LataProjekcji,$F1181=0,$E1182&lt;=10)),$F1182,IF($D1181&lt;LataProjekcji,IF((SUM($K1183:N1183)+$D1183)&lt;$D1182,$D1183,$D1182-SUM($K1183:N1183)),0)),0)</f>
        <v>0</v>
      </c>
      <c r="P1183" s="248">
        <f ca="1">ROUND(IF(OR(AND($D1181=LataProjekcji,$F1181&gt;0),AND($D1181=LataProjekcji,$F1181=0,$E1182&lt;=10)),$F1182,IF($D1181&lt;LataProjekcji,IF((SUM($K1183:O1183)+$D1183)&lt;$D1182,$D1183,$D1182-SUM($K1183:O1183)),0)),0)</f>
        <v>0</v>
      </c>
      <c r="Q1183" s="248">
        <f ca="1">ROUND(IF(OR(AND($D1181=LataProjekcji,$F1181&gt;0),AND($D1181=LataProjekcji,$F1181=0,$E1182&lt;=10)),$F1182,IF($D1181&lt;LataProjekcji,IF((SUM($K1183:P1183)+$D1183)&lt;$D1182,$D1183,$D1182-SUM($K1183:P1183)),0)),0)</f>
        <v>0</v>
      </c>
      <c r="R1183" s="248">
        <f ca="1">ROUND(IF(OR(AND($D1181=LataProjekcji,$F1181&gt;0),AND($D1181=LataProjekcji,$F1181=0,$E1182&lt;=10)),$F1182,IF($D1181&lt;LataProjekcji,IF((SUM($K1183:Q1183)+$D1183)&lt;$D1182,$D1183,$D1182-SUM($K1183:Q1183)),0)),0)</f>
        <v>0</v>
      </c>
      <c r="S1183" s="248">
        <f ca="1">ROUND(IF(OR(AND($D1181=LataProjekcji,$F1181&gt;0),AND($D1181=LataProjekcji,$F1181=0,$E1182&lt;=10)),$F1182,IF($D1181&lt;LataProjekcji,IF((SUM($K1183:R1183)+$D1183)&lt;$D1182,$D1183,$D1182-SUM($K1183:R1183)),0)),0)</f>
        <v>0</v>
      </c>
      <c r="T1183" s="248">
        <f ca="1">ROUND(IF(OR(AND($D1181=LataProjekcji,$F1181&gt;0),AND($D1181=LataProjekcji,$F1181=0,$E1182&lt;=10)),$F1182,IF($D1181&lt;LataProjekcji,IF((SUM($K1183:S1183)+$D1183)&lt;$D1182,$D1183,$D1182-SUM($K1183:S1183)),0)),0)</f>
        <v>0</v>
      </c>
      <c r="U1183" s="248">
        <f ca="1">ROUND(IF(OR(AND($D1181=LataProjekcji,$F1181&gt;0),AND($D1181=LataProjekcji,$F1181=0,$E1182&lt;=10)),$F1182,IF($D1181&lt;LataProjekcji,IF((SUM($K1183:T1183)+$D1183)&lt;$D1182,$D1183,$D1182-SUM($K1183:T1183)),0)),0)</f>
        <v>0</v>
      </c>
      <c r="V1183" s="248">
        <f ca="1">ROUND(IF(OR(AND($D1181=LataProjekcji,$F1181&gt;0),AND($D1181=LataProjekcji,$F1181=0,$E1182&lt;=10)),$F1182,IF($D1181&lt;LataProjekcji,IF((SUM($K1183:U1183)+$D1183)&lt;$D1182,$D1183,$D1182-SUM($K1183:U1183)),0)),0)</f>
        <v>0</v>
      </c>
      <c r="W1183" s="248">
        <f ca="1">ROUND(IF(OR(AND($D1181=LataProjekcji,$F1181&gt;0),AND($D1181=LataProjekcji,$F1181=0,$E1182&lt;=10)),$F1182,IF($D1181&lt;LataProjekcji,IF((SUM($K1183:V1183)+$D1183)&lt;$D1182,$D1183,$D1182-SUM($K1183:V1183)),0)),0)</f>
        <v>0</v>
      </c>
      <c r="X1183" s="248">
        <f ca="1">ROUND(IF(OR(AND($D1181=LataProjekcji,$F1181&gt;0),AND($D1181=LataProjekcji,$F1181=0,$E1182&lt;=10)),$F1182,IF($D1181&lt;LataProjekcji,IF((SUM($K1183:W1183)+$D1183)&lt;$D1182,$D1183,$D1182-SUM($K1183:W1183)),0)),0)</f>
        <v>0</v>
      </c>
    </row>
    <row r="1184" spans="1:24" hidden="1">
      <c r="A1184" s="328"/>
      <c r="B1184" s="21" t="s">
        <v>416</v>
      </c>
      <c r="C1184" s="21"/>
      <c r="D1184" s="22"/>
      <c r="E1184" s="21"/>
      <c r="F1184" s="21"/>
      <c r="G1184" s="21"/>
      <c r="H1184" s="21"/>
      <c r="I1184" s="21"/>
      <c r="J1184" s="21"/>
      <c r="K1184" s="22">
        <f ca="1">ROUND(K1183,0)</f>
        <v>0</v>
      </c>
      <c r="L1184" s="22">
        <f t="shared" ref="L1184" ca="1" si="1057">ROUND(K1184+L1183,0)</f>
        <v>0</v>
      </c>
      <c r="M1184" s="22">
        <f t="shared" ref="M1184" ca="1" si="1058">ROUND(L1184+M1183,0)</f>
        <v>0</v>
      </c>
      <c r="N1184" s="22">
        <f t="shared" ref="N1184" ca="1" si="1059">ROUND(M1184+N1183,0)</f>
        <v>0</v>
      </c>
      <c r="O1184" s="22">
        <f t="shared" ref="O1184" ca="1" si="1060">ROUND(N1184+O1183,0)</f>
        <v>0</v>
      </c>
      <c r="P1184" s="22">
        <f t="shared" ref="P1184" ca="1" si="1061">ROUND(O1184+P1183,0)</f>
        <v>0</v>
      </c>
      <c r="Q1184" s="22">
        <f t="shared" ref="Q1184" ca="1" si="1062">ROUND(P1184+Q1183,0)</f>
        <v>0</v>
      </c>
      <c r="R1184" s="22">
        <f t="shared" ref="R1184" ca="1" si="1063">ROUND(Q1184+R1183,0)</f>
        <v>0</v>
      </c>
      <c r="S1184" s="22">
        <f t="shared" ref="S1184" ca="1" si="1064">ROUND(R1184+S1183,0)</f>
        <v>0</v>
      </c>
      <c r="T1184" s="22">
        <f t="shared" ref="T1184" ca="1" si="1065">ROUND(S1184+T1183,0)</f>
        <v>0</v>
      </c>
      <c r="U1184" s="22">
        <f t="shared" ref="U1184" ca="1" si="1066">ROUND(T1184+U1183,0)</f>
        <v>0</v>
      </c>
      <c r="V1184" s="22">
        <f t="shared" ref="V1184" ca="1" si="1067">ROUND(U1184+V1183,0)</f>
        <v>0</v>
      </c>
      <c r="W1184" s="22">
        <f t="shared" ref="W1184" ca="1" si="1068">ROUND(V1184+W1183,0)</f>
        <v>0</v>
      </c>
      <c r="X1184" s="22">
        <f t="shared" ref="X1184" ca="1" si="1069">ROUND(W1184+X1183,0)</f>
        <v>0</v>
      </c>
    </row>
    <row r="1185" spans="1:24" hidden="1">
      <c r="A1185" s="328"/>
      <c r="B1185" s="21" t="s">
        <v>406</v>
      </c>
      <c r="C1185" s="21"/>
      <c r="D1185" s="22"/>
      <c r="E1185" s="21"/>
      <c r="F1185" s="21"/>
      <c r="G1185" s="21"/>
      <c r="H1185" s="21"/>
      <c r="I1185" s="21"/>
      <c r="J1185" s="21"/>
      <c r="K1185" s="77">
        <f ca="1">IF($D1181=LataProjekcji,ROUND($D1182-K1184,0),ROUND(IF(K1183=0,0,$D1182-K1184),0))</f>
        <v>0</v>
      </c>
      <c r="L1185" s="254">
        <f t="shared" ref="L1185:X1185" ca="1" si="1070">IF($D1181=LataProjekcji,ROUND($D1182-L1184,0),ROUND(IF(AND(L1183=0,K1185&gt;0),$D1182-L1184,IF(L1183=0,0,$D1182-L1184)),0))</f>
        <v>0</v>
      </c>
      <c r="M1185" s="254">
        <f t="shared" ca="1" si="1070"/>
        <v>0</v>
      </c>
      <c r="N1185" s="254">
        <f t="shared" ca="1" si="1070"/>
        <v>0</v>
      </c>
      <c r="O1185" s="254">
        <f t="shared" ca="1" si="1070"/>
        <v>0</v>
      </c>
      <c r="P1185" s="254">
        <f t="shared" ca="1" si="1070"/>
        <v>0</v>
      </c>
      <c r="Q1185" s="254">
        <f t="shared" ca="1" si="1070"/>
        <v>0</v>
      </c>
      <c r="R1185" s="254">
        <f t="shared" ca="1" si="1070"/>
        <v>0</v>
      </c>
      <c r="S1185" s="254">
        <f t="shared" ca="1" si="1070"/>
        <v>0</v>
      </c>
      <c r="T1185" s="254">
        <f t="shared" ca="1" si="1070"/>
        <v>0</v>
      </c>
      <c r="U1185" s="254">
        <f t="shared" ca="1" si="1070"/>
        <v>0</v>
      </c>
      <c r="V1185" s="254">
        <f t="shared" ca="1" si="1070"/>
        <v>0</v>
      </c>
      <c r="W1185" s="254">
        <f t="shared" ca="1" si="1070"/>
        <v>0</v>
      </c>
      <c r="X1185" s="254">
        <f t="shared" ca="1" si="1070"/>
        <v>0</v>
      </c>
    </row>
    <row r="1186" spans="1:24" hidden="1">
      <c r="A1186" s="328"/>
      <c r="B1186" s="21"/>
      <c r="C1186" s="21"/>
      <c r="D1186" s="21"/>
      <c r="E1186" s="21"/>
      <c r="F1186" s="21"/>
      <c r="G1186" s="21"/>
      <c r="H1186" s="404">
        <f>H1179+1</f>
        <v>7</v>
      </c>
      <c r="I1186" s="483" cm="1">
        <f t="array" aca="1" ref="I1186" ca="1">OFFSET('Środki trwałe'!$C$197,H1186,,)</f>
        <v>0</v>
      </c>
      <c r="J1186" s="404" t="s">
        <v>427</v>
      </c>
      <c r="K1186" s="405">
        <f t="shared" ref="K1186:X1186" ca="1" si="1071">IF(AND(OFFSET($F$195,$D1180,0)="tak",OFFSET($G$195,$D1180,0)="tak",OFFSET($J$195,$D1180,0)="ok",LataProjekcji&lt;=Koniec_Projekt),ROUND(K1183*OFFSET($K$223,$H1186,(COLUMN()-11)),0),0)</f>
        <v>0</v>
      </c>
      <c r="L1186" s="405">
        <f t="shared" ca="1" si="1071"/>
        <v>0</v>
      </c>
      <c r="M1186" s="405">
        <f t="shared" ca="1" si="1071"/>
        <v>0</v>
      </c>
      <c r="N1186" s="405">
        <f t="shared" ca="1" si="1071"/>
        <v>0</v>
      </c>
      <c r="O1186" s="405">
        <f t="shared" ca="1" si="1071"/>
        <v>0</v>
      </c>
      <c r="P1186" s="405">
        <f t="shared" ca="1" si="1071"/>
        <v>0</v>
      </c>
      <c r="Q1186" s="405">
        <f t="shared" ca="1" si="1071"/>
        <v>0</v>
      </c>
      <c r="R1186" s="405">
        <f t="shared" ca="1" si="1071"/>
        <v>0</v>
      </c>
      <c r="S1186" s="405">
        <f t="shared" ca="1" si="1071"/>
        <v>0</v>
      </c>
      <c r="T1186" s="405">
        <f t="shared" ca="1" si="1071"/>
        <v>0</v>
      </c>
      <c r="U1186" s="405">
        <f t="shared" ca="1" si="1071"/>
        <v>0</v>
      </c>
      <c r="V1186" s="405">
        <f t="shared" ca="1" si="1071"/>
        <v>0</v>
      </c>
      <c r="W1186" s="405">
        <f t="shared" ca="1" si="1071"/>
        <v>0</v>
      </c>
      <c r="X1186" s="405">
        <f t="shared" ca="1" si="1071"/>
        <v>0</v>
      </c>
    </row>
    <row r="1187" spans="1:24" hidden="1">
      <c r="A1187" s="328"/>
      <c r="B1187" s="20" t="s">
        <v>418</v>
      </c>
      <c r="C1187" s="20"/>
      <c r="D1187" s="21">
        <f>D1180+1</f>
        <v>10</v>
      </c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</row>
    <row r="1188" spans="1:24" hidden="1">
      <c r="A1188" s="328"/>
      <c r="B1188" s="21" t="s">
        <v>414</v>
      </c>
      <c r="C1188" s="21"/>
      <c r="D1188" s="165">
        <f ca="1">YEAR(OFFSET($E$195,D1187,0))</f>
        <v>1900</v>
      </c>
      <c r="E1188" s="165">
        <f ca="1">MONTH(OFFSET($E$195,D1187,0))</f>
        <v>1</v>
      </c>
      <c r="F1188" s="21">
        <f ca="1">12-$E1188</f>
        <v>11</v>
      </c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</row>
    <row r="1189" spans="1:24" hidden="1">
      <c r="A1189" s="328"/>
      <c r="B1189" s="21" t="s">
        <v>406</v>
      </c>
      <c r="C1189" s="21"/>
      <c r="D1189" s="247">
        <f ca="1">IF(E1189&lt;0,0,ROUND(E1189,0))</f>
        <v>0</v>
      </c>
      <c r="E1189" s="249">
        <f ca="1">OFFSET($D$195,D1187,0)</f>
        <v>0</v>
      </c>
      <c r="F1189" s="247">
        <f ca="1">IF(E1189&gt;10,ROUND(($D1190/12)*$F1188,0),$D1189)</f>
        <v>0</v>
      </c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328"/>
      <c r="B1190" s="21" t="s">
        <v>415</v>
      </c>
      <c r="C1190" s="21"/>
      <c r="D1190" s="247">
        <f ca="1">IF(ISBLANK(OFFSET($E$195,D1187,0)),0,IF(E1189&gt;10,ROUND(D1189*am_prace_rozwojowe,0),IF(D1189&lt;0,0,D1189)))</f>
        <v>0</v>
      </c>
      <c r="E1190" s="21"/>
      <c r="F1190" s="21"/>
      <c r="G1190" s="21"/>
      <c r="H1190" s="21"/>
      <c r="I1190" s="21"/>
      <c r="J1190" s="21"/>
      <c r="K1190" s="75">
        <f ca="1">ROUND(IF(($D1188+1)=K$192,$D1190,0),0)</f>
        <v>0</v>
      </c>
      <c r="L1190" s="248">
        <f ca="1">ROUND(IF(OR(AND($D1188=LataProjekcji,$F1188&gt;0),AND($D1188=LataProjekcji,$F1188=0,$E1189&lt;=10)),$F1189,IF($D1188&lt;LataProjekcji,IF((SUM($K1190:K1190)+$D1190)&lt;$D1189,$D1190,$D1189-SUM($K1190:K1190)),0)),0)</f>
        <v>0</v>
      </c>
      <c r="M1190" s="248">
        <f ca="1">ROUND(IF(OR(AND($D1188=LataProjekcji,$F1188&gt;0),AND($D1188=LataProjekcji,$F1188=0,$E1189&lt;=10)),$F1189,IF($D1188&lt;LataProjekcji,IF((SUM($K1190:L1190)+$D1190)&lt;$D1189,$D1190,$D1189-SUM($K1190:L1190)),0)),0)</f>
        <v>0</v>
      </c>
      <c r="N1190" s="248">
        <f ca="1">ROUND(IF(OR(AND($D1188=LataProjekcji,$F1188&gt;0),AND($D1188=LataProjekcji,$F1188=0,$E1189&lt;=10)),$F1189,IF($D1188&lt;LataProjekcji,IF((SUM($K1190:M1190)+$D1190)&lt;$D1189,$D1190,$D1189-SUM($K1190:M1190)),0)),0)</f>
        <v>0</v>
      </c>
      <c r="O1190" s="248">
        <f ca="1">ROUND(IF(OR(AND($D1188=LataProjekcji,$F1188&gt;0),AND($D1188=LataProjekcji,$F1188=0,$E1189&lt;=10)),$F1189,IF($D1188&lt;LataProjekcji,IF((SUM($K1190:N1190)+$D1190)&lt;$D1189,$D1190,$D1189-SUM($K1190:N1190)),0)),0)</f>
        <v>0</v>
      </c>
      <c r="P1190" s="248">
        <f ca="1">ROUND(IF(OR(AND($D1188=LataProjekcji,$F1188&gt;0),AND($D1188=LataProjekcji,$F1188=0,$E1189&lt;=10)),$F1189,IF($D1188&lt;LataProjekcji,IF((SUM($K1190:O1190)+$D1190)&lt;$D1189,$D1190,$D1189-SUM($K1190:O1190)),0)),0)</f>
        <v>0</v>
      </c>
      <c r="Q1190" s="248">
        <f ca="1">ROUND(IF(OR(AND($D1188=LataProjekcji,$F1188&gt;0),AND($D1188=LataProjekcji,$F1188=0,$E1189&lt;=10)),$F1189,IF($D1188&lt;LataProjekcji,IF((SUM($K1190:P1190)+$D1190)&lt;$D1189,$D1190,$D1189-SUM($K1190:P1190)),0)),0)</f>
        <v>0</v>
      </c>
      <c r="R1190" s="248">
        <f ca="1">ROUND(IF(OR(AND($D1188=LataProjekcji,$F1188&gt;0),AND($D1188=LataProjekcji,$F1188=0,$E1189&lt;=10)),$F1189,IF($D1188&lt;LataProjekcji,IF((SUM($K1190:Q1190)+$D1190)&lt;$D1189,$D1190,$D1189-SUM($K1190:Q1190)),0)),0)</f>
        <v>0</v>
      </c>
      <c r="S1190" s="248">
        <f ca="1">ROUND(IF(OR(AND($D1188=LataProjekcji,$F1188&gt;0),AND($D1188=LataProjekcji,$F1188=0,$E1189&lt;=10)),$F1189,IF($D1188&lt;LataProjekcji,IF((SUM($K1190:R1190)+$D1190)&lt;$D1189,$D1190,$D1189-SUM($K1190:R1190)),0)),0)</f>
        <v>0</v>
      </c>
      <c r="T1190" s="248">
        <f ca="1">ROUND(IF(OR(AND($D1188=LataProjekcji,$F1188&gt;0),AND($D1188=LataProjekcji,$F1188=0,$E1189&lt;=10)),$F1189,IF($D1188&lt;LataProjekcji,IF((SUM($K1190:S1190)+$D1190)&lt;$D1189,$D1190,$D1189-SUM($K1190:S1190)),0)),0)</f>
        <v>0</v>
      </c>
      <c r="U1190" s="248">
        <f ca="1">ROUND(IF(OR(AND($D1188=LataProjekcji,$F1188&gt;0),AND($D1188=LataProjekcji,$F1188=0,$E1189&lt;=10)),$F1189,IF($D1188&lt;LataProjekcji,IF((SUM($K1190:T1190)+$D1190)&lt;$D1189,$D1190,$D1189-SUM($K1190:T1190)),0)),0)</f>
        <v>0</v>
      </c>
      <c r="V1190" s="248">
        <f ca="1">ROUND(IF(OR(AND($D1188=LataProjekcji,$F1188&gt;0),AND($D1188=LataProjekcji,$F1188=0,$E1189&lt;=10)),$F1189,IF($D1188&lt;LataProjekcji,IF((SUM($K1190:U1190)+$D1190)&lt;$D1189,$D1190,$D1189-SUM($K1190:U1190)),0)),0)</f>
        <v>0</v>
      </c>
      <c r="W1190" s="248">
        <f ca="1">ROUND(IF(OR(AND($D1188=LataProjekcji,$F1188&gt;0),AND($D1188=LataProjekcji,$F1188=0,$E1189&lt;=10)),$F1189,IF($D1188&lt;LataProjekcji,IF((SUM($K1190:V1190)+$D1190)&lt;$D1189,$D1190,$D1189-SUM($K1190:V1190)),0)),0)</f>
        <v>0</v>
      </c>
      <c r="X1190" s="248">
        <f ca="1">ROUND(IF(OR(AND($D1188=LataProjekcji,$F1188&gt;0),AND($D1188=LataProjekcji,$F1188=0,$E1189&lt;=10)),$F1189,IF($D1188&lt;LataProjekcji,IF((SUM($K1190:W1190)+$D1190)&lt;$D1189,$D1190,$D1189-SUM($K1190:W1190)),0)),0)</f>
        <v>0</v>
      </c>
    </row>
    <row r="1191" spans="1:24" hidden="1">
      <c r="A1191" s="328"/>
      <c r="B1191" s="21" t="s">
        <v>416</v>
      </c>
      <c r="C1191" s="21"/>
      <c r="D1191" s="22"/>
      <c r="E1191" s="21"/>
      <c r="F1191" s="21"/>
      <c r="G1191" s="21"/>
      <c r="H1191" s="21"/>
      <c r="I1191" s="21"/>
      <c r="J1191" s="21"/>
      <c r="K1191" s="22">
        <f ca="1">ROUND(K1190,0)</f>
        <v>0</v>
      </c>
      <c r="L1191" s="22">
        <f t="shared" ref="L1191" ca="1" si="1072">ROUND(K1191+L1190,0)</f>
        <v>0</v>
      </c>
      <c r="M1191" s="22">
        <f t="shared" ref="M1191" ca="1" si="1073">ROUND(L1191+M1190,0)</f>
        <v>0</v>
      </c>
      <c r="N1191" s="22">
        <f t="shared" ref="N1191" ca="1" si="1074">ROUND(M1191+N1190,0)</f>
        <v>0</v>
      </c>
      <c r="O1191" s="22">
        <f t="shared" ref="O1191" ca="1" si="1075">ROUND(N1191+O1190,0)</f>
        <v>0</v>
      </c>
      <c r="P1191" s="22">
        <f t="shared" ref="P1191" ca="1" si="1076">ROUND(O1191+P1190,0)</f>
        <v>0</v>
      </c>
      <c r="Q1191" s="22">
        <f t="shared" ref="Q1191" ca="1" si="1077">ROUND(P1191+Q1190,0)</f>
        <v>0</v>
      </c>
      <c r="R1191" s="22">
        <f t="shared" ref="R1191" ca="1" si="1078">ROUND(Q1191+R1190,0)</f>
        <v>0</v>
      </c>
      <c r="S1191" s="22">
        <f t="shared" ref="S1191" ca="1" si="1079">ROUND(R1191+S1190,0)</f>
        <v>0</v>
      </c>
      <c r="T1191" s="22">
        <f t="shared" ref="T1191" ca="1" si="1080">ROUND(S1191+T1190,0)</f>
        <v>0</v>
      </c>
      <c r="U1191" s="22">
        <f t="shared" ref="U1191" ca="1" si="1081">ROUND(T1191+U1190,0)</f>
        <v>0</v>
      </c>
      <c r="V1191" s="22">
        <f t="shared" ref="V1191" ca="1" si="1082">ROUND(U1191+V1190,0)</f>
        <v>0</v>
      </c>
      <c r="W1191" s="22">
        <f t="shared" ref="W1191" ca="1" si="1083">ROUND(V1191+W1190,0)</f>
        <v>0</v>
      </c>
      <c r="X1191" s="22">
        <f t="shared" ref="X1191" ca="1" si="1084">ROUND(W1191+X1190,0)</f>
        <v>0</v>
      </c>
    </row>
    <row r="1192" spans="1:24" hidden="1">
      <c r="A1192" s="328"/>
      <c r="B1192" s="21" t="s">
        <v>406</v>
      </c>
      <c r="C1192" s="21"/>
      <c r="D1192" s="22"/>
      <c r="E1192" s="21"/>
      <c r="F1192" s="21"/>
      <c r="G1192" s="21"/>
      <c r="H1192" s="21"/>
      <c r="I1192" s="21"/>
      <c r="J1192" s="21"/>
      <c r="K1192" s="77">
        <f ca="1">IF($D1188=LataProjekcji,ROUND($D1189-K1191,0),ROUND(IF(K1190=0,0,$D1189-K1191),0))</f>
        <v>0</v>
      </c>
      <c r="L1192" s="254">
        <f t="shared" ref="L1192:X1192" ca="1" si="1085">IF($D1188=LataProjekcji,ROUND($D1189-L1191,0),ROUND(IF(AND(L1190=0,K1192&gt;0),$D1189-L1191,IF(L1190=0,0,$D1189-L1191)),0))</f>
        <v>0</v>
      </c>
      <c r="M1192" s="254">
        <f t="shared" ca="1" si="1085"/>
        <v>0</v>
      </c>
      <c r="N1192" s="254">
        <f t="shared" ca="1" si="1085"/>
        <v>0</v>
      </c>
      <c r="O1192" s="254">
        <f t="shared" ca="1" si="1085"/>
        <v>0</v>
      </c>
      <c r="P1192" s="254">
        <f t="shared" ca="1" si="1085"/>
        <v>0</v>
      </c>
      <c r="Q1192" s="254">
        <f t="shared" ca="1" si="1085"/>
        <v>0</v>
      </c>
      <c r="R1192" s="254">
        <f t="shared" ca="1" si="1085"/>
        <v>0</v>
      </c>
      <c r="S1192" s="254">
        <f t="shared" ca="1" si="1085"/>
        <v>0</v>
      </c>
      <c r="T1192" s="254">
        <f t="shared" ca="1" si="1085"/>
        <v>0</v>
      </c>
      <c r="U1192" s="254">
        <f t="shared" ca="1" si="1085"/>
        <v>0</v>
      </c>
      <c r="V1192" s="254">
        <f t="shared" ca="1" si="1085"/>
        <v>0</v>
      </c>
      <c r="W1192" s="254">
        <f t="shared" ca="1" si="1085"/>
        <v>0</v>
      </c>
      <c r="X1192" s="254">
        <f t="shared" ca="1" si="1085"/>
        <v>0</v>
      </c>
    </row>
    <row r="1193" spans="1:24" hidden="1">
      <c r="A1193" s="328"/>
      <c r="B1193" s="21"/>
      <c r="C1193" s="21"/>
      <c r="D1193" s="22"/>
      <c r="E1193" s="21"/>
      <c r="F1193" s="21"/>
      <c r="G1193" s="21"/>
      <c r="H1193" s="404">
        <f>H1186+1</f>
        <v>8</v>
      </c>
      <c r="I1193" s="483" cm="1">
        <f t="array" aca="1" ref="I1193" ca="1">OFFSET('Środki trwałe'!$C$197,H1193,,)</f>
        <v>0</v>
      </c>
      <c r="J1193" s="404" t="s">
        <v>427</v>
      </c>
      <c r="K1193" s="405">
        <f t="shared" ref="K1193:X1193" ca="1" si="1086">IF(AND(OFFSET($F$195,$D1187,0)="tak",OFFSET($G$195,$D1187,0)="tak",OFFSET($J$195,$D1187,0)="ok",LataProjekcji&lt;=Koniec_Projekt),ROUND(K1190*OFFSET($K$223,$H1193,(COLUMN()-11)),0),0)</f>
        <v>0</v>
      </c>
      <c r="L1193" s="405">
        <f t="shared" ca="1" si="1086"/>
        <v>0</v>
      </c>
      <c r="M1193" s="405">
        <f t="shared" ca="1" si="1086"/>
        <v>0</v>
      </c>
      <c r="N1193" s="405">
        <f t="shared" ca="1" si="1086"/>
        <v>0</v>
      </c>
      <c r="O1193" s="405">
        <f t="shared" ca="1" si="1086"/>
        <v>0</v>
      </c>
      <c r="P1193" s="405">
        <f t="shared" ca="1" si="1086"/>
        <v>0</v>
      </c>
      <c r="Q1193" s="405">
        <f t="shared" ca="1" si="1086"/>
        <v>0</v>
      </c>
      <c r="R1193" s="405">
        <f t="shared" ca="1" si="1086"/>
        <v>0</v>
      </c>
      <c r="S1193" s="405">
        <f t="shared" ca="1" si="1086"/>
        <v>0</v>
      </c>
      <c r="T1193" s="405">
        <f t="shared" ca="1" si="1086"/>
        <v>0</v>
      </c>
      <c r="U1193" s="405">
        <f t="shared" ca="1" si="1086"/>
        <v>0</v>
      </c>
      <c r="V1193" s="405">
        <f t="shared" ca="1" si="1086"/>
        <v>0</v>
      </c>
      <c r="W1193" s="405">
        <f t="shared" ca="1" si="1086"/>
        <v>0</v>
      </c>
      <c r="X1193" s="405">
        <f t="shared" ca="1" si="1086"/>
        <v>0</v>
      </c>
    </row>
    <row r="1194" spans="1:24" hidden="1">
      <c r="A1194" s="328"/>
      <c r="B1194" s="20" t="s">
        <v>419</v>
      </c>
      <c r="C1194" s="20"/>
      <c r="D1194" s="21">
        <f>D1187+1</f>
        <v>11</v>
      </c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</row>
    <row r="1195" spans="1:24" hidden="1">
      <c r="A1195" s="328"/>
      <c r="B1195" s="21" t="s">
        <v>414</v>
      </c>
      <c r="C1195" s="21"/>
      <c r="D1195" s="165">
        <f ca="1">YEAR(OFFSET($E$195,D1194,0))</f>
        <v>1900</v>
      </c>
      <c r="E1195" s="165">
        <f ca="1">MONTH(OFFSET($E$195,D1194,0))</f>
        <v>1</v>
      </c>
      <c r="F1195" s="21">
        <f ca="1">12-$E1195</f>
        <v>11</v>
      </c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</row>
    <row r="1196" spans="1:24" hidden="1">
      <c r="A1196" s="328"/>
      <c r="B1196" s="21" t="s">
        <v>406</v>
      </c>
      <c r="C1196" s="21"/>
      <c r="D1196" s="247">
        <f ca="1">IF(E1196&lt;0,0,ROUND(E1196,0))</f>
        <v>0</v>
      </c>
      <c r="E1196" s="249">
        <f ca="1">OFFSET($D$195,D1194,0)</f>
        <v>0</v>
      </c>
      <c r="F1196" s="247">
        <f ca="1">IF(E1196&gt;10,ROUND(($D1197/12)*$F1195,0),$D1196)</f>
        <v>0</v>
      </c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328"/>
      <c r="B1197" s="21" t="s">
        <v>415</v>
      </c>
      <c r="C1197" s="21"/>
      <c r="D1197" s="247">
        <f ca="1">IF(ISBLANK(OFFSET($E$195,D1194,0)),0,IF(E1196&gt;10,ROUND(D1196*am_prace_rozwojowe,0),IF(D1196&lt;0,0,D1196)))</f>
        <v>0</v>
      </c>
      <c r="E1197" s="21"/>
      <c r="F1197" s="21"/>
      <c r="G1197" s="21"/>
      <c r="H1197" s="21"/>
      <c r="I1197" s="21"/>
      <c r="J1197" s="21"/>
      <c r="K1197" s="75">
        <f ca="1">ROUND(IF(($D1195+1)=K$192,$D1197,0),0)</f>
        <v>0</v>
      </c>
      <c r="L1197" s="248">
        <f ca="1">ROUND(IF(OR(AND($D1195=LataProjekcji,$F1195&gt;0),AND($D1195=LataProjekcji,$F1195=0,$E1196&lt;=10)),$F1196,IF($D1195&lt;LataProjekcji,IF((SUM($K1197:K1197)+$D1197)&lt;$D1196,$D1197,$D1196-SUM($K1197:K1197)),0)),0)</f>
        <v>0</v>
      </c>
      <c r="M1197" s="248">
        <f ca="1">ROUND(IF(OR(AND($D1195=LataProjekcji,$F1195&gt;0),AND($D1195=LataProjekcji,$F1195=0,$E1196&lt;=10)),$F1196,IF($D1195&lt;LataProjekcji,IF((SUM($K1197:L1197)+$D1197)&lt;$D1196,$D1197,$D1196-SUM($K1197:L1197)),0)),0)</f>
        <v>0</v>
      </c>
      <c r="N1197" s="248">
        <f ca="1">ROUND(IF(OR(AND($D1195=LataProjekcji,$F1195&gt;0),AND($D1195=LataProjekcji,$F1195=0,$E1196&lt;=10)),$F1196,IF($D1195&lt;LataProjekcji,IF((SUM($K1197:M1197)+$D1197)&lt;$D1196,$D1197,$D1196-SUM($K1197:M1197)),0)),0)</f>
        <v>0</v>
      </c>
      <c r="O1197" s="248">
        <f ca="1">ROUND(IF(OR(AND($D1195=LataProjekcji,$F1195&gt;0),AND($D1195=LataProjekcji,$F1195=0,$E1196&lt;=10)),$F1196,IF($D1195&lt;LataProjekcji,IF((SUM($K1197:N1197)+$D1197)&lt;$D1196,$D1197,$D1196-SUM($K1197:N1197)),0)),0)</f>
        <v>0</v>
      </c>
      <c r="P1197" s="248">
        <f ca="1">ROUND(IF(OR(AND($D1195=LataProjekcji,$F1195&gt;0),AND($D1195=LataProjekcji,$F1195=0,$E1196&lt;=10)),$F1196,IF($D1195&lt;LataProjekcji,IF((SUM($K1197:O1197)+$D1197)&lt;$D1196,$D1197,$D1196-SUM($K1197:O1197)),0)),0)</f>
        <v>0</v>
      </c>
      <c r="Q1197" s="248">
        <f ca="1">ROUND(IF(OR(AND($D1195=LataProjekcji,$F1195&gt;0),AND($D1195=LataProjekcji,$F1195=0,$E1196&lt;=10)),$F1196,IF($D1195&lt;LataProjekcji,IF((SUM($K1197:P1197)+$D1197)&lt;$D1196,$D1197,$D1196-SUM($K1197:P1197)),0)),0)</f>
        <v>0</v>
      </c>
      <c r="R1197" s="248">
        <f ca="1">ROUND(IF(OR(AND($D1195=LataProjekcji,$F1195&gt;0),AND($D1195=LataProjekcji,$F1195=0,$E1196&lt;=10)),$F1196,IF($D1195&lt;LataProjekcji,IF((SUM($K1197:Q1197)+$D1197)&lt;$D1196,$D1197,$D1196-SUM($K1197:Q1197)),0)),0)</f>
        <v>0</v>
      </c>
      <c r="S1197" s="248">
        <f ca="1">ROUND(IF(OR(AND($D1195=LataProjekcji,$F1195&gt;0),AND($D1195=LataProjekcji,$F1195=0,$E1196&lt;=10)),$F1196,IF($D1195&lt;LataProjekcji,IF((SUM($K1197:R1197)+$D1197)&lt;$D1196,$D1197,$D1196-SUM($K1197:R1197)),0)),0)</f>
        <v>0</v>
      </c>
      <c r="T1197" s="248">
        <f ca="1">ROUND(IF(OR(AND($D1195=LataProjekcji,$F1195&gt;0),AND($D1195=LataProjekcji,$F1195=0,$E1196&lt;=10)),$F1196,IF($D1195&lt;LataProjekcji,IF((SUM($K1197:S1197)+$D1197)&lt;$D1196,$D1197,$D1196-SUM($K1197:S1197)),0)),0)</f>
        <v>0</v>
      </c>
      <c r="U1197" s="248">
        <f ca="1">ROUND(IF(OR(AND($D1195=LataProjekcji,$F1195&gt;0),AND($D1195=LataProjekcji,$F1195=0,$E1196&lt;=10)),$F1196,IF($D1195&lt;LataProjekcji,IF((SUM($K1197:T1197)+$D1197)&lt;$D1196,$D1197,$D1196-SUM($K1197:T1197)),0)),0)</f>
        <v>0</v>
      </c>
      <c r="V1197" s="248">
        <f ca="1">ROUND(IF(OR(AND($D1195=LataProjekcji,$F1195&gt;0),AND($D1195=LataProjekcji,$F1195=0,$E1196&lt;=10)),$F1196,IF($D1195&lt;LataProjekcji,IF((SUM($K1197:U1197)+$D1197)&lt;$D1196,$D1197,$D1196-SUM($K1197:U1197)),0)),0)</f>
        <v>0</v>
      </c>
      <c r="W1197" s="248">
        <f ca="1">ROUND(IF(OR(AND($D1195=LataProjekcji,$F1195&gt;0),AND($D1195=LataProjekcji,$F1195=0,$E1196&lt;=10)),$F1196,IF($D1195&lt;LataProjekcji,IF((SUM($K1197:V1197)+$D1197)&lt;$D1196,$D1197,$D1196-SUM($K1197:V1197)),0)),0)</f>
        <v>0</v>
      </c>
      <c r="X1197" s="248">
        <f ca="1">ROUND(IF(OR(AND($D1195=LataProjekcji,$F1195&gt;0),AND($D1195=LataProjekcji,$F1195=0,$E1196&lt;=10)),$F1196,IF($D1195&lt;LataProjekcji,IF((SUM($K1197:W1197)+$D1197)&lt;$D1196,$D1197,$D1196-SUM($K1197:W1197)),0)),0)</f>
        <v>0</v>
      </c>
    </row>
    <row r="1198" spans="1:24" hidden="1">
      <c r="A1198" s="328"/>
      <c r="B1198" s="21" t="s">
        <v>416</v>
      </c>
      <c r="C1198" s="21"/>
      <c r="D1198" s="22"/>
      <c r="E1198" s="21"/>
      <c r="F1198" s="21"/>
      <c r="G1198" s="21"/>
      <c r="H1198" s="21"/>
      <c r="I1198" s="21"/>
      <c r="J1198" s="21"/>
      <c r="K1198" s="22">
        <f ca="1">ROUND(K1197,0)</f>
        <v>0</v>
      </c>
      <c r="L1198" s="22">
        <f t="shared" ref="L1198" ca="1" si="1087">ROUND(K1198+L1197,0)</f>
        <v>0</v>
      </c>
      <c r="M1198" s="22">
        <f t="shared" ref="M1198" ca="1" si="1088">ROUND(L1198+M1197,0)</f>
        <v>0</v>
      </c>
      <c r="N1198" s="22">
        <f t="shared" ref="N1198" ca="1" si="1089">ROUND(M1198+N1197,0)</f>
        <v>0</v>
      </c>
      <c r="O1198" s="22">
        <f t="shared" ref="O1198" ca="1" si="1090">ROUND(N1198+O1197,0)</f>
        <v>0</v>
      </c>
      <c r="P1198" s="22">
        <f t="shared" ref="P1198" ca="1" si="1091">ROUND(O1198+P1197,0)</f>
        <v>0</v>
      </c>
      <c r="Q1198" s="22">
        <f t="shared" ref="Q1198" ca="1" si="1092">ROUND(P1198+Q1197,0)</f>
        <v>0</v>
      </c>
      <c r="R1198" s="22">
        <f t="shared" ref="R1198" ca="1" si="1093">ROUND(Q1198+R1197,0)</f>
        <v>0</v>
      </c>
      <c r="S1198" s="22">
        <f t="shared" ref="S1198" ca="1" si="1094">ROUND(R1198+S1197,0)</f>
        <v>0</v>
      </c>
      <c r="T1198" s="22">
        <f t="shared" ref="T1198" ca="1" si="1095">ROUND(S1198+T1197,0)</f>
        <v>0</v>
      </c>
      <c r="U1198" s="22">
        <f t="shared" ref="U1198" ca="1" si="1096">ROUND(T1198+U1197,0)</f>
        <v>0</v>
      </c>
      <c r="V1198" s="22">
        <f t="shared" ref="V1198" ca="1" si="1097">ROUND(U1198+V1197,0)</f>
        <v>0</v>
      </c>
      <c r="W1198" s="22">
        <f t="shared" ref="W1198" ca="1" si="1098">ROUND(V1198+W1197,0)</f>
        <v>0</v>
      </c>
      <c r="X1198" s="22">
        <f t="shared" ref="X1198" ca="1" si="1099">ROUND(W1198+X1197,0)</f>
        <v>0</v>
      </c>
    </row>
    <row r="1199" spans="1:24" hidden="1">
      <c r="A1199" s="328"/>
      <c r="B1199" s="21" t="s">
        <v>406</v>
      </c>
      <c r="C1199" s="21"/>
      <c r="D1199" s="22"/>
      <c r="E1199" s="21"/>
      <c r="F1199" s="21"/>
      <c r="G1199" s="21"/>
      <c r="H1199" s="21"/>
      <c r="I1199" s="21"/>
      <c r="J1199" s="21"/>
      <c r="K1199" s="77">
        <f ca="1">IF($D1195=LataProjekcji,ROUND($D1196-K1198,0),ROUND(IF(K1197=0,0,$D1196-K1198),0))</f>
        <v>0</v>
      </c>
      <c r="L1199" s="254">
        <f t="shared" ref="L1199:X1199" ca="1" si="1100">IF($D1195=LataProjekcji,ROUND($D1196-L1198,0),ROUND(IF(AND(L1197=0,K1199&gt;0),$D1196-L1198,IF(L1197=0,0,$D1196-L1198)),0))</f>
        <v>0</v>
      </c>
      <c r="M1199" s="254">
        <f t="shared" ca="1" si="1100"/>
        <v>0</v>
      </c>
      <c r="N1199" s="254">
        <f t="shared" ca="1" si="1100"/>
        <v>0</v>
      </c>
      <c r="O1199" s="254">
        <f t="shared" ca="1" si="1100"/>
        <v>0</v>
      </c>
      <c r="P1199" s="254">
        <f t="shared" ca="1" si="1100"/>
        <v>0</v>
      </c>
      <c r="Q1199" s="254">
        <f t="shared" ca="1" si="1100"/>
        <v>0</v>
      </c>
      <c r="R1199" s="254">
        <f t="shared" ca="1" si="1100"/>
        <v>0</v>
      </c>
      <c r="S1199" s="254">
        <f t="shared" ca="1" si="1100"/>
        <v>0</v>
      </c>
      <c r="T1199" s="254">
        <f t="shared" ca="1" si="1100"/>
        <v>0</v>
      </c>
      <c r="U1199" s="254">
        <f t="shared" ca="1" si="1100"/>
        <v>0</v>
      </c>
      <c r="V1199" s="254">
        <f t="shared" ca="1" si="1100"/>
        <v>0</v>
      </c>
      <c r="W1199" s="254">
        <f t="shared" ca="1" si="1100"/>
        <v>0</v>
      </c>
      <c r="X1199" s="254">
        <f t="shared" ca="1" si="1100"/>
        <v>0</v>
      </c>
    </row>
    <row r="1200" spans="1:24" hidden="1">
      <c r="A1200" s="328"/>
      <c r="B1200" s="21"/>
      <c r="C1200" s="21"/>
      <c r="D1200" s="21"/>
      <c r="E1200" s="21"/>
      <c r="F1200" s="21"/>
      <c r="G1200" s="21"/>
      <c r="H1200" s="404">
        <f>H1193+1</f>
        <v>9</v>
      </c>
      <c r="I1200" s="483" cm="1">
        <f t="array" aca="1" ref="I1200" ca="1">OFFSET('Środki trwałe'!$C$197,H1200,,)</f>
        <v>0</v>
      </c>
      <c r="J1200" s="404" t="s">
        <v>427</v>
      </c>
      <c r="K1200" s="405">
        <f t="shared" ref="K1200:X1200" ca="1" si="1101">IF(AND(OFFSET($F$195,$D1194,0)="tak",OFFSET($G$195,$D1194,0)="tak",OFFSET($J$195,$D1194,0)="ok",LataProjekcji&lt;=Koniec_Projekt),ROUND(K1197*OFFSET($K$223,$H1200,(COLUMN()-11)),0),0)</f>
        <v>0</v>
      </c>
      <c r="L1200" s="405">
        <f t="shared" ca="1" si="1101"/>
        <v>0</v>
      </c>
      <c r="M1200" s="405">
        <f t="shared" ca="1" si="1101"/>
        <v>0</v>
      </c>
      <c r="N1200" s="405">
        <f t="shared" ca="1" si="1101"/>
        <v>0</v>
      </c>
      <c r="O1200" s="405">
        <f t="shared" ca="1" si="1101"/>
        <v>0</v>
      </c>
      <c r="P1200" s="405">
        <f t="shared" ca="1" si="1101"/>
        <v>0</v>
      </c>
      <c r="Q1200" s="405">
        <f t="shared" ca="1" si="1101"/>
        <v>0</v>
      </c>
      <c r="R1200" s="405">
        <f t="shared" ca="1" si="1101"/>
        <v>0</v>
      </c>
      <c r="S1200" s="405">
        <f t="shared" ca="1" si="1101"/>
        <v>0</v>
      </c>
      <c r="T1200" s="405">
        <f t="shared" ca="1" si="1101"/>
        <v>0</v>
      </c>
      <c r="U1200" s="405">
        <f t="shared" ca="1" si="1101"/>
        <v>0</v>
      </c>
      <c r="V1200" s="405">
        <f t="shared" ca="1" si="1101"/>
        <v>0</v>
      </c>
      <c r="W1200" s="405">
        <f t="shared" ca="1" si="1101"/>
        <v>0</v>
      </c>
      <c r="X1200" s="405">
        <f t="shared" ca="1" si="1101"/>
        <v>0</v>
      </c>
    </row>
    <row r="1201" spans="1:24" hidden="1">
      <c r="A1201" s="328"/>
      <c r="B1201" s="20" t="s">
        <v>418</v>
      </c>
      <c r="C1201" s="20"/>
      <c r="D1201" s="21">
        <f>D1194+1</f>
        <v>12</v>
      </c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</row>
    <row r="1202" spans="1:24" hidden="1">
      <c r="A1202" s="328"/>
      <c r="B1202" s="21" t="s">
        <v>414</v>
      </c>
      <c r="C1202" s="21"/>
      <c r="D1202" s="165">
        <f ca="1">YEAR(OFFSET($E$195,D1201,0))</f>
        <v>1900</v>
      </c>
      <c r="E1202" s="165">
        <f ca="1">MONTH(OFFSET($E$195,D1201,0))</f>
        <v>1</v>
      </c>
      <c r="F1202" s="21">
        <f ca="1">12-$E1202</f>
        <v>11</v>
      </c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</row>
    <row r="1203" spans="1:24" hidden="1">
      <c r="A1203" s="328"/>
      <c r="B1203" s="21" t="s">
        <v>406</v>
      </c>
      <c r="C1203" s="21"/>
      <c r="D1203" s="247">
        <f ca="1">IF(E1203&lt;0,0,ROUND(E1203,0))</f>
        <v>0</v>
      </c>
      <c r="E1203" s="249">
        <f ca="1">OFFSET($D$195,D1201,0)</f>
        <v>0</v>
      </c>
      <c r="F1203" s="247">
        <f ca="1">IF(E1203&gt;10,ROUND(($D1204/12)*$F1202,0),$D1203)</f>
        <v>0</v>
      </c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328"/>
      <c r="B1204" s="21" t="s">
        <v>415</v>
      </c>
      <c r="C1204" s="21"/>
      <c r="D1204" s="247">
        <f ca="1">IF(ISBLANK(OFFSET($E$195,D1201,0)),0,IF(E1203&gt;10,ROUND(D1203*am_prace_rozwojowe,0),IF(D1203&lt;0,0,D1203)))</f>
        <v>0</v>
      </c>
      <c r="E1204" s="21"/>
      <c r="F1204" s="21"/>
      <c r="G1204" s="21"/>
      <c r="H1204" s="21"/>
      <c r="I1204" s="21"/>
      <c r="J1204" s="21"/>
      <c r="K1204" s="75">
        <f ca="1">ROUND(IF(($D1202+1)=K$192,$D1204,0),0)</f>
        <v>0</v>
      </c>
      <c r="L1204" s="248">
        <f ca="1">ROUND(IF(OR(AND($D1202=LataProjekcji,$F1202&gt;0),AND($D1202=LataProjekcji,$F1202=0,$E1203&lt;=10)),$F1203,IF($D1202&lt;LataProjekcji,IF((SUM($K1204:K1204)+$D1204)&lt;$D1203,$D1204,$D1203-SUM($K1204:K1204)),0)),0)</f>
        <v>0</v>
      </c>
      <c r="M1204" s="248">
        <f ca="1">ROUND(IF(OR(AND($D1202=LataProjekcji,$F1202&gt;0),AND($D1202=LataProjekcji,$F1202=0,$E1203&lt;=10)),$F1203,IF($D1202&lt;LataProjekcji,IF((SUM($K1204:L1204)+$D1204)&lt;$D1203,$D1204,$D1203-SUM($K1204:L1204)),0)),0)</f>
        <v>0</v>
      </c>
      <c r="N1204" s="248">
        <f ca="1">ROUND(IF(OR(AND($D1202=LataProjekcji,$F1202&gt;0),AND($D1202=LataProjekcji,$F1202=0,$E1203&lt;=10)),$F1203,IF($D1202&lt;LataProjekcji,IF((SUM($K1204:M1204)+$D1204)&lt;$D1203,$D1204,$D1203-SUM($K1204:M1204)),0)),0)</f>
        <v>0</v>
      </c>
      <c r="O1204" s="248">
        <f ca="1">ROUND(IF(OR(AND($D1202=LataProjekcji,$F1202&gt;0),AND($D1202=LataProjekcji,$F1202=0,$E1203&lt;=10)),$F1203,IF($D1202&lt;LataProjekcji,IF((SUM($K1204:N1204)+$D1204)&lt;$D1203,$D1204,$D1203-SUM($K1204:N1204)),0)),0)</f>
        <v>0</v>
      </c>
      <c r="P1204" s="248">
        <f ca="1">ROUND(IF(OR(AND($D1202=LataProjekcji,$F1202&gt;0),AND($D1202=LataProjekcji,$F1202=0,$E1203&lt;=10)),$F1203,IF($D1202&lt;LataProjekcji,IF((SUM($K1204:O1204)+$D1204)&lt;$D1203,$D1204,$D1203-SUM($K1204:O1204)),0)),0)</f>
        <v>0</v>
      </c>
      <c r="Q1204" s="248">
        <f ca="1">ROUND(IF(OR(AND($D1202=LataProjekcji,$F1202&gt;0),AND($D1202=LataProjekcji,$F1202=0,$E1203&lt;=10)),$F1203,IF($D1202&lt;LataProjekcji,IF((SUM($K1204:P1204)+$D1204)&lt;$D1203,$D1204,$D1203-SUM($K1204:P1204)),0)),0)</f>
        <v>0</v>
      </c>
      <c r="R1204" s="248">
        <f ca="1">ROUND(IF(OR(AND($D1202=LataProjekcji,$F1202&gt;0),AND($D1202=LataProjekcji,$F1202=0,$E1203&lt;=10)),$F1203,IF($D1202&lt;LataProjekcji,IF((SUM($K1204:Q1204)+$D1204)&lt;$D1203,$D1204,$D1203-SUM($K1204:Q1204)),0)),0)</f>
        <v>0</v>
      </c>
      <c r="S1204" s="248">
        <f ca="1">ROUND(IF(OR(AND($D1202=LataProjekcji,$F1202&gt;0),AND($D1202=LataProjekcji,$F1202=0,$E1203&lt;=10)),$F1203,IF($D1202&lt;LataProjekcji,IF((SUM($K1204:R1204)+$D1204)&lt;$D1203,$D1204,$D1203-SUM($K1204:R1204)),0)),0)</f>
        <v>0</v>
      </c>
      <c r="T1204" s="248">
        <f ca="1">ROUND(IF(OR(AND($D1202=LataProjekcji,$F1202&gt;0),AND($D1202=LataProjekcji,$F1202=0,$E1203&lt;=10)),$F1203,IF($D1202&lt;LataProjekcji,IF((SUM($K1204:S1204)+$D1204)&lt;$D1203,$D1204,$D1203-SUM($K1204:S1204)),0)),0)</f>
        <v>0</v>
      </c>
      <c r="U1204" s="248">
        <f ca="1">ROUND(IF(OR(AND($D1202=LataProjekcji,$F1202&gt;0),AND($D1202=LataProjekcji,$F1202=0,$E1203&lt;=10)),$F1203,IF($D1202&lt;LataProjekcji,IF((SUM($K1204:T1204)+$D1204)&lt;$D1203,$D1204,$D1203-SUM($K1204:T1204)),0)),0)</f>
        <v>0</v>
      </c>
      <c r="V1204" s="248">
        <f ca="1">ROUND(IF(OR(AND($D1202=LataProjekcji,$F1202&gt;0),AND($D1202=LataProjekcji,$F1202=0,$E1203&lt;=10)),$F1203,IF($D1202&lt;LataProjekcji,IF((SUM($K1204:U1204)+$D1204)&lt;$D1203,$D1204,$D1203-SUM($K1204:U1204)),0)),0)</f>
        <v>0</v>
      </c>
      <c r="W1204" s="248">
        <f ca="1">ROUND(IF(OR(AND($D1202=LataProjekcji,$F1202&gt;0),AND($D1202=LataProjekcji,$F1202=0,$E1203&lt;=10)),$F1203,IF($D1202&lt;LataProjekcji,IF((SUM($K1204:V1204)+$D1204)&lt;$D1203,$D1204,$D1203-SUM($K1204:V1204)),0)),0)</f>
        <v>0</v>
      </c>
      <c r="X1204" s="248">
        <f ca="1">ROUND(IF(OR(AND($D1202=LataProjekcji,$F1202&gt;0),AND($D1202=LataProjekcji,$F1202=0,$E1203&lt;=10)),$F1203,IF($D1202&lt;LataProjekcji,IF((SUM($K1204:W1204)+$D1204)&lt;$D1203,$D1204,$D1203-SUM($K1204:W1204)),0)),0)</f>
        <v>0</v>
      </c>
    </row>
    <row r="1205" spans="1:24" hidden="1">
      <c r="A1205" s="328"/>
      <c r="B1205" s="21" t="s">
        <v>416</v>
      </c>
      <c r="C1205" s="21"/>
      <c r="D1205" s="22"/>
      <c r="E1205" s="21"/>
      <c r="F1205" s="21"/>
      <c r="G1205" s="21"/>
      <c r="H1205" s="21"/>
      <c r="I1205" s="21"/>
      <c r="J1205" s="21"/>
      <c r="K1205" s="22">
        <f ca="1">ROUND(K1204,0)</f>
        <v>0</v>
      </c>
      <c r="L1205" s="22">
        <f t="shared" ref="L1205" ca="1" si="1102">ROUND(K1205+L1204,0)</f>
        <v>0</v>
      </c>
      <c r="M1205" s="22">
        <f t="shared" ref="M1205" ca="1" si="1103">ROUND(L1205+M1204,0)</f>
        <v>0</v>
      </c>
      <c r="N1205" s="22">
        <f t="shared" ref="N1205" ca="1" si="1104">ROUND(M1205+N1204,0)</f>
        <v>0</v>
      </c>
      <c r="O1205" s="22">
        <f t="shared" ref="O1205" ca="1" si="1105">ROUND(N1205+O1204,0)</f>
        <v>0</v>
      </c>
      <c r="P1205" s="22">
        <f t="shared" ref="P1205" ca="1" si="1106">ROUND(O1205+P1204,0)</f>
        <v>0</v>
      </c>
      <c r="Q1205" s="22">
        <f t="shared" ref="Q1205" ca="1" si="1107">ROUND(P1205+Q1204,0)</f>
        <v>0</v>
      </c>
      <c r="R1205" s="22">
        <f t="shared" ref="R1205" ca="1" si="1108">ROUND(Q1205+R1204,0)</f>
        <v>0</v>
      </c>
      <c r="S1205" s="22">
        <f t="shared" ref="S1205" ca="1" si="1109">ROUND(R1205+S1204,0)</f>
        <v>0</v>
      </c>
      <c r="T1205" s="22">
        <f t="shared" ref="T1205" ca="1" si="1110">ROUND(S1205+T1204,0)</f>
        <v>0</v>
      </c>
      <c r="U1205" s="22">
        <f t="shared" ref="U1205" ca="1" si="1111">ROUND(T1205+U1204,0)</f>
        <v>0</v>
      </c>
      <c r="V1205" s="22">
        <f t="shared" ref="V1205" ca="1" si="1112">ROUND(U1205+V1204,0)</f>
        <v>0</v>
      </c>
      <c r="W1205" s="22">
        <f t="shared" ref="W1205" ca="1" si="1113">ROUND(V1205+W1204,0)</f>
        <v>0</v>
      </c>
      <c r="X1205" s="22">
        <f t="shared" ref="X1205" ca="1" si="1114">ROUND(W1205+X1204,0)</f>
        <v>0</v>
      </c>
    </row>
    <row r="1206" spans="1:24" hidden="1">
      <c r="A1206" s="328"/>
      <c r="B1206" s="21" t="s">
        <v>406</v>
      </c>
      <c r="C1206" s="21"/>
      <c r="D1206" s="22"/>
      <c r="E1206" s="21"/>
      <c r="F1206" s="21"/>
      <c r="G1206" s="21"/>
      <c r="H1206" s="21"/>
      <c r="I1206" s="21"/>
      <c r="J1206" s="21"/>
      <c r="K1206" s="77">
        <f ca="1">IF($D1202=LataProjekcji,ROUND($D1203-K1205,0),ROUND(IF(K1204=0,0,$D1203-K1205),0))</f>
        <v>0</v>
      </c>
      <c r="L1206" s="254">
        <f t="shared" ref="L1206:X1206" ca="1" si="1115">IF($D1202=LataProjekcji,ROUND($D1203-L1205,0),ROUND(IF(AND(L1204=0,K1206&gt;0),$D1203-L1205,IF(L1204=0,0,$D1203-L1205)),0))</f>
        <v>0</v>
      </c>
      <c r="M1206" s="254">
        <f t="shared" ca="1" si="1115"/>
        <v>0</v>
      </c>
      <c r="N1206" s="254">
        <f t="shared" ca="1" si="1115"/>
        <v>0</v>
      </c>
      <c r="O1206" s="254">
        <f t="shared" ca="1" si="1115"/>
        <v>0</v>
      </c>
      <c r="P1206" s="254">
        <f t="shared" ca="1" si="1115"/>
        <v>0</v>
      </c>
      <c r="Q1206" s="254">
        <f t="shared" ca="1" si="1115"/>
        <v>0</v>
      </c>
      <c r="R1206" s="254">
        <f t="shared" ca="1" si="1115"/>
        <v>0</v>
      </c>
      <c r="S1206" s="254">
        <f t="shared" ca="1" si="1115"/>
        <v>0</v>
      </c>
      <c r="T1206" s="254">
        <f t="shared" ca="1" si="1115"/>
        <v>0</v>
      </c>
      <c r="U1206" s="254">
        <f t="shared" ca="1" si="1115"/>
        <v>0</v>
      </c>
      <c r="V1206" s="254">
        <f t="shared" ca="1" si="1115"/>
        <v>0</v>
      </c>
      <c r="W1206" s="254">
        <f t="shared" ca="1" si="1115"/>
        <v>0</v>
      </c>
      <c r="X1206" s="254">
        <f t="shared" ca="1" si="1115"/>
        <v>0</v>
      </c>
    </row>
    <row r="1207" spans="1:24" hidden="1">
      <c r="A1207" s="328"/>
      <c r="B1207" s="21"/>
      <c r="C1207" s="21"/>
      <c r="D1207" s="22"/>
      <c r="E1207" s="21"/>
      <c r="F1207" s="21"/>
      <c r="G1207" s="21"/>
      <c r="H1207" s="404">
        <f>H1200+1</f>
        <v>10</v>
      </c>
      <c r="I1207" s="483" cm="1">
        <f t="array" aca="1" ref="I1207" ca="1">OFFSET('Środki trwałe'!$C$197,H1207,,)</f>
        <v>0</v>
      </c>
      <c r="J1207" s="404" t="s">
        <v>427</v>
      </c>
      <c r="K1207" s="405">
        <f t="shared" ref="K1207:X1207" ca="1" si="1116">IF(AND(OFFSET($F$195,$D1201,0)="tak",OFFSET($G$195,$D1201,0)="tak",OFFSET($J$195,$D1201,0)="ok",LataProjekcji&lt;=Koniec_Projekt),ROUND(K1204*OFFSET($K$223,$H1207,(COLUMN()-11)),0),0)</f>
        <v>0</v>
      </c>
      <c r="L1207" s="405">
        <f t="shared" ca="1" si="1116"/>
        <v>0</v>
      </c>
      <c r="M1207" s="405">
        <f t="shared" ca="1" si="1116"/>
        <v>0</v>
      </c>
      <c r="N1207" s="405">
        <f t="shared" ca="1" si="1116"/>
        <v>0</v>
      </c>
      <c r="O1207" s="405">
        <f t="shared" ca="1" si="1116"/>
        <v>0</v>
      </c>
      <c r="P1207" s="405">
        <f t="shared" ca="1" si="1116"/>
        <v>0</v>
      </c>
      <c r="Q1207" s="405">
        <f t="shared" ca="1" si="1116"/>
        <v>0</v>
      </c>
      <c r="R1207" s="405">
        <f t="shared" ca="1" si="1116"/>
        <v>0</v>
      </c>
      <c r="S1207" s="405">
        <f t="shared" ca="1" si="1116"/>
        <v>0</v>
      </c>
      <c r="T1207" s="405">
        <f t="shared" ca="1" si="1116"/>
        <v>0</v>
      </c>
      <c r="U1207" s="405">
        <f t="shared" ca="1" si="1116"/>
        <v>0</v>
      </c>
      <c r="V1207" s="405">
        <f t="shared" ca="1" si="1116"/>
        <v>0</v>
      </c>
      <c r="W1207" s="405">
        <f t="shared" ca="1" si="1116"/>
        <v>0</v>
      </c>
      <c r="X1207" s="405">
        <f t="shared" ca="1" si="1116"/>
        <v>0</v>
      </c>
    </row>
    <row r="1208" spans="1:24" hidden="1">
      <c r="A1208" s="328"/>
      <c r="B1208" s="20" t="s">
        <v>419</v>
      </c>
      <c r="C1208" s="20"/>
      <c r="D1208" s="21">
        <f>D1201+1</f>
        <v>13</v>
      </c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</row>
    <row r="1209" spans="1:24" hidden="1">
      <c r="A1209" s="328"/>
      <c r="B1209" s="21" t="s">
        <v>414</v>
      </c>
      <c r="C1209" s="21"/>
      <c r="D1209" s="165">
        <f ca="1">YEAR(OFFSET($E$195,D1208,0))</f>
        <v>1900</v>
      </c>
      <c r="E1209" s="165">
        <f ca="1">MONTH(OFFSET($E$195,D1208,0))</f>
        <v>1</v>
      </c>
      <c r="F1209" s="21">
        <f ca="1">12-$E1209</f>
        <v>11</v>
      </c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</row>
    <row r="1210" spans="1:24" hidden="1">
      <c r="A1210" s="328"/>
      <c r="B1210" s="21" t="s">
        <v>406</v>
      </c>
      <c r="C1210" s="21"/>
      <c r="D1210" s="247">
        <f ca="1">IF(E1210&lt;0,0,ROUND(E1210,0))</f>
        <v>0</v>
      </c>
      <c r="E1210" s="249">
        <f ca="1">OFFSET($D$195,D1208,0)</f>
        <v>0</v>
      </c>
      <c r="F1210" s="247">
        <f ca="1">IF(E1210&gt;10,ROUND(($D1211/12)*$F1209,0),$D1210)</f>
        <v>0</v>
      </c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328"/>
      <c r="B1211" s="21" t="s">
        <v>415</v>
      </c>
      <c r="C1211" s="21"/>
      <c r="D1211" s="247">
        <f ca="1">IF(ISBLANK(OFFSET($E$195,D1208,0)),0,IF(E1210&gt;10,ROUND(D1210*am_prace_rozwojowe,0),IF(D1210&lt;0,0,D1210)))</f>
        <v>0</v>
      </c>
      <c r="E1211" s="21"/>
      <c r="F1211" s="21"/>
      <c r="G1211" s="21"/>
      <c r="H1211" s="21"/>
      <c r="I1211" s="21"/>
      <c r="J1211" s="21"/>
      <c r="K1211" s="75">
        <f ca="1">ROUND(IF(($D1209+1)=K$192,$D1211,0),0)</f>
        <v>0</v>
      </c>
      <c r="L1211" s="248">
        <f ca="1">ROUND(IF(OR(AND($D1209=LataProjekcji,$F1209&gt;0),AND($D1209=LataProjekcji,$F1209=0,$E1210&lt;=10)),$F1210,IF($D1209&lt;LataProjekcji,IF((SUM($K1211:K1211)+$D1211)&lt;$D1210,$D1211,$D1210-SUM($K1211:K1211)),0)),0)</f>
        <v>0</v>
      </c>
      <c r="M1211" s="248">
        <f ca="1">ROUND(IF(OR(AND($D1209=LataProjekcji,$F1209&gt;0),AND($D1209=LataProjekcji,$F1209=0,$E1210&lt;=10)),$F1210,IF($D1209&lt;LataProjekcji,IF((SUM($K1211:L1211)+$D1211)&lt;$D1210,$D1211,$D1210-SUM($K1211:L1211)),0)),0)</f>
        <v>0</v>
      </c>
      <c r="N1211" s="248">
        <f ca="1">ROUND(IF(OR(AND($D1209=LataProjekcji,$F1209&gt;0),AND($D1209=LataProjekcji,$F1209=0,$E1210&lt;=10)),$F1210,IF($D1209&lt;LataProjekcji,IF((SUM($K1211:M1211)+$D1211)&lt;$D1210,$D1211,$D1210-SUM($K1211:M1211)),0)),0)</f>
        <v>0</v>
      </c>
      <c r="O1211" s="248">
        <f ca="1">ROUND(IF(OR(AND($D1209=LataProjekcji,$F1209&gt;0),AND($D1209=LataProjekcji,$F1209=0,$E1210&lt;=10)),$F1210,IF($D1209&lt;LataProjekcji,IF((SUM($K1211:N1211)+$D1211)&lt;$D1210,$D1211,$D1210-SUM($K1211:N1211)),0)),0)</f>
        <v>0</v>
      </c>
      <c r="P1211" s="248">
        <f ca="1">ROUND(IF(OR(AND($D1209=LataProjekcji,$F1209&gt;0),AND($D1209=LataProjekcji,$F1209=0,$E1210&lt;=10)),$F1210,IF($D1209&lt;LataProjekcji,IF((SUM($K1211:O1211)+$D1211)&lt;$D1210,$D1211,$D1210-SUM($K1211:O1211)),0)),0)</f>
        <v>0</v>
      </c>
      <c r="Q1211" s="248">
        <f ca="1">ROUND(IF(OR(AND($D1209=LataProjekcji,$F1209&gt;0),AND($D1209=LataProjekcji,$F1209=0,$E1210&lt;=10)),$F1210,IF($D1209&lt;LataProjekcji,IF((SUM($K1211:P1211)+$D1211)&lt;$D1210,$D1211,$D1210-SUM($K1211:P1211)),0)),0)</f>
        <v>0</v>
      </c>
      <c r="R1211" s="248">
        <f ca="1">ROUND(IF(OR(AND($D1209=LataProjekcji,$F1209&gt;0),AND($D1209=LataProjekcji,$F1209=0,$E1210&lt;=10)),$F1210,IF($D1209&lt;LataProjekcji,IF((SUM($K1211:Q1211)+$D1211)&lt;$D1210,$D1211,$D1210-SUM($K1211:Q1211)),0)),0)</f>
        <v>0</v>
      </c>
      <c r="S1211" s="248">
        <f ca="1">ROUND(IF(OR(AND($D1209=LataProjekcji,$F1209&gt;0),AND($D1209=LataProjekcji,$F1209=0,$E1210&lt;=10)),$F1210,IF($D1209&lt;LataProjekcji,IF((SUM($K1211:R1211)+$D1211)&lt;$D1210,$D1211,$D1210-SUM($K1211:R1211)),0)),0)</f>
        <v>0</v>
      </c>
      <c r="T1211" s="248">
        <f ca="1">ROUND(IF(OR(AND($D1209=LataProjekcji,$F1209&gt;0),AND($D1209=LataProjekcji,$F1209=0,$E1210&lt;=10)),$F1210,IF($D1209&lt;LataProjekcji,IF((SUM($K1211:S1211)+$D1211)&lt;$D1210,$D1211,$D1210-SUM($K1211:S1211)),0)),0)</f>
        <v>0</v>
      </c>
      <c r="U1211" s="248">
        <f ca="1">ROUND(IF(OR(AND($D1209=LataProjekcji,$F1209&gt;0),AND($D1209=LataProjekcji,$F1209=0,$E1210&lt;=10)),$F1210,IF($D1209&lt;LataProjekcji,IF((SUM($K1211:T1211)+$D1211)&lt;$D1210,$D1211,$D1210-SUM($K1211:T1211)),0)),0)</f>
        <v>0</v>
      </c>
      <c r="V1211" s="248">
        <f ca="1">ROUND(IF(OR(AND($D1209=LataProjekcji,$F1209&gt;0),AND($D1209=LataProjekcji,$F1209=0,$E1210&lt;=10)),$F1210,IF($D1209&lt;LataProjekcji,IF((SUM($K1211:U1211)+$D1211)&lt;$D1210,$D1211,$D1210-SUM($K1211:U1211)),0)),0)</f>
        <v>0</v>
      </c>
      <c r="W1211" s="248">
        <f ca="1">ROUND(IF(OR(AND($D1209=LataProjekcji,$F1209&gt;0),AND($D1209=LataProjekcji,$F1209=0,$E1210&lt;=10)),$F1210,IF($D1209&lt;LataProjekcji,IF((SUM($K1211:V1211)+$D1211)&lt;$D1210,$D1211,$D1210-SUM($K1211:V1211)),0)),0)</f>
        <v>0</v>
      </c>
      <c r="X1211" s="248">
        <f ca="1">ROUND(IF(OR(AND($D1209=LataProjekcji,$F1209&gt;0),AND($D1209=LataProjekcji,$F1209=0,$E1210&lt;=10)),$F1210,IF($D1209&lt;LataProjekcji,IF((SUM($K1211:W1211)+$D1211)&lt;$D1210,$D1211,$D1210-SUM($K1211:W1211)),0)),0)</f>
        <v>0</v>
      </c>
    </row>
    <row r="1212" spans="1:24" hidden="1">
      <c r="A1212" s="328"/>
      <c r="B1212" s="21" t="s">
        <v>416</v>
      </c>
      <c r="C1212" s="21"/>
      <c r="D1212" s="22"/>
      <c r="E1212" s="21"/>
      <c r="F1212" s="21"/>
      <c r="G1212" s="21"/>
      <c r="H1212" s="21"/>
      <c r="I1212" s="21"/>
      <c r="J1212" s="21"/>
      <c r="K1212" s="22">
        <f ca="1">ROUND(K1211,0)</f>
        <v>0</v>
      </c>
      <c r="L1212" s="22">
        <f t="shared" ref="L1212" ca="1" si="1117">ROUND(K1212+L1211,0)</f>
        <v>0</v>
      </c>
      <c r="M1212" s="22">
        <f t="shared" ref="M1212" ca="1" si="1118">ROUND(L1212+M1211,0)</f>
        <v>0</v>
      </c>
      <c r="N1212" s="22">
        <f t="shared" ref="N1212" ca="1" si="1119">ROUND(M1212+N1211,0)</f>
        <v>0</v>
      </c>
      <c r="O1212" s="22">
        <f t="shared" ref="O1212" ca="1" si="1120">ROUND(N1212+O1211,0)</f>
        <v>0</v>
      </c>
      <c r="P1212" s="22">
        <f t="shared" ref="P1212" ca="1" si="1121">ROUND(O1212+P1211,0)</f>
        <v>0</v>
      </c>
      <c r="Q1212" s="22">
        <f t="shared" ref="Q1212" ca="1" si="1122">ROUND(P1212+Q1211,0)</f>
        <v>0</v>
      </c>
      <c r="R1212" s="22">
        <f t="shared" ref="R1212" ca="1" si="1123">ROUND(Q1212+R1211,0)</f>
        <v>0</v>
      </c>
      <c r="S1212" s="22">
        <f t="shared" ref="S1212" ca="1" si="1124">ROUND(R1212+S1211,0)</f>
        <v>0</v>
      </c>
      <c r="T1212" s="22">
        <f t="shared" ref="T1212" ca="1" si="1125">ROUND(S1212+T1211,0)</f>
        <v>0</v>
      </c>
      <c r="U1212" s="22">
        <f t="shared" ref="U1212" ca="1" si="1126">ROUND(T1212+U1211,0)</f>
        <v>0</v>
      </c>
      <c r="V1212" s="22">
        <f t="shared" ref="V1212" ca="1" si="1127">ROUND(U1212+V1211,0)</f>
        <v>0</v>
      </c>
      <c r="W1212" s="22">
        <f t="shared" ref="W1212" ca="1" si="1128">ROUND(V1212+W1211,0)</f>
        <v>0</v>
      </c>
      <c r="X1212" s="22">
        <f t="shared" ref="X1212" ca="1" si="1129">ROUND(W1212+X1211,0)</f>
        <v>0</v>
      </c>
    </row>
    <row r="1213" spans="1:24" hidden="1">
      <c r="A1213" s="328"/>
      <c r="B1213" s="21" t="s">
        <v>406</v>
      </c>
      <c r="C1213" s="21"/>
      <c r="D1213" s="22"/>
      <c r="E1213" s="21"/>
      <c r="F1213" s="21"/>
      <c r="G1213" s="21"/>
      <c r="H1213" s="21"/>
      <c r="I1213" s="21"/>
      <c r="J1213" s="21"/>
      <c r="K1213" s="77">
        <f ca="1">IF($D1209=LataProjekcji,ROUND($D1210-K1212,0),ROUND(IF(K1211=0,0,$D1210-K1212),0))</f>
        <v>0</v>
      </c>
      <c r="L1213" s="254">
        <f t="shared" ref="L1213:X1213" ca="1" si="1130">IF($D1209=LataProjekcji,ROUND($D1210-L1212,0),ROUND(IF(AND(L1211=0,K1213&gt;0),$D1210-L1212,IF(L1211=0,0,$D1210-L1212)),0))</f>
        <v>0</v>
      </c>
      <c r="M1213" s="254">
        <f t="shared" ca="1" si="1130"/>
        <v>0</v>
      </c>
      <c r="N1213" s="254">
        <f t="shared" ca="1" si="1130"/>
        <v>0</v>
      </c>
      <c r="O1213" s="254">
        <f t="shared" ca="1" si="1130"/>
        <v>0</v>
      </c>
      <c r="P1213" s="254">
        <f t="shared" ca="1" si="1130"/>
        <v>0</v>
      </c>
      <c r="Q1213" s="254">
        <f t="shared" ca="1" si="1130"/>
        <v>0</v>
      </c>
      <c r="R1213" s="254">
        <f t="shared" ca="1" si="1130"/>
        <v>0</v>
      </c>
      <c r="S1213" s="254">
        <f t="shared" ca="1" si="1130"/>
        <v>0</v>
      </c>
      <c r="T1213" s="254">
        <f t="shared" ca="1" si="1130"/>
        <v>0</v>
      </c>
      <c r="U1213" s="254">
        <f t="shared" ca="1" si="1130"/>
        <v>0</v>
      </c>
      <c r="V1213" s="254">
        <f t="shared" ca="1" si="1130"/>
        <v>0</v>
      </c>
      <c r="W1213" s="254">
        <f t="shared" ca="1" si="1130"/>
        <v>0</v>
      </c>
      <c r="X1213" s="254">
        <f t="shared" ca="1" si="1130"/>
        <v>0</v>
      </c>
    </row>
    <row r="1214" spans="1:24" hidden="1">
      <c r="A1214" s="328"/>
      <c r="B1214" s="21"/>
      <c r="C1214" s="21"/>
      <c r="D1214" s="21"/>
      <c r="E1214" s="21"/>
      <c r="F1214" s="21"/>
      <c r="G1214" s="21"/>
      <c r="H1214" s="404">
        <f>H1207+1</f>
        <v>11</v>
      </c>
      <c r="I1214" s="483" cm="1">
        <f t="array" aca="1" ref="I1214" ca="1">OFFSET('Środki trwałe'!$C$197,H1214,,)</f>
        <v>0</v>
      </c>
      <c r="J1214" s="404" t="s">
        <v>427</v>
      </c>
      <c r="K1214" s="405">
        <f t="shared" ref="K1214:X1214" ca="1" si="1131">IF(AND(OFFSET($F$195,$D1208,0)="tak",OFFSET($G$195,$D1208,0)="tak",OFFSET($J$195,$D1208,0)="ok",LataProjekcji&lt;=Koniec_Projekt),ROUND(K1211*OFFSET($K$223,$H1214,(COLUMN()-11)),0),0)</f>
        <v>0</v>
      </c>
      <c r="L1214" s="405">
        <f t="shared" ca="1" si="1131"/>
        <v>0</v>
      </c>
      <c r="M1214" s="405">
        <f t="shared" ca="1" si="1131"/>
        <v>0</v>
      </c>
      <c r="N1214" s="405">
        <f t="shared" ca="1" si="1131"/>
        <v>0</v>
      </c>
      <c r="O1214" s="405">
        <f t="shared" ca="1" si="1131"/>
        <v>0</v>
      </c>
      <c r="P1214" s="405">
        <f t="shared" ca="1" si="1131"/>
        <v>0</v>
      </c>
      <c r="Q1214" s="405">
        <f t="shared" ca="1" si="1131"/>
        <v>0</v>
      </c>
      <c r="R1214" s="405">
        <f t="shared" ca="1" si="1131"/>
        <v>0</v>
      </c>
      <c r="S1214" s="405">
        <f t="shared" ca="1" si="1131"/>
        <v>0</v>
      </c>
      <c r="T1214" s="405">
        <f t="shared" ca="1" si="1131"/>
        <v>0</v>
      </c>
      <c r="U1214" s="405">
        <f t="shared" ca="1" si="1131"/>
        <v>0</v>
      </c>
      <c r="V1214" s="405">
        <f t="shared" ca="1" si="1131"/>
        <v>0</v>
      </c>
      <c r="W1214" s="405">
        <f t="shared" ca="1" si="1131"/>
        <v>0</v>
      </c>
      <c r="X1214" s="405">
        <f t="shared" ca="1" si="1131"/>
        <v>0</v>
      </c>
    </row>
    <row r="1215" spans="1:24" hidden="1">
      <c r="A1215" s="328"/>
      <c r="B1215" s="20" t="s">
        <v>418</v>
      </c>
      <c r="C1215" s="20"/>
      <c r="D1215" s="21">
        <f>D1208+1</f>
        <v>14</v>
      </c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</row>
    <row r="1216" spans="1:24" hidden="1">
      <c r="A1216" s="328"/>
      <c r="B1216" s="21" t="s">
        <v>414</v>
      </c>
      <c r="C1216" s="21"/>
      <c r="D1216" s="165">
        <f ca="1">YEAR(OFFSET($E$195,D1215,0))</f>
        <v>1900</v>
      </c>
      <c r="E1216" s="165">
        <f ca="1">MONTH(OFFSET($E$195,D1215,0))</f>
        <v>1</v>
      </c>
      <c r="F1216" s="21">
        <f ca="1">12-$E1216</f>
        <v>11</v>
      </c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</row>
    <row r="1217" spans="1:24" hidden="1">
      <c r="A1217" s="328"/>
      <c r="B1217" s="21" t="s">
        <v>406</v>
      </c>
      <c r="C1217" s="21"/>
      <c r="D1217" s="247">
        <f ca="1">IF(E1217&lt;0,0,ROUND(E1217,0))</f>
        <v>0</v>
      </c>
      <c r="E1217" s="249">
        <f ca="1">OFFSET($D$195,D1215,0)</f>
        <v>0</v>
      </c>
      <c r="F1217" s="247">
        <f ca="1">IF(E1217&gt;10,ROUND(($D1218/12)*$F1216,0),$D1217)</f>
        <v>0</v>
      </c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</row>
    <row r="1218" spans="1:24" hidden="1">
      <c r="A1218" s="328"/>
      <c r="B1218" s="21" t="s">
        <v>415</v>
      </c>
      <c r="C1218" s="21"/>
      <c r="D1218" s="247">
        <f ca="1">IF(ISBLANK(OFFSET($E$195,D1215,0)),0,IF(E1217&gt;10,ROUND(D1217*am_prace_rozwojowe,0),IF(D1217&lt;0,0,D1217)))</f>
        <v>0</v>
      </c>
      <c r="E1218" s="21"/>
      <c r="F1218" s="21"/>
      <c r="G1218" s="21"/>
      <c r="H1218" s="21"/>
      <c r="I1218" s="21"/>
      <c r="J1218" s="21"/>
      <c r="K1218" s="75">
        <f ca="1">ROUND(IF(($D1216+1)=K$192,$D1218,0),0)</f>
        <v>0</v>
      </c>
      <c r="L1218" s="248">
        <f ca="1">ROUND(IF(OR(AND($D1216=LataProjekcji,$F1216&gt;0),AND($D1216=LataProjekcji,$F1216=0,$E1217&lt;=10)),$F1217,IF($D1216&lt;LataProjekcji,IF((SUM($K1218:K1218)+$D1218)&lt;$D1217,$D1218,$D1217-SUM($K1218:K1218)),0)),0)</f>
        <v>0</v>
      </c>
      <c r="M1218" s="248">
        <f ca="1">ROUND(IF(OR(AND($D1216=LataProjekcji,$F1216&gt;0),AND($D1216=LataProjekcji,$F1216=0,$E1217&lt;=10)),$F1217,IF($D1216&lt;LataProjekcji,IF((SUM($K1218:L1218)+$D1218)&lt;$D1217,$D1218,$D1217-SUM($K1218:L1218)),0)),0)</f>
        <v>0</v>
      </c>
      <c r="N1218" s="248">
        <f ca="1">ROUND(IF(OR(AND($D1216=LataProjekcji,$F1216&gt;0),AND($D1216=LataProjekcji,$F1216=0,$E1217&lt;=10)),$F1217,IF($D1216&lt;LataProjekcji,IF((SUM($K1218:M1218)+$D1218)&lt;$D1217,$D1218,$D1217-SUM($K1218:M1218)),0)),0)</f>
        <v>0</v>
      </c>
      <c r="O1218" s="248">
        <f ca="1">ROUND(IF(OR(AND($D1216=LataProjekcji,$F1216&gt;0),AND($D1216=LataProjekcji,$F1216=0,$E1217&lt;=10)),$F1217,IF($D1216&lt;LataProjekcji,IF((SUM($K1218:N1218)+$D1218)&lt;$D1217,$D1218,$D1217-SUM($K1218:N1218)),0)),0)</f>
        <v>0</v>
      </c>
      <c r="P1218" s="248">
        <f ca="1">ROUND(IF(OR(AND($D1216=LataProjekcji,$F1216&gt;0),AND($D1216=LataProjekcji,$F1216=0,$E1217&lt;=10)),$F1217,IF($D1216&lt;LataProjekcji,IF((SUM($K1218:O1218)+$D1218)&lt;$D1217,$D1218,$D1217-SUM($K1218:O1218)),0)),0)</f>
        <v>0</v>
      </c>
      <c r="Q1218" s="248">
        <f ca="1">ROUND(IF(OR(AND($D1216=LataProjekcji,$F1216&gt;0),AND($D1216=LataProjekcji,$F1216=0,$E1217&lt;=10)),$F1217,IF($D1216&lt;LataProjekcji,IF((SUM($K1218:P1218)+$D1218)&lt;$D1217,$D1218,$D1217-SUM($K1218:P1218)),0)),0)</f>
        <v>0</v>
      </c>
      <c r="R1218" s="248">
        <f ca="1">ROUND(IF(OR(AND($D1216=LataProjekcji,$F1216&gt;0),AND($D1216=LataProjekcji,$F1216=0,$E1217&lt;=10)),$F1217,IF($D1216&lt;LataProjekcji,IF((SUM($K1218:Q1218)+$D1218)&lt;$D1217,$D1218,$D1217-SUM($K1218:Q1218)),0)),0)</f>
        <v>0</v>
      </c>
      <c r="S1218" s="248">
        <f ca="1">ROUND(IF(OR(AND($D1216=LataProjekcji,$F1216&gt;0),AND($D1216=LataProjekcji,$F1216=0,$E1217&lt;=10)),$F1217,IF($D1216&lt;LataProjekcji,IF((SUM($K1218:R1218)+$D1218)&lt;$D1217,$D1218,$D1217-SUM($K1218:R1218)),0)),0)</f>
        <v>0</v>
      </c>
      <c r="T1218" s="248">
        <f ca="1">ROUND(IF(OR(AND($D1216=LataProjekcji,$F1216&gt;0),AND($D1216=LataProjekcji,$F1216=0,$E1217&lt;=10)),$F1217,IF($D1216&lt;LataProjekcji,IF((SUM($K1218:S1218)+$D1218)&lt;$D1217,$D1218,$D1217-SUM($K1218:S1218)),0)),0)</f>
        <v>0</v>
      </c>
      <c r="U1218" s="248">
        <f ca="1">ROUND(IF(OR(AND($D1216=LataProjekcji,$F1216&gt;0),AND($D1216=LataProjekcji,$F1216=0,$E1217&lt;=10)),$F1217,IF($D1216&lt;LataProjekcji,IF((SUM($K1218:T1218)+$D1218)&lt;$D1217,$D1218,$D1217-SUM($K1218:T1218)),0)),0)</f>
        <v>0</v>
      </c>
      <c r="V1218" s="248">
        <f ca="1">ROUND(IF(OR(AND($D1216=LataProjekcji,$F1216&gt;0),AND($D1216=LataProjekcji,$F1216=0,$E1217&lt;=10)),$F1217,IF($D1216&lt;LataProjekcji,IF((SUM($K1218:U1218)+$D1218)&lt;$D1217,$D1218,$D1217-SUM($K1218:U1218)),0)),0)</f>
        <v>0</v>
      </c>
      <c r="W1218" s="248">
        <f ca="1">ROUND(IF(OR(AND($D1216=LataProjekcji,$F1216&gt;0),AND($D1216=LataProjekcji,$F1216=0,$E1217&lt;=10)),$F1217,IF($D1216&lt;LataProjekcji,IF((SUM($K1218:V1218)+$D1218)&lt;$D1217,$D1218,$D1217-SUM($K1218:V1218)),0)),0)</f>
        <v>0</v>
      </c>
      <c r="X1218" s="248">
        <f ca="1">ROUND(IF(OR(AND($D1216=LataProjekcji,$F1216&gt;0),AND($D1216=LataProjekcji,$F1216=0,$E1217&lt;=10)),$F1217,IF($D1216&lt;LataProjekcji,IF((SUM($K1218:W1218)+$D1218)&lt;$D1217,$D1218,$D1217-SUM($K1218:W1218)),0)),0)</f>
        <v>0</v>
      </c>
    </row>
    <row r="1219" spans="1:24" hidden="1">
      <c r="A1219" s="328"/>
      <c r="B1219" s="21" t="s">
        <v>416</v>
      </c>
      <c r="C1219" s="21"/>
      <c r="D1219" s="22"/>
      <c r="E1219" s="21"/>
      <c r="F1219" s="21"/>
      <c r="G1219" s="21"/>
      <c r="H1219" s="21"/>
      <c r="I1219" s="21"/>
      <c r="J1219" s="21"/>
      <c r="K1219" s="22">
        <f ca="1">ROUND(K1218,0)</f>
        <v>0</v>
      </c>
      <c r="L1219" s="22">
        <f t="shared" ref="L1219" ca="1" si="1132">ROUND(K1219+L1218,0)</f>
        <v>0</v>
      </c>
      <c r="M1219" s="22">
        <f t="shared" ref="M1219" ca="1" si="1133">ROUND(L1219+M1218,0)</f>
        <v>0</v>
      </c>
      <c r="N1219" s="22">
        <f t="shared" ref="N1219" ca="1" si="1134">ROUND(M1219+N1218,0)</f>
        <v>0</v>
      </c>
      <c r="O1219" s="22">
        <f t="shared" ref="O1219" ca="1" si="1135">ROUND(N1219+O1218,0)</f>
        <v>0</v>
      </c>
      <c r="P1219" s="22">
        <f t="shared" ref="P1219" ca="1" si="1136">ROUND(O1219+P1218,0)</f>
        <v>0</v>
      </c>
      <c r="Q1219" s="22">
        <f t="shared" ref="Q1219" ca="1" si="1137">ROUND(P1219+Q1218,0)</f>
        <v>0</v>
      </c>
      <c r="R1219" s="22">
        <f t="shared" ref="R1219" ca="1" si="1138">ROUND(Q1219+R1218,0)</f>
        <v>0</v>
      </c>
      <c r="S1219" s="22">
        <f t="shared" ref="S1219" ca="1" si="1139">ROUND(R1219+S1218,0)</f>
        <v>0</v>
      </c>
      <c r="T1219" s="22">
        <f t="shared" ref="T1219" ca="1" si="1140">ROUND(S1219+T1218,0)</f>
        <v>0</v>
      </c>
      <c r="U1219" s="22">
        <f t="shared" ref="U1219" ca="1" si="1141">ROUND(T1219+U1218,0)</f>
        <v>0</v>
      </c>
      <c r="V1219" s="22">
        <f t="shared" ref="V1219" ca="1" si="1142">ROUND(U1219+V1218,0)</f>
        <v>0</v>
      </c>
      <c r="W1219" s="22">
        <f t="shared" ref="W1219" ca="1" si="1143">ROUND(V1219+W1218,0)</f>
        <v>0</v>
      </c>
      <c r="X1219" s="22">
        <f t="shared" ref="X1219" ca="1" si="1144">ROUND(W1219+X1218,0)</f>
        <v>0</v>
      </c>
    </row>
    <row r="1220" spans="1:24" hidden="1">
      <c r="A1220" s="328"/>
      <c r="B1220" s="21" t="s">
        <v>406</v>
      </c>
      <c r="C1220" s="21"/>
      <c r="D1220" s="22"/>
      <c r="E1220" s="21"/>
      <c r="F1220" s="21"/>
      <c r="G1220" s="21"/>
      <c r="H1220" s="21"/>
      <c r="I1220" s="21"/>
      <c r="J1220" s="21"/>
      <c r="K1220" s="77">
        <f ca="1">IF($D1216=LataProjekcji,ROUND($D1217-K1219,0),ROUND(IF(K1218=0,0,$D1217-K1219),0))</f>
        <v>0</v>
      </c>
      <c r="L1220" s="254">
        <f t="shared" ref="L1220:X1220" ca="1" si="1145">IF($D1216=LataProjekcji,ROUND($D1217-L1219,0),ROUND(IF(AND(L1218=0,K1220&gt;0),$D1217-L1219,IF(L1218=0,0,$D1217-L1219)),0))</f>
        <v>0</v>
      </c>
      <c r="M1220" s="254">
        <f t="shared" ca="1" si="1145"/>
        <v>0</v>
      </c>
      <c r="N1220" s="254">
        <f t="shared" ca="1" si="1145"/>
        <v>0</v>
      </c>
      <c r="O1220" s="254">
        <f t="shared" ca="1" si="1145"/>
        <v>0</v>
      </c>
      <c r="P1220" s="254">
        <f t="shared" ca="1" si="1145"/>
        <v>0</v>
      </c>
      <c r="Q1220" s="254">
        <f t="shared" ca="1" si="1145"/>
        <v>0</v>
      </c>
      <c r="R1220" s="254">
        <f t="shared" ca="1" si="1145"/>
        <v>0</v>
      </c>
      <c r="S1220" s="254">
        <f t="shared" ca="1" si="1145"/>
        <v>0</v>
      </c>
      <c r="T1220" s="254">
        <f t="shared" ca="1" si="1145"/>
        <v>0</v>
      </c>
      <c r="U1220" s="254">
        <f t="shared" ca="1" si="1145"/>
        <v>0</v>
      </c>
      <c r="V1220" s="254">
        <f t="shared" ca="1" si="1145"/>
        <v>0</v>
      </c>
      <c r="W1220" s="254">
        <f t="shared" ca="1" si="1145"/>
        <v>0</v>
      </c>
      <c r="X1220" s="254">
        <f t="shared" ca="1" si="1145"/>
        <v>0</v>
      </c>
    </row>
    <row r="1221" spans="1:24" hidden="1">
      <c r="A1221" s="328"/>
      <c r="B1221" s="21"/>
      <c r="C1221" s="21"/>
      <c r="D1221" s="22"/>
      <c r="E1221" s="21"/>
      <c r="F1221" s="21"/>
      <c r="G1221" s="21"/>
      <c r="H1221" s="404">
        <f>H1214+1</f>
        <v>12</v>
      </c>
      <c r="I1221" s="483" cm="1">
        <f t="array" aca="1" ref="I1221" ca="1">OFFSET('Środki trwałe'!$C$197,H1221,,)</f>
        <v>0</v>
      </c>
      <c r="J1221" s="404" t="s">
        <v>427</v>
      </c>
      <c r="K1221" s="405">
        <f t="shared" ref="K1221:X1221" ca="1" si="1146">IF(AND(OFFSET($F$195,$D1215,0)="tak",OFFSET($G$195,$D1215,0)="tak",OFFSET($J$195,$D1215,0)="ok",LataProjekcji&lt;=Koniec_Projekt),ROUND(K1218*OFFSET($K$223,$H1221,(COLUMN()-11)),0),0)</f>
        <v>0</v>
      </c>
      <c r="L1221" s="405">
        <f t="shared" ca="1" si="1146"/>
        <v>0</v>
      </c>
      <c r="M1221" s="405">
        <f t="shared" ca="1" si="1146"/>
        <v>0</v>
      </c>
      <c r="N1221" s="405">
        <f t="shared" ca="1" si="1146"/>
        <v>0</v>
      </c>
      <c r="O1221" s="405">
        <f t="shared" ca="1" si="1146"/>
        <v>0</v>
      </c>
      <c r="P1221" s="405">
        <f t="shared" ca="1" si="1146"/>
        <v>0</v>
      </c>
      <c r="Q1221" s="405">
        <f t="shared" ca="1" si="1146"/>
        <v>0</v>
      </c>
      <c r="R1221" s="405">
        <f t="shared" ca="1" si="1146"/>
        <v>0</v>
      </c>
      <c r="S1221" s="405">
        <f t="shared" ca="1" si="1146"/>
        <v>0</v>
      </c>
      <c r="T1221" s="405">
        <f t="shared" ca="1" si="1146"/>
        <v>0</v>
      </c>
      <c r="U1221" s="405">
        <f t="shared" ca="1" si="1146"/>
        <v>0</v>
      </c>
      <c r="V1221" s="405">
        <f t="shared" ca="1" si="1146"/>
        <v>0</v>
      </c>
      <c r="W1221" s="405">
        <f t="shared" ca="1" si="1146"/>
        <v>0</v>
      </c>
      <c r="X1221" s="405">
        <f t="shared" ca="1" si="1146"/>
        <v>0</v>
      </c>
    </row>
    <row r="1222" spans="1:24" hidden="1">
      <c r="A1222" s="328"/>
      <c r="B1222" s="20" t="s">
        <v>419</v>
      </c>
      <c r="C1222" s="20"/>
      <c r="D1222" s="21">
        <f>D1215+1</f>
        <v>15</v>
      </c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</row>
    <row r="1223" spans="1:24" hidden="1">
      <c r="A1223" s="328"/>
      <c r="B1223" s="21" t="s">
        <v>414</v>
      </c>
      <c r="C1223" s="21"/>
      <c r="D1223" s="165">
        <f ca="1">YEAR(OFFSET($E$195,D1222,0))</f>
        <v>1900</v>
      </c>
      <c r="E1223" s="165">
        <f ca="1">MONTH(OFFSET($E$195,D1222,0))</f>
        <v>1</v>
      </c>
      <c r="F1223" s="21">
        <f ca="1">12-$E1223</f>
        <v>11</v>
      </c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</row>
    <row r="1224" spans="1:24" hidden="1">
      <c r="A1224" s="328"/>
      <c r="B1224" s="21" t="s">
        <v>406</v>
      </c>
      <c r="C1224" s="21"/>
      <c r="D1224" s="247">
        <f ca="1">IF(E1224&lt;0,0,ROUND(E1224,0))</f>
        <v>0</v>
      </c>
      <c r="E1224" s="249">
        <f ca="1">OFFSET($D$195,D1222,0)</f>
        <v>0</v>
      </c>
      <c r="F1224" s="247">
        <f ca="1">IF(E1224&gt;10,ROUND(($D1225/12)*$F1223,0),$D1224)</f>
        <v>0</v>
      </c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</row>
    <row r="1225" spans="1:24" hidden="1">
      <c r="A1225" s="328"/>
      <c r="B1225" s="21" t="s">
        <v>415</v>
      </c>
      <c r="C1225" s="21"/>
      <c r="D1225" s="247">
        <f ca="1">IF(ISBLANK(OFFSET($E$195,D1222,0)),0,IF(E1224&gt;10,ROUND(D1224*am_prace_rozwojowe,0),IF(D1224&lt;0,0,D1224)))</f>
        <v>0</v>
      </c>
      <c r="E1225" s="21"/>
      <c r="F1225" s="21"/>
      <c r="G1225" s="21"/>
      <c r="H1225" s="21"/>
      <c r="I1225" s="21"/>
      <c r="J1225" s="21"/>
      <c r="K1225" s="75">
        <f ca="1">ROUND(IF(($D1223+1)=K$192,$D1225,0),0)</f>
        <v>0</v>
      </c>
      <c r="L1225" s="248">
        <f ca="1">ROUND(IF(OR(AND($D1223=LataProjekcji,$F1223&gt;0),AND($D1223=LataProjekcji,$F1223=0,$E1224&lt;=10)),$F1224,IF($D1223&lt;LataProjekcji,IF((SUM($K1225:K1225)+$D1225)&lt;$D1224,$D1225,$D1224-SUM($K1225:K1225)),0)),0)</f>
        <v>0</v>
      </c>
      <c r="M1225" s="248">
        <f ca="1">ROUND(IF(OR(AND($D1223=LataProjekcji,$F1223&gt;0),AND($D1223=LataProjekcji,$F1223=0,$E1224&lt;=10)),$F1224,IF($D1223&lt;LataProjekcji,IF((SUM($K1225:L1225)+$D1225)&lt;$D1224,$D1225,$D1224-SUM($K1225:L1225)),0)),0)</f>
        <v>0</v>
      </c>
      <c r="N1225" s="248">
        <f ca="1">ROUND(IF(OR(AND($D1223=LataProjekcji,$F1223&gt;0),AND($D1223=LataProjekcji,$F1223=0,$E1224&lt;=10)),$F1224,IF($D1223&lt;LataProjekcji,IF((SUM($K1225:M1225)+$D1225)&lt;$D1224,$D1225,$D1224-SUM($K1225:M1225)),0)),0)</f>
        <v>0</v>
      </c>
      <c r="O1225" s="248">
        <f ca="1">ROUND(IF(OR(AND($D1223=LataProjekcji,$F1223&gt;0),AND($D1223=LataProjekcji,$F1223=0,$E1224&lt;=10)),$F1224,IF($D1223&lt;LataProjekcji,IF((SUM($K1225:N1225)+$D1225)&lt;$D1224,$D1225,$D1224-SUM($K1225:N1225)),0)),0)</f>
        <v>0</v>
      </c>
      <c r="P1225" s="248">
        <f ca="1">ROUND(IF(OR(AND($D1223=LataProjekcji,$F1223&gt;0),AND($D1223=LataProjekcji,$F1223=0,$E1224&lt;=10)),$F1224,IF($D1223&lt;LataProjekcji,IF((SUM($K1225:O1225)+$D1225)&lt;$D1224,$D1225,$D1224-SUM($K1225:O1225)),0)),0)</f>
        <v>0</v>
      </c>
      <c r="Q1225" s="248">
        <f ca="1">ROUND(IF(OR(AND($D1223=LataProjekcji,$F1223&gt;0),AND($D1223=LataProjekcji,$F1223=0,$E1224&lt;=10)),$F1224,IF($D1223&lt;LataProjekcji,IF((SUM($K1225:P1225)+$D1225)&lt;$D1224,$D1225,$D1224-SUM($K1225:P1225)),0)),0)</f>
        <v>0</v>
      </c>
      <c r="R1225" s="248">
        <f ca="1">ROUND(IF(OR(AND($D1223=LataProjekcji,$F1223&gt;0),AND($D1223=LataProjekcji,$F1223=0,$E1224&lt;=10)),$F1224,IF($D1223&lt;LataProjekcji,IF((SUM($K1225:Q1225)+$D1225)&lt;$D1224,$D1225,$D1224-SUM($K1225:Q1225)),0)),0)</f>
        <v>0</v>
      </c>
      <c r="S1225" s="248">
        <f ca="1">ROUND(IF(OR(AND($D1223=LataProjekcji,$F1223&gt;0),AND($D1223=LataProjekcji,$F1223=0,$E1224&lt;=10)),$F1224,IF($D1223&lt;LataProjekcji,IF((SUM($K1225:R1225)+$D1225)&lt;$D1224,$D1225,$D1224-SUM($K1225:R1225)),0)),0)</f>
        <v>0</v>
      </c>
      <c r="T1225" s="248">
        <f ca="1">ROUND(IF(OR(AND($D1223=LataProjekcji,$F1223&gt;0),AND($D1223=LataProjekcji,$F1223=0,$E1224&lt;=10)),$F1224,IF($D1223&lt;LataProjekcji,IF((SUM($K1225:S1225)+$D1225)&lt;$D1224,$D1225,$D1224-SUM($K1225:S1225)),0)),0)</f>
        <v>0</v>
      </c>
      <c r="U1225" s="248">
        <f ca="1">ROUND(IF(OR(AND($D1223=LataProjekcji,$F1223&gt;0),AND($D1223=LataProjekcji,$F1223=0,$E1224&lt;=10)),$F1224,IF($D1223&lt;LataProjekcji,IF((SUM($K1225:T1225)+$D1225)&lt;$D1224,$D1225,$D1224-SUM($K1225:T1225)),0)),0)</f>
        <v>0</v>
      </c>
      <c r="V1225" s="248">
        <f ca="1">ROUND(IF(OR(AND($D1223=LataProjekcji,$F1223&gt;0),AND($D1223=LataProjekcji,$F1223=0,$E1224&lt;=10)),$F1224,IF($D1223&lt;LataProjekcji,IF((SUM($K1225:U1225)+$D1225)&lt;$D1224,$D1225,$D1224-SUM($K1225:U1225)),0)),0)</f>
        <v>0</v>
      </c>
      <c r="W1225" s="248">
        <f ca="1">ROUND(IF(OR(AND($D1223=LataProjekcji,$F1223&gt;0),AND($D1223=LataProjekcji,$F1223=0,$E1224&lt;=10)),$F1224,IF($D1223&lt;LataProjekcji,IF((SUM($K1225:V1225)+$D1225)&lt;$D1224,$D1225,$D1224-SUM($K1225:V1225)),0)),0)</f>
        <v>0</v>
      </c>
      <c r="X1225" s="248">
        <f ca="1">ROUND(IF(OR(AND($D1223=LataProjekcji,$F1223&gt;0),AND($D1223=LataProjekcji,$F1223=0,$E1224&lt;=10)),$F1224,IF($D1223&lt;LataProjekcji,IF((SUM($K1225:W1225)+$D1225)&lt;$D1224,$D1225,$D1224-SUM($K1225:W1225)),0)),0)</f>
        <v>0</v>
      </c>
    </row>
    <row r="1226" spans="1:24" hidden="1">
      <c r="A1226" s="328"/>
      <c r="B1226" s="21" t="s">
        <v>416</v>
      </c>
      <c r="C1226" s="21"/>
      <c r="D1226" s="22"/>
      <c r="E1226" s="21"/>
      <c r="F1226" s="21"/>
      <c r="G1226" s="21"/>
      <c r="H1226" s="21"/>
      <c r="I1226" s="21"/>
      <c r="J1226" s="21"/>
      <c r="K1226" s="22">
        <f ca="1">ROUND(K1225,0)</f>
        <v>0</v>
      </c>
      <c r="L1226" s="22">
        <f t="shared" ref="L1226" ca="1" si="1147">ROUND(K1226+L1225,0)</f>
        <v>0</v>
      </c>
      <c r="M1226" s="22">
        <f t="shared" ref="M1226" ca="1" si="1148">ROUND(L1226+M1225,0)</f>
        <v>0</v>
      </c>
      <c r="N1226" s="22">
        <f t="shared" ref="N1226" ca="1" si="1149">ROUND(M1226+N1225,0)</f>
        <v>0</v>
      </c>
      <c r="O1226" s="22">
        <f t="shared" ref="O1226" ca="1" si="1150">ROUND(N1226+O1225,0)</f>
        <v>0</v>
      </c>
      <c r="P1226" s="22">
        <f t="shared" ref="P1226" ca="1" si="1151">ROUND(O1226+P1225,0)</f>
        <v>0</v>
      </c>
      <c r="Q1226" s="22">
        <f t="shared" ref="Q1226" ca="1" si="1152">ROUND(P1226+Q1225,0)</f>
        <v>0</v>
      </c>
      <c r="R1226" s="22">
        <f t="shared" ref="R1226" ca="1" si="1153">ROUND(Q1226+R1225,0)</f>
        <v>0</v>
      </c>
      <c r="S1226" s="22">
        <f t="shared" ref="S1226" ca="1" si="1154">ROUND(R1226+S1225,0)</f>
        <v>0</v>
      </c>
      <c r="T1226" s="22">
        <f t="shared" ref="T1226" ca="1" si="1155">ROUND(S1226+T1225,0)</f>
        <v>0</v>
      </c>
      <c r="U1226" s="22">
        <f t="shared" ref="U1226" ca="1" si="1156">ROUND(T1226+U1225,0)</f>
        <v>0</v>
      </c>
      <c r="V1226" s="22">
        <f t="shared" ref="V1226" ca="1" si="1157">ROUND(U1226+V1225,0)</f>
        <v>0</v>
      </c>
      <c r="W1226" s="22">
        <f t="shared" ref="W1226" ca="1" si="1158">ROUND(V1226+W1225,0)</f>
        <v>0</v>
      </c>
      <c r="X1226" s="22">
        <f t="shared" ref="X1226" ca="1" si="1159">ROUND(W1226+X1225,0)</f>
        <v>0</v>
      </c>
    </row>
    <row r="1227" spans="1:24" hidden="1">
      <c r="A1227" s="328"/>
      <c r="B1227" s="21" t="s">
        <v>406</v>
      </c>
      <c r="C1227" s="21"/>
      <c r="D1227" s="22"/>
      <c r="E1227" s="21"/>
      <c r="F1227" s="21"/>
      <c r="G1227" s="21"/>
      <c r="H1227" s="21"/>
      <c r="I1227" s="21"/>
      <c r="J1227" s="21"/>
      <c r="K1227" s="77">
        <f ca="1">IF($D1223=LataProjekcji,ROUND($D1224-K1226,0),ROUND(IF(K1225=0,0,$D1224-K1226),0))</f>
        <v>0</v>
      </c>
      <c r="L1227" s="254">
        <f t="shared" ref="L1227:X1227" ca="1" si="1160">IF($D1223=LataProjekcji,ROUND($D1224-L1226,0),ROUND(IF(AND(L1225=0,K1227&gt;0),$D1224-L1226,IF(L1225=0,0,$D1224-L1226)),0))</f>
        <v>0</v>
      </c>
      <c r="M1227" s="254">
        <f t="shared" ca="1" si="1160"/>
        <v>0</v>
      </c>
      <c r="N1227" s="254">
        <f t="shared" ca="1" si="1160"/>
        <v>0</v>
      </c>
      <c r="O1227" s="254">
        <f t="shared" ca="1" si="1160"/>
        <v>0</v>
      </c>
      <c r="P1227" s="254">
        <f t="shared" ca="1" si="1160"/>
        <v>0</v>
      </c>
      <c r="Q1227" s="254">
        <f t="shared" ca="1" si="1160"/>
        <v>0</v>
      </c>
      <c r="R1227" s="254">
        <f t="shared" ca="1" si="1160"/>
        <v>0</v>
      </c>
      <c r="S1227" s="254">
        <f t="shared" ca="1" si="1160"/>
        <v>0</v>
      </c>
      <c r="T1227" s="254">
        <f t="shared" ca="1" si="1160"/>
        <v>0</v>
      </c>
      <c r="U1227" s="254">
        <f t="shared" ca="1" si="1160"/>
        <v>0</v>
      </c>
      <c r="V1227" s="254">
        <f t="shared" ca="1" si="1160"/>
        <v>0</v>
      </c>
      <c r="W1227" s="254">
        <f t="shared" ca="1" si="1160"/>
        <v>0</v>
      </c>
      <c r="X1227" s="254">
        <f t="shared" ca="1" si="1160"/>
        <v>0</v>
      </c>
    </row>
    <row r="1228" spans="1:24" hidden="1">
      <c r="A1228" s="328"/>
      <c r="B1228" s="21"/>
      <c r="C1228" s="21"/>
      <c r="D1228" s="21"/>
      <c r="E1228" s="21"/>
      <c r="F1228" s="21"/>
      <c r="G1228" s="21"/>
      <c r="H1228" s="404">
        <f>H1221+1</f>
        <v>13</v>
      </c>
      <c r="I1228" s="483" cm="1">
        <f t="array" aca="1" ref="I1228" ca="1">OFFSET('Środki trwałe'!$C$197,H1228,,)</f>
        <v>0</v>
      </c>
      <c r="J1228" s="404" t="s">
        <v>427</v>
      </c>
      <c r="K1228" s="405">
        <f t="shared" ref="K1228:X1228" ca="1" si="1161">IF(AND(OFFSET($F$195,$D1222,0)="tak",OFFSET($G$195,$D1222,0)="tak",OFFSET($J$195,$D1222,0)="ok",LataProjekcji&lt;=Koniec_Projekt),ROUND(K1225*OFFSET($K$223,$H1228,(COLUMN()-11)),0),0)</f>
        <v>0</v>
      </c>
      <c r="L1228" s="405">
        <f t="shared" ca="1" si="1161"/>
        <v>0</v>
      </c>
      <c r="M1228" s="405">
        <f t="shared" ca="1" si="1161"/>
        <v>0</v>
      </c>
      <c r="N1228" s="405">
        <f t="shared" ca="1" si="1161"/>
        <v>0</v>
      </c>
      <c r="O1228" s="405">
        <f t="shared" ca="1" si="1161"/>
        <v>0</v>
      </c>
      <c r="P1228" s="405">
        <f t="shared" ca="1" si="1161"/>
        <v>0</v>
      </c>
      <c r="Q1228" s="405">
        <f t="shared" ca="1" si="1161"/>
        <v>0</v>
      </c>
      <c r="R1228" s="405">
        <f t="shared" ca="1" si="1161"/>
        <v>0</v>
      </c>
      <c r="S1228" s="405">
        <f t="shared" ca="1" si="1161"/>
        <v>0</v>
      </c>
      <c r="T1228" s="405">
        <f t="shared" ca="1" si="1161"/>
        <v>0</v>
      </c>
      <c r="U1228" s="405">
        <f t="shared" ca="1" si="1161"/>
        <v>0</v>
      </c>
      <c r="V1228" s="405">
        <f t="shared" ca="1" si="1161"/>
        <v>0</v>
      </c>
      <c r="W1228" s="405">
        <f t="shared" ca="1" si="1161"/>
        <v>0</v>
      </c>
      <c r="X1228" s="405">
        <f t="shared" ca="1" si="1161"/>
        <v>0</v>
      </c>
    </row>
    <row r="1229" spans="1:24" hidden="1">
      <c r="A1229" s="328"/>
      <c r="B1229" s="20" t="s">
        <v>418</v>
      </c>
      <c r="C1229" s="20"/>
      <c r="D1229" s="21">
        <f>D1222+1</f>
        <v>16</v>
      </c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</row>
    <row r="1230" spans="1:24" hidden="1">
      <c r="A1230" s="328"/>
      <c r="B1230" s="21" t="s">
        <v>414</v>
      </c>
      <c r="C1230" s="21"/>
      <c r="D1230" s="165">
        <f ca="1">YEAR(OFFSET($E$195,D1229,0))</f>
        <v>1900</v>
      </c>
      <c r="E1230" s="165">
        <f ca="1">MONTH(OFFSET($E$195,D1229,0))</f>
        <v>1</v>
      </c>
      <c r="F1230" s="21">
        <f ca="1">12-$E1230</f>
        <v>11</v>
      </c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</row>
    <row r="1231" spans="1:24" hidden="1">
      <c r="A1231" s="328"/>
      <c r="B1231" s="21" t="s">
        <v>406</v>
      </c>
      <c r="C1231" s="21"/>
      <c r="D1231" s="247">
        <f ca="1">IF(E1231&lt;0,0,ROUND(E1231,0))</f>
        <v>0</v>
      </c>
      <c r="E1231" s="249">
        <f ca="1">OFFSET($D$195,D1229,0)</f>
        <v>0</v>
      </c>
      <c r="F1231" s="247">
        <f ca="1">IF(E1231&gt;10,ROUND(($D1232/12)*$F1230,0),$D1231)</f>
        <v>0</v>
      </c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</row>
    <row r="1232" spans="1:24" hidden="1">
      <c r="A1232" s="328"/>
      <c r="B1232" s="21" t="s">
        <v>415</v>
      </c>
      <c r="C1232" s="21"/>
      <c r="D1232" s="247">
        <f ca="1">IF(ISBLANK(OFFSET($E$195,D1229,0)),0,IF(E1231&gt;10,ROUND(D1231*am_prace_rozwojowe,0),IF(D1231&lt;0,0,D1231)))</f>
        <v>0</v>
      </c>
      <c r="E1232" s="21"/>
      <c r="F1232" s="21"/>
      <c r="G1232" s="21"/>
      <c r="H1232" s="21"/>
      <c r="I1232" s="21"/>
      <c r="J1232" s="21"/>
      <c r="K1232" s="75">
        <f ca="1">ROUND(IF(($D1230+1)=K$192,$D1232,0),0)</f>
        <v>0</v>
      </c>
      <c r="L1232" s="248">
        <f ca="1">ROUND(IF(OR(AND($D1230=LataProjekcji,$F1230&gt;0),AND($D1230=LataProjekcji,$F1230=0,$E1231&lt;=10)),$F1231,IF($D1230&lt;LataProjekcji,IF((SUM($K1232:K1232)+$D1232)&lt;$D1231,$D1232,$D1231-SUM($K1232:K1232)),0)),0)</f>
        <v>0</v>
      </c>
      <c r="M1232" s="248">
        <f ca="1">ROUND(IF(OR(AND($D1230=LataProjekcji,$F1230&gt;0),AND($D1230=LataProjekcji,$F1230=0,$E1231&lt;=10)),$F1231,IF($D1230&lt;LataProjekcji,IF((SUM($K1232:L1232)+$D1232)&lt;$D1231,$D1232,$D1231-SUM($K1232:L1232)),0)),0)</f>
        <v>0</v>
      </c>
      <c r="N1232" s="248">
        <f ca="1">ROUND(IF(OR(AND($D1230=LataProjekcji,$F1230&gt;0),AND($D1230=LataProjekcji,$F1230=0,$E1231&lt;=10)),$F1231,IF($D1230&lt;LataProjekcji,IF((SUM($K1232:M1232)+$D1232)&lt;$D1231,$D1232,$D1231-SUM($K1232:M1232)),0)),0)</f>
        <v>0</v>
      </c>
      <c r="O1232" s="248">
        <f ca="1">ROUND(IF(OR(AND($D1230=LataProjekcji,$F1230&gt;0),AND($D1230=LataProjekcji,$F1230=0,$E1231&lt;=10)),$F1231,IF($D1230&lt;LataProjekcji,IF((SUM($K1232:N1232)+$D1232)&lt;$D1231,$D1232,$D1231-SUM($K1232:N1232)),0)),0)</f>
        <v>0</v>
      </c>
      <c r="P1232" s="248">
        <f ca="1">ROUND(IF(OR(AND($D1230=LataProjekcji,$F1230&gt;0),AND($D1230=LataProjekcji,$F1230=0,$E1231&lt;=10)),$F1231,IF($D1230&lt;LataProjekcji,IF((SUM($K1232:O1232)+$D1232)&lt;$D1231,$D1232,$D1231-SUM($K1232:O1232)),0)),0)</f>
        <v>0</v>
      </c>
      <c r="Q1232" s="248">
        <f ca="1">ROUND(IF(OR(AND($D1230=LataProjekcji,$F1230&gt;0),AND($D1230=LataProjekcji,$F1230=0,$E1231&lt;=10)),$F1231,IF($D1230&lt;LataProjekcji,IF((SUM($K1232:P1232)+$D1232)&lt;$D1231,$D1232,$D1231-SUM($K1232:P1232)),0)),0)</f>
        <v>0</v>
      </c>
      <c r="R1232" s="248">
        <f ca="1">ROUND(IF(OR(AND($D1230=LataProjekcji,$F1230&gt;0),AND($D1230=LataProjekcji,$F1230=0,$E1231&lt;=10)),$F1231,IF($D1230&lt;LataProjekcji,IF((SUM($K1232:Q1232)+$D1232)&lt;$D1231,$D1232,$D1231-SUM($K1232:Q1232)),0)),0)</f>
        <v>0</v>
      </c>
      <c r="S1232" s="248">
        <f ca="1">ROUND(IF(OR(AND($D1230=LataProjekcji,$F1230&gt;0),AND($D1230=LataProjekcji,$F1230=0,$E1231&lt;=10)),$F1231,IF($D1230&lt;LataProjekcji,IF((SUM($K1232:R1232)+$D1232)&lt;$D1231,$D1232,$D1231-SUM($K1232:R1232)),0)),0)</f>
        <v>0</v>
      </c>
      <c r="T1232" s="248">
        <f ca="1">ROUND(IF(OR(AND($D1230=LataProjekcji,$F1230&gt;0),AND($D1230=LataProjekcji,$F1230=0,$E1231&lt;=10)),$F1231,IF($D1230&lt;LataProjekcji,IF((SUM($K1232:S1232)+$D1232)&lt;$D1231,$D1232,$D1231-SUM($K1232:S1232)),0)),0)</f>
        <v>0</v>
      </c>
      <c r="U1232" s="248">
        <f ca="1">ROUND(IF(OR(AND($D1230=LataProjekcji,$F1230&gt;0),AND($D1230=LataProjekcji,$F1230=0,$E1231&lt;=10)),$F1231,IF($D1230&lt;LataProjekcji,IF((SUM($K1232:T1232)+$D1232)&lt;$D1231,$D1232,$D1231-SUM($K1232:T1232)),0)),0)</f>
        <v>0</v>
      </c>
      <c r="V1232" s="248">
        <f ca="1">ROUND(IF(OR(AND($D1230=LataProjekcji,$F1230&gt;0),AND($D1230=LataProjekcji,$F1230=0,$E1231&lt;=10)),$F1231,IF($D1230&lt;LataProjekcji,IF((SUM($K1232:U1232)+$D1232)&lt;$D1231,$D1232,$D1231-SUM($K1232:U1232)),0)),0)</f>
        <v>0</v>
      </c>
      <c r="W1232" s="248">
        <f ca="1">ROUND(IF(OR(AND($D1230=LataProjekcji,$F1230&gt;0),AND($D1230=LataProjekcji,$F1230=0,$E1231&lt;=10)),$F1231,IF($D1230&lt;LataProjekcji,IF((SUM($K1232:V1232)+$D1232)&lt;$D1231,$D1232,$D1231-SUM($K1232:V1232)),0)),0)</f>
        <v>0</v>
      </c>
      <c r="X1232" s="248">
        <f ca="1">ROUND(IF(OR(AND($D1230=LataProjekcji,$F1230&gt;0),AND($D1230=LataProjekcji,$F1230=0,$E1231&lt;=10)),$F1231,IF($D1230&lt;LataProjekcji,IF((SUM($K1232:W1232)+$D1232)&lt;$D1231,$D1232,$D1231-SUM($K1232:W1232)),0)),0)</f>
        <v>0</v>
      </c>
    </row>
    <row r="1233" spans="1:24" hidden="1">
      <c r="A1233" s="328"/>
      <c r="B1233" s="21" t="s">
        <v>416</v>
      </c>
      <c r="C1233" s="21"/>
      <c r="D1233" s="22"/>
      <c r="E1233" s="21"/>
      <c r="F1233" s="21"/>
      <c r="G1233" s="21"/>
      <c r="H1233" s="21"/>
      <c r="I1233" s="21"/>
      <c r="J1233" s="21"/>
      <c r="K1233" s="22">
        <f ca="1">ROUND(K1232,0)</f>
        <v>0</v>
      </c>
      <c r="L1233" s="22">
        <f t="shared" ref="L1233" ca="1" si="1162">ROUND(K1233+L1232,0)</f>
        <v>0</v>
      </c>
      <c r="M1233" s="22">
        <f t="shared" ref="M1233" ca="1" si="1163">ROUND(L1233+M1232,0)</f>
        <v>0</v>
      </c>
      <c r="N1233" s="22">
        <f t="shared" ref="N1233" ca="1" si="1164">ROUND(M1233+N1232,0)</f>
        <v>0</v>
      </c>
      <c r="O1233" s="22">
        <f t="shared" ref="O1233" ca="1" si="1165">ROUND(N1233+O1232,0)</f>
        <v>0</v>
      </c>
      <c r="P1233" s="22">
        <f t="shared" ref="P1233" ca="1" si="1166">ROUND(O1233+P1232,0)</f>
        <v>0</v>
      </c>
      <c r="Q1233" s="22">
        <f t="shared" ref="Q1233" ca="1" si="1167">ROUND(P1233+Q1232,0)</f>
        <v>0</v>
      </c>
      <c r="R1233" s="22">
        <f t="shared" ref="R1233" ca="1" si="1168">ROUND(Q1233+R1232,0)</f>
        <v>0</v>
      </c>
      <c r="S1233" s="22">
        <f t="shared" ref="S1233" ca="1" si="1169">ROUND(R1233+S1232,0)</f>
        <v>0</v>
      </c>
      <c r="T1233" s="22">
        <f t="shared" ref="T1233" ca="1" si="1170">ROUND(S1233+T1232,0)</f>
        <v>0</v>
      </c>
      <c r="U1233" s="22">
        <f t="shared" ref="U1233" ca="1" si="1171">ROUND(T1233+U1232,0)</f>
        <v>0</v>
      </c>
      <c r="V1233" s="22">
        <f t="shared" ref="V1233" ca="1" si="1172">ROUND(U1233+V1232,0)</f>
        <v>0</v>
      </c>
      <c r="W1233" s="22">
        <f t="shared" ref="W1233" ca="1" si="1173">ROUND(V1233+W1232,0)</f>
        <v>0</v>
      </c>
      <c r="X1233" s="22">
        <f t="shared" ref="X1233" ca="1" si="1174">ROUND(W1233+X1232,0)</f>
        <v>0</v>
      </c>
    </row>
    <row r="1234" spans="1:24" hidden="1">
      <c r="A1234" s="328"/>
      <c r="B1234" s="21" t="s">
        <v>406</v>
      </c>
      <c r="C1234" s="21"/>
      <c r="D1234" s="22"/>
      <c r="E1234" s="21"/>
      <c r="F1234" s="21"/>
      <c r="G1234" s="21"/>
      <c r="H1234" s="21"/>
      <c r="I1234" s="21"/>
      <c r="J1234" s="21"/>
      <c r="K1234" s="77">
        <f ca="1">IF($D1230=LataProjekcji,ROUND($D1231-K1233,0),ROUND(IF(K1232=0,0,$D1231-K1233),0))</f>
        <v>0</v>
      </c>
      <c r="L1234" s="254">
        <f t="shared" ref="L1234:X1234" ca="1" si="1175">IF($D1230=LataProjekcji,ROUND($D1231-L1233,0),ROUND(IF(AND(L1232=0,K1234&gt;0),$D1231-L1233,IF(L1232=0,0,$D1231-L1233)),0))</f>
        <v>0</v>
      </c>
      <c r="M1234" s="254">
        <f t="shared" ca="1" si="1175"/>
        <v>0</v>
      </c>
      <c r="N1234" s="254">
        <f t="shared" ca="1" si="1175"/>
        <v>0</v>
      </c>
      <c r="O1234" s="254">
        <f t="shared" ca="1" si="1175"/>
        <v>0</v>
      </c>
      <c r="P1234" s="254">
        <f t="shared" ca="1" si="1175"/>
        <v>0</v>
      </c>
      <c r="Q1234" s="254">
        <f t="shared" ca="1" si="1175"/>
        <v>0</v>
      </c>
      <c r="R1234" s="254">
        <f t="shared" ca="1" si="1175"/>
        <v>0</v>
      </c>
      <c r="S1234" s="254">
        <f t="shared" ca="1" si="1175"/>
        <v>0</v>
      </c>
      <c r="T1234" s="254">
        <f t="shared" ca="1" si="1175"/>
        <v>0</v>
      </c>
      <c r="U1234" s="254">
        <f t="shared" ca="1" si="1175"/>
        <v>0</v>
      </c>
      <c r="V1234" s="254">
        <f t="shared" ca="1" si="1175"/>
        <v>0</v>
      </c>
      <c r="W1234" s="254">
        <f t="shared" ca="1" si="1175"/>
        <v>0</v>
      </c>
      <c r="X1234" s="254">
        <f t="shared" ca="1" si="1175"/>
        <v>0</v>
      </c>
    </row>
    <row r="1235" spans="1:24" hidden="1">
      <c r="A1235" s="328"/>
      <c r="B1235" s="21"/>
      <c r="C1235" s="21"/>
      <c r="D1235" s="22"/>
      <c r="E1235" s="21"/>
      <c r="F1235" s="21"/>
      <c r="G1235" s="21"/>
      <c r="H1235" s="404">
        <f>H1228+1</f>
        <v>14</v>
      </c>
      <c r="I1235" s="483" cm="1">
        <f t="array" aca="1" ref="I1235" ca="1">OFFSET('Środki trwałe'!$C$197,H1235,,)</f>
        <v>0</v>
      </c>
      <c r="J1235" s="404" t="s">
        <v>427</v>
      </c>
      <c r="K1235" s="405">
        <f t="shared" ref="K1235:X1235" ca="1" si="1176">IF(AND(OFFSET($F$195,$D1229,0)="tak",OFFSET($G$195,$D1229,0)="tak",OFFSET($J$195,$D1229,0)="ok",LataProjekcji&lt;=Koniec_Projekt),ROUND(K1232*OFFSET($K$223,$H1235,(COLUMN()-11)),0),0)</f>
        <v>0</v>
      </c>
      <c r="L1235" s="405">
        <f t="shared" ca="1" si="1176"/>
        <v>0</v>
      </c>
      <c r="M1235" s="405">
        <f t="shared" ca="1" si="1176"/>
        <v>0</v>
      </c>
      <c r="N1235" s="405">
        <f t="shared" ca="1" si="1176"/>
        <v>0</v>
      </c>
      <c r="O1235" s="405">
        <f t="shared" ca="1" si="1176"/>
        <v>0</v>
      </c>
      <c r="P1235" s="405">
        <f t="shared" ca="1" si="1176"/>
        <v>0</v>
      </c>
      <c r="Q1235" s="405">
        <f t="shared" ca="1" si="1176"/>
        <v>0</v>
      </c>
      <c r="R1235" s="405">
        <f t="shared" ca="1" si="1176"/>
        <v>0</v>
      </c>
      <c r="S1235" s="405">
        <f t="shared" ca="1" si="1176"/>
        <v>0</v>
      </c>
      <c r="T1235" s="405">
        <f t="shared" ca="1" si="1176"/>
        <v>0</v>
      </c>
      <c r="U1235" s="405">
        <f t="shared" ca="1" si="1176"/>
        <v>0</v>
      </c>
      <c r="V1235" s="405">
        <f t="shared" ca="1" si="1176"/>
        <v>0</v>
      </c>
      <c r="W1235" s="405">
        <f t="shared" ca="1" si="1176"/>
        <v>0</v>
      </c>
      <c r="X1235" s="405">
        <f t="shared" ca="1" si="1176"/>
        <v>0</v>
      </c>
    </row>
    <row r="1236" spans="1:24" hidden="1">
      <c r="A1236" s="328"/>
      <c r="B1236" s="20" t="s">
        <v>419</v>
      </c>
      <c r="C1236" s="20"/>
      <c r="D1236" s="21">
        <f>D1229+1</f>
        <v>17</v>
      </c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</row>
    <row r="1237" spans="1:24" hidden="1">
      <c r="A1237" s="328"/>
      <c r="B1237" s="21" t="s">
        <v>414</v>
      </c>
      <c r="C1237" s="21"/>
      <c r="D1237" s="165">
        <f ca="1">YEAR(OFFSET($E$195,D1236,0))</f>
        <v>1900</v>
      </c>
      <c r="E1237" s="165">
        <f ca="1">MONTH(OFFSET($E$195,D1236,0))</f>
        <v>1</v>
      </c>
      <c r="F1237" s="21">
        <f ca="1">12-$E1237</f>
        <v>11</v>
      </c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</row>
    <row r="1238" spans="1:24" hidden="1">
      <c r="A1238" s="328"/>
      <c r="B1238" s="21" t="s">
        <v>406</v>
      </c>
      <c r="C1238" s="21"/>
      <c r="D1238" s="247">
        <f ca="1">IF(E1238&lt;0,0,ROUND(E1238,0))</f>
        <v>0</v>
      </c>
      <c r="E1238" s="249">
        <f ca="1">OFFSET($D$195,D1236,0)</f>
        <v>0</v>
      </c>
      <c r="F1238" s="247">
        <f ca="1">IF(E1238&gt;10,ROUND(($D1239/12)*$F1237,0),$D1238)</f>
        <v>0</v>
      </c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</row>
    <row r="1239" spans="1:24" hidden="1">
      <c r="A1239" s="328"/>
      <c r="B1239" s="21" t="s">
        <v>415</v>
      </c>
      <c r="C1239" s="21"/>
      <c r="D1239" s="247">
        <f ca="1">IF(ISBLANK(OFFSET($E$195,D1236,0)),0,IF(E1238&gt;10,ROUND(D1238*am_prace_rozwojowe,0),IF(D1238&lt;0,0,D1238)))</f>
        <v>0</v>
      </c>
      <c r="E1239" s="21"/>
      <c r="F1239" s="21"/>
      <c r="G1239" s="21"/>
      <c r="H1239" s="21"/>
      <c r="I1239" s="21"/>
      <c r="J1239" s="21"/>
      <c r="K1239" s="75">
        <f ca="1">ROUND(IF(($D1237+1)=K$192,$D1239,0),0)</f>
        <v>0</v>
      </c>
      <c r="L1239" s="248">
        <f ca="1">ROUND(IF(OR(AND($D1237=LataProjekcji,$F1237&gt;0),AND($D1237=LataProjekcji,$F1237=0,$E1238&lt;=10)),$F1238,IF($D1237&lt;LataProjekcji,IF((SUM($K1239:K1239)+$D1239)&lt;$D1238,$D1239,$D1238-SUM($K1239:K1239)),0)),0)</f>
        <v>0</v>
      </c>
      <c r="M1239" s="248">
        <f ca="1">ROUND(IF(OR(AND($D1237=LataProjekcji,$F1237&gt;0),AND($D1237=LataProjekcji,$F1237=0,$E1238&lt;=10)),$F1238,IF($D1237&lt;LataProjekcji,IF((SUM($K1239:L1239)+$D1239)&lt;$D1238,$D1239,$D1238-SUM($K1239:L1239)),0)),0)</f>
        <v>0</v>
      </c>
      <c r="N1239" s="248">
        <f ca="1">ROUND(IF(OR(AND($D1237=LataProjekcji,$F1237&gt;0),AND($D1237=LataProjekcji,$F1237=0,$E1238&lt;=10)),$F1238,IF($D1237&lt;LataProjekcji,IF((SUM($K1239:M1239)+$D1239)&lt;$D1238,$D1239,$D1238-SUM($K1239:M1239)),0)),0)</f>
        <v>0</v>
      </c>
      <c r="O1239" s="248">
        <f ca="1">ROUND(IF(OR(AND($D1237=LataProjekcji,$F1237&gt;0),AND($D1237=LataProjekcji,$F1237=0,$E1238&lt;=10)),$F1238,IF($D1237&lt;LataProjekcji,IF((SUM($K1239:N1239)+$D1239)&lt;$D1238,$D1239,$D1238-SUM($K1239:N1239)),0)),0)</f>
        <v>0</v>
      </c>
      <c r="P1239" s="248">
        <f ca="1">ROUND(IF(OR(AND($D1237=LataProjekcji,$F1237&gt;0),AND($D1237=LataProjekcji,$F1237=0,$E1238&lt;=10)),$F1238,IF($D1237&lt;LataProjekcji,IF((SUM($K1239:O1239)+$D1239)&lt;$D1238,$D1239,$D1238-SUM($K1239:O1239)),0)),0)</f>
        <v>0</v>
      </c>
      <c r="Q1239" s="248">
        <f ca="1">ROUND(IF(OR(AND($D1237=LataProjekcji,$F1237&gt;0),AND($D1237=LataProjekcji,$F1237=0,$E1238&lt;=10)),$F1238,IF($D1237&lt;LataProjekcji,IF((SUM($K1239:P1239)+$D1239)&lt;$D1238,$D1239,$D1238-SUM($K1239:P1239)),0)),0)</f>
        <v>0</v>
      </c>
      <c r="R1239" s="248">
        <f ca="1">ROUND(IF(OR(AND($D1237=LataProjekcji,$F1237&gt;0),AND($D1237=LataProjekcji,$F1237=0,$E1238&lt;=10)),$F1238,IF($D1237&lt;LataProjekcji,IF((SUM($K1239:Q1239)+$D1239)&lt;$D1238,$D1239,$D1238-SUM($K1239:Q1239)),0)),0)</f>
        <v>0</v>
      </c>
      <c r="S1239" s="248">
        <f ca="1">ROUND(IF(OR(AND($D1237=LataProjekcji,$F1237&gt;0),AND($D1237=LataProjekcji,$F1237=0,$E1238&lt;=10)),$F1238,IF($D1237&lt;LataProjekcji,IF((SUM($K1239:R1239)+$D1239)&lt;$D1238,$D1239,$D1238-SUM($K1239:R1239)),0)),0)</f>
        <v>0</v>
      </c>
      <c r="T1239" s="248">
        <f ca="1">ROUND(IF(OR(AND($D1237=LataProjekcji,$F1237&gt;0),AND($D1237=LataProjekcji,$F1237=0,$E1238&lt;=10)),$F1238,IF($D1237&lt;LataProjekcji,IF((SUM($K1239:S1239)+$D1239)&lt;$D1238,$D1239,$D1238-SUM($K1239:S1239)),0)),0)</f>
        <v>0</v>
      </c>
      <c r="U1239" s="248">
        <f ca="1">ROUND(IF(OR(AND($D1237=LataProjekcji,$F1237&gt;0),AND($D1237=LataProjekcji,$F1237=0,$E1238&lt;=10)),$F1238,IF($D1237&lt;LataProjekcji,IF((SUM($K1239:T1239)+$D1239)&lt;$D1238,$D1239,$D1238-SUM($K1239:T1239)),0)),0)</f>
        <v>0</v>
      </c>
      <c r="V1239" s="248">
        <f ca="1">ROUND(IF(OR(AND($D1237=LataProjekcji,$F1237&gt;0),AND($D1237=LataProjekcji,$F1237=0,$E1238&lt;=10)),$F1238,IF($D1237&lt;LataProjekcji,IF((SUM($K1239:U1239)+$D1239)&lt;$D1238,$D1239,$D1238-SUM($K1239:U1239)),0)),0)</f>
        <v>0</v>
      </c>
      <c r="W1239" s="248">
        <f ca="1">ROUND(IF(OR(AND($D1237=LataProjekcji,$F1237&gt;0),AND($D1237=LataProjekcji,$F1237=0,$E1238&lt;=10)),$F1238,IF($D1237&lt;LataProjekcji,IF((SUM($K1239:V1239)+$D1239)&lt;$D1238,$D1239,$D1238-SUM($K1239:V1239)),0)),0)</f>
        <v>0</v>
      </c>
      <c r="X1239" s="248">
        <f ca="1">ROUND(IF(OR(AND($D1237=LataProjekcji,$F1237&gt;0),AND($D1237=LataProjekcji,$F1237=0,$E1238&lt;=10)),$F1238,IF($D1237&lt;LataProjekcji,IF((SUM($K1239:W1239)+$D1239)&lt;$D1238,$D1239,$D1238-SUM($K1239:W1239)),0)),0)</f>
        <v>0</v>
      </c>
    </row>
    <row r="1240" spans="1:24" hidden="1">
      <c r="A1240" s="328"/>
      <c r="B1240" s="21" t="s">
        <v>416</v>
      </c>
      <c r="C1240" s="21"/>
      <c r="D1240" s="22"/>
      <c r="E1240" s="21"/>
      <c r="F1240" s="21"/>
      <c r="G1240" s="21"/>
      <c r="H1240" s="21"/>
      <c r="I1240" s="21"/>
      <c r="J1240" s="21"/>
      <c r="K1240" s="22">
        <f ca="1">ROUND(K1239,0)</f>
        <v>0</v>
      </c>
      <c r="L1240" s="22">
        <f t="shared" ref="L1240" ca="1" si="1177">ROUND(K1240+L1239,0)</f>
        <v>0</v>
      </c>
      <c r="M1240" s="22">
        <f t="shared" ref="M1240" ca="1" si="1178">ROUND(L1240+M1239,0)</f>
        <v>0</v>
      </c>
      <c r="N1240" s="22">
        <f t="shared" ref="N1240" ca="1" si="1179">ROUND(M1240+N1239,0)</f>
        <v>0</v>
      </c>
      <c r="O1240" s="22">
        <f t="shared" ref="O1240" ca="1" si="1180">ROUND(N1240+O1239,0)</f>
        <v>0</v>
      </c>
      <c r="P1240" s="22">
        <f t="shared" ref="P1240" ca="1" si="1181">ROUND(O1240+P1239,0)</f>
        <v>0</v>
      </c>
      <c r="Q1240" s="22">
        <f t="shared" ref="Q1240" ca="1" si="1182">ROUND(P1240+Q1239,0)</f>
        <v>0</v>
      </c>
      <c r="R1240" s="22">
        <f t="shared" ref="R1240" ca="1" si="1183">ROUND(Q1240+R1239,0)</f>
        <v>0</v>
      </c>
      <c r="S1240" s="22">
        <f t="shared" ref="S1240" ca="1" si="1184">ROUND(R1240+S1239,0)</f>
        <v>0</v>
      </c>
      <c r="T1240" s="22">
        <f t="shared" ref="T1240" ca="1" si="1185">ROUND(S1240+T1239,0)</f>
        <v>0</v>
      </c>
      <c r="U1240" s="22">
        <f t="shared" ref="U1240" ca="1" si="1186">ROUND(T1240+U1239,0)</f>
        <v>0</v>
      </c>
      <c r="V1240" s="22">
        <f t="shared" ref="V1240" ca="1" si="1187">ROUND(U1240+V1239,0)</f>
        <v>0</v>
      </c>
      <c r="W1240" s="22">
        <f t="shared" ref="W1240" ca="1" si="1188">ROUND(V1240+W1239,0)</f>
        <v>0</v>
      </c>
      <c r="X1240" s="22">
        <f t="shared" ref="X1240" ca="1" si="1189">ROUND(W1240+X1239,0)</f>
        <v>0</v>
      </c>
    </row>
    <row r="1241" spans="1:24" hidden="1">
      <c r="A1241" s="328"/>
      <c r="B1241" s="21" t="s">
        <v>406</v>
      </c>
      <c r="C1241" s="21"/>
      <c r="D1241" s="22"/>
      <c r="E1241" s="21"/>
      <c r="F1241" s="21"/>
      <c r="G1241" s="21"/>
      <c r="H1241" s="21"/>
      <c r="I1241" s="21"/>
      <c r="J1241" s="21"/>
      <c r="K1241" s="77">
        <f ca="1">IF($D1237=LataProjekcji,ROUND($D1238-K1240,0),ROUND(IF(K1239=0,0,$D1238-K1240),0))</f>
        <v>0</v>
      </c>
      <c r="L1241" s="254">
        <f t="shared" ref="L1241:X1241" ca="1" si="1190">IF($D1237=LataProjekcji,ROUND($D1238-L1240,0),ROUND(IF(AND(L1239=0,K1241&gt;0),$D1238-L1240,IF(L1239=0,0,$D1238-L1240)),0))</f>
        <v>0</v>
      </c>
      <c r="M1241" s="254">
        <f t="shared" ca="1" si="1190"/>
        <v>0</v>
      </c>
      <c r="N1241" s="254">
        <f t="shared" ca="1" si="1190"/>
        <v>0</v>
      </c>
      <c r="O1241" s="254">
        <f t="shared" ca="1" si="1190"/>
        <v>0</v>
      </c>
      <c r="P1241" s="254">
        <f t="shared" ca="1" si="1190"/>
        <v>0</v>
      </c>
      <c r="Q1241" s="254">
        <f t="shared" ca="1" si="1190"/>
        <v>0</v>
      </c>
      <c r="R1241" s="254">
        <f t="shared" ca="1" si="1190"/>
        <v>0</v>
      </c>
      <c r="S1241" s="254">
        <f t="shared" ca="1" si="1190"/>
        <v>0</v>
      </c>
      <c r="T1241" s="254">
        <f t="shared" ca="1" si="1190"/>
        <v>0</v>
      </c>
      <c r="U1241" s="254">
        <f t="shared" ca="1" si="1190"/>
        <v>0</v>
      </c>
      <c r="V1241" s="254">
        <f t="shared" ca="1" si="1190"/>
        <v>0</v>
      </c>
      <c r="W1241" s="254">
        <f t="shared" ca="1" si="1190"/>
        <v>0</v>
      </c>
      <c r="X1241" s="254">
        <f t="shared" ca="1" si="1190"/>
        <v>0</v>
      </c>
    </row>
    <row r="1242" spans="1:24" hidden="1">
      <c r="A1242" s="328"/>
      <c r="B1242" s="21"/>
      <c r="C1242" s="21"/>
      <c r="D1242" s="21"/>
      <c r="E1242" s="21"/>
      <c r="F1242" s="21"/>
      <c r="G1242" s="21"/>
      <c r="H1242" s="404">
        <f>H1235+1</f>
        <v>15</v>
      </c>
      <c r="I1242" s="483" cm="1">
        <f t="array" aca="1" ref="I1242" ca="1">OFFSET('Środki trwałe'!$C$197,H1242,,)</f>
        <v>0</v>
      </c>
      <c r="J1242" s="404" t="s">
        <v>427</v>
      </c>
      <c r="K1242" s="405">
        <f t="shared" ref="K1242:X1242" ca="1" si="1191">IF(AND(OFFSET($F$195,$D1236,0)="tak",OFFSET($G$195,$D1236,0)="tak",OFFSET($J$195,$D1236,0)="ok",LataProjekcji&lt;=Koniec_Projekt),ROUND(K1239*OFFSET($K$223,$H1242,(COLUMN()-11)),0),0)</f>
        <v>0</v>
      </c>
      <c r="L1242" s="405">
        <f t="shared" ca="1" si="1191"/>
        <v>0</v>
      </c>
      <c r="M1242" s="405">
        <f t="shared" ca="1" si="1191"/>
        <v>0</v>
      </c>
      <c r="N1242" s="405">
        <f t="shared" ca="1" si="1191"/>
        <v>0</v>
      </c>
      <c r="O1242" s="405">
        <f t="shared" ca="1" si="1191"/>
        <v>0</v>
      </c>
      <c r="P1242" s="405">
        <f t="shared" ca="1" si="1191"/>
        <v>0</v>
      </c>
      <c r="Q1242" s="405">
        <f t="shared" ca="1" si="1191"/>
        <v>0</v>
      </c>
      <c r="R1242" s="405">
        <f t="shared" ca="1" si="1191"/>
        <v>0</v>
      </c>
      <c r="S1242" s="405">
        <f t="shared" ca="1" si="1191"/>
        <v>0</v>
      </c>
      <c r="T1242" s="405">
        <f t="shared" ca="1" si="1191"/>
        <v>0</v>
      </c>
      <c r="U1242" s="405">
        <f t="shared" ca="1" si="1191"/>
        <v>0</v>
      </c>
      <c r="V1242" s="405">
        <f t="shared" ca="1" si="1191"/>
        <v>0</v>
      </c>
      <c r="W1242" s="405">
        <f t="shared" ca="1" si="1191"/>
        <v>0</v>
      </c>
      <c r="X1242" s="405">
        <f t="shared" ca="1" si="1191"/>
        <v>0</v>
      </c>
    </row>
    <row r="1243" spans="1:24" hidden="1">
      <c r="A1243" s="328"/>
      <c r="B1243" s="20" t="s">
        <v>418</v>
      </c>
      <c r="C1243" s="20"/>
      <c r="D1243" s="21">
        <f>D1236+1</f>
        <v>18</v>
      </c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</row>
    <row r="1244" spans="1:24" hidden="1">
      <c r="A1244" s="328"/>
      <c r="B1244" s="21" t="s">
        <v>414</v>
      </c>
      <c r="C1244" s="21"/>
      <c r="D1244" s="165">
        <f ca="1">YEAR(OFFSET($E$195,D1243,0))</f>
        <v>1900</v>
      </c>
      <c r="E1244" s="165">
        <f ca="1">MONTH(OFFSET($E$195,D1243,0))</f>
        <v>1</v>
      </c>
      <c r="F1244" s="21">
        <f ca="1">12-$E1244</f>
        <v>11</v>
      </c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</row>
    <row r="1245" spans="1:24" hidden="1">
      <c r="A1245" s="328"/>
      <c r="B1245" s="21" t="s">
        <v>406</v>
      </c>
      <c r="C1245" s="21"/>
      <c r="D1245" s="247">
        <f ca="1">IF(E1245&lt;0,0,ROUND(E1245,0))</f>
        <v>0</v>
      </c>
      <c r="E1245" s="249">
        <f ca="1">OFFSET($D$195,D1243,0)</f>
        <v>0</v>
      </c>
      <c r="F1245" s="247">
        <f ca="1">IF(E1245&gt;10,ROUND(($D1246/12)*$F1244,0),$D1245)</f>
        <v>0</v>
      </c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</row>
    <row r="1246" spans="1:24" hidden="1">
      <c r="A1246" s="328"/>
      <c r="B1246" s="21" t="s">
        <v>415</v>
      </c>
      <c r="C1246" s="21"/>
      <c r="D1246" s="247">
        <f ca="1">IF(ISBLANK(OFFSET($E$195,D1243,0)),0,IF(E1245&gt;10,ROUND(D1245*am_prace_rozwojowe,0),IF(D1245&lt;0,0,D1245)))</f>
        <v>0</v>
      </c>
      <c r="E1246" s="21"/>
      <c r="F1246" s="21"/>
      <c r="G1246" s="21"/>
      <c r="H1246" s="21"/>
      <c r="I1246" s="21"/>
      <c r="J1246" s="21"/>
      <c r="K1246" s="75">
        <f ca="1">ROUND(IF(($D1244+1)=K$192,$D1246,0),0)</f>
        <v>0</v>
      </c>
      <c r="L1246" s="248">
        <f ca="1">ROUND(IF(OR(AND($D1244=LataProjekcji,$F1244&gt;0),AND($D1244=LataProjekcji,$F1244=0,$E1245&lt;=10)),$F1245,IF($D1244&lt;LataProjekcji,IF((SUM($K1246:K1246)+$D1246)&lt;$D1245,$D1246,$D1245-SUM($K1246:K1246)),0)),0)</f>
        <v>0</v>
      </c>
      <c r="M1246" s="248">
        <f ca="1">ROUND(IF(OR(AND($D1244=LataProjekcji,$F1244&gt;0),AND($D1244=LataProjekcji,$F1244=0,$E1245&lt;=10)),$F1245,IF($D1244&lt;LataProjekcji,IF((SUM($K1246:L1246)+$D1246)&lt;$D1245,$D1246,$D1245-SUM($K1246:L1246)),0)),0)</f>
        <v>0</v>
      </c>
      <c r="N1246" s="248">
        <f ca="1">ROUND(IF(OR(AND($D1244=LataProjekcji,$F1244&gt;0),AND($D1244=LataProjekcji,$F1244=0,$E1245&lt;=10)),$F1245,IF($D1244&lt;LataProjekcji,IF((SUM($K1246:M1246)+$D1246)&lt;$D1245,$D1246,$D1245-SUM($K1246:M1246)),0)),0)</f>
        <v>0</v>
      </c>
      <c r="O1246" s="248">
        <f ca="1">ROUND(IF(OR(AND($D1244=LataProjekcji,$F1244&gt;0),AND($D1244=LataProjekcji,$F1244=0,$E1245&lt;=10)),$F1245,IF($D1244&lt;LataProjekcji,IF((SUM($K1246:N1246)+$D1246)&lt;$D1245,$D1246,$D1245-SUM($K1246:N1246)),0)),0)</f>
        <v>0</v>
      </c>
      <c r="P1246" s="248">
        <f ca="1">ROUND(IF(OR(AND($D1244=LataProjekcji,$F1244&gt;0),AND($D1244=LataProjekcji,$F1244=0,$E1245&lt;=10)),$F1245,IF($D1244&lt;LataProjekcji,IF((SUM($K1246:O1246)+$D1246)&lt;$D1245,$D1246,$D1245-SUM($K1246:O1246)),0)),0)</f>
        <v>0</v>
      </c>
      <c r="Q1246" s="248">
        <f ca="1">ROUND(IF(OR(AND($D1244=LataProjekcji,$F1244&gt;0),AND($D1244=LataProjekcji,$F1244=0,$E1245&lt;=10)),$F1245,IF($D1244&lt;LataProjekcji,IF((SUM($K1246:P1246)+$D1246)&lt;$D1245,$D1246,$D1245-SUM($K1246:P1246)),0)),0)</f>
        <v>0</v>
      </c>
      <c r="R1246" s="248">
        <f ca="1">ROUND(IF(OR(AND($D1244=LataProjekcji,$F1244&gt;0),AND($D1244=LataProjekcji,$F1244=0,$E1245&lt;=10)),$F1245,IF($D1244&lt;LataProjekcji,IF((SUM($K1246:Q1246)+$D1246)&lt;$D1245,$D1246,$D1245-SUM($K1246:Q1246)),0)),0)</f>
        <v>0</v>
      </c>
      <c r="S1246" s="248">
        <f ca="1">ROUND(IF(OR(AND($D1244=LataProjekcji,$F1244&gt;0),AND($D1244=LataProjekcji,$F1244=0,$E1245&lt;=10)),$F1245,IF($D1244&lt;LataProjekcji,IF((SUM($K1246:R1246)+$D1246)&lt;$D1245,$D1246,$D1245-SUM($K1246:R1246)),0)),0)</f>
        <v>0</v>
      </c>
      <c r="T1246" s="248">
        <f ca="1">ROUND(IF(OR(AND($D1244=LataProjekcji,$F1244&gt;0),AND($D1244=LataProjekcji,$F1244=0,$E1245&lt;=10)),$F1245,IF($D1244&lt;LataProjekcji,IF((SUM($K1246:S1246)+$D1246)&lt;$D1245,$D1246,$D1245-SUM($K1246:S1246)),0)),0)</f>
        <v>0</v>
      </c>
      <c r="U1246" s="248">
        <f ca="1">ROUND(IF(OR(AND($D1244=LataProjekcji,$F1244&gt;0),AND($D1244=LataProjekcji,$F1244=0,$E1245&lt;=10)),$F1245,IF($D1244&lt;LataProjekcji,IF((SUM($K1246:T1246)+$D1246)&lt;$D1245,$D1246,$D1245-SUM($K1246:T1246)),0)),0)</f>
        <v>0</v>
      </c>
      <c r="V1246" s="248">
        <f ca="1">ROUND(IF(OR(AND($D1244=LataProjekcji,$F1244&gt;0),AND($D1244=LataProjekcji,$F1244=0,$E1245&lt;=10)),$F1245,IF($D1244&lt;LataProjekcji,IF((SUM($K1246:U1246)+$D1246)&lt;$D1245,$D1246,$D1245-SUM($K1246:U1246)),0)),0)</f>
        <v>0</v>
      </c>
      <c r="W1246" s="248">
        <f ca="1">ROUND(IF(OR(AND($D1244=LataProjekcji,$F1244&gt;0),AND($D1244=LataProjekcji,$F1244=0,$E1245&lt;=10)),$F1245,IF($D1244&lt;LataProjekcji,IF((SUM($K1246:V1246)+$D1246)&lt;$D1245,$D1246,$D1245-SUM($K1246:V1246)),0)),0)</f>
        <v>0</v>
      </c>
      <c r="X1246" s="248">
        <f ca="1">ROUND(IF(OR(AND($D1244=LataProjekcji,$F1244&gt;0),AND($D1244=LataProjekcji,$F1244=0,$E1245&lt;=10)),$F1245,IF($D1244&lt;LataProjekcji,IF((SUM($K1246:W1246)+$D1246)&lt;$D1245,$D1246,$D1245-SUM($K1246:W1246)),0)),0)</f>
        <v>0</v>
      </c>
    </row>
    <row r="1247" spans="1:24" hidden="1">
      <c r="A1247" s="328"/>
      <c r="B1247" s="21" t="s">
        <v>416</v>
      </c>
      <c r="C1247" s="21"/>
      <c r="D1247" s="22"/>
      <c r="E1247" s="21"/>
      <c r="F1247" s="21"/>
      <c r="G1247" s="21"/>
      <c r="H1247" s="21"/>
      <c r="I1247" s="21"/>
      <c r="J1247" s="21"/>
      <c r="K1247" s="22">
        <f ca="1">ROUND(K1246,0)</f>
        <v>0</v>
      </c>
      <c r="L1247" s="22">
        <f t="shared" ref="L1247" ca="1" si="1192">ROUND(K1247+L1246,0)</f>
        <v>0</v>
      </c>
      <c r="M1247" s="22">
        <f t="shared" ref="M1247" ca="1" si="1193">ROUND(L1247+M1246,0)</f>
        <v>0</v>
      </c>
      <c r="N1247" s="22">
        <f t="shared" ref="N1247" ca="1" si="1194">ROUND(M1247+N1246,0)</f>
        <v>0</v>
      </c>
      <c r="O1247" s="22">
        <f t="shared" ref="O1247" ca="1" si="1195">ROUND(N1247+O1246,0)</f>
        <v>0</v>
      </c>
      <c r="P1247" s="22">
        <f t="shared" ref="P1247" ca="1" si="1196">ROUND(O1247+P1246,0)</f>
        <v>0</v>
      </c>
      <c r="Q1247" s="22">
        <f t="shared" ref="Q1247" ca="1" si="1197">ROUND(P1247+Q1246,0)</f>
        <v>0</v>
      </c>
      <c r="R1247" s="22">
        <f t="shared" ref="R1247" ca="1" si="1198">ROUND(Q1247+R1246,0)</f>
        <v>0</v>
      </c>
      <c r="S1247" s="22">
        <f t="shared" ref="S1247" ca="1" si="1199">ROUND(R1247+S1246,0)</f>
        <v>0</v>
      </c>
      <c r="T1247" s="22">
        <f t="shared" ref="T1247" ca="1" si="1200">ROUND(S1247+T1246,0)</f>
        <v>0</v>
      </c>
      <c r="U1247" s="22">
        <f t="shared" ref="U1247" ca="1" si="1201">ROUND(T1247+U1246,0)</f>
        <v>0</v>
      </c>
      <c r="V1247" s="22">
        <f t="shared" ref="V1247" ca="1" si="1202">ROUND(U1247+V1246,0)</f>
        <v>0</v>
      </c>
      <c r="W1247" s="22">
        <f t="shared" ref="W1247" ca="1" si="1203">ROUND(V1247+W1246,0)</f>
        <v>0</v>
      </c>
      <c r="X1247" s="22">
        <f t="shared" ref="X1247" ca="1" si="1204">ROUND(W1247+X1246,0)</f>
        <v>0</v>
      </c>
    </row>
    <row r="1248" spans="1:24" hidden="1">
      <c r="A1248" s="328"/>
      <c r="B1248" s="21" t="s">
        <v>406</v>
      </c>
      <c r="C1248" s="21"/>
      <c r="D1248" s="22"/>
      <c r="E1248" s="21"/>
      <c r="F1248" s="21"/>
      <c r="G1248" s="21"/>
      <c r="H1248" s="21"/>
      <c r="I1248" s="21"/>
      <c r="J1248" s="21"/>
      <c r="K1248" s="77">
        <f ca="1">IF($D1244=LataProjekcji,ROUND($D1245-K1247,0),ROUND(IF(K1246=0,0,$D1245-K1247),0))</f>
        <v>0</v>
      </c>
      <c r="L1248" s="254">
        <f t="shared" ref="L1248:X1248" ca="1" si="1205">IF($D1244=LataProjekcji,ROUND($D1245-L1247,0),ROUND(IF(AND(L1246=0,K1248&gt;0),$D1245-L1247,IF(L1246=0,0,$D1245-L1247)),0))</f>
        <v>0</v>
      </c>
      <c r="M1248" s="254">
        <f t="shared" ca="1" si="1205"/>
        <v>0</v>
      </c>
      <c r="N1248" s="254">
        <f t="shared" ca="1" si="1205"/>
        <v>0</v>
      </c>
      <c r="O1248" s="254">
        <f t="shared" ca="1" si="1205"/>
        <v>0</v>
      </c>
      <c r="P1248" s="254">
        <f t="shared" ca="1" si="1205"/>
        <v>0</v>
      </c>
      <c r="Q1248" s="254">
        <f t="shared" ca="1" si="1205"/>
        <v>0</v>
      </c>
      <c r="R1248" s="254">
        <f t="shared" ca="1" si="1205"/>
        <v>0</v>
      </c>
      <c r="S1248" s="254">
        <f t="shared" ca="1" si="1205"/>
        <v>0</v>
      </c>
      <c r="T1248" s="254">
        <f t="shared" ca="1" si="1205"/>
        <v>0</v>
      </c>
      <c r="U1248" s="254">
        <f t="shared" ca="1" si="1205"/>
        <v>0</v>
      </c>
      <c r="V1248" s="254">
        <f t="shared" ca="1" si="1205"/>
        <v>0</v>
      </c>
      <c r="W1248" s="254">
        <f t="shared" ca="1" si="1205"/>
        <v>0</v>
      </c>
      <c r="X1248" s="254">
        <f t="shared" ca="1" si="1205"/>
        <v>0</v>
      </c>
    </row>
    <row r="1249" spans="1:24" hidden="1">
      <c r="A1249" s="328"/>
      <c r="B1249" s="21"/>
      <c r="C1249" s="21"/>
      <c r="D1249" s="22"/>
      <c r="E1249" s="21"/>
      <c r="F1249" s="21"/>
      <c r="G1249" s="21"/>
      <c r="H1249" s="404">
        <f>H1242+1</f>
        <v>16</v>
      </c>
      <c r="I1249" s="483" cm="1">
        <f t="array" aca="1" ref="I1249" ca="1">OFFSET('Środki trwałe'!$C$197,H1249,,)</f>
        <v>0</v>
      </c>
      <c r="J1249" s="404" t="s">
        <v>427</v>
      </c>
      <c r="K1249" s="405">
        <f t="shared" ref="K1249:X1249" ca="1" si="1206">IF(AND(OFFSET($F$195,$D1243,0)="tak",OFFSET($G$195,$D1243,0)="tak",OFFSET($J$195,$D1243,0)="ok",LataProjekcji&lt;=Koniec_Projekt),ROUND(K1246*OFFSET($K$223,$H1249,(COLUMN()-11)),0),0)</f>
        <v>0</v>
      </c>
      <c r="L1249" s="405">
        <f t="shared" ca="1" si="1206"/>
        <v>0</v>
      </c>
      <c r="M1249" s="405">
        <f t="shared" ca="1" si="1206"/>
        <v>0</v>
      </c>
      <c r="N1249" s="405">
        <f t="shared" ca="1" si="1206"/>
        <v>0</v>
      </c>
      <c r="O1249" s="405">
        <f t="shared" ca="1" si="1206"/>
        <v>0</v>
      </c>
      <c r="P1249" s="405">
        <f t="shared" ca="1" si="1206"/>
        <v>0</v>
      </c>
      <c r="Q1249" s="405">
        <f t="shared" ca="1" si="1206"/>
        <v>0</v>
      </c>
      <c r="R1249" s="405">
        <f t="shared" ca="1" si="1206"/>
        <v>0</v>
      </c>
      <c r="S1249" s="405">
        <f t="shared" ca="1" si="1206"/>
        <v>0</v>
      </c>
      <c r="T1249" s="405">
        <f t="shared" ca="1" si="1206"/>
        <v>0</v>
      </c>
      <c r="U1249" s="405">
        <f t="shared" ca="1" si="1206"/>
        <v>0</v>
      </c>
      <c r="V1249" s="405">
        <f t="shared" ca="1" si="1206"/>
        <v>0</v>
      </c>
      <c r="W1249" s="405">
        <f t="shared" ca="1" si="1206"/>
        <v>0</v>
      </c>
      <c r="X1249" s="405">
        <f t="shared" ca="1" si="1206"/>
        <v>0</v>
      </c>
    </row>
    <row r="1250" spans="1:24" hidden="1">
      <c r="A1250" s="328"/>
      <c r="B1250" s="20" t="s">
        <v>419</v>
      </c>
      <c r="C1250" s="20"/>
      <c r="D1250" s="21">
        <f>D1243+1</f>
        <v>19</v>
      </c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</row>
    <row r="1251" spans="1:24" hidden="1">
      <c r="A1251" s="328"/>
      <c r="B1251" s="21" t="s">
        <v>414</v>
      </c>
      <c r="C1251" s="21"/>
      <c r="D1251" s="165">
        <f ca="1">YEAR(OFFSET($E$195,D1250,0))</f>
        <v>1900</v>
      </c>
      <c r="E1251" s="165">
        <f ca="1">MONTH(OFFSET($E$195,D1250,0))</f>
        <v>1</v>
      </c>
      <c r="F1251" s="21">
        <f ca="1">12-$E1251</f>
        <v>11</v>
      </c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</row>
    <row r="1252" spans="1:24" hidden="1">
      <c r="A1252" s="328"/>
      <c r="B1252" s="21" t="s">
        <v>406</v>
      </c>
      <c r="C1252" s="21"/>
      <c r="D1252" s="247">
        <f ca="1">IF(E1252&lt;0,0,ROUND(E1252,0))</f>
        <v>0</v>
      </c>
      <c r="E1252" s="249">
        <f ca="1">OFFSET($D$195,D1250,0)</f>
        <v>0</v>
      </c>
      <c r="F1252" s="247">
        <f ca="1">IF(E1252&gt;10,ROUND(($D1253/12)*$F1251,0),$D1252)</f>
        <v>0</v>
      </c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</row>
    <row r="1253" spans="1:24" hidden="1">
      <c r="A1253" s="328"/>
      <c r="B1253" s="21" t="s">
        <v>415</v>
      </c>
      <c r="C1253" s="21"/>
      <c r="D1253" s="247">
        <f ca="1">IF(ISBLANK(OFFSET($E$195,D1250,0)),0,IF(E1252&gt;10,ROUND(D1252*am_prace_rozwojowe,0),IF(D1252&lt;0,0,D1252)))</f>
        <v>0</v>
      </c>
      <c r="E1253" s="21"/>
      <c r="F1253" s="21"/>
      <c r="G1253" s="21"/>
      <c r="H1253" s="21"/>
      <c r="I1253" s="21"/>
      <c r="J1253" s="21"/>
      <c r="K1253" s="75">
        <f ca="1">ROUND(IF(($D1251+1)=K$192,$D1253,0),0)</f>
        <v>0</v>
      </c>
      <c r="L1253" s="248">
        <f ca="1">ROUND(IF(OR(AND($D1251=LataProjekcji,$F1251&gt;0),AND($D1251=LataProjekcji,$F1251=0,$E1252&lt;=10)),$F1252,IF($D1251&lt;LataProjekcji,IF((SUM($K1253:K1253)+$D1253)&lt;$D1252,$D1253,$D1252-SUM($K1253:K1253)),0)),0)</f>
        <v>0</v>
      </c>
      <c r="M1253" s="248">
        <f ca="1">ROUND(IF(OR(AND($D1251=LataProjekcji,$F1251&gt;0),AND($D1251=LataProjekcji,$F1251=0,$E1252&lt;=10)),$F1252,IF($D1251&lt;LataProjekcji,IF((SUM($K1253:L1253)+$D1253)&lt;$D1252,$D1253,$D1252-SUM($K1253:L1253)),0)),0)</f>
        <v>0</v>
      </c>
      <c r="N1253" s="248">
        <f ca="1">ROUND(IF(OR(AND($D1251=LataProjekcji,$F1251&gt;0),AND($D1251=LataProjekcji,$F1251=0,$E1252&lt;=10)),$F1252,IF($D1251&lt;LataProjekcji,IF((SUM($K1253:M1253)+$D1253)&lt;$D1252,$D1253,$D1252-SUM($K1253:M1253)),0)),0)</f>
        <v>0</v>
      </c>
      <c r="O1253" s="248">
        <f ca="1">ROUND(IF(OR(AND($D1251=LataProjekcji,$F1251&gt;0),AND($D1251=LataProjekcji,$F1251=0,$E1252&lt;=10)),$F1252,IF($D1251&lt;LataProjekcji,IF((SUM($K1253:N1253)+$D1253)&lt;$D1252,$D1253,$D1252-SUM($K1253:N1253)),0)),0)</f>
        <v>0</v>
      </c>
      <c r="P1253" s="248">
        <f ca="1">ROUND(IF(OR(AND($D1251=LataProjekcji,$F1251&gt;0),AND($D1251=LataProjekcji,$F1251=0,$E1252&lt;=10)),$F1252,IF($D1251&lt;LataProjekcji,IF((SUM($K1253:O1253)+$D1253)&lt;$D1252,$D1253,$D1252-SUM($K1253:O1253)),0)),0)</f>
        <v>0</v>
      </c>
      <c r="Q1253" s="248">
        <f ca="1">ROUND(IF(OR(AND($D1251=LataProjekcji,$F1251&gt;0),AND($D1251=LataProjekcji,$F1251=0,$E1252&lt;=10)),$F1252,IF($D1251&lt;LataProjekcji,IF((SUM($K1253:P1253)+$D1253)&lt;$D1252,$D1253,$D1252-SUM($K1253:P1253)),0)),0)</f>
        <v>0</v>
      </c>
      <c r="R1253" s="248">
        <f ca="1">ROUND(IF(OR(AND($D1251=LataProjekcji,$F1251&gt;0),AND($D1251=LataProjekcji,$F1251=0,$E1252&lt;=10)),$F1252,IF($D1251&lt;LataProjekcji,IF((SUM($K1253:Q1253)+$D1253)&lt;$D1252,$D1253,$D1252-SUM($K1253:Q1253)),0)),0)</f>
        <v>0</v>
      </c>
      <c r="S1253" s="248">
        <f ca="1">ROUND(IF(OR(AND($D1251=LataProjekcji,$F1251&gt;0),AND($D1251=LataProjekcji,$F1251=0,$E1252&lt;=10)),$F1252,IF($D1251&lt;LataProjekcji,IF((SUM($K1253:R1253)+$D1253)&lt;$D1252,$D1253,$D1252-SUM($K1253:R1253)),0)),0)</f>
        <v>0</v>
      </c>
      <c r="T1253" s="248">
        <f ca="1">ROUND(IF(OR(AND($D1251=LataProjekcji,$F1251&gt;0),AND($D1251=LataProjekcji,$F1251=0,$E1252&lt;=10)),$F1252,IF($D1251&lt;LataProjekcji,IF((SUM($K1253:S1253)+$D1253)&lt;$D1252,$D1253,$D1252-SUM($K1253:S1253)),0)),0)</f>
        <v>0</v>
      </c>
      <c r="U1253" s="248">
        <f ca="1">ROUND(IF(OR(AND($D1251=LataProjekcji,$F1251&gt;0),AND($D1251=LataProjekcji,$F1251=0,$E1252&lt;=10)),$F1252,IF($D1251&lt;LataProjekcji,IF((SUM($K1253:T1253)+$D1253)&lt;$D1252,$D1253,$D1252-SUM($K1253:T1253)),0)),0)</f>
        <v>0</v>
      </c>
      <c r="V1253" s="248">
        <f ca="1">ROUND(IF(OR(AND($D1251=LataProjekcji,$F1251&gt;0),AND($D1251=LataProjekcji,$F1251=0,$E1252&lt;=10)),$F1252,IF($D1251&lt;LataProjekcji,IF((SUM($K1253:U1253)+$D1253)&lt;$D1252,$D1253,$D1252-SUM($K1253:U1253)),0)),0)</f>
        <v>0</v>
      </c>
      <c r="W1253" s="248">
        <f ca="1">ROUND(IF(OR(AND($D1251=LataProjekcji,$F1251&gt;0),AND($D1251=LataProjekcji,$F1251=0,$E1252&lt;=10)),$F1252,IF($D1251&lt;LataProjekcji,IF((SUM($K1253:V1253)+$D1253)&lt;$D1252,$D1253,$D1252-SUM($K1253:V1253)),0)),0)</f>
        <v>0</v>
      </c>
      <c r="X1253" s="248">
        <f ca="1">ROUND(IF(OR(AND($D1251=LataProjekcji,$F1251&gt;0),AND($D1251=LataProjekcji,$F1251=0,$E1252&lt;=10)),$F1252,IF($D1251&lt;LataProjekcji,IF((SUM($K1253:W1253)+$D1253)&lt;$D1252,$D1253,$D1252-SUM($K1253:W1253)),0)),0)</f>
        <v>0</v>
      </c>
    </row>
    <row r="1254" spans="1:24" hidden="1">
      <c r="A1254" s="328"/>
      <c r="B1254" s="21" t="s">
        <v>416</v>
      </c>
      <c r="C1254" s="21"/>
      <c r="D1254" s="22"/>
      <c r="E1254" s="21"/>
      <c r="F1254" s="21"/>
      <c r="G1254" s="21"/>
      <c r="H1254" s="21"/>
      <c r="I1254" s="21"/>
      <c r="J1254" s="21"/>
      <c r="K1254" s="22">
        <f ca="1">ROUND(K1253,0)</f>
        <v>0</v>
      </c>
      <c r="L1254" s="22">
        <f t="shared" ref="L1254" ca="1" si="1207">ROUND(K1254+L1253,0)</f>
        <v>0</v>
      </c>
      <c r="M1254" s="22">
        <f t="shared" ref="M1254" ca="1" si="1208">ROUND(L1254+M1253,0)</f>
        <v>0</v>
      </c>
      <c r="N1254" s="22">
        <f t="shared" ref="N1254" ca="1" si="1209">ROUND(M1254+N1253,0)</f>
        <v>0</v>
      </c>
      <c r="O1254" s="22">
        <f t="shared" ref="O1254" ca="1" si="1210">ROUND(N1254+O1253,0)</f>
        <v>0</v>
      </c>
      <c r="P1254" s="22">
        <f t="shared" ref="P1254" ca="1" si="1211">ROUND(O1254+P1253,0)</f>
        <v>0</v>
      </c>
      <c r="Q1254" s="22">
        <f t="shared" ref="Q1254" ca="1" si="1212">ROUND(P1254+Q1253,0)</f>
        <v>0</v>
      </c>
      <c r="R1254" s="22">
        <f t="shared" ref="R1254" ca="1" si="1213">ROUND(Q1254+R1253,0)</f>
        <v>0</v>
      </c>
      <c r="S1254" s="22">
        <f t="shared" ref="S1254" ca="1" si="1214">ROUND(R1254+S1253,0)</f>
        <v>0</v>
      </c>
      <c r="T1254" s="22">
        <f t="shared" ref="T1254" ca="1" si="1215">ROUND(S1254+T1253,0)</f>
        <v>0</v>
      </c>
      <c r="U1254" s="22">
        <f t="shared" ref="U1254" ca="1" si="1216">ROUND(T1254+U1253,0)</f>
        <v>0</v>
      </c>
      <c r="V1254" s="22">
        <f t="shared" ref="V1254" ca="1" si="1217">ROUND(U1254+V1253,0)</f>
        <v>0</v>
      </c>
      <c r="W1254" s="22">
        <f t="shared" ref="W1254" ca="1" si="1218">ROUND(V1254+W1253,0)</f>
        <v>0</v>
      </c>
      <c r="X1254" s="22">
        <f t="shared" ref="X1254" ca="1" si="1219">ROUND(W1254+X1253,0)</f>
        <v>0</v>
      </c>
    </row>
    <row r="1255" spans="1:24" hidden="1">
      <c r="A1255" s="328"/>
      <c r="B1255" s="21" t="s">
        <v>406</v>
      </c>
      <c r="C1255" s="21"/>
      <c r="D1255" s="22"/>
      <c r="E1255" s="21"/>
      <c r="F1255" s="21"/>
      <c r="G1255" s="21"/>
      <c r="H1255" s="21"/>
      <c r="I1255" s="21"/>
      <c r="J1255" s="21"/>
      <c r="K1255" s="77">
        <f ca="1">IF($D1251=LataProjekcji,ROUND($D1252-K1254,0),ROUND(IF(K1253=0,0,$D1252-K1254),0))</f>
        <v>0</v>
      </c>
      <c r="L1255" s="254">
        <f t="shared" ref="L1255:X1255" ca="1" si="1220">IF($D1251=LataProjekcji,ROUND($D1252-L1254,0),ROUND(IF(AND(L1253=0,K1255&gt;0),$D1252-L1254,IF(L1253=0,0,$D1252-L1254)),0))</f>
        <v>0</v>
      </c>
      <c r="M1255" s="254">
        <f t="shared" ca="1" si="1220"/>
        <v>0</v>
      </c>
      <c r="N1255" s="254">
        <f t="shared" ca="1" si="1220"/>
        <v>0</v>
      </c>
      <c r="O1255" s="254">
        <f t="shared" ca="1" si="1220"/>
        <v>0</v>
      </c>
      <c r="P1255" s="254">
        <f t="shared" ca="1" si="1220"/>
        <v>0</v>
      </c>
      <c r="Q1255" s="254">
        <f t="shared" ca="1" si="1220"/>
        <v>0</v>
      </c>
      <c r="R1255" s="254">
        <f t="shared" ca="1" si="1220"/>
        <v>0</v>
      </c>
      <c r="S1255" s="254">
        <f t="shared" ca="1" si="1220"/>
        <v>0</v>
      </c>
      <c r="T1255" s="254">
        <f t="shared" ca="1" si="1220"/>
        <v>0</v>
      </c>
      <c r="U1255" s="254">
        <f t="shared" ca="1" si="1220"/>
        <v>0</v>
      </c>
      <c r="V1255" s="254">
        <f t="shared" ca="1" si="1220"/>
        <v>0</v>
      </c>
      <c r="W1255" s="254">
        <f t="shared" ca="1" si="1220"/>
        <v>0</v>
      </c>
      <c r="X1255" s="254">
        <f t="shared" ca="1" si="1220"/>
        <v>0</v>
      </c>
    </row>
    <row r="1256" spans="1:24" hidden="1">
      <c r="A1256" s="328"/>
      <c r="B1256" s="21"/>
      <c r="C1256" s="21"/>
      <c r="D1256" s="21"/>
      <c r="E1256" s="21"/>
      <c r="F1256" s="21"/>
      <c r="G1256" s="21"/>
      <c r="H1256" s="404">
        <f>H1249+1</f>
        <v>17</v>
      </c>
      <c r="I1256" s="483" cm="1">
        <f t="array" aca="1" ref="I1256" ca="1">OFFSET('Środki trwałe'!$C$197,H1256,,)</f>
        <v>0</v>
      </c>
      <c r="J1256" s="404" t="s">
        <v>427</v>
      </c>
      <c r="K1256" s="405">
        <f t="shared" ref="K1256:X1256" ca="1" si="1221">IF(AND(OFFSET($F$195,$D1250,0)="tak",OFFSET($G$195,$D1250,0)="tak",OFFSET($J$195,$D1250,0)="ok",LataProjekcji&lt;=Koniec_Projekt),ROUND(K1253*OFFSET($K$223,$H1256,(COLUMN()-11)),0),0)</f>
        <v>0</v>
      </c>
      <c r="L1256" s="405">
        <f t="shared" ca="1" si="1221"/>
        <v>0</v>
      </c>
      <c r="M1256" s="405">
        <f t="shared" ca="1" si="1221"/>
        <v>0</v>
      </c>
      <c r="N1256" s="405">
        <f t="shared" ca="1" si="1221"/>
        <v>0</v>
      </c>
      <c r="O1256" s="405">
        <f t="shared" ca="1" si="1221"/>
        <v>0</v>
      </c>
      <c r="P1256" s="405">
        <f t="shared" ca="1" si="1221"/>
        <v>0</v>
      </c>
      <c r="Q1256" s="405">
        <f t="shared" ca="1" si="1221"/>
        <v>0</v>
      </c>
      <c r="R1256" s="405">
        <f t="shared" ca="1" si="1221"/>
        <v>0</v>
      </c>
      <c r="S1256" s="405">
        <f t="shared" ca="1" si="1221"/>
        <v>0</v>
      </c>
      <c r="T1256" s="405">
        <f t="shared" ca="1" si="1221"/>
        <v>0</v>
      </c>
      <c r="U1256" s="405">
        <f t="shared" ca="1" si="1221"/>
        <v>0</v>
      </c>
      <c r="V1256" s="405">
        <f t="shared" ca="1" si="1221"/>
        <v>0</v>
      </c>
      <c r="W1256" s="405">
        <f t="shared" ca="1" si="1221"/>
        <v>0</v>
      </c>
      <c r="X1256" s="405">
        <f t="shared" ca="1" si="1221"/>
        <v>0</v>
      </c>
    </row>
    <row r="1257" spans="1:24" hidden="1">
      <c r="A1257" s="328"/>
      <c r="B1257" s="20" t="s">
        <v>418</v>
      </c>
      <c r="C1257" s="20"/>
      <c r="D1257" s="21">
        <f>D1250+1</f>
        <v>20</v>
      </c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</row>
    <row r="1258" spans="1:24" hidden="1">
      <c r="A1258" s="328"/>
      <c r="B1258" s="21" t="s">
        <v>414</v>
      </c>
      <c r="C1258" s="21"/>
      <c r="D1258" s="165">
        <f ca="1">YEAR(OFFSET($E$195,D1257,0))</f>
        <v>1900</v>
      </c>
      <c r="E1258" s="165">
        <f ca="1">MONTH(OFFSET($E$195,D1257,0))</f>
        <v>1</v>
      </c>
      <c r="F1258" s="21">
        <f ca="1">12-$E1258</f>
        <v>11</v>
      </c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</row>
    <row r="1259" spans="1:24" hidden="1">
      <c r="A1259" s="328"/>
      <c r="B1259" s="21" t="s">
        <v>406</v>
      </c>
      <c r="C1259" s="21"/>
      <c r="D1259" s="247">
        <f ca="1">IF(E1259&lt;0,0,ROUND(E1259,0))</f>
        <v>0</v>
      </c>
      <c r="E1259" s="249">
        <f ca="1">OFFSET($D$195,D1257,0)</f>
        <v>0</v>
      </c>
      <c r="F1259" s="247">
        <f ca="1">IF(E1259&gt;10,ROUND(($D1260/12)*$F1258,0),$D1259)</f>
        <v>0</v>
      </c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</row>
    <row r="1260" spans="1:24" hidden="1">
      <c r="A1260" s="328"/>
      <c r="B1260" s="21" t="s">
        <v>415</v>
      </c>
      <c r="C1260" s="21"/>
      <c r="D1260" s="247">
        <f ca="1">IF(ISBLANK(OFFSET($E$195,D1257,0)),0,IF(E1259&gt;10,ROUND(D1259*am_prace_rozwojowe,0),IF(D1259&lt;0,0,D1259)))</f>
        <v>0</v>
      </c>
      <c r="E1260" s="21"/>
      <c r="F1260" s="21"/>
      <c r="G1260" s="21"/>
      <c r="H1260" s="21"/>
      <c r="I1260" s="21"/>
      <c r="J1260" s="21"/>
      <c r="K1260" s="75">
        <f ca="1">ROUND(IF(($D1258+1)=K$192,$D1260,0),0)</f>
        <v>0</v>
      </c>
      <c r="L1260" s="248">
        <f ca="1">ROUND(IF(OR(AND($D1258=LataProjekcji,$F1258&gt;0),AND($D1258=LataProjekcji,$F1258=0,$E1259&lt;=10)),$F1259,IF($D1258&lt;LataProjekcji,IF((SUM($K1260:K1260)+$D1260)&lt;$D1259,$D1260,$D1259-SUM($K1260:K1260)),0)),0)</f>
        <v>0</v>
      </c>
      <c r="M1260" s="248">
        <f ca="1">ROUND(IF(OR(AND($D1258=LataProjekcji,$F1258&gt;0),AND($D1258=LataProjekcji,$F1258=0,$E1259&lt;=10)),$F1259,IF($D1258&lt;LataProjekcji,IF((SUM($K1260:L1260)+$D1260)&lt;$D1259,$D1260,$D1259-SUM($K1260:L1260)),0)),0)</f>
        <v>0</v>
      </c>
      <c r="N1260" s="248">
        <f ca="1">ROUND(IF(OR(AND($D1258=LataProjekcji,$F1258&gt;0),AND($D1258=LataProjekcji,$F1258=0,$E1259&lt;=10)),$F1259,IF($D1258&lt;LataProjekcji,IF((SUM($K1260:M1260)+$D1260)&lt;$D1259,$D1260,$D1259-SUM($K1260:M1260)),0)),0)</f>
        <v>0</v>
      </c>
      <c r="O1260" s="248">
        <f ca="1">ROUND(IF(OR(AND($D1258=LataProjekcji,$F1258&gt;0),AND($D1258=LataProjekcji,$F1258=0,$E1259&lt;=10)),$F1259,IF($D1258&lt;LataProjekcji,IF((SUM($K1260:N1260)+$D1260)&lt;$D1259,$D1260,$D1259-SUM($K1260:N1260)),0)),0)</f>
        <v>0</v>
      </c>
      <c r="P1260" s="248">
        <f ca="1">ROUND(IF(OR(AND($D1258=LataProjekcji,$F1258&gt;0),AND($D1258=LataProjekcji,$F1258=0,$E1259&lt;=10)),$F1259,IF($D1258&lt;LataProjekcji,IF((SUM($K1260:O1260)+$D1260)&lt;$D1259,$D1260,$D1259-SUM($K1260:O1260)),0)),0)</f>
        <v>0</v>
      </c>
      <c r="Q1260" s="248">
        <f ca="1">ROUND(IF(OR(AND($D1258=LataProjekcji,$F1258&gt;0),AND($D1258=LataProjekcji,$F1258=0,$E1259&lt;=10)),$F1259,IF($D1258&lt;LataProjekcji,IF((SUM($K1260:P1260)+$D1260)&lt;$D1259,$D1260,$D1259-SUM($K1260:P1260)),0)),0)</f>
        <v>0</v>
      </c>
      <c r="R1260" s="248">
        <f ca="1">ROUND(IF(OR(AND($D1258=LataProjekcji,$F1258&gt;0),AND($D1258=LataProjekcji,$F1258=0,$E1259&lt;=10)),$F1259,IF($D1258&lt;LataProjekcji,IF((SUM($K1260:Q1260)+$D1260)&lt;$D1259,$D1260,$D1259-SUM($K1260:Q1260)),0)),0)</f>
        <v>0</v>
      </c>
      <c r="S1260" s="248">
        <f ca="1">ROUND(IF(OR(AND($D1258=LataProjekcji,$F1258&gt;0),AND($D1258=LataProjekcji,$F1258=0,$E1259&lt;=10)),$F1259,IF($D1258&lt;LataProjekcji,IF((SUM($K1260:R1260)+$D1260)&lt;$D1259,$D1260,$D1259-SUM($K1260:R1260)),0)),0)</f>
        <v>0</v>
      </c>
      <c r="T1260" s="248">
        <f ca="1">ROUND(IF(OR(AND($D1258=LataProjekcji,$F1258&gt;0),AND($D1258=LataProjekcji,$F1258=0,$E1259&lt;=10)),$F1259,IF($D1258&lt;LataProjekcji,IF((SUM($K1260:S1260)+$D1260)&lt;$D1259,$D1260,$D1259-SUM($K1260:S1260)),0)),0)</f>
        <v>0</v>
      </c>
      <c r="U1260" s="248">
        <f ca="1">ROUND(IF(OR(AND($D1258=LataProjekcji,$F1258&gt;0),AND($D1258=LataProjekcji,$F1258=0,$E1259&lt;=10)),$F1259,IF($D1258&lt;LataProjekcji,IF((SUM($K1260:T1260)+$D1260)&lt;$D1259,$D1260,$D1259-SUM($K1260:T1260)),0)),0)</f>
        <v>0</v>
      </c>
      <c r="V1260" s="248">
        <f ca="1">ROUND(IF(OR(AND($D1258=LataProjekcji,$F1258&gt;0),AND($D1258=LataProjekcji,$F1258=0,$E1259&lt;=10)),$F1259,IF($D1258&lt;LataProjekcji,IF((SUM($K1260:U1260)+$D1260)&lt;$D1259,$D1260,$D1259-SUM($K1260:U1260)),0)),0)</f>
        <v>0</v>
      </c>
      <c r="W1260" s="248">
        <f ca="1">ROUND(IF(OR(AND($D1258=LataProjekcji,$F1258&gt;0),AND($D1258=LataProjekcji,$F1258=0,$E1259&lt;=10)),$F1259,IF($D1258&lt;LataProjekcji,IF((SUM($K1260:V1260)+$D1260)&lt;$D1259,$D1260,$D1259-SUM($K1260:V1260)),0)),0)</f>
        <v>0</v>
      </c>
      <c r="X1260" s="248">
        <f ca="1">ROUND(IF(OR(AND($D1258=LataProjekcji,$F1258&gt;0),AND($D1258=LataProjekcji,$F1258=0,$E1259&lt;=10)),$F1259,IF($D1258&lt;LataProjekcji,IF((SUM($K1260:W1260)+$D1260)&lt;$D1259,$D1260,$D1259-SUM($K1260:W1260)),0)),0)</f>
        <v>0</v>
      </c>
    </row>
    <row r="1261" spans="1:24" hidden="1">
      <c r="A1261" s="328"/>
      <c r="B1261" s="21" t="s">
        <v>416</v>
      </c>
      <c r="C1261" s="21"/>
      <c r="D1261" s="22"/>
      <c r="E1261" s="21"/>
      <c r="F1261" s="21"/>
      <c r="G1261" s="21"/>
      <c r="H1261" s="21"/>
      <c r="I1261" s="21"/>
      <c r="J1261" s="21"/>
      <c r="K1261" s="22">
        <f ca="1">ROUND(K1260,0)</f>
        <v>0</v>
      </c>
      <c r="L1261" s="22">
        <f t="shared" ref="L1261" ca="1" si="1222">ROUND(K1261+L1260,0)</f>
        <v>0</v>
      </c>
      <c r="M1261" s="22">
        <f t="shared" ref="M1261" ca="1" si="1223">ROUND(L1261+M1260,0)</f>
        <v>0</v>
      </c>
      <c r="N1261" s="22">
        <f t="shared" ref="N1261" ca="1" si="1224">ROUND(M1261+N1260,0)</f>
        <v>0</v>
      </c>
      <c r="O1261" s="22">
        <f t="shared" ref="O1261" ca="1" si="1225">ROUND(N1261+O1260,0)</f>
        <v>0</v>
      </c>
      <c r="P1261" s="22">
        <f t="shared" ref="P1261" ca="1" si="1226">ROUND(O1261+P1260,0)</f>
        <v>0</v>
      </c>
      <c r="Q1261" s="22">
        <f t="shared" ref="Q1261" ca="1" si="1227">ROUND(P1261+Q1260,0)</f>
        <v>0</v>
      </c>
      <c r="R1261" s="22">
        <f t="shared" ref="R1261" ca="1" si="1228">ROUND(Q1261+R1260,0)</f>
        <v>0</v>
      </c>
      <c r="S1261" s="22">
        <f t="shared" ref="S1261" ca="1" si="1229">ROUND(R1261+S1260,0)</f>
        <v>0</v>
      </c>
      <c r="T1261" s="22">
        <f t="shared" ref="T1261" ca="1" si="1230">ROUND(S1261+T1260,0)</f>
        <v>0</v>
      </c>
      <c r="U1261" s="22">
        <f t="shared" ref="U1261" ca="1" si="1231">ROUND(T1261+U1260,0)</f>
        <v>0</v>
      </c>
      <c r="V1261" s="22">
        <f t="shared" ref="V1261" ca="1" si="1232">ROUND(U1261+V1260,0)</f>
        <v>0</v>
      </c>
      <c r="W1261" s="22">
        <f t="shared" ref="W1261" ca="1" si="1233">ROUND(V1261+W1260,0)</f>
        <v>0</v>
      </c>
      <c r="X1261" s="22">
        <f t="shared" ref="X1261" ca="1" si="1234">ROUND(W1261+X1260,0)</f>
        <v>0</v>
      </c>
    </row>
    <row r="1262" spans="1:24" hidden="1">
      <c r="A1262" s="328"/>
      <c r="B1262" s="21" t="s">
        <v>406</v>
      </c>
      <c r="C1262" s="21"/>
      <c r="D1262" s="22"/>
      <c r="E1262" s="21"/>
      <c r="F1262" s="21"/>
      <c r="G1262" s="21"/>
      <c r="H1262" s="21"/>
      <c r="I1262" s="21"/>
      <c r="J1262" s="21"/>
      <c r="K1262" s="77">
        <f ca="1">IF($D1258=LataProjekcji,ROUND($D1259-K1261,0),ROUND(IF(K1260=0,0,$D1259-K1261),0))</f>
        <v>0</v>
      </c>
      <c r="L1262" s="254">
        <f t="shared" ref="L1262:X1262" ca="1" si="1235">IF($D1258=LataProjekcji,ROUND($D1259-L1261,0),ROUND(IF(AND(L1260=0,K1262&gt;0),$D1259-L1261,IF(L1260=0,0,$D1259-L1261)),0))</f>
        <v>0</v>
      </c>
      <c r="M1262" s="254">
        <f t="shared" ca="1" si="1235"/>
        <v>0</v>
      </c>
      <c r="N1262" s="254">
        <f t="shared" ca="1" si="1235"/>
        <v>0</v>
      </c>
      <c r="O1262" s="254">
        <f t="shared" ca="1" si="1235"/>
        <v>0</v>
      </c>
      <c r="P1262" s="254">
        <f t="shared" ca="1" si="1235"/>
        <v>0</v>
      </c>
      <c r="Q1262" s="254">
        <f t="shared" ca="1" si="1235"/>
        <v>0</v>
      </c>
      <c r="R1262" s="254">
        <f t="shared" ca="1" si="1235"/>
        <v>0</v>
      </c>
      <c r="S1262" s="254">
        <f t="shared" ca="1" si="1235"/>
        <v>0</v>
      </c>
      <c r="T1262" s="254">
        <f t="shared" ca="1" si="1235"/>
        <v>0</v>
      </c>
      <c r="U1262" s="254">
        <f t="shared" ca="1" si="1235"/>
        <v>0</v>
      </c>
      <c r="V1262" s="254">
        <f t="shared" ca="1" si="1235"/>
        <v>0</v>
      </c>
      <c r="W1262" s="254">
        <f t="shared" ca="1" si="1235"/>
        <v>0</v>
      </c>
      <c r="X1262" s="254">
        <f t="shared" ca="1" si="1235"/>
        <v>0</v>
      </c>
    </row>
    <row r="1263" spans="1:24" hidden="1">
      <c r="A1263" s="328"/>
      <c r="B1263" s="21"/>
      <c r="C1263" s="21"/>
      <c r="D1263" s="22"/>
      <c r="E1263" s="21"/>
      <c r="F1263" s="21"/>
      <c r="G1263" s="21"/>
      <c r="H1263" s="404">
        <f>H1256+1</f>
        <v>18</v>
      </c>
      <c r="I1263" s="483" cm="1">
        <f t="array" aca="1" ref="I1263" ca="1">OFFSET('Środki trwałe'!$C$197,H1263,,)</f>
        <v>0</v>
      </c>
      <c r="J1263" s="404" t="s">
        <v>427</v>
      </c>
      <c r="K1263" s="405">
        <f t="shared" ref="K1263:X1263" ca="1" si="1236">IF(AND(OFFSET($F$195,$D1257,0)="tak",OFFSET($G$195,$D1257,0)="tak",OFFSET($J$195,$D1257,0)="ok",LataProjekcji&lt;=Koniec_Projekt),ROUND(K1260*OFFSET($K$223,$H1263,(COLUMN()-11)),0),0)</f>
        <v>0</v>
      </c>
      <c r="L1263" s="405">
        <f t="shared" ca="1" si="1236"/>
        <v>0</v>
      </c>
      <c r="M1263" s="405">
        <f t="shared" ca="1" si="1236"/>
        <v>0</v>
      </c>
      <c r="N1263" s="405">
        <f t="shared" ca="1" si="1236"/>
        <v>0</v>
      </c>
      <c r="O1263" s="405">
        <f t="shared" ca="1" si="1236"/>
        <v>0</v>
      </c>
      <c r="P1263" s="405">
        <f t="shared" ca="1" si="1236"/>
        <v>0</v>
      </c>
      <c r="Q1263" s="405">
        <f t="shared" ca="1" si="1236"/>
        <v>0</v>
      </c>
      <c r="R1263" s="405">
        <f t="shared" ca="1" si="1236"/>
        <v>0</v>
      </c>
      <c r="S1263" s="405">
        <f t="shared" ca="1" si="1236"/>
        <v>0</v>
      </c>
      <c r="T1263" s="405">
        <f t="shared" ca="1" si="1236"/>
        <v>0</v>
      </c>
      <c r="U1263" s="405">
        <f t="shared" ca="1" si="1236"/>
        <v>0</v>
      </c>
      <c r="V1263" s="405">
        <f t="shared" ca="1" si="1236"/>
        <v>0</v>
      </c>
      <c r="W1263" s="405">
        <f t="shared" ca="1" si="1236"/>
        <v>0</v>
      </c>
      <c r="X1263" s="405">
        <f t="shared" ca="1" si="1236"/>
        <v>0</v>
      </c>
    </row>
    <row r="1264" spans="1:24" hidden="1">
      <c r="A1264" s="328"/>
      <c r="B1264" s="20" t="s">
        <v>420</v>
      </c>
      <c r="C1264" s="20"/>
      <c r="D1264" s="21">
        <f>D1257+1</f>
        <v>21</v>
      </c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</row>
    <row r="1265" spans="1:24" hidden="1">
      <c r="A1265" s="328"/>
      <c r="B1265" s="21" t="s">
        <v>414</v>
      </c>
      <c r="C1265" s="21"/>
      <c r="D1265" s="165">
        <f ca="1">YEAR(OFFSET($E$195,D1264,0))</f>
        <v>1900</v>
      </c>
      <c r="E1265" s="165">
        <f ca="1">MONTH(OFFSET($E$195,D1264,0))</f>
        <v>1</v>
      </c>
      <c r="F1265" s="21">
        <f ca="1">12-$E1265</f>
        <v>11</v>
      </c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</row>
    <row r="1266" spans="1:24" hidden="1">
      <c r="A1266" s="328"/>
      <c r="B1266" s="21" t="s">
        <v>406</v>
      </c>
      <c r="C1266" s="21"/>
      <c r="D1266" s="247">
        <f ca="1">IF(E1266&lt;0,0,ROUND(E1266,0))</f>
        <v>0</v>
      </c>
      <c r="E1266" s="249">
        <f ca="1">OFFSET($D$195,D1264,0)</f>
        <v>0</v>
      </c>
      <c r="F1266" s="247">
        <f ca="1">IF(E1266&gt;10,ROUND(($D1267/12)*$F1265,0),$D1266)</f>
        <v>0</v>
      </c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</row>
    <row r="1267" spans="1:24" hidden="1">
      <c r="A1267" s="328"/>
      <c r="B1267" s="21" t="s">
        <v>415</v>
      </c>
      <c r="C1267" s="21"/>
      <c r="D1267" s="247">
        <f ca="1">IF(ISBLANK(OFFSET($E$195,D1264,0)),0,IF(E1266&gt;10,ROUND(D1266*am_prace_rozwojowe,0),IF(D1266&lt;0,0,D1266)))</f>
        <v>0</v>
      </c>
      <c r="E1267" s="21"/>
      <c r="F1267" s="21"/>
      <c r="G1267" s="21"/>
      <c r="H1267" s="21"/>
      <c r="I1267" s="21"/>
      <c r="J1267" s="21"/>
      <c r="K1267" s="75">
        <f ca="1">ROUND(IF(($D1265+1)=K$192,$D1267,0),0)</f>
        <v>0</v>
      </c>
      <c r="L1267" s="248">
        <f ca="1">ROUND(IF(OR(AND($D1265=LataProjekcji,$F1265&gt;0),AND($D1265=LataProjekcji,$F1265=0,$E1266&lt;=10)),$F1266,IF($D1265&lt;LataProjekcji,IF((SUM($K1267:K1267)+$D1267)&lt;$D1266,$D1267,$D1266-SUM($K1267:K1267)),0)),0)</f>
        <v>0</v>
      </c>
      <c r="M1267" s="248">
        <f ca="1">ROUND(IF(OR(AND($D1265=LataProjekcji,$F1265&gt;0),AND($D1265=LataProjekcji,$F1265=0,$E1266&lt;=10)),$F1266,IF($D1265&lt;LataProjekcji,IF((SUM($K1267:L1267)+$D1267)&lt;$D1266,$D1267,$D1266-SUM($K1267:L1267)),0)),0)</f>
        <v>0</v>
      </c>
      <c r="N1267" s="248">
        <f ca="1">ROUND(IF(OR(AND($D1265=LataProjekcji,$F1265&gt;0),AND($D1265=LataProjekcji,$F1265=0,$E1266&lt;=10)),$F1266,IF($D1265&lt;LataProjekcji,IF((SUM($K1267:M1267)+$D1267)&lt;$D1266,$D1267,$D1266-SUM($K1267:M1267)),0)),0)</f>
        <v>0</v>
      </c>
      <c r="O1267" s="248">
        <f ca="1">ROUND(IF(OR(AND($D1265=LataProjekcji,$F1265&gt;0),AND($D1265=LataProjekcji,$F1265=0,$E1266&lt;=10)),$F1266,IF($D1265&lt;LataProjekcji,IF((SUM($K1267:N1267)+$D1267)&lt;$D1266,$D1267,$D1266-SUM($K1267:N1267)),0)),0)</f>
        <v>0</v>
      </c>
      <c r="P1267" s="248">
        <f ca="1">ROUND(IF(OR(AND($D1265=LataProjekcji,$F1265&gt;0),AND($D1265=LataProjekcji,$F1265=0,$E1266&lt;=10)),$F1266,IF($D1265&lt;LataProjekcji,IF((SUM($K1267:O1267)+$D1267)&lt;$D1266,$D1267,$D1266-SUM($K1267:O1267)),0)),0)</f>
        <v>0</v>
      </c>
      <c r="Q1267" s="248">
        <f ca="1">ROUND(IF(OR(AND($D1265=LataProjekcji,$F1265&gt;0),AND($D1265=LataProjekcji,$F1265=0,$E1266&lt;=10)),$F1266,IF($D1265&lt;LataProjekcji,IF((SUM($K1267:P1267)+$D1267)&lt;$D1266,$D1267,$D1266-SUM($K1267:P1267)),0)),0)</f>
        <v>0</v>
      </c>
      <c r="R1267" s="248">
        <f ca="1">ROUND(IF(OR(AND($D1265=LataProjekcji,$F1265&gt;0),AND($D1265=LataProjekcji,$F1265=0,$E1266&lt;=10)),$F1266,IF($D1265&lt;LataProjekcji,IF((SUM($K1267:Q1267)+$D1267)&lt;$D1266,$D1267,$D1266-SUM($K1267:Q1267)),0)),0)</f>
        <v>0</v>
      </c>
      <c r="S1267" s="248">
        <f ca="1">ROUND(IF(OR(AND($D1265=LataProjekcji,$F1265&gt;0),AND($D1265=LataProjekcji,$F1265=0,$E1266&lt;=10)),$F1266,IF($D1265&lt;LataProjekcji,IF((SUM($K1267:R1267)+$D1267)&lt;$D1266,$D1267,$D1266-SUM($K1267:R1267)),0)),0)</f>
        <v>0</v>
      </c>
      <c r="T1267" s="248">
        <f ca="1">ROUND(IF(OR(AND($D1265=LataProjekcji,$F1265&gt;0),AND($D1265=LataProjekcji,$F1265=0,$E1266&lt;=10)),$F1266,IF($D1265&lt;LataProjekcji,IF((SUM($K1267:S1267)+$D1267)&lt;$D1266,$D1267,$D1266-SUM($K1267:S1267)),0)),0)</f>
        <v>0</v>
      </c>
      <c r="U1267" s="248">
        <f ca="1">ROUND(IF(OR(AND($D1265=LataProjekcji,$F1265&gt;0),AND($D1265=LataProjekcji,$F1265=0,$E1266&lt;=10)),$F1266,IF($D1265&lt;LataProjekcji,IF((SUM($K1267:T1267)+$D1267)&lt;$D1266,$D1267,$D1266-SUM($K1267:T1267)),0)),0)</f>
        <v>0</v>
      </c>
      <c r="V1267" s="248">
        <f ca="1">ROUND(IF(OR(AND($D1265=LataProjekcji,$F1265&gt;0),AND($D1265=LataProjekcji,$F1265=0,$E1266&lt;=10)),$F1266,IF($D1265&lt;LataProjekcji,IF((SUM($K1267:U1267)+$D1267)&lt;$D1266,$D1267,$D1266-SUM($K1267:U1267)),0)),0)</f>
        <v>0</v>
      </c>
      <c r="W1267" s="248">
        <f ca="1">ROUND(IF(OR(AND($D1265=LataProjekcji,$F1265&gt;0),AND($D1265=LataProjekcji,$F1265=0,$E1266&lt;=10)),$F1266,IF($D1265&lt;LataProjekcji,IF((SUM($K1267:V1267)+$D1267)&lt;$D1266,$D1267,$D1266-SUM($K1267:V1267)),0)),0)</f>
        <v>0</v>
      </c>
      <c r="X1267" s="248">
        <f ca="1">ROUND(IF(OR(AND($D1265=LataProjekcji,$F1265&gt;0),AND($D1265=LataProjekcji,$F1265=0,$E1266&lt;=10)),$F1266,IF($D1265&lt;LataProjekcji,IF((SUM($K1267:W1267)+$D1267)&lt;$D1266,$D1267,$D1266-SUM($K1267:W1267)),0)),0)</f>
        <v>0</v>
      </c>
    </row>
    <row r="1268" spans="1:24" hidden="1">
      <c r="A1268" s="328"/>
      <c r="B1268" s="21" t="s">
        <v>416</v>
      </c>
      <c r="C1268" s="21"/>
      <c r="D1268" s="22"/>
      <c r="E1268" s="21"/>
      <c r="F1268" s="21"/>
      <c r="G1268" s="21"/>
      <c r="H1268" s="21"/>
      <c r="I1268" s="21"/>
      <c r="J1268" s="21"/>
      <c r="K1268" s="22">
        <f ca="1">ROUND(K1267,0)</f>
        <v>0</v>
      </c>
      <c r="L1268" s="22">
        <f t="shared" ref="L1268:X1268" ca="1" si="1237">ROUND(K1268+L1267,0)</f>
        <v>0</v>
      </c>
      <c r="M1268" s="22">
        <f t="shared" ca="1" si="1237"/>
        <v>0</v>
      </c>
      <c r="N1268" s="22">
        <f t="shared" ca="1" si="1237"/>
        <v>0</v>
      </c>
      <c r="O1268" s="22">
        <f t="shared" ca="1" si="1237"/>
        <v>0</v>
      </c>
      <c r="P1268" s="22">
        <f t="shared" ca="1" si="1237"/>
        <v>0</v>
      </c>
      <c r="Q1268" s="22">
        <f t="shared" ca="1" si="1237"/>
        <v>0</v>
      </c>
      <c r="R1268" s="22">
        <f t="shared" ca="1" si="1237"/>
        <v>0</v>
      </c>
      <c r="S1268" s="22">
        <f t="shared" ca="1" si="1237"/>
        <v>0</v>
      </c>
      <c r="T1268" s="22">
        <f t="shared" ca="1" si="1237"/>
        <v>0</v>
      </c>
      <c r="U1268" s="22">
        <f t="shared" ca="1" si="1237"/>
        <v>0</v>
      </c>
      <c r="V1268" s="22">
        <f t="shared" ca="1" si="1237"/>
        <v>0</v>
      </c>
      <c r="W1268" s="22">
        <f t="shared" ca="1" si="1237"/>
        <v>0</v>
      </c>
      <c r="X1268" s="22">
        <f t="shared" ca="1" si="1237"/>
        <v>0</v>
      </c>
    </row>
    <row r="1269" spans="1:24" hidden="1">
      <c r="A1269" s="328"/>
      <c r="B1269" s="21" t="s">
        <v>406</v>
      </c>
      <c r="C1269" s="21"/>
      <c r="D1269" s="22"/>
      <c r="E1269" s="21"/>
      <c r="F1269" s="21"/>
      <c r="G1269" s="21"/>
      <c r="H1269" s="21"/>
      <c r="I1269" s="21"/>
      <c r="J1269" s="21"/>
      <c r="K1269" s="77">
        <f ca="1">IF($D1265=LataProjekcji,ROUND($D1266-K1268,0),ROUND(IF(K1267=0,0,$D1266-K1268),0))</f>
        <v>0</v>
      </c>
      <c r="L1269" s="254">
        <f t="shared" ref="L1269:X1269" ca="1" si="1238">IF($D1265=LataProjekcji,ROUND($D1266-L1268,0),ROUND(IF(AND(L1267=0,K1269&gt;0),$D1266-L1268,IF(L1267=0,0,$D1266-L1268)),0))</f>
        <v>0</v>
      </c>
      <c r="M1269" s="254">
        <f t="shared" ca="1" si="1238"/>
        <v>0</v>
      </c>
      <c r="N1269" s="254">
        <f t="shared" ca="1" si="1238"/>
        <v>0</v>
      </c>
      <c r="O1269" s="254">
        <f t="shared" ca="1" si="1238"/>
        <v>0</v>
      </c>
      <c r="P1269" s="254">
        <f t="shared" ca="1" si="1238"/>
        <v>0</v>
      </c>
      <c r="Q1269" s="254">
        <f t="shared" ca="1" si="1238"/>
        <v>0</v>
      </c>
      <c r="R1269" s="254">
        <f t="shared" ca="1" si="1238"/>
        <v>0</v>
      </c>
      <c r="S1269" s="254">
        <f t="shared" ca="1" si="1238"/>
        <v>0</v>
      </c>
      <c r="T1269" s="254">
        <f t="shared" ca="1" si="1238"/>
        <v>0</v>
      </c>
      <c r="U1269" s="254">
        <f t="shared" ca="1" si="1238"/>
        <v>0</v>
      </c>
      <c r="V1269" s="254">
        <f t="shared" ca="1" si="1238"/>
        <v>0</v>
      </c>
      <c r="W1269" s="254">
        <f t="shared" ca="1" si="1238"/>
        <v>0</v>
      </c>
      <c r="X1269" s="254">
        <f t="shared" ca="1" si="1238"/>
        <v>0</v>
      </c>
    </row>
    <row r="1270" spans="1:24" hidden="1">
      <c r="A1270" s="328"/>
      <c r="H1270" s="404">
        <f>H1263+1</f>
        <v>19</v>
      </c>
      <c r="I1270" s="483" cm="1">
        <f t="array" aca="1" ref="I1270" ca="1">OFFSET('Środki trwałe'!$C$197,H1270,,)</f>
        <v>0</v>
      </c>
      <c r="J1270" s="404" t="s">
        <v>427</v>
      </c>
      <c r="K1270" s="405">
        <f t="shared" ref="K1270:X1270" ca="1" si="1239">IF(AND(OFFSET($F$195,$D1264,0)="tak",OFFSET($G$195,$D1264,0)="tak",OFFSET($J$195,$D1264,0)="ok",LataProjekcji&lt;=Koniec_Projekt),ROUND(K1267*OFFSET($K$223,$H1270,(COLUMN()-11)),0),0)</f>
        <v>0</v>
      </c>
      <c r="L1270" s="405">
        <f t="shared" ca="1" si="1239"/>
        <v>0</v>
      </c>
      <c r="M1270" s="405">
        <f t="shared" ca="1" si="1239"/>
        <v>0</v>
      </c>
      <c r="N1270" s="405">
        <f t="shared" ca="1" si="1239"/>
        <v>0</v>
      </c>
      <c r="O1270" s="405">
        <f t="shared" ca="1" si="1239"/>
        <v>0</v>
      </c>
      <c r="P1270" s="405">
        <f t="shared" ca="1" si="1239"/>
        <v>0</v>
      </c>
      <c r="Q1270" s="405">
        <f t="shared" ca="1" si="1239"/>
        <v>0</v>
      </c>
      <c r="R1270" s="405">
        <f t="shared" ca="1" si="1239"/>
        <v>0</v>
      </c>
      <c r="S1270" s="405">
        <f t="shared" ca="1" si="1239"/>
        <v>0</v>
      </c>
      <c r="T1270" s="405">
        <f t="shared" ca="1" si="1239"/>
        <v>0</v>
      </c>
      <c r="U1270" s="405">
        <f t="shared" ca="1" si="1239"/>
        <v>0</v>
      </c>
      <c r="V1270" s="405">
        <f t="shared" ca="1" si="1239"/>
        <v>0</v>
      </c>
      <c r="W1270" s="405">
        <f t="shared" ca="1" si="1239"/>
        <v>0</v>
      </c>
      <c r="X1270" s="405">
        <f t="shared" ca="1" si="1239"/>
        <v>0</v>
      </c>
    </row>
    <row r="1271" spans="1:24" hidden="1">
      <c r="A1271" s="328"/>
    </row>
    <row r="1272" spans="1:24" hidden="1">
      <c r="A1272" s="328"/>
    </row>
    <row r="1273" spans="1:24" hidden="1">
      <c r="A1273" s="328"/>
    </row>
    <row r="1274" spans="1:24" hidden="1">
      <c r="A1274" s="328"/>
    </row>
    <row r="1275" spans="1:24" hidden="1">
      <c r="A1275" s="328"/>
    </row>
    <row r="1276" spans="1:24" ht="12.6" hidden="1" thickBot="1">
      <c r="A1276" s="328"/>
      <c r="B1276" s="464" t="s">
        <v>753</v>
      </c>
    </row>
    <row r="1277" spans="1:24" ht="12.6" hidden="1" thickBot="1">
      <c r="A1277" s="328"/>
      <c r="B1277" s="20">
        <f ca="1">OFFSET($B$269,D1277,0)</f>
        <v>0</v>
      </c>
      <c r="C1277" s="20"/>
      <c r="D1277" s="250">
        <v>0</v>
      </c>
      <c r="E1277" s="21"/>
      <c r="F1277" s="21" t="s">
        <v>411</v>
      </c>
      <c r="G1277" s="48"/>
      <c r="H1277" s="50" t="s">
        <v>412</v>
      </c>
      <c r="I1277" s="21" t="s">
        <v>413</v>
      </c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</row>
    <row r="1278" spans="1:24" hidden="1">
      <c r="A1278" s="328"/>
      <c r="B1278" s="165" t="s">
        <v>425</v>
      </c>
      <c r="C1278" s="165"/>
      <c r="D1278" s="165">
        <f ca="1">YEAR(OFFSET($E$269,D1277,0))</f>
        <v>1900</v>
      </c>
      <c r="E1278" s="165">
        <f ca="1">MONTH(OFFSET($E$269,D1277,0))</f>
        <v>1</v>
      </c>
      <c r="F1278" s="21">
        <f ca="1">12-$E1278</f>
        <v>11</v>
      </c>
      <c r="G1278" s="49"/>
      <c r="H1278" s="51">
        <f>D284-G1278</f>
        <v>0</v>
      </c>
      <c r="I1278" s="22">
        <f>D284-G1278-H1278</f>
        <v>0</v>
      </c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</row>
    <row r="1279" spans="1:24" hidden="1">
      <c r="A1279" s="328"/>
      <c r="B1279" s="21" t="s">
        <v>406</v>
      </c>
      <c r="C1279" s="21"/>
      <c r="D1279" s="247">
        <f ca="1">IF(E1279&lt;0,0,ROUND(E1279,0))</f>
        <v>0</v>
      </c>
      <c r="E1279" s="249">
        <f ca="1">OFFSET($D$269,D1277,0)</f>
        <v>0</v>
      </c>
      <c r="F1279" s="247">
        <f ca="1">IF(E1279&gt;10,ROUND(($D1280/12)*$F1278,0),$D1279)</f>
        <v>0</v>
      </c>
      <c r="G1279" s="21" t="s">
        <v>426</v>
      </c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</row>
    <row r="1280" spans="1:24" hidden="1">
      <c r="A1280" s="328"/>
      <c r="B1280" s="21" t="s">
        <v>415</v>
      </c>
      <c r="C1280" s="21"/>
      <c r="D1280" s="247">
        <f ca="1">IF(ISBLANK(OFFSET($E$269,D1277,0)),0,IF(E1279&gt;10,ROUND(D1279*am_wnip,0),IF(D1279&lt;0,0,D1279)))</f>
        <v>0</v>
      </c>
      <c r="E1280" s="21"/>
      <c r="F1280" s="21"/>
      <c r="G1280" s="21"/>
      <c r="H1280" s="21"/>
      <c r="I1280" s="21"/>
      <c r="J1280" s="21"/>
      <c r="K1280" s="75">
        <f ca="1">ROUND(IF($D1278=LataProjekcji,$F1279,IF($D1278=LataProjekcji,$D1280,0)),0)</f>
        <v>0</v>
      </c>
      <c r="L1280" s="248">
        <f ca="1">ROUND(IF(OR(AND($D1278=LataProjekcji,$F1278&gt;0),AND($D1278=LataProjekcji,$F1278=0,$E1279&lt;=10)),$F1279,IF($D1278&lt;LataProjekcji,IF((SUM($K1280:K1280)+$D1280)&lt;$D1279,$D1280,$D1279-SUM($K1280:K1280)),0)),0)</f>
        <v>0</v>
      </c>
      <c r="M1280" s="248">
        <f ca="1">ROUND(IF(OR(AND($D1278=LataProjekcji,$F1278&gt;0),AND($D1278=LataProjekcji,$F1278=0,$E1279&lt;=10)),$F1279,IF($D1278&lt;LataProjekcji,IF((SUM($K1280:L1280)+$D1280)&lt;$D1279,$D1280,$D1279-SUM($K1280:L1280)),0)),0)</f>
        <v>0</v>
      </c>
      <c r="N1280" s="248">
        <f ca="1">ROUND(IF(OR(AND($D1278=LataProjekcji,$F1278&gt;0),AND($D1278=LataProjekcji,$F1278=0,$E1279&lt;=10)),$F1279,IF($D1278&lt;LataProjekcji,IF((SUM($K1280:M1280)+$D1280)&lt;$D1279,$D1280,$D1279-SUM($K1280:M1280)),0)),0)</f>
        <v>0</v>
      </c>
      <c r="O1280" s="248">
        <f ca="1">ROUND(IF(OR(AND($D1278=LataProjekcji,$F1278&gt;0),AND($D1278=LataProjekcji,$F1278=0,$E1279&lt;=10)),$F1279,IF($D1278&lt;LataProjekcji,IF((SUM($K1280:N1280)+$D1280)&lt;$D1279,$D1280,$D1279-SUM($K1280:N1280)),0)),0)</f>
        <v>0</v>
      </c>
      <c r="P1280" s="248">
        <f ca="1">ROUND(IF(OR(AND($D1278=LataProjekcji,$F1278&gt;0),AND($D1278=LataProjekcji,$F1278=0,$E1279&lt;=10)),$F1279,IF($D1278&lt;LataProjekcji,IF((SUM($K1280:O1280)+$D1280)&lt;$D1279,$D1280,$D1279-SUM($K1280:O1280)),0)),0)</f>
        <v>0</v>
      </c>
      <c r="Q1280" s="248">
        <f ca="1">ROUND(IF(OR(AND($D1278=LataProjekcji,$F1278&gt;0),AND($D1278=LataProjekcji,$F1278=0,$E1279&lt;=10)),$F1279,IF($D1278&lt;LataProjekcji,IF((SUM($K1280:P1280)+$D1280)&lt;$D1279,$D1280,$D1279-SUM($K1280:P1280)),0)),0)</f>
        <v>0</v>
      </c>
      <c r="R1280" s="248">
        <f ca="1">ROUND(IF(OR(AND($D1278=LataProjekcji,$F1278&gt;0),AND($D1278=LataProjekcji,$F1278=0,$E1279&lt;=10)),$F1279,IF($D1278&lt;LataProjekcji,IF((SUM($K1280:Q1280)+$D1280)&lt;$D1279,$D1280,$D1279-SUM($K1280:Q1280)),0)),0)</f>
        <v>0</v>
      </c>
      <c r="S1280" s="248">
        <f ca="1">ROUND(IF(OR(AND($D1278=LataProjekcji,$F1278&gt;0),AND($D1278=LataProjekcji,$F1278=0,$E1279&lt;=10)),$F1279,IF($D1278&lt;LataProjekcji,IF((SUM($K1280:R1280)+$D1280)&lt;$D1279,$D1280,$D1279-SUM($K1280:R1280)),0)),0)</f>
        <v>0</v>
      </c>
      <c r="T1280" s="248">
        <f ca="1">ROUND(IF(OR(AND($D1278=LataProjekcji,$F1278&gt;0),AND($D1278=LataProjekcji,$F1278=0,$E1279&lt;=10)),$F1279,IF($D1278&lt;LataProjekcji,IF((SUM($K1280:S1280)+$D1280)&lt;$D1279,$D1280,$D1279-SUM($K1280:S1280)),0)),0)</f>
        <v>0</v>
      </c>
      <c r="U1280" s="248">
        <f ca="1">ROUND(IF(OR(AND($D1278=LataProjekcji,$F1278&gt;0),AND($D1278=LataProjekcji,$F1278=0,$E1279&lt;=10)),$F1279,IF($D1278&lt;LataProjekcji,IF((SUM($K1280:T1280)+$D1280)&lt;$D1279,$D1280,$D1279-SUM($K1280:T1280)),0)),0)</f>
        <v>0</v>
      </c>
      <c r="V1280" s="248">
        <f ca="1">ROUND(IF(OR(AND($D1278=LataProjekcji,$F1278&gt;0),AND($D1278=LataProjekcji,$F1278=0,$E1279&lt;=10)),$F1279,IF($D1278&lt;LataProjekcji,IF((SUM($K1280:U1280)+$D1280)&lt;$D1279,$D1280,$D1279-SUM($K1280:U1280)),0)),0)</f>
        <v>0</v>
      </c>
      <c r="W1280" s="248">
        <f ca="1">ROUND(IF(OR(AND($D1278=LataProjekcji,$F1278&gt;0),AND($D1278=LataProjekcji,$F1278=0,$E1279&lt;=10)),$F1279,IF($D1278&lt;LataProjekcji,IF((SUM($K1280:V1280)+$D1280)&lt;$D1279,$D1280,$D1279-SUM($K1280:V1280)),0)),0)</f>
        <v>0</v>
      </c>
      <c r="X1280" s="248">
        <f ca="1">ROUND(IF(OR(AND($D1278=LataProjekcji,$F1278&gt;0),AND($D1278=LataProjekcji,$F1278=0,$E1279&lt;=10)),$F1279,IF($D1278&lt;LataProjekcji,IF((SUM($K1280:W1280)+$D1280)&lt;$D1279,$D1280,$D1279-SUM($K1280:W1280)),0)),0)</f>
        <v>0</v>
      </c>
    </row>
    <row r="1281" spans="1:24" hidden="1">
      <c r="A1281" s="328"/>
      <c r="B1281" s="21" t="s">
        <v>416</v>
      </c>
      <c r="C1281" s="21"/>
      <c r="D1281" s="22"/>
      <c r="E1281" s="21"/>
      <c r="F1281" s="21"/>
      <c r="G1281" s="21"/>
      <c r="H1281" s="21"/>
      <c r="I1281" s="21"/>
      <c r="J1281" s="21"/>
      <c r="K1281" s="22">
        <f ca="1">ROUND(K1280,0)</f>
        <v>0</v>
      </c>
      <c r="L1281" s="22">
        <f t="shared" ref="L1281:X1281" ca="1" si="1240">ROUND(K1281+L1280,0)</f>
        <v>0</v>
      </c>
      <c r="M1281" s="22">
        <f t="shared" ca="1" si="1240"/>
        <v>0</v>
      </c>
      <c r="N1281" s="22">
        <f t="shared" ca="1" si="1240"/>
        <v>0</v>
      </c>
      <c r="O1281" s="22">
        <f t="shared" ca="1" si="1240"/>
        <v>0</v>
      </c>
      <c r="P1281" s="22">
        <f t="shared" ca="1" si="1240"/>
        <v>0</v>
      </c>
      <c r="Q1281" s="22">
        <f t="shared" ca="1" si="1240"/>
        <v>0</v>
      </c>
      <c r="R1281" s="22">
        <f t="shared" ca="1" si="1240"/>
        <v>0</v>
      </c>
      <c r="S1281" s="22">
        <f t="shared" ca="1" si="1240"/>
        <v>0</v>
      </c>
      <c r="T1281" s="22">
        <f t="shared" ca="1" si="1240"/>
        <v>0</v>
      </c>
      <c r="U1281" s="22">
        <f t="shared" ca="1" si="1240"/>
        <v>0</v>
      </c>
      <c r="V1281" s="22">
        <f t="shared" ca="1" si="1240"/>
        <v>0</v>
      </c>
      <c r="W1281" s="22">
        <f t="shared" ca="1" si="1240"/>
        <v>0</v>
      </c>
      <c r="X1281" s="22">
        <f t="shared" ca="1" si="1240"/>
        <v>0</v>
      </c>
    </row>
    <row r="1282" spans="1:24" hidden="1">
      <c r="A1282" s="328"/>
      <c r="B1282" s="21" t="s">
        <v>406</v>
      </c>
      <c r="C1282" s="21"/>
      <c r="D1282" s="22"/>
      <c r="E1282" s="21"/>
      <c r="F1282" s="21"/>
      <c r="G1282" s="21"/>
      <c r="H1282" s="21"/>
      <c r="I1282" s="21"/>
      <c r="J1282" s="21"/>
      <c r="K1282" s="77">
        <f ca="1">IF($D1278=LataProjekcji,ROUND($D1279-K1281,0),ROUND(IF(K1280=0,0,$D1279-K1281),0))</f>
        <v>0</v>
      </c>
      <c r="L1282" s="254">
        <f t="shared" ref="L1282:X1282" ca="1" si="1241">IF($D1278=LataProjekcji,ROUND($D1279-L1281,0),ROUND(IF(AND(L1280=0,K1282&gt;0),$D1279-L1281,IF(L1280=0,0,$D1279-L1281)),0))</f>
        <v>0</v>
      </c>
      <c r="M1282" s="254">
        <f t="shared" ca="1" si="1241"/>
        <v>0</v>
      </c>
      <c r="N1282" s="254">
        <f t="shared" ca="1" si="1241"/>
        <v>0</v>
      </c>
      <c r="O1282" s="254">
        <f t="shared" ca="1" si="1241"/>
        <v>0</v>
      </c>
      <c r="P1282" s="254">
        <f t="shared" ca="1" si="1241"/>
        <v>0</v>
      </c>
      <c r="Q1282" s="254">
        <f t="shared" ca="1" si="1241"/>
        <v>0</v>
      </c>
      <c r="R1282" s="254">
        <f t="shared" ca="1" si="1241"/>
        <v>0</v>
      </c>
      <c r="S1282" s="254">
        <f t="shared" ca="1" si="1241"/>
        <v>0</v>
      </c>
      <c r="T1282" s="254">
        <f t="shared" ca="1" si="1241"/>
        <v>0</v>
      </c>
      <c r="U1282" s="254">
        <f t="shared" ca="1" si="1241"/>
        <v>0</v>
      </c>
      <c r="V1282" s="254">
        <f t="shared" ca="1" si="1241"/>
        <v>0</v>
      </c>
      <c r="W1282" s="254">
        <f t="shared" ca="1" si="1241"/>
        <v>0</v>
      </c>
      <c r="X1282" s="254">
        <f t="shared" ca="1" si="1241"/>
        <v>0</v>
      </c>
    </row>
    <row r="1283" spans="1:24" hidden="1">
      <c r="A1283" s="328"/>
      <c r="B1283" s="21"/>
      <c r="C1283" s="21"/>
      <c r="D1283" s="22"/>
      <c r="E1283" s="21"/>
      <c r="F1283" s="21"/>
      <c r="G1283" s="21"/>
      <c r="H1283" s="404">
        <v>0</v>
      </c>
      <c r="I1283" s="483" cm="1">
        <f t="array" aca="1" ref="I1283" ca="1">OFFSET('Środki trwałe'!$C$269,H1283,,)</f>
        <v>0</v>
      </c>
      <c r="J1283" s="404" t="s">
        <v>427</v>
      </c>
      <c r="K1283" s="405">
        <f t="shared" ref="K1283:X1283" ca="1" si="1242">IF(AND(OFFSET($F$269,$D1277,0)="tak",OFFSET($G$269,$D1277,0)="tak",OFFSET($J$269,$D1277,0)="ok",LataProjekcji&lt;=Koniec_Projekt),ROUND(K1280*OFFSET($K$290,$H1283,(COLUMN()-11)),0),0)</f>
        <v>0</v>
      </c>
      <c r="L1283" s="405">
        <f t="shared" ca="1" si="1242"/>
        <v>0</v>
      </c>
      <c r="M1283" s="405">
        <f t="shared" ca="1" si="1242"/>
        <v>0</v>
      </c>
      <c r="N1283" s="405">
        <f t="shared" ca="1" si="1242"/>
        <v>0</v>
      </c>
      <c r="O1283" s="405">
        <f t="shared" ca="1" si="1242"/>
        <v>0</v>
      </c>
      <c r="P1283" s="405">
        <f t="shared" ca="1" si="1242"/>
        <v>0</v>
      </c>
      <c r="Q1283" s="405">
        <f t="shared" ca="1" si="1242"/>
        <v>0</v>
      </c>
      <c r="R1283" s="405">
        <f t="shared" ca="1" si="1242"/>
        <v>0</v>
      </c>
      <c r="S1283" s="405">
        <f t="shared" ca="1" si="1242"/>
        <v>0</v>
      </c>
      <c r="T1283" s="405">
        <f t="shared" ca="1" si="1242"/>
        <v>0</v>
      </c>
      <c r="U1283" s="405">
        <f t="shared" ca="1" si="1242"/>
        <v>0</v>
      </c>
      <c r="V1283" s="405">
        <f t="shared" ca="1" si="1242"/>
        <v>0</v>
      </c>
      <c r="W1283" s="405">
        <f t="shared" ca="1" si="1242"/>
        <v>0</v>
      </c>
      <c r="X1283" s="405">
        <f t="shared" ca="1" si="1242"/>
        <v>0</v>
      </c>
    </row>
    <row r="1284" spans="1:24" hidden="1">
      <c r="A1284" s="328"/>
      <c r="B1284" s="20">
        <f ca="1">OFFSET($B$269,D1284,0)</f>
        <v>0</v>
      </c>
      <c r="C1284" s="20"/>
      <c r="D1284" s="21">
        <f>D1277+1</f>
        <v>1</v>
      </c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</row>
    <row r="1285" spans="1:24" hidden="1">
      <c r="A1285" s="328"/>
      <c r="B1285" s="165" t="s">
        <v>425</v>
      </c>
      <c r="C1285" s="165"/>
      <c r="D1285" s="165">
        <f ca="1">YEAR(OFFSET($E$269,D1284,0))</f>
        <v>1900</v>
      </c>
      <c r="E1285" s="165">
        <f ca="1">MONTH(OFFSET($E$269,D1284,0))</f>
        <v>1</v>
      </c>
      <c r="F1285" s="21">
        <f ca="1">12-$E1285</f>
        <v>11</v>
      </c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</row>
    <row r="1286" spans="1:24" hidden="1">
      <c r="A1286" s="328"/>
      <c r="B1286" s="21" t="s">
        <v>406</v>
      </c>
      <c r="C1286" s="21"/>
      <c r="D1286" s="385">
        <f ca="1">IF(E1286&lt;0,0,ROUND(E1286,0))</f>
        <v>0</v>
      </c>
      <c r="E1286" s="249">
        <f ca="1">OFFSET($D$269,D1284,0)</f>
        <v>0</v>
      </c>
      <c r="F1286" s="385">
        <f ca="1">IF(E1286&gt;10,ROUND(($D1287/12)*$F1285,0),$D1286)</f>
        <v>0</v>
      </c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</row>
    <row r="1287" spans="1:24" hidden="1">
      <c r="A1287" s="328"/>
      <c r="B1287" s="21" t="s">
        <v>415</v>
      </c>
      <c r="C1287" s="21"/>
      <c r="D1287" s="385">
        <f ca="1">IF(ISBLANK(OFFSET($E$269,D1284,0)),0,IF(E1286&gt;10,ROUND(D1286*am_wnip,0),IF(D1286&lt;0,0,D1286)))</f>
        <v>0</v>
      </c>
      <c r="E1287" s="21"/>
      <c r="F1287" s="21"/>
      <c r="G1287" s="21"/>
      <c r="H1287" s="21"/>
      <c r="I1287" s="21"/>
      <c r="J1287" s="21"/>
      <c r="K1287" s="75">
        <f ca="1">ROUND(IF($D1285=LataProjekcji,$F1286,IF($D1285=LataProjekcji,$D1287,0)),0)</f>
        <v>0</v>
      </c>
      <c r="L1287" s="248">
        <f ca="1">ROUND(IF(OR(AND($D1285=LataProjekcji,$F1285&gt;0),AND($D1285=LataProjekcji,$F1285=0,$E1286&lt;=10)),$F1286,IF($D1285&lt;LataProjekcji,IF((SUM($K1287:K1287)+$D1287)&lt;$D1286,$D1287,$D1286-SUM($K1287:K1287)),0)),0)</f>
        <v>0</v>
      </c>
      <c r="M1287" s="248">
        <f ca="1">ROUND(IF(OR(AND($D1285=LataProjekcji,$F1285&gt;0),AND($D1285=LataProjekcji,$F1285=0,$E1286&lt;=10)),$F1286,IF($D1285&lt;LataProjekcji,IF((SUM($K1287:L1287)+$D1287)&lt;$D1286,$D1287,$D1286-SUM($K1287:L1287)),0)),0)</f>
        <v>0</v>
      </c>
      <c r="N1287" s="248">
        <f ca="1">ROUND(IF(OR(AND($D1285=LataProjekcji,$F1285&gt;0),AND($D1285=LataProjekcji,$F1285=0,$E1286&lt;=10)),$F1286,IF($D1285&lt;LataProjekcji,IF((SUM($K1287:M1287)+$D1287)&lt;$D1286,$D1287,$D1286-SUM($K1287:M1287)),0)),0)</f>
        <v>0</v>
      </c>
      <c r="O1287" s="248">
        <f ca="1">ROUND(IF(OR(AND($D1285=LataProjekcji,$F1285&gt;0),AND($D1285=LataProjekcji,$F1285=0,$E1286&lt;=10)),$F1286,IF($D1285&lt;LataProjekcji,IF((SUM($K1287:N1287)+$D1287)&lt;$D1286,$D1287,$D1286-SUM($K1287:N1287)),0)),0)</f>
        <v>0</v>
      </c>
      <c r="P1287" s="248">
        <f ca="1">ROUND(IF(OR(AND($D1285=LataProjekcji,$F1285&gt;0),AND($D1285=LataProjekcji,$F1285=0,$E1286&lt;=10)),$F1286,IF($D1285&lt;LataProjekcji,IF((SUM($K1287:O1287)+$D1287)&lt;$D1286,$D1287,$D1286-SUM($K1287:O1287)),0)),0)</f>
        <v>0</v>
      </c>
      <c r="Q1287" s="248">
        <f ca="1">ROUND(IF(OR(AND($D1285=LataProjekcji,$F1285&gt;0),AND($D1285=LataProjekcji,$F1285=0,$E1286&lt;=10)),$F1286,IF($D1285&lt;LataProjekcji,IF((SUM($K1287:P1287)+$D1287)&lt;$D1286,$D1287,$D1286-SUM($K1287:P1287)),0)),0)</f>
        <v>0</v>
      </c>
      <c r="R1287" s="248">
        <f ca="1">ROUND(IF(OR(AND($D1285=LataProjekcji,$F1285&gt;0),AND($D1285=LataProjekcji,$F1285=0,$E1286&lt;=10)),$F1286,IF($D1285&lt;LataProjekcji,IF((SUM($K1287:Q1287)+$D1287)&lt;$D1286,$D1287,$D1286-SUM($K1287:Q1287)),0)),0)</f>
        <v>0</v>
      </c>
      <c r="S1287" s="248">
        <f ca="1">ROUND(IF(OR(AND($D1285=LataProjekcji,$F1285&gt;0),AND($D1285=LataProjekcji,$F1285=0,$E1286&lt;=10)),$F1286,IF($D1285&lt;LataProjekcji,IF((SUM($K1287:R1287)+$D1287)&lt;$D1286,$D1287,$D1286-SUM($K1287:R1287)),0)),0)</f>
        <v>0</v>
      </c>
      <c r="T1287" s="248">
        <f ca="1">ROUND(IF(OR(AND($D1285=LataProjekcji,$F1285&gt;0),AND($D1285=LataProjekcji,$F1285=0,$E1286&lt;=10)),$F1286,IF($D1285&lt;LataProjekcji,IF((SUM($K1287:S1287)+$D1287)&lt;$D1286,$D1287,$D1286-SUM($K1287:S1287)),0)),0)</f>
        <v>0</v>
      </c>
      <c r="U1287" s="248">
        <f ca="1">ROUND(IF(OR(AND($D1285=LataProjekcji,$F1285&gt;0),AND($D1285=LataProjekcji,$F1285=0,$E1286&lt;=10)),$F1286,IF($D1285&lt;LataProjekcji,IF((SUM($K1287:T1287)+$D1287)&lt;$D1286,$D1287,$D1286-SUM($K1287:T1287)),0)),0)</f>
        <v>0</v>
      </c>
      <c r="V1287" s="248">
        <f ca="1">ROUND(IF(OR(AND($D1285=LataProjekcji,$F1285&gt;0),AND($D1285=LataProjekcji,$F1285=0,$E1286&lt;=10)),$F1286,IF($D1285&lt;LataProjekcji,IF((SUM($K1287:U1287)+$D1287)&lt;$D1286,$D1287,$D1286-SUM($K1287:U1287)),0)),0)</f>
        <v>0</v>
      </c>
      <c r="W1287" s="248">
        <f ca="1">ROUND(IF(OR(AND($D1285=LataProjekcji,$F1285&gt;0),AND($D1285=LataProjekcji,$F1285=0,$E1286&lt;=10)),$F1286,IF($D1285&lt;LataProjekcji,IF((SUM($K1287:V1287)+$D1287)&lt;$D1286,$D1287,$D1286-SUM($K1287:V1287)),0)),0)</f>
        <v>0</v>
      </c>
      <c r="X1287" s="248">
        <f ca="1">ROUND(IF(OR(AND($D1285=LataProjekcji,$F1285&gt;0),AND($D1285=LataProjekcji,$F1285=0,$E1286&lt;=10)),$F1286,IF($D1285&lt;LataProjekcji,IF((SUM($K1287:W1287)+$D1287)&lt;$D1286,$D1287,$D1286-SUM($K1287:W1287)),0)),0)</f>
        <v>0</v>
      </c>
    </row>
    <row r="1288" spans="1:24" hidden="1">
      <c r="A1288" s="328"/>
      <c r="B1288" s="21" t="s">
        <v>416</v>
      </c>
      <c r="C1288" s="21"/>
      <c r="D1288" s="22"/>
      <c r="E1288" s="21"/>
      <c r="F1288" s="21"/>
      <c r="G1288" s="21"/>
      <c r="H1288" s="21"/>
      <c r="I1288" s="21"/>
      <c r="J1288" s="21"/>
      <c r="K1288" s="22">
        <f ca="1">ROUND(K1287,0)</f>
        <v>0</v>
      </c>
      <c r="L1288" s="22">
        <f t="shared" ref="L1288:X1288" ca="1" si="1243">ROUND(K1288+L1287,0)</f>
        <v>0</v>
      </c>
      <c r="M1288" s="22">
        <f t="shared" ca="1" si="1243"/>
        <v>0</v>
      </c>
      <c r="N1288" s="22">
        <f t="shared" ca="1" si="1243"/>
        <v>0</v>
      </c>
      <c r="O1288" s="22">
        <f t="shared" ca="1" si="1243"/>
        <v>0</v>
      </c>
      <c r="P1288" s="22">
        <f t="shared" ca="1" si="1243"/>
        <v>0</v>
      </c>
      <c r="Q1288" s="22">
        <f t="shared" ca="1" si="1243"/>
        <v>0</v>
      </c>
      <c r="R1288" s="22">
        <f t="shared" ca="1" si="1243"/>
        <v>0</v>
      </c>
      <c r="S1288" s="22">
        <f t="shared" ca="1" si="1243"/>
        <v>0</v>
      </c>
      <c r="T1288" s="22">
        <f t="shared" ca="1" si="1243"/>
        <v>0</v>
      </c>
      <c r="U1288" s="22">
        <f t="shared" ca="1" si="1243"/>
        <v>0</v>
      </c>
      <c r="V1288" s="22">
        <f t="shared" ca="1" si="1243"/>
        <v>0</v>
      </c>
      <c r="W1288" s="22">
        <f t="shared" ca="1" si="1243"/>
        <v>0</v>
      </c>
      <c r="X1288" s="22">
        <f t="shared" ca="1" si="1243"/>
        <v>0</v>
      </c>
    </row>
    <row r="1289" spans="1:24" hidden="1">
      <c r="A1289" s="328"/>
      <c r="B1289" s="21" t="s">
        <v>406</v>
      </c>
      <c r="C1289" s="21"/>
      <c r="D1289" s="22"/>
      <c r="E1289" s="21"/>
      <c r="F1289" s="21"/>
      <c r="G1289" s="21"/>
      <c r="H1289" s="21"/>
      <c r="I1289" s="21"/>
      <c r="J1289" s="21"/>
      <c r="K1289" s="77">
        <f ca="1">IF($D1285=LataProjekcji,ROUND($D1286-K1288,0),ROUND(IF(K1287=0,0,$D1286-K1288),0))</f>
        <v>0</v>
      </c>
      <c r="L1289" s="254">
        <f t="shared" ref="L1289:X1289" ca="1" si="1244">IF($D1285=LataProjekcji,ROUND($D1286-L1288,0),ROUND(IF(AND(L1287=0,K1289&gt;0),$D1286-L1288,IF(L1287=0,0,$D1286-L1288)),0))</f>
        <v>0</v>
      </c>
      <c r="M1289" s="254">
        <f t="shared" ca="1" si="1244"/>
        <v>0</v>
      </c>
      <c r="N1289" s="254">
        <f t="shared" ca="1" si="1244"/>
        <v>0</v>
      </c>
      <c r="O1289" s="254">
        <f t="shared" ca="1" si="1244"/>
        <v>0</v>
      </c>
      <c r="P1289" s="254">
        <f t="shared" ca="1" si="1244"/>
        <v>0</v>
      </c>
      <c r="Q1289" s="254">
        <f t="shared" ca="1" si="1244"/>
        <v>0</v>
      </c>
      <c r="R1289" s="254">
        <f t="shared" ca="1" si="1244"/>
        <v>0</v>
      </c>
      <c r="S1289" s="254">
        <f t="shared" ca="1" si="1244"/>
        <v>0</v>
      </c>
      <c r="T1289" s="254">
        <f t="shared" ca="1" si="1244"/>
        <v>0</v>
      </c>
      <c r="U1289" s="254">
        <f t="shared" ca="1" si="1244"/>
        <v>0</v>
      </c>
      <c r="V1289" s="254">
        <f t="shared" ca="1" si="1244"/>
        <v>0</v>
      </c>
      <c r="W1289" s="254">
        <f t="shared" ca="1" si="1244"/>
        <v>0</v>
      </c>
      <c r="X1289" s="254">
        <f t="shared" ca="1" si="1244"/>
        <v>0</v>
      </c>
    </row>
    <row r="1290" spans="1:24" hidden="1">
      <c r="A1290" s="328"/>
      <c r="B1290" s="20"/>
      <c r="C1290" s="20"/>
      <c r="D1290" s="21"/>
      <c r="E1290" s="21"/>
      <c r="F1290" s="21"/>
      <c r="G1290" s="21"/>
      <c r="H1290" s="404">
        <f>H1283+1</f>
        <v>1</v>
      </c>
      <c r="I1290" s="483" cm="1">
        <f t="array" aca="1" ref="I1290" ca="1">OFFSET('Środki trwałe'!$C$269,H1290,,)</f>
        <v>0</v>
      </c>
      <c r="J1290" s="404" t="s">
        <v>427</v>
      </c>
      <c r="K1290" s="405">
        <f t="shared" ref="K1290:X1290" ca="1" si="1245">IF(AND(OFFSET($F$269,$D1284,0)="tak",OFFSET($G$269,$D1284,0)="tak",OFFSET($J$269,$D1284,0)="ok",LataProjekcji&lt;=Koniec_Projekt),ROUND(K1287*OFFSET($K$290,$H1290,(COLUMN()-11)),0),0)</f>
        <v>0</v>
      </c>
      <c r="L1290" s="405">
        <f t="shared" ca="1" si="1245"/>
        <v>0</v>
      </c>
      <c r="M1290" s="405">
        <f t="shared" ca="1" si="1245"/>
        <v>0</v>
      </c>
      <c r="N1290" s="405">
        <f t="shared" ca="1" si="1245"/>
        <v>0</v>
      </c>
      <c r="O1290" s="405">
        <f t="shared" ca="1" si="1245"/>
        <v>0</v>
      </c>
      <c r="P1290" s="405">
        <f t="shared" ca="1" si="1245"/>
        <v>0</v>
      </c>
      <c r="Q1290" s="405">
        <f t="shared" ca="1" si="1245"/>
        <v>0</v>
      </c>
      <c r="R1290" s="405">
        <f t="shared" ca="1" si="1245"/>
        <v>0</v>
      </c>
      <c r="S1290" s="405">
        <f t="shared" ca="1" si="1245"/>
        <v>0</v>
      </c>
      <c r="T1290" s="405">
        <f t="shared" ca="1" si="1245"/>
        <v>0</v>
      </c>
      <c r="U1290" s="405">
        <f t="shared" ca="1" si="1245"/>
        <v>0</v>
      </c>
      <c r="V1290" s="405">
        <f t="shared" ca="1" si="1245"/>
        <v>0</v>
      </c>
      <c r="W1290" s="405">
        <f t="shared" ca="1" si="1245"/>
        <v>0</v>
      </c>
      <c r="X1290" s="405">
        <f t="shared" ca="1" si="1245"/>
        <v>0</v>
      </c>
    </row>
    <row r="1291" spans="1:24" hidden="1">
      <c r="A1291" s="328"/>
      <c r="B1291" s="20">
        <f ca="1">OFFSET($B$269,D1291,0)</f>
        <v>0</v>
      </c>
      <c r="C1291" s="20"/>
      <c r="D1291" s="21">
        <f>D1284+1</f>
        <v>2</v>
      </c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</row>
    <row r="1292" spans="1:24" hidden="1">
      <c r="A1292" s="328"/>
      <c r="B1292" s="165" t="s">
        <v>425</v>
      </c>
      <c r="C1292" s="165"/>
      <c r="D1292" s="165">
        <f ca="1">YEAR(OFFSET($E$269,D1291,0))</f>
        <v>1900</v>
      </c>
      <c r="E1292" s="165">
        <f ca="1">MONTH(OFFSET($E$269,D1291,0))</f>
        <v>1</v>
      </c>
      <c r="F1292" s="21">
        <f ca="1">12-$E1292</f>
        <v>11</v>
      </c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</row>
    <row r="1293" spans="1:24" hidden="1">
      <c r="A1293" s="328"/>
      <c r="B1293" s="21" t="s">
        <v>406</v>
      </c>
      <c r="C1293" s="21"/>
      <c r="D1293" s="386">
        <f ca="1">IF(E1293&lt;0,0,ROUND(E1293,0))</f>
        <v>0</v>
      </c>
      <c r="E1293" s="249">
        <f ca="1">OFFSET($D$269,D1291,0)</f>
        <v>0</v>
      </c>
      <c r="F1293" s="386">
        <f ca="1">IF(E1293&gt;10,ROUND(($D1294/12)*$F1292,0),$D1293)</f>
        <v>0</v>
      </c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</row>
    <row r="1294" spans="1:24" hidden="1">
      <c r="A1294" s="328"/>
      <c r="B1294" s="21" t="s">
        <v>415</v>
      </c>
      <c r="C1294" s="21"/>
      <c r="D1294" s="386">
        <f ca="1">IF(ISBLANK(OFFSET($E$269,D1291,0)),0,IF(E1293&gt;10,ROUND(D1293*am_wnip,0),IF(D1293&lt;0,0,D1293)))</f>
        <v>0</v>
      </c>
      <c r="E1294" s="21"/>
      <c r="F1294" s="21"/>
      <c r="G1294" s="21"/>
      <c r="H1294" s="21"/>
      <c r="I1294" s="21"/>
      <c r="J1294" s="21"/>
      <c r="K1294" s="75">
        <f ca="1">ROUND(IF($D1292=LataProjekcji,$F1293,IF($D1292=LataProjekcji,$D1294,0)),0)</f>
        <v>0</v>
      </c>
      <c r="L1294" s="248">
        <f ca="1">ROUND(IF(OR(AND($D1292=LataProjekcji,$F1292&gt;0),AND($D1292=LataProjekcji,$F1292=0,$E1293&lt;=10)),$F1293,IF($D1292&lt;LataProjekcji,IF((SUM($K1294:K1294)+$D1294)&lt;$D1293,$D1294,$D1293-SUM($K1294:K1294)),0)),0)</f>
        <v>0</v>
      </c>
      <c r="M1294" s="248">
        <f ca="1">ROUND(IF(OR(AND($D1292=LataProjekcji,$F1292&gt;0),AND($D1292=LataProjekcji,$F1292=0,$E1293&lt;=10)),$F1293,IF($D1292&lt;LataProjekcji,IF((SUM($K1294:L1294)+$D1294)&lt;$D1293,$D1294,$D1293-SUM($K1294:L1294)),0)),0)</f>
        <v>0</v>
      </c>
      <c r="N1294" s="248">
        <f ca="1">ROUND(IF(OR(AND($D1292=LataProjekcji,$F1292&gt;0),AND($D1292=LataProjekcji,$F1292=0,$E1293&lt;=10)),$F1293,IF($D1292&lt;LataProjekcji,IF((SUM($K1294:M1294)+$D1294)&lt;$D1293,$D1294,$D1293-SUM($K1294:M1294)),0)),0)</f>
        <v>0</v>
      </c>
      <c r="O1294" s="248">
        <f ca="1">ROUND(IF(OR(AND($D1292=LataProjekcji,$F1292&gt;0),AND($D1292=LataProjekcji,$F1292=0,$E1293&lt;=10)),$F1293,IF($D1292&lt;LataProjekcji,IF((SUM($K1294:N1294)+$D1294)&lt;$D1293,$D1294,$D1293-SUM($K1294:N1294)),0)),0)</f>
        <v>0</v>
      </c>
      <c r="P1294" s="248">
        <f ca="1">ROUND(IF(OR(AND($D1292=LataProjekcji,$F1292&gt;0),AND($D1292=LataProjekcji,$F1292=0,$E1293&lt;=10)),$F1293,IF($D1292&lt;LataProjekcji,IF((SUM($K1294:O1294)+$D1294)&lt;$D1293,$D1294,$D1293-SUM($K1294:O1294)),0)),0)</f>
        <v>0</v>
      </c>
      <c r="Q1294" s="248">
        <f ca="1">ROUND(IF(OR(AND($D1292=LataProjekcji,$F1292&gt;0),AND($D1292=LataProjekcji,$F1292=0,$E1293&lt;=10)),$F1293,IF($D1292&lt;LataProjekcji,IF((SUM($K1294:P1294)+$D1294)&lt;$D1293,$D1294,$D1293-SUM($K1294:P1294)),0)),0)</f>
        <v>0</v>
      </c>
      <c r="R1294" s="248">
        <f ca="1">ROUND(IF(OR(AND($D1292=LataProjekcji,$F1292&gt;0),AND($D1292=LataProjekcji,$F1292=0,$E1293&lt;=10)),$F1293,IF($D1292&lt;LataProjekcji,IF((SUM($K1294:Q1294)+$D1294)&lt;$D1293,$D1294,$D1293-SUM($K1294:Q1294)),0)),0)</f>
        <v>0</v>
      </c>
      <c r="S1294" s="248">
        <f ca="1">ROUND(IF(OR(AND($D1292=LataProjekcji,$F1292&gt;0),AND($D1292=LataProjekcji,$F1292=0,$E1293&lt;=10)),$F1293,IF($D1292&lt;LataProjekcji,IF((SUM($K1294:R1294)+$D1294)&lt;$D1293,$D1294,$D1293-SUM($K1294:R1294)),0)),0)</f>
        <v>0</v>
      </c>
      <c r="T1294" s="248">
        <f ca="1">ROUND(IF(OR(AND($D1292=LataProjekcji,$F1292&gt;0),AND($D1292=LataProjekcji,$F1292=0,$E1293&lt;=10)),$F1293,IF($D1292&lt;LataProjekcji,IF((SUM($K1294:S1294)+$D1294)&lt;$D1293,$D1294,$D1293-SUM($K1294:S1294)),0)),0)</f>
        <v>0</v>
      </c>
      <c r="U1294" s="248">
        <f ca="1">ROUND(IF(OR(AND($D1292=LataProjekcji,$F1292&gt;0),AND($D1292=LataProjekcji,$F1292=0,$E1293&lt;=10)),$F1293,IF($D1292&lt;LataProjekcji,IF((SUM($K1294:T1294)+$D1294)&lt;$D1293,$D1294,$D1293-SUM($K1294:T1294)),0)),0)</f>
        <v>0</v>
      </c>
      <c r="V1294" s="248">
        <f ca="1">ROUND(IF(OR(AND($D1292=LataProjekcji,$F1292&gt;0),AND($D1292=LataProjekcji,$F1292=0,$E1293&lt;=10)),$F1293,IF($D1292&lt;LataProjekcji,IF((SUM($K1294:U1294)+$D1294)&lt;$D1293,$D1294,$D1293-SUM($K1294:U1294)),0)),0)</f>
        <v>0</v>
      </c>
      <c r="W1294" s="248">
        <f ca="1">ROUND(IF(OR(AND($D1292=LataProjekcji,$F1292&gt;0),AND($D1292=LataProjekcji,$F1292=0,$E1293&lt;=10)),$F1293,IF($D1292&lt;LataProjekcji,IF((SUM($K1294:V1294)+$D1294)&lt;$D1293,$D1294,$D1293-SUM($K1294:V1294)),0)),0)</f>
        <v>0</v>
      </c>
      <c r="X1294" s="248">
        <f ca="1">ROUND(IF(OR(AND($D1292=LataProjekcji,$F1292&gt;0),AND($D1292=LataProjekcji,$F1292=0,$E1293&lt;=10)),$F1293,IF($D1292&lt;LataProjekcji,IF((SUM($K1294:W1294)+$D1294)&lt;$D1293,$D1294,$D1293-SUM($K1294:W1294)),0)),0)</f>
        <v>0</v>
      </c>
    </row>
    <row r="1295" spans="1:24" hidden="1">
      <c r="A1295" s="328"/>
      <c r="B1295" s="21" t="s">
        <v>416</v>
      </c>
      <c r="C1295" s="21"/>
      <c r="D1295" s="22"/>
      <c r="E1295" s="21"/>
      <c r="F1295" s="21"/>
      <c r="G1295" s="21"/>
      <c r="H1295" s="21"/>
      <c r="I1295" s="21"/>
      <c r="J1295" s="21"/>
      <c r="K1295" s="22">
        <f ca="1">ROUND(K1294,0)</f>
        <v>0</v>
      </c>
      <c r="L1295" s="22">
        <f t="shared" ref="L1295:X1295" ca="1" si="1246">ROUND(K1295+L1294,0)</f>
        <v>0</v>
      </c>
      <c r="M1295" s="22">
        <f t="shared" ca="1" si="1246"/>
        <v>0</v>
      </c>
      <c r="N1295" s="22">
        <f t="shared" ca="1" si="1246"/>
        <v>0</v>
      </c>
      <c r="O1295" s="22">
        <f t="shared" ca="1" si="1246"/>
        <v>0</v>
      </c>
      <c r="P1295" s="22">
        <f t="shared" ca="1" si="1246"/>
        <v>0</v>
      </c>
      <c r="Q1295" s="22">
        <f t="shared" ca="1" si="1246"/>
        <v>0</v>
      </c>
      <c r="R1295" s="22">
        <f t="shared" ca="1" si="1246"/>
        <v>0</v>
      </c>
      <c r="S1295" s="22">
        <f t="shared" ca="1" si="1246"/>
        <v>0</v>
      </c>
      <c r="T1295" s="22">
        <f t="shared" ca="1" si="1246"/>
        <v>0</v>
      </c>
      <c r="U1295" s="22">
        <f t="shared" ca="1" si="1246"/>
        <v>0</v>
      </c>
      <c r="V1295" s="22">
        <f t="shared" ca="1" si="1246"/>
        <v>0</v>
      </c>
      <c r="W1295" s="22">
        <f t="shared" ca="1" si="1246"/>
        <v>0</v>
      </c>
      <c r="X1295" s="22">
        <f t="shared" ca="1" si="1246"/>
        <v>0</v>
      </c>
    </row>
    <row r="1296" spans="1:24" hidden="1">
      <c r="A1296" s="328"/>
      <c r="B1296" s="21" t="s">
        <v>406</v>
      </c>
      <c r="C1296" s="21"/>
      <c r="D1296" s="22"/>
      <c r="E1296" s="21"/>
      <c r="F1296" s="21"/>
      <c r="G1296" s="21"/>
      <c r="H1296" s="21"/>
      <c r="I1296" s="21"/>
      <c r="J1296" s="21"/>
      <c r="K1296" s="77">
        <f ca="1">IF($D1292=LataProjekcji,ROUND($D1293-K1295,0),ROUND(IF(K1294=0,0,$D1293-K1295),0))</f>
        <v>0</v>
      </c>
      <c r="L1296" s="254">
        <f t="shared" ref="L1296:X1296" ca="1" si="1247">IF($D1292=LataProjekcji,ROUND($D1293-L1295,0),ROUND(IF(AND(L1294=0,K1296&gt;0),$D1293-L1295,IF(L1294=0,0,$D1293-L1295)),0))</f>
        <v>0</v>
      </c>
      <c r="M1296" s="254">
        <f t="shared" ca="1" si="1247"/>
        <v>0</v>
      </c>
      <c r="N1296" s="254">
        <f t="shared" ca="1" si="1247"/>
        <v>0</v>
      </c>
      <c r="O1296" s="254">
        <f t="shared" ca="1" si="1247"/>
        <v>0</v>
      </c>
      <c r="P1296" s="254">
        <f t="shared" ca="1" si="1247"/>
        <v>0</v>
      </c>
      <c r="Q1296" s="254">
        <f t="shared" ca="1" si="1247"/>
        <v>0</v>
      </c>
      <c r="R1296" s="254">
        <f t="shared" ca="1" si="1247"/>
        <v>0</v>
      </c>
      <c r="S1296" s="254">
        <f t="shared" ca="1" si="1247"/>
        <v>0</v>
      </c>
      <c r="T1296" s="254">
        <f t="shared" ca="1" si="1247"/>
        <v>0</v>
      </c>
      <c r="U1296" s="254">
        <f t="shared" ca="1" si="1247"/>
        <v>0</v>
      </c>
      <c r="V1296" s="254">
        <f t="shared" ca="1" si="1247"/>
        <v>0</v>
      </c>
      <c r="W1296" s="254">
        <f t="shared" ca="1" si="1247"/>
        <v>0</v>
      </c>
      <c r="X1296" s="254">
        <f t="shared" ca="1" si="1247"/>
        <v>0</v>
      </c>
    </row>
    <row r="1297" spans="1:24" hidden="1">
      <c r="A1297" s="328"/>
      <c r="B1297" s="21"/>
      <c r="C1297" s="21"/>
      <c r="D1297" s="22"/>
      <c r="E1297" s="21"/>
      <c r="F1297" s="21"/>
      <c r="G1297" s="21"/>
      <c r="H1297" s="404">
        <f>H1290+1</f>
        <v>2</v>
      </c>
      <c r="I1297" s="483" cm="1">
        <f t="array" aca="1" ref="I1297" ca="1">OFFSET('Środki trwałe'!$C$269,H1297,,)</f>
        <v>0</v>
      </c>
      <c r="J1297" s="404" t="s">
        <v>427</v>
      </c>
      <c r="K1297" s="405">
        <f t="shared" ref="K1297:X1297" ca="1" si="1248">IF(AND(OFFSET($F$269,$D1291,0)="tak",OFFSET($G$269,$D1291,0)="tak",OFFSET($J$269,$D1291,0)="ok",LataProjekcji&lt;=Koniec_Projekt),ROUND(K1294*OFFSET($K$290,$H1297,(COLUMN()-11)),0),0)</f>
        <v>0</v>
      </c>
      <c r="L1297" s="405">
        <f t="shared" ca="1" si="1248"/>
        <v>0</v>
      </c>
      <c r="M1297" s="405">
        <f t="shared" ca="1" si="1248"/>
        <v>0</v>
      </c>
      <c r="N1297" s="405">
        <f t="shared" ca="1" si="1248"/>
        <v>0</v>
      </c>
      <c r="O1297" s="405">
        <f t="shared" ca="1" si="1248"/>
        <v>0</v>
      </c>
      <c r="P1297" s="405">
        <f t="shared" ca="1" si="1248"/>
        <v>0</v>
      </c>
      <c r="Q1297" s="405">
        <f t="shared" ca="1" si="1248"/>
        <v>0</v>
      </c>
      <c r="R1297" s="405">
        <f t="shared" ca="1" si="1248"/>
        <v>0</v>
      </c>
      <c r="S1297" s="405">
        <f t="shared" ca="1" si="1248"/>
        <v>0</v>
      </c>
      <c r="T1297" s="405">
        <f t="shared" ca="1" si="1248"/>
        <v>0</v>
      </c>
      <c r="U1297" s="405">
        <f t="shared" ca="1" si="1248"/>
        <v>0</v>
      </c>
      <c r="V1297" s="405">
        <f t="shared" ca="1" si="1248"/>
        <v>0</v>
      </c>
      <c r="W1297" s="405">
        <f t="shared" ca="1" si="1248"/>
        <v>0</v>
      </c>
      <c r="X1297" s="405">
        <f t="shared" ca="1" si="1248"/>
        <v>0</v>
      </c>
    </row>
    <row r="1298" spans="1:24" hidden="1">
      <c r="A1298" s="328"/>
      <c r="B1298" s="20">
        <f ca="1">OFFSET($B$269,D1298,0)</f>
        <v>0</v>
      </c>
      <c r="C1298" s="20"/>
      <c r="D1298" s="21">
        <f>D1291+1</f>
        <v>3</v>
      </c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</row>
    <row r="1299" spans="1:24" hidden="1">
      <c r="A1299" s="328"/>
      <c r="B1299" s="165" t="s">
        <v>425</v>
      </c>
      <c r="C1299" s="165"/>
      <c r="D1299" s="165">
        <f ca="1">YEAR(OFFSET($E$269,D1298,0))</f>
        <v>1900</v>
      </c>
      <c r="E1299" s="165">
        <f ca="1">MONTH(OFFSET($E$269,D1298,0))</f>
        <v>1</v>
      </c>
      <c r="F1299" s="21">
        <f ca="1">12-$E1299</f>
        <v>11</v>
      </c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</row>
    <row r="1300" spans="1:24" hidden="1">
      <c r="A1300" s="328"/>
      <c r="B1300" s="21" t="s">
        <v>406</v>
      </c>
      <c r="C1300" s="21"/>
      <c r="D1300" s="387">
        <f ca="1">IF(E1300&lt;0,0,ROUND(E1300,0))</f>
        <v>0</v>
      </c>
      <c r="E1300" s="249">
        <f ca="1">OFFSET($D$269,D1298,0)</f>
        <v>0</v>
      </c>
      <c r="F1300" s="387">
        <f ca="1">IF(E1300&gt;10,ROUND(($D1301/12)*$F1299,0),$D1300)</f>
        <v>0</v>
      </c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</row>
    <row r="1301" spans="1:24" hidden="1">
      <c r="A1301" s="328"/>
      <c r="B1301" s="21" t="s">
        <v>415</v>
      </c>
      <c r="C1301" s="21"/>
      <c r="D1301" s="387">
        <f ca="1">IF(ISBLANK(OFFSET($E$269,D1298,0)),0,IF(E1300&gt;10,ROUND(D1300*am_wnip,0),IF(D1300&lt;0,0,D1300)))</f>
        <v>0</v>
      </c>
      <c r="E1301" s="21"/>
      <c r="F1301" s="21"/>
      <c r="G1301" s="21"/>
      <c r="H1301" s="21"/>
      <c r="I1301" s="21"/>
      <c r="J1301" s="21"/>
      <c r="K1301" s="75">
        <f ca="1">ROUND(IF($D1299=LataProjekcji,$F1300,IF($D1299=LataProjekcji,$D1301,0)),0)</f>
        <v>0</v>
      </c>
      <c r="L1301" s="248">
        <f ca="1">ROUND(IF(OR(AND($D1299=LataProjekcji,$F1299&gt;0),AND($D1299=LataProjekcji,$F1299=0,$E1300&lt;=10)),$F1300,IF($D1299&lt;LataProjekcji,IF((SUM($K1301:K1301)+$D1301)&lt;$D1300,$D1301,$D1300-SUM($K1301:K1301)),0)),0)</f>
        <v>0</v>
      </c>
      <c r="M1301" s="248">
        <f ca="1">ROUND(IF(OR(AND($D1299=LataProjekcji,$F1299&gt;0),AND($D1299=LataProjekcji,$F1299=0,$E1300&lt;=10)),$F1300,IF($D1299&lt;LataProjekcji,IF((SUM($K1301:L1301)+$D1301)&lt;$D1300,$D1301,$D1300-SUM($K1301:L1301)),0)),0)</f>
        <v>0</v>
      </c>
      <c r="N1301" s="248">
        <f ca="1">ROUND(IF(OR(AND($D1299=LataProjekcji,$F1299&gt;0),AND($D1299=LataProjekcji,$F1299=0,$E1300&lt;=10)),$F1300,IF($D1299&lt;LataProjekcji,IF((SUM($K1301:M1301)+$D1301)&lt;$D1300,$D1301,$D1300-SUM($K1301:M1301)),0)),0)</f>
        <v>0</v>
      </c>
      <c r="O1301" s="248">
        <f ca="1">ROUND(IF(OR(AND($D1299=LataProjekcji,$F1299&gt;0),AND($D1299=LataProjekcji,$F1299=0,$E1300&lt;=10)),$F1300,IF($D1299&lt;LataProjekcji,IF((SUM($K1301:N1301)+$D1301)&lt;$D1300,$D1301,$D1300-SUM($K1301:N1301)),0)),0)</f>
        <v>0</v>
      </c>
      <c r="P1301" s="248">
        <f ca="1">ROUND(IF(OR(AND($D1299=LataProjekcji,$F1299&gt;0),AND($D1299=LataProjekcji,$F1299=0,$E1300&lt;=10)),$F1300,IF($D1299&lt;LataProjekcji,IF((SUM($K1301:O1301)+$D1301)&lt;$D1300,$D1301,$D1300-SUM($K1301:O1301)),0)),0)</f>
        <v>0</v>
      </c>
      <c r="Q1301" s="248">
        <f ca="1">ROUND(IF(OR(AND($D1299=LataProjekcji,$F1299&gt;0),AND($D1299=LataProjekcji,$F1299=0,$E1300&lt;=10)),$F1300,IF($D1299&lt;LataProjekcji,IF((SUM($K1301:P1301)+$D1301)&lt;$D1300,$D1301,$D1300-SUM($K1301:P1301)),0)),0)</f>
        <v>0</v>
      </c>
      <c r="R1301" s="248">
        <f ca="1">ROUND(IF(OR(AND($D1299=LataProjekcji,$F1299&gt;0),AND($D1299=LataProjekcji,$F1299=0,$E1300&lt;=10)),$F1300,IF($D1299&lt;LataProjekcji,IF((SUM($K1301:Q1301)+$D1301)&lt;$D1300,$D1301,$D1300-SUM($K1301:Q1301)),0)),0)</f>
        <v>0</v>
      </c>
      <c r="S1301" s="248">
        <f ca="1">ROUND(IF(OR(AND($D1299=LataProjekcji,$F1299&gt;0),AND($D1299=LataProjekcji,$F1299=0,$E1300&lt;=10)),$F1300,IF($D1299&lt;LataProjekcji,IF((SUM($K1301:R1301)+$D1301)&lt;$D1300,$D1301,$D1300-SUM($K1301:R1301)),0)),0)</f>
        <v>0</v>
      </c>
      <c r="T1301" s="248">
        <f ca="1">ROUND(IF(OR(AND($D1299=LataProjekcji,$F1299&gt;0),AND($D1299=LataProjekcji,$F1299=0,$E1300&lt;=10)),$F1300,IF($D1299&lt;LataProjekcji,IF((SUM($K1301:S1301)+$D1301)&lt;$D1300,$D1301,$D1300-SUM($K1301:S1301)),0)),0)</f>
        <v>0</v>
      </c>
      <c r="U1301" s="248">
        <f ca="1">ROUND(IF(OR(AND($D1299=LataProjekcji,$F1299&gt;0),AND($D1299=LataProjekcji,$F1299=0,$E1300&lt;=10)),$F1300,IF($D1299&lt;LataProjekcji,IF((SUM($K1301:T1301)+$D1301)&lt;$D1300,$D1301,$D1300-SUM($K1301:T1301)),0)),0)</f>
        <v>0</v>
      </c>
      <c r="V1301" s="248">
        <f ca="1">ROUND(IF(OR(AND($D1299=LataProjekcji,$F1299&gt;0),AND($D1299=LataProjekcji,$F1299=0,$E1300&lt;=10)),$F1300,IF($D1299&lt;LataProjekcji,IF((SUM($K1301:U1301)+$D1301)&lt;$D1300,$D1301,$D1300-SUM($K1301:U1301)),0)),0)</f>
        <v>0</v>
      </c>
      <c r="W1301" s="248">
        <f ca="1">ROUND(IF(OR(AND($D1299=LataProjekcji,$F1299&gt;0),AND($D1299=LataProjekcji,$F1299=0,$E1300&lt;=10)),$F1300,IF($D1299&lt;LataProjekcji,IF((SUM($K1301:V1301)+$D1301)&lt;$D1300,$D1301,$D1300-SUM($K1301:V1301)),0)),0)</f>
        <v>0</v>
      </c>
      <c r="X1301" s="248">
        <f ca="1">ROUND(IF(OR(AND($D1299=LataProjekcji,$F1299&gt;0),AND($D1299=LataProjekcji,$F1299=0,$E1300&lt;=10)),$F1300,IF($D1299&lt;LataProjekcji,IF((SUM($K1301:W1301)+$D1301)&lt;$D1300,$D1301,$D1300-SUM($K1301:W1301)),0)),0)</f>
        <v>0</v>
      </c>
    </row>
    <row r="1302" spans="1:24" hidden="1">
      <c r="A1302" s="328"/>
      <c r="B1302" s="21" t="s">
        <v>416</v>
      </c>
      <c r="C1302" s="21"/>
      <c r="D1302" s="22"/>
      <c r="E1302" s="21"/>
      <c r="F1302" s="21"/>
      <c r="G1302" s="21"/>
      <c r="H1302" s="21"/>
      <c r="I1302" s="21"/>
      <c r="J1302" s="21"/>
      <c r="K1302" s="22">
        <f ca="1">ROUND(K1301,0)</f>
        <v>0</v>
      </c>
      <c r="L1302" s="22">
        <f t="shared" ref="L1302:X1302" ca="1" si="1249">ROUND(K1302+L1301,0)</f>
        <v>0</v>
      </c>
      <c r="M1302" s="22">
        <f t="shared" ca="1" si="1249"/>
        <v>0</v>
      </c>
      <c r="N1302" s="22">
        <f t="shared" ca="1" si="1249"/>
        <v>0</v>
      </c>
      <c r="O1302" s="22">
        <f t="shared" ca="1" si="1249"/>
        <v>0</v>
      </c>
      <c r="P1302" s="22">
        <f t="shared" ca="1" si="1249"/>
        <v>0</v>
      </c>
      <c r="Q1302" s="22">
        <f t="shared" ca="1" si="1249"/>
        <v>0</v>
      </c>
      <c r="R1302" s="22">
        <f t="shared" ca="1" si="1249"/>
        <v>0</v>
      </c>
      <c r="S1302" s="22">
        <f t="shared" ca="1" si="1249"/>
        <v>0</v>
      </c>
      <c r="T1302" s="22">
        <f t="shared" ca="1" si="1249"/>
        <v>0</v>
      </c>
      <c r="U1302" s="22">
        <f t="shared" ca="1" si="1249"/>
        <v>0</v>
      </c>
      <c r="V1302" s="22">
        <f t="shared" ca="1" si="1249"/>
        <v>0</v>
      </c>
      <c r="W1302" s="22">
        <f t="shared" ca="1" si="1249"/>
        <v>0</v>
      </c>
      <c r="X1302" s="22">
        <f t="shared" ca="1" si="1249"/>
        <v>0</v>
      </c>
    </row>
    <row r="1303" spans="1:24" hidden="1">
      <c r="A1303" s="328"/>
      <c r="B1303" s="21" t="s">
        <v>406</v>
      </c>
      <c r="C1303" s="21"/>
      <c r="D1303" s="22"/>
      <c r="E1303" s="21"/>
      <c r="F1303" s="21"/>
      <c r="G1303" s="21"/>
      <c r="H1303" s="21"/>
      <c r="I1303" s="21"/>
      <c r="J1303" s="21"/>
      <c r="K1303" s="77">
        <f ca="1">IF($D1299=LataProjekcji,ROUND($D1300-K1302,0),ROUND(IF(K1301=0,0,$D1300-K1302),0))</f>
        <v>0</v>
      </c>
      <c r="L1303" s="254">
        <f t="shared" ref="L1303:X1303" ca="1" si="1250">IF($D1299=LataProjekcji,ROUND($D1300-L1302,0),ROUND(IF(AND(L1301=0,K1303&gt;0),$D1300-L1302,IF(L1301=0,0,$D1300-L1302)),0))</f>
        <v>0</v>
      </c>
      <c r="M1303" s="254">
        <f t="shared" ca="1" si="1250"/>
        <v>0</v>
      </c>
      <c r="N1303" s="254">
        <f t="shared" ca="1" si="1250"/>
        <v>0</v>
      </c>
      <c r="O1303" s="254">
        <f t="shared" ca="1" si="1250"/>
        <v>0</v>
      </c>
      <c r="P1303" s="254">
        <f t="shared" ca="1" si="1250"/>
        <v>0</v>
      </c>
      <c r="Q1303" s="254">
        <f t="shared" ca="1" si="1250"/>
        <v>0</v>
      </c>
      <c r="R1303" s="254">
        <f t="shared" ca="1" si="1250"/>
        <v>0</v>
      </c>
      <c r="S1303" s="254">
        <f t="shared" ca="1" si="1250"/>
        <v>0</v>
      </c>
      <c r="T1303" s="254">
        <f t="shared" ca="1" si="1250"/>
        <v>0</v>
      </c>
      <c r="U1303" s="254">
        <f t="shared" ca="1" si="1250"/>
        <v>0</v>
      </c>
      <c r="V1303" s="254">
        <f t="shared" ca="1" si="1250"/>
        <v>0</v>
      </c>
      <c r="W1303" s="254">
        <f t="shared" ca="1" si="1250"/>
        <v>0</v>
      </c>
      <c r="X1303" s="254">
        <f t="shared" ca="1" si="1250"/>
        <v>0</v>
      </c>
    </row>
    <row r="1304" spans="1:24" hidden="1">
      <c r="A1304" s="328"/>
      <c r="B1304" s="21"/>
      <c r="C1304" s="21"/>
      <c r="D1304" s="21"/>
      <c r="E1304" s="21"/>
      <c r="F1304" s="21"/>
      <c r="G1304" s="21"/>
      <c r="H1304" s="404">
        <f>H1297+1</f>
        <v>3</v>
      </c>
      <c r="I1304" s="483" cm="1">
        <f t="array" aca="1" ref="I1304" ca="1">OFFSET('Środki trwałe'!$C$269,H1304,,)</f>
        <v>0</v>
      </c>
      <c r="J1304" s="404" t="s">
        <v>427</v>
      </c>
      <c r="K1304" s="405">
        <f t="shared" ref="K1304:X1304" ca="1" si="1251">IF(AND(OFFSET($F$269,$D1298,0)="tak",OFFSET($G$269,$D1298,0)="tak",OFFSET($J$269,$D1298,0)="ok",LataProjekcji&lt;=Koniec_Projekt),ROUND(K1301*OFFSET($K$290,$H1304,(COLUMN()-11)),0),0)</f>
        <v>0</v>
      </c>
      <c r="L1304" s="405">
        <f t="shared" ca="1" si="1251"/>
        <v>0</v>
      </c>
      <c r="M1304" s="405">
        <f t="shared" ca="1" si="1251"/>
        <v>0</v>
      </c>
      <c r="N1304" s="405">
        <f t="shared" ca="1" si="1251"/>
        <v>0</v>
      </c>
      <c r="O1304" s="405">
        <f t="shared" ca="1" si="1251"/>
        <v>0</v>
      </c>
      <c r="P1304" s="405">
        <f t="shared" ca="1" si="1251"/>
        <v>0</v>
      </c>
      <c r="Q1304" s="405">
        <f t="shared" ca="1" si="1251"/>
        <v>0</v>
      </c>
      <c r="R1304" s="405">
        <f t="shared" ca="1" si="1251"/>
        <v>0</v>
      </c>
      <c r="S1304" s="405">
        <f t="shared" ca="1" si="1251"/>
        <v>0</v>
      </c>
      <c r="T1304" s="405">
        <f t="shared" ca="1" si="1251"/>
        <v>0</v>
      </c>
      <c r="U1304" s="405">
        <f t="shared" ca="1" si="1251"/>
        <v>0</v>
      </c>
      <c r="V1304" s="405">
        <f t="shared" ca="1" si="1251"/>
        <v>0</v>
      </c>
      <c r="W1304" s="405">
        <f t="shared" ca="1" si="1251"/>
        <v>0</v>
      </c>
      <c r="X1304" s="405">
        <f t="shared" ca="1" si="1251"/>
        <v>0</v>
      </c>
    </row>
    <row r="1305" spans="1:24" hidden="1">
      <c r="A1305" s="328"/>
      <c r="B1305" s="20">
        <f ca="1">OFFSET($B$269,D1305,0)</f>
        <v>0</v>
      </c>
      <c r="C1305" s="20"/>
      <c r="D1305" s="21">
        <f>D1298+1</f>
        <v>4</v>
      </c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</row>
    <row r="1306" spans="1:24" hidden="1">
      <c r="A1306" s="328"/>
      <c r="B1306" s="165" t="s">
        <v>425</v>
      </c>
      <c r="C1306" s="165"/>
      <c r="D1306" s="165">
        <f ca="1">YEAR(OFFSET($E$269,D1305,0))</f>
        <v>1900</v>
      </c>
      <c r="E1306" s="165">
        <f ca="1">MONTH(OFFSET($E$269,D1305,0))</f>
        <v>1</v>
      </c>
      <c r="F1306" s="21">
        <f ca="1">12-$E1306</f>
        <v>11</v>
      </c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</row>
    <row r="1307" spans="1:24" hidden="1">
      <c r="A1307" s="328"/>
      <c r="B1307" s="21" t="s">
        <v>406</v>
      </c>
      <c r="C1307" s="21"/>
      <c r="D1307" s="387">
        <f ca="1">IF(E1307&lt;0,0,ROUND(E1307,0))</f>
        <v>0</v>
      </c>
      <c r="E1307" s="249">
        <f ca="1">OFFSET($D$269,D1305,0)</f>
        <v>0</v>
      </c>
      <c r="F1307" s="387">
        <f ca="1">IF(E1307&gt;10,ROUND(($D1308/12)*$F1306,0),$D1307)</f>
        <v>0</v>
      </c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</row>
    <row r="1308" spans="1:24" hidden="1">
      <c r="A1308" s="328"/>
      <c r="B1308" s="21" t="s">
        <v>415</v>
      </c>
      <c r="C1308" s="21"/>
      <c r="D1308" s="387">
        <f ca="1">IF(ISBLANK(OFFSET($E$269,D1305,0)),0,IF(E1307&gt;10,ROUND(D1307*am_wnip,0),IF(D1307&lt;0,0,D1307)))</f>
        <v>0</v>
      </c>
      <c r="E1308" s="21"/>
      <c r="F1308" s="21"/>
      <c r="G1308" s="21"/>
      <c r="H1308" s="21"/>
      <c r="I1308" s="21"/>
      <c r="J1308" s="21"/>
      <c r="K1308" s="75">
        <f ca="1">ROUND(IF($D1306=LataProjekcji,$F1307,IF($D1306=LataProjekcji,$D1308,0)),0)</f>
        <v>0</v>
      </c>
      <c r="L1308" s="248">
        <f ca="1">ROUND(IF(OR(AND($D1306=LataProjekcji,$F1306&gt;0),AND($D1306=LataProjekcji,$F1306=0,$E1307&lt;=10)),$F1307,IF($D1306&lt;LataProjekcji,IF((SUM($K1308:K1308)+$D1308)&lt;$D1307,$D1308,$D1307-SUM($K1308:K1308)),0)),0)</f>
        <v>0</v>
      </c>
      <c r="M1308" s="248">
        <f ca="1">ROUND(IF(OR(AND($D1306=LataProjekcji,$F1306&gt;0),AND($D1306=LataProjekcji,$F1306=0,$E1307&lt;=10)),$F1307,IF($D1306&lt;LataProjekcji,IF((SUM($K1308:L1308)+$D1308)&lt;$D1307,$D1308,$D1307-SUM($K1308:L1308)),0)),0)</f>
        <v>0</v>
      </c>
      <c r="N1308" s="248">
        <f ca="1">ROUND(IF(OR(AND($D1306=LataProjekcji,$F1306&gt;0),AND($D1306=LataProjekcji,$F1306=0,$E1307&lt;=10)),$F1307,IF($D1306&lt;LataProjekcji,IF((SUM($K1308:M1308)+$D1308)&lt;$D1307,$D1308,$D1307-SUM($K1308:M1308)),0)),0)</f>
        <v>0</v>
      </c>
      <c r="O1308" s="248">
        <f ca="1">ROUND(IF(OR(AND($D1306=LataProjekcji,$F1306&gt;0),AND($D1306=LataProjekcji,$F1306=0,$E1307&lt;=10)),$F1307,IF($D1306&lt;LataProjekcji,IF((SUM($K1308:N1308)+$D1308)&lt;$D1307,$D1308,$D1307-SUM($K1308:N1308)),0)),0)</f>
        <v>0</v>
      </c>
      <c r="P1308" s="248">
        <f ca="1">ROUND(IF(OR(AND($D1306=LataProjekcji,$F1306&gt;0),AND($D1306=LataProjekcji,$F1306=0,$E1307&lt;=10)),$F1307,IF($D1306&lt;LataProjekcji,IF((SUM($K1308:O1308)+$D1308)&lt;$D1307,$D1308,$D1307-SUM($K1308:O1308)),0)),0)</f>
        <v>0</v>
      </c>
      <c r="Q1308" s="248">
        <f ca="1">ROUND(IF(OR(AND($D1306=LataProjekcji,$F1306&gt;0),AND($D1306=LataProjekcji,$F1306=0,$E1307&lt;=10)),$F1307,IF($D1306&lt;LataProjekcji,IF((SUM($K1308:P1308)+$D1308)&lt;$D1307,$D1308,$D1307-SUM($K1308:P1308)),0)),0)</f>
        <v>0</v>
      </c>
      <c r="R1308" s="248">
        <f ca="1">ROUND(IF(OR(AND($D1306=LataProjekcji,$F1306&gt;0),AND($D1306=LataProjekcji,$F1306=0,$E1307&lt;=10)),$F1307,IF($D1306&lt;LataProjekcji,IF((SUM($K1308:Q1308)+$D1308)&lt;$D1307,$D1308,$D1307-SUM($K1308:Q1308)),0)),0)</f>
        <v>0</v>
      </c>
      <c r="S1308" s="248">
        <f ca="1">ROUND(IF(OR(AND($D1306=LataProjekcji,$F1306&gt;0),AND($D1306=LataProjekcji,$F1306=0,$E1307&lt;=10)),$F1307,IF($D1306&lt;LataProjekcji,IF((SUM($K1308:R1308)+$D1308)&lt;$D1307,$D1308,$D1307-SUM($K1308:R1308)),0)),0)</f>
        <v>0</v>
      </c>
      <c r="T1308" s="248">
        <f ca="1">ROUND(IF(OR(AND($D1306=LataProjekcji,$F1306&gt;0),AND($D1306=LataProjekcji,$F1306=0,$E1307&lt;=10)),$F1307,IF($D1306&lt;LataProjekcji,IF((SUM($K1308:S1308)+$D1308)&lt;$D1307,$D1308,$D1307-SUM($K1308:S1308)),0)),0)</f>
        <v>0</v>
      </c>
      <c r="U1308" s="248">
        <f ca="1">ROUND(IF(OR(AND($D1306=LataProjekcji,$F1306&gt;0),AND($D1306=LataProjekcji,$F1306=0,$E1307&lt;=10)),$F1307,IF($D1306&lt;LataProjekcji,IF((SUM($K1308:T1308)+$D1308)&lt;$D1307,$D1308,$D1307-SUM($K1308:T1308)),0)),0)</f>
        <v>0</v>
      </c>
      <c r="V1308" s="248">
        <f ca="1">ROUND(IF(OR(AND($D1306=LataProjekcji,$F1306&gt;0),AND($D1306=LataProjekcji,$F1306=0,$E1307&lt;=10)),$F1307,IF($D1306&lt;LataProjekcji,IF((SUM($K1308:U1308)+$D1308)&lt;$D1307,$D1308,$D1307-SUM($K1308:U1308)),0)),0)</f>
        <v>0</v>
      </c>
      <c r="W1308" s="248">
        <f ca="1">ROUND(IF(OR(AND($D1306=LataProjekcji,$F1306&gt;0),AND($D1306=LataProjekcji,$F1306=0,$E1307&lt;=10)),$F1307,IF($D1306&lt;LataProjekcji,IF((SUM($K1308:V1308)+$D1308)&lt;$D1307,$D1308,$D1307-SUM($K1308:V1308)),0)),0)</f>
        <v>0</v>
      </c>
      <c r="X1308" s="248">
        <f ca="1">ROUND(IF(OR(AND($D1306=LataProjekcji,$F1306&gt;0),AND($D1306=LataProjekcji,$F1306=0,$E1307&lt;=10)),$F1307,IF($D1306&lt;LataProjekcji,IF((SUM($K1308:W1308)+$D1308)&lt;$D1307,$D1308,$D1307-SUM($K1308:W1308)),0)),0)</f>
        <v>0</v>
      </c>
    </row>
    <row r="1309" spans="1:24" hidden="1">
      <c r="A1309" s="328"/>
      <c r="B1309" s="21" t="s">
        <v>416</v>
      </c>
      <c r="C1309" s="21"/>
      <c r="D1309" s="22"/>
      <c r="E1309" s="21"/>
      <c r="F1309" s="21"/>
      <c r="G1309" s="21"/>
      <c r="H1309" s="21"/>
      <c r="I1309" s="21"/>
      <c r="J1309" s="21"/>
      <c r="K1309" s="22">
        <f ca="1">ROUND(K1308,0)</f>
        <v>0</v>
      </c>
      <c r="L1309" s="22">
        <f t="shared" ref="L1309:X1309" ca="1" si="1252">ROUND(K1309+L1308,0)</f>
        <v>0</v>
      </c>
      <c r="M1309" s="22">
        <f t="shared" ca="1" si="1252"/>
        <v>0</v>
      </c>
      <c r="N1309" s="22">
        <f t="shared" ca="1" si="1252"/>
        <v>0</v>
      </c>
      <c r="O1309" s="22">
        <f t="shared" ca="1" si="1252"/>
        <v>0</v>
      </c>
      <c r="P1309" s="22">
        <f t="shared" ca="1" si="1252"/>
        <v>0</v>
      </c>
      <c r="Q1309" s="22">
        <f t="shared" ca="1" si="1252"/>
        <v>0</v>
      </c>
      <c r="R1309" s="22">
        <f t="shared" ca="1" si="1252"/>
        <v>0</v>
      </c>
      <c r="S1309" s="22">
        <f t="shared" ca="1" si="1252"/>
        <v>0</v>
      </c>
      <c r="T1309" s="22">
        <f t="shared" ca="1" si="1252"/>
        <v>0</v>
      </c>
      <c r="U1309" s="22">
        <f t="shared" ca="1" si="1252"/>
        <v>0</v>
      </c>
      <c r="V1309" s="22">
        <f t="shared" ca="1" si="1252"/>
        <v>0</v>
      </c>
      <c r="W1309" s="22">
        <f t="shared" ca="1" si="1252"/>
        <v>0</v>
      </c>
      <c r="X1309" s="22">
        <f t="shared" ca="1" si="1252"/>
        <v>0</v>
      </c>
    </row>
    <row r="1310" spans="1:24" hidden="1">
      <c r="A1310" s="328"/>
      <c r="B1310" s="21" t="s">
        <v>406</v>
      </c>
      <c r="C1310" s="21"/>
      <c r="D1310" s="22"/>
      <c r="E1310" s="21"/>
      <c r="F1310" s="21"/>
      <c r="G1310" s="21"/>
      <c r="H1310" s="21"/>
      <c r="I1310" s="21"/>
      <c r="J1310" s="21"/>
      <c r="K1310" s="77">
        <f ca="1">IF($D1306=LataProjekcji,ROUND($D1307-K1309,0),ROUND(IF(K1308=0,0,$D1307-K1309),0))</f>
        <v>0</v>
      </c>
      <c r="L1310" s="254">
        <f t="shared" ref="L1310:X1310" ca="1" si="1253">IF($D1306=LataProjekcji,ROUND($D1307-L1309,0),ROUND(IF(AND(L1308=0,K1310&gt;0),$D1307-L1309,IF(L1308=0,0,$D1307-L1309)),0))</f>
        <v>0</v>
      </c>
      <c r="M1310" s="254">
        <f t="shared" ca="1" si="1253"/>
        <v>0</v>
      </c>
      <c r="N1310" s="254">
        <f t="shared" ca="1" si="1253"/>
        <v>0</v>
      </c>
      <c r="O1310" s="254">
        <f t="shared" ca="1" si="1253"/>
        <v>0</v>
      </c>
      <c r="P1310" s="254">
        <f t="shared" ca="1" si="1253"/>
        <v>0</v>
      </c>
      <c r="Q1310" s="254">
        <f t="shared" ca="1" si="1253"/>
        <v>0</v>
      </c>
      <c r="R1310" s="254">
        <f t="shared" ca="1" si="1253"/>
        <v>0</v>
      </c>
      <c r="S1310" s="254">
        <f t="shared" ca="1" si="1253"/>
        <v>0</v>
      </c>
      <c r="T1310" s="254">
        <f t="shared" ca="1" si="1253"/>
        <v>0</v>
      </c>
      <c r="U1310" s="254">
        <f t="shared" ca="1" si="1253"/>
        <v>0</v>
      </c>
      <c r="V1310" s="254">
        <f t="shared" ca="1" si="1253"/>
        <v>0</v>
      </c>
      <c r="W1310" s="254">
        <f t="shared" ca="1" si="1253"/>
        <v>0</v>
      </c>
      <c r="X1310" s="254">
        <f t="shared" ca="1" si="1253"/>
        <v>0</v>
      </c>
    </row>
    <row r="1311" spans="1:24" hidden="1">
      <c r="A1311" s="328"/>
      <c r="B1311" s="21"/>
      <c r="C1311" s="21"/>
      <c r="D1311" s="21"/>
      <c r="E1311" s="21"/>
      <c r="F1311" s="21"/>
      <c r="G1311" s="21"/>
      <c r="H1311" s="404">
        <f>H1304+1</f>
        <v>4</v>
      </c>
      <c r="I1311" s="483" cm="1">
        <f t="array" aca="1" ref="I1311" ca="1">OFFSET('Środki trwałe'!$C$269,H1311,,)</f>
        <v>0</v>
      </c>
      <c r="J1311" s="404" t="s">
        <v>427</v>
      </c>
      <c r="K1311" s="405">
        <f t="shared" ref="K1311:X1311" ca="1" si="1254">IF(AND(OFFSET($F$269,$D1305,0)="tak",OFFSET($G$269,$D1305,0)="tak",OFFSET($J$269,$D1305,0)="ok",LataProjekcji&lt;=Koniec_Projekt),ROUND(K1308*OFFSET($K$290,$H1311,(COLUMN()-11)),0),0)</f>
        <v>0</v>
      </c>
      <c r="L1311" s="405">
        <f t="shared" ca="1" si="1254"/>
        <v>0</v>
      </c>
      <c r="M1311" s="405">
        <f t="shared" ca="1" si="1254"/>
        <v>0</v>
      </c>
      <c r="N1311" s="405">
        <f t="shared" ca="1" si="1254"/>
        <v>0</v>
      </c>
      <c r="O1311" s="405">
        <f t="shared" ca="1" si="1254"/>
        <v>0</v>
      </c>
      <c r="P1311" s="405">
        <f t="shared" ca="1" si="1254"/>
        <v>0</v>
      </c>
      <c r="Q1311" s="405">
        <f t="shared" ca="1" si="1254"/>
        <v>0</v>
      </c>
      <c r="R1311" s="405">
        <f t="shared" ca="1" si="1254"/>
        <v>0</v>
      </c>
      <c r="S1311" s="405">
        <f t="shared" ca="1" si="1254"/>
        <v>0</v>
      </c>
      <c r="T1311" s="405">
        <f t="shared" ca="1" si="1254"/>
        <v>0</v>
      </c>
      <c r="U1311" s="405">
        <f t="shared" ca="1" si="1254"/>
        <v>0</v>
      </c>
      <c r="V1311" s="405">
        <f t="shared" ca="1" si="1254"/>
        <v>0</v>
      </c>
      <c r="W1311" s="405">
        <f t="shared" ca="1" si="1254"/>
        <v>0</v>
      </c>
      <c r="X1311" s="405">
        <f t="shared" ca="1" si="1254"/>
        <v>0</v>
      </c>
    </row>
    <row r="1312" spans="1:24" hidden="1">
      <c r="A1312" s="328"/>
      <c r="B1312" s="20">
        <f ca="1">OFFSET($B$269,D1312,0)</f>
        <v>0</v>
      </c>
      <c r="C1312" s="20"/>
      <c r="D1312" s="21">
        <f>D1305+1</f>
        <v>5</v>
      </c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</row>
    <row r="1313" spans="1:24" hidden="1">
      <c r="A1313" s="328"/>
      <c r="B1313" s="165" t="s">
        <v>425</v>
      </c>
      <c r="C1313" s="165"/>
      <c r="D1313" s="165">
        <f ca="1">YEAR(OFFSET($E$269,D1312,0))</f>
        <v>1900</v>
      </c>
      <c r="E1313" s="165">
        <f ca="1">MONTH(OFFSET($E$269,D1312,0))</f>
        <v>1</v>
      </c>
      <c r="F1313" s="21">
        <f ca="1">12-$E1313</f>
        <v>11</v>
      </c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</row>
    <row r="1314" spans="1:24" hidden="1">
      <c r="A1314" s="328"/>
      <c r="B1314" s="21" t="s">
        <v>406</v>
      </c>
      <c r="C1314" s="21"/>
      <c r="D1314" s="387">
        <f ca="1">IF(E1314&lt;0,0,ROUND(E1314,0))</f>
        <v>0</v>
      </c>
      <c r="E1314" s="249">
        <f ca="1">OFFSET($D$269,D1312,0)</f>
        <v>0</v>
      </c>
      <c r="F1314" s="387">
        <f ca="1">IF(E1314&gt;10,ROUND(($D1315/12)*$F1313,0),$D1314)</f>
        <v>0</v>
      </c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</row>
    <row r="1315" spans="1:24" hidden="1">
      <c r="A1315" s="328"/>
      <c r="B1315" s="21" t="s">
        <v>415</v>
      </c>
      <c r="C1315" s="21"/>
      <c r="D1315" s="387">
        <f ca="1">IF(ISBLANK(OFFSET($E$269,D1312,0)),0,IF(E1314&gt;10,ROUND(D1314*am_wnip,0),IF(D1314&lt;0,0,D1314)))</f>
        <v>0</v>
      </c>
      <c r="E1315" s="21"/>
      <c r="F1315" s="21"/>
      <c r="G1315" s="21"/>
      <c r="H1315" s="21"/>
      <c r="I1315" s="21"/>
      <c r="J1315" s="21"/>
      <c r="K1315" s="75">
        <f ca="1">ROUND(IF($D1313=LataProjekcji,$F1314,IF($D1313=LataProjekcji,$D1315,0)),0)</f>
        <v>0</v>
      </c>
      <c r="L1315" s="248">
        <f ca="1">ROUND(IF(OR(AND($D1313=LataProjekcji,$F1313&gt;0),AND($D1313=LataProjekcji,$F1313=0,$E1314&lt;=10)),$F1314,IF($D1313&lt;LataProjekcji,IF((SUM($K1315:K1315)+$D1315)&lt;$D1314,$D1315,$D1314-SUM($K1315:K1315)),0)),0)</f>
        <v>0</v>
      </c>
      <c r="M1315" s="248">
        <f ca="1">ROUND(IF(OR(AND($D1313=LataProjekcji,$F1313&gt;0),AND($D1313=LataProjekcji,$F1313=0,$E1314&lt;=10)),$F1314,IF($D1313&lt;LataProjekcji,IF((SUM($K1315:L1315)+$D1315)&lt;$D1314,$D1315,$D1314-SUM($K1315:L1315)),0)),0)</f>
        <v>0</v>
      </c>
      <c r="N1315" s="248">
        <f ca="1">ROUND(IF(OR(AND($D1313=LataProjekcji,$F1313&gt;0),AND($D1313=LataProjekcji,$F1313=0,$E1314&lt;=10)),$F1314,IF($D1313&lt;LataProjekcji,IF((SUM($K1315:M1315)+$D1315)&lt;$D1314,$D1315,$D1314-SUM($K1315:M1315)),0)),0)</f>
        <v>0</v>
      </c>
      <c r="O1315" s="248">
        <f ca="1">ROUND(IF(OR(AND($D1313=LataProjekcji,$F1313&gt;0),AND($D1313=LataProjekcji,$F1313=0,$E1314&lt;=10)),$F1314,IF($D1313&lt;LataProjekcji,IF((SUM($K1315:N1315)+$D1315)&lt;$D1314,$D1315,$D1314-SUM($K1315:N1315)),0)),0)</f>
        <v>0</v>
      </c>
      <c r="P1315" s="248">
        <f ca="1">ROUND(IF(OR(AND($D1313=LataProjekcji,$F1313&gt;0),AND($D1313=LataProjekcji,$F1313=0,$E1314&lt;=10)),$F1314,IF($D1313&lt;LataProjekcji,IF((SUM($K1315:O1315)+$D1315)&lt;$D1314,$D1315,$D1314-SUM($K1315:O1315)),0)),0)</f>
        <v>0</v>
      </c>
      <c r="Q1315" s="248">
        <f ca="1">ROUND(IF(OR(AND($D1313=LataProjekcji,$F1313&gt;0),AND($D1313=LataProjekcji,$F1313=0,$E1314&lt;=10)),$F1314,IF($D1313&lt;LataProjekcji,IF((SUM($K1315:P1315)+$D1315)&lt;$D1314,$D1315,$D1314-SUM($K1315:P1315)),0)),0)</f>
        <v>0</v>
      </c>
      <c r="R1315" s="248">
        <f ca="1">ROUND(IF(OR(AND($D1313=LataProjekcji,$F1313&gt;0),AND($D1313=LataProjekcji,$F1313=0,$E1314&lt;=10)),$F1314,IF($D1313&lt;LataProjekcji,IF((SUM($K1315:Q1315)+$D1315)&lt;$D1314,$D1315,$D1314-SUM($K1315:Q1315)),0)),0)</f>
        <v>0</v>
      </c>
      <c r="S1315" s="248">
        <f ca="1">ROUND(IF(OR(AND($D1313=LataProjekcji,$F1313&gt;0),AND($D1313=LataProjekcji,$F1313=0,$E1314&lt;=10)),$F1314,IF($D1313&lt;LataProjekcji,IF((SUM($K1315:R1315)+$D1315)&lt;$D1314,$D1315,$D1314-SUM($K1315:R1315)),0)),0)</f>
        <v>0</v>
      </c>
      <c r="T1315" s="248">
        <f ca="1">ROUND(IF(OR(AND($D1313=LataProjekcji,$F1313&gt;0),AND($D1313=LataProjekcji,$F1313=0,$E1314&lt;=10)),$F1314,IF($D1313&lt;LataProjekcji,IF((SUM($K1315:S1315)+$D1315)&lt;$D1314,$D1315,$D1314-SUM($K1315:S1315)),0)),0)</f>
        <v>0</v>
      </c>
      <c r="U1315" s="248">
        <f ca="1">ROUND(IF(OR(AND($D1313=LataProjekcji,$F1313&gt;0),AND($D1313=LataProjekcji,$F1313=0,$E1314&lt;=10)),$F1314,IF($D1313&lt;LataProjekcji,IF((SUM($K1315:T1315)+$D1315)&lt;$D1314,$D1315,$D1314-SUM($K1315:T1315)),0)),0)</f>
        <v>0</v>
      </c>
      <c r="V1315" s="248">
        <f ca="1">ROUND(IF(OR(AND($D1313=LataProjekcji,$F1313&gt;0),AND($D1313=LataProjekcji,$F1313=0,$E1314&lt;=10)),$F1314,IF($D1313&lt;LataProjekcji,IF((SUM($K1315:U1315)+$D1315)&lt;$D1314,$D1315,$D1314-SUM($K1315:U1315)),0)),0)</f>
        <v>0</v>
      </c>
      <c r="W1315" s="248">
        <f ca="1">ROUND(IF(OR(AND($D1313=LataProjekcji,$F1313&gt;0),AND($D1313=LataProjekcji,$F1313=0,$E1314&lt;=10)),$F1314,IF($D1313&lt;LataProjekcji,IF((SUM($K1315:V1315)+$D1315)&lt;$D1314,$D1315,$D1314-SUM($K1315:V1315)),0)),0)</f>
        <v>0</v>
      </c>
      <c r="X1315" s="248">
        <f ca="1">ROUND(IF(OR(AND($D1313=LataProjekcji,$F1313&gt;0),AND($D1313=LataProjekcji,$F1313=0,$E1314&lt;=10)),$F1314,IF($D1313&lt;LataProjekcji,IF((SUM($K1315:W1315)+$D1315)&lt;$D1314,$D1315,$D1314-SUM($K1315:W1315)),0)),0)</f>
        <v>0</v>
      </c>
    </row>
    <row r="1316" spans="1:24" hidden="1">
      <c r="A1316" s="328"/>
      <c r="B1316" s="21" t="s">
        <v>416</v>
      </c>
      <c r="C1316" s="21"/>
      <c r="D1316" s="22"/>
      <c r="E1316" s="21"/>
      <c r="F1316" s="21"/>
      <c r="G1316" s="21"/>
      <c r="H1316" s="21"/>
      <c r="I1316" s="21"/>
      <c r="J1316" s="21"/>
      <c r="K1316" s="22">
        <f ca="1">ROUND(K1315,0)</f>
        <v>0</v>
      </c>
      <c r="L1316" s="22">
        <f t="shared" ref="L1316:X1316" ca="1" si="1255">ROUND(K1316+L1315,0)</f>
        <v>0</v>
      </c>
      <c r="M1316" s="22">
        <f t="shared" ca="1" si="1255"/>
        <v>0</v>
      </c>
      <c r="N1316" s="22">
        <f t="shared" ca="1" si="1255"/>
        <v>0</v>
      </c>
      <c r="O1316" s="22">
        <f t="shared" ca="1" si="1255"/>
        <v>0</v>
      </c>
      <c r="P1316" s="22">
        <f t="shared" ca="1" si="1255"/>
        <v>0</v>
      </c>
      <c r="Q1316" s="22">
        <f t="shared" ca="1" si="1255"/>
        <v>0</v>
      </c>
      <c r="R1316" s="22">
        <f t="shared" ca="1" si="1255"/>
        <v>0</v>
      </c>
      <c r="S1316" s="22">
        <f t="shared" ca="1" si="1255"/>
        <v>0</v>
      </c>
      <c r="T1316" s="22">
        <f t="shared" ca="1" si="1255"/>
        <v>0</v>
      </c>
      <c r="U1316" s="22">
        <f t="shared" ca="1" si="1255"/>
        <v>0</v>
      </c>
      <c r="V1316" s="22">
        <f t="shared" ca="1" si="1255"/>
        <v>0</v>
      </c>
      <c r="W1316" s="22">
        <f t="shared" ca="1" si="1255"/>
        <v>0</v>
      </c>
      <c r="X1316" s="22">
        <f t="shared" ca="1" si="1255"/>
        <v>0</v>
      </c>
    </row>
    <row r="1317" spans="1:24" hidden="1">
      <c r="A1317" s="328"/>
      <c r="B1317" s="21" t="s">
        <v>406</v>
      </c>
      <c r="C1317" s="21"/>
      <c r="D1317" s="22"/>
      <c r="E1317" s="21"/>
      <c r="F1317" s="21"/>
      <c r="G1317" s="21"/>
      <c r="H1317" s="21"/>
      <c r="I1317" s="21"/>
      <c r="J1317" s="21"/>
      <c r="K1317" s="77">
        <f ca="1">IF($D1313=LataProjekcji,ROUND($D1314-K1316,0),ROUND(IF(K1315=0,0,$D1314-K1316),0))</f>
        <v>0</v>
      </c>
      <c r="L1317" s="254">
        <f t="shared" ref="L1317:X1317" ca="1" si="1256">IF($D1313=LataProjekcji,ROUND($D1314-L1316,0),ROUND(IF(AND(L1315=0,K1317&gt;0),$D1314-L1316,IF(L1315=0,0,$D1314-L1316)),0))</f>
        <v>0</v>
      </c>
      <c r="M1317" s="254">
        <f t="shared" ca="1" si="1256"/>
        <v>0</v>
      </c>
      <c r="N1317" s="254">
        <f t="shared" ca="1" si="1256"/>
        <v>0</v>
      </c>
      <c r="O1317" s="254">
        <f t="shared" ca="1" si="1256"/>
        <v>0</v>
      </c>
      <c r="P1317" s="254">
        <f t="shared" ca="1" si="1256"/>
        <v>0</v>
      </c>
      <c r="Q1317" s="254">
        <f t="shared" ca="1" si="1256"/>
        <v>0</v>
      </c>
      <c r="R1317" s="254">
        <f t="shared" ca="1" si="1256"/>
        <v>0</v>
      </c>
      <c r="S1317" s="254">
        <f t="shared" ca="1" si="1256"/>
        <v>0</v>
      </c>
      <c r="T1317" s="254">
        <f t="shared" ca="1" si="1256"/>
        <v>0</v>
      </c>
      <c r="U1317" s="254">
        <f t="shared" ca="1" si="1256"/>
        <v>0</v>
      </c>
      <c r="V1317" s="254">
        <f t="shared" ca="1" si="1256"/>
        <v>0</v>
      </c>
      <c r="W1317" s="254">
        <f t="shared" ca="1" si="1256"/>
        <v>0</v>
      </c>
      <c r="X1317" s="254">
        <f t="shared" ca="1" si="1256"/>
        <v>0</v>
      </c>
    </row>
    <row r="1318" spans="1:24" hidden="1">
      <c r="A1318" s="328"/>
      <c r="B1318" s="21"/>
      <c r="C1318" s="21"/>
      <c r="D1318" s="21"/>
      <c r="E1318" s="21"/>
      <c r="F1318" s="21"/>
      <c r="G1318" s="21"/>
      <c r="H1318" s="404">
        <f>H1311+1</f>
        <v>5</v>
      </c>
      <c r="I1318" s="483" cm="1">
        <f t="array" aca="1" ref="I1318" ca="1">OFFSET('Środki trwałe'!$C$269,H1318,,)</f>
        <v>0</v>
      </c>
      <c r="J1318" s="404" t="s">
        <v>427</v>
      </c>
      <c r="K1318" s="405">
        <f t="shared" ref="K1318:X1318" ca="1" si="1257">IF(AND(OFFSET($F$269,$D1312,0)="tak",OFFSET($G$269,$D1312,0)="tak",OFFSET($J$269,$D1312,0)="ok",LataProjekcji&lt;=Koniec_Projekt),ROUND(K1315*OFFSET($K$290,$H1318,(COLUMN()-11)),0),0)</f>
        <v>0</v>
      </c>
      <c r="L1318" s="405">
        <f t="shared" ca="1" si="1257"/>
        <v>0</v>
      </c>
      <c r="M1318" s="405">
        <f t="shared" ca="1" si="1257"/>
        <v>0</v>
      </c>
      <c r="N1318" s="405">
        <f t="shared" ca="1" si="1257"/>
        <v>0</v>
      </c>
      <c r="O1318" s="405">
        <f t="shared" ca="1" si="1257"/>
        <v>0</v>
      </c>
      <c r="P1318" s="405">
        <f t="shared" ca="1" si="1257"/>
        <v>0</v>
      </c>
      <c r="Q1318" s="405">
        <f t="shared" ca="1" si="1257"/>
        <v>0</v>
      </c>
      <c r="R1318" s="405">
        <f t="shared" ca="1" si="1257"/>
        <v>0</v>
      </c>
      <c r="S1318" s="405">
        <f t="shared" ca="1" si="1257"/>
        <v>0</v>
      </c>
      <c r="T1318" s="405">
        <f t="shared" ca="1" si="1257"/>
        <v>0</v>
      </c>
      <c r="U1318" s="405">
        <f t="shared" ca="1" si="1257"/>
        <v>0</v>
      </c>
      <c r="V1318" s="405">
        <f t="shared" ca="1" si="1257"/>
        <v>0</v>
      </c>
      <c r="W1318" s="405">
        <f t="shared" ca="1" si="1257"/>
        <v>0</v>
      </c>
      <c r="X1318" s="405">
        <f t="shared" ca="1" si="1257"/>
        <v>0</v>
      </c>
    </row>
    <row r="1319" spans="1:24" hidden="1">
      <c r="A1319" s="328"/>
      <c r="B1319" s="20">
        <f ca="1">OFFSET($B$269,D1319,0)</f>
        <v>0</v>
      </c>
      <c r="C1319" s="20"/>
      <c r="D1319" s="21">
        <f>D1312+1</f>
        <v>6</v>
      </c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</row>
    <row r="1320" spans="1:24" hidden="1">
      <c r="A1320" s="328"/>
      <c r="B1320" s="165" t="s">
        <v>425</v>
      </c>
      <c r="C1320" s="165"/>
      <c r="D1320" s="165">
        <f ca="1">YEAR(OFFSET($E$269,D1319,0))</f>
        <v>1900</v>
      </c>
      <c r="E1320" s="165">
        <f ca="1">MONTH(OFFSET($E$269,D1319,0))</f>
        <v>1</v>
      </c>
      <c r="F1320" s="21">
        <f ca="1">12-$E1320</f>
        <v>11</v>
      </c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</row>
    <row r="1321" spans="1:24" hidden="1">
      <c r="A1321" s="328"/>
      <c r="B1321" s="21" t="s">
        <v>406</v>
      </c>
      <c r="C1321" s="21"/>
      <c r="D1321" s="387">
        <f ca="1">IF(E1321&lt;0,0,ROUND(E1321,0))</f>
        <v>0</v>
      </c>
      <c r="E1321" s="249">
        <f ca="1">OFFSET($D$269,D1319,0)</f>
        <v>0</v>
      </c>
      <c r="F1321" s="387">
        <f ca="1">IF(E1321&gt;10,ROUND(($D1322/12)*$F1320,0),$D1321)</f>
        <v>0</v>
      </c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</row>
    <row r="1322" spans="1:24" hidden="1">
      <c r="A1322" s="328"/>
      <c r="B1322" s="21" t="s">
        <v>415</v>
      </c>
      <c r="C1322" s="21"/>
      <c r="D1322" s="387">
        <f ca="1">IF(ISBLANK(OFFSET($E$269,D1319,0)),0,IF(E1321&gt;10,ROUND(D1321*am_wnip,0),IF(D1321&lt;0,0,D1321)))</f>
        <v>0</v>
      </c>
      <c r="E1322" s="21"/>
      <c r="F1322" s="21"/>
      <c r="G1322" s="21"/>
      <c r="H1322" s="21"/>
      <c r="I1322" s="21"/>
      <c r="J1322" s="21"/>
      <c r="K1322" s="75">
        <f ca="1">ROUND(IF($D1320=LataProjekcji,$F1321,IF($D1320=LataProjekcji,$D1322,0)),0)</f>
        <v>0</v>
      </c>
      <c r="L1322" s="248">
        <f ca="1">ROUND(IF(OR(AND($D1320=LataProjekcji,$F1320&gt;0),AND($D1320=LataProjekcji,$F1320=0,$E1321&lt;=10)),$F1321,IF($D1320&lt;LataProjekcji,IF((SUM($K1322:K1322)+$D1322)&lt;$D1321,$D1322,$D1321-SUM($K1322:K1322)),0)),0)</f>
        <v>0</v>
      </c>
      <c r="M1322" s="248">
        <f ca="1">ROUND(IF(OR(AND($D1320=LataProjekcji,$F1320&gt;0),AND($D1320=LataProjekcji,$F1320=0,$E1321&lt;=10)),$F1321,IF($D1320&lt;LataProjekcji,IF((SUM($K1322:L1322)+$D1322)&lt;$D1321,$D1322,$D1321-SUM($K1322:L1322)),0)),0)</f>
        <v>0</v>
      </c>
      <c r="N1322" s="248">
        <f ca="1">ROUND(IF(OR(AND($D1320=LataProjekcji,$F1320&gt;0),AND($D1320=LataProjekcji,$F1320=0,$E1321&lt;=10)),$F1321,IF($D1320&lt;LataProjekcji,IF((SUM($K1322:M1322)+$D1322)&lt;$D1321,$D1322,$D1321-SUM($K1322:M1322)),0)),0)</f>
        <v>0</v>
      </c>
      <c r="O1322" s="248">
        <f ca="1">ROUND(IF(OR(AND($D1320=LataProjekcji,$F1320&gt;0),AND($D1320=LataProjekcji,$F1320=0,$E1321&lt;=10)),$F1321,IF($D1320&lt;LataProjekcji,IF((SUM($K1322:N1322)+$D1322)&lt;$D1321,$D1322,$D1321-SUM($K1322:N1322)),0)),0)</f>
        <v>0</v>
      </c>
      <c r="P1322" s="248">
        <f ca="1">ROUND(IF(OR(AND($D1320=LataProjekcji,$F1320&gt;0),AND($D1320=LataProjekcji,$F1320=0,$E1321&lt;=10)),$F1321,IF($D1320&lt;LataProjekcji,IF((SUM($K1322:O1322)+$D1322)&lt;$D1321,$D1322,$D1321-SUM($K1322:O1322)),0)),0)</f>
        <v>0</v>
      </c>
      <c r="Q1322" s="248">
        <f ca="1">ROUND(IF(OR(AND($D1320=LataProjekcji,$F1320&gt;0),AND($D1320=LataProjekcji,$F1320=0,$E1321&lt;=10)),$F1321,IF($D1320&lt;LataProjekcji,IF((SUM($K1322:P1322)+$D1322)&lt;$D1321,$D1322,$D1321-SUM($K1322:P1322)),0)),0)</f>
        <v>0</v>
      </c>
      <c r="R1322" s="248">
        <f ca="1">ROUND(IF(OR(AND($D1320=LataProjekcji,$F1320&gt;0),AND($D1320=LataProjekcji,$F1320=0,$E1321&lt;=10)),$F1321,IF($D1320&lt;LataProjekcji,IF((SUM($K1322:Q1322)+$D1322)&lt;$D1321,$D1322,$D1321-SUM($K1322:Q1322)),0)),0)</f>
        <v>0</v>
      </c>
      <c r="S1322" s="248">
        <f ca="1">ROUND(IF(OR(AND($D1320=LataProjekcji,$F1320&gt;0),AND($D1320=LataProjekcji,$F1320=0,$E1321&lt;=10)),$F1321,IF($D1320&lt;LataProjekcji,IF((SUM($K1322:R1322)+$D1322)&lt;$D1321,$D1322,$D1321-SUM($K1322:R1322)),0)),0)</f>
        <v>0</v>
      </c>
      <c r="T1322" s="248">
        <f ca="1">ROUND(IF(OR(AND($D1320=LataProjekcji,$F1320&gt;0),AND($D1320=LataProjekcji,$F1320=0,$E1321&lt;=10)),$F1321,IF($D1320&lt;LataProjekcji,IF((SUM($K1322:S1322)+$D1322)&lt;$D1321,$D1322,$D1321-SUM($K1322:S1322)),0)),0)</f>
        <v>0</v>
      </c>
      <c r="U1322" s="248">
        <f ca="1">ROUND(IF(OR(AND($D1320=LataProjekcji,$F1320&gt;0),AND($D1320=LataProjekcji,$F1320=0,$E1321&lt;=10)),$F1321,IF($D1320&lt;LataProjekcji,IF((SUM($K1322:T1322)+$D1322)&lt;$D1321,$D1322,$D1321-SUM($K1322:T1322)),0)),0)</f>
        <v>0</v>
      </c>
      <c r="V1322" s="248">
        <f ca="1">ROUND(IF(OR(AND($D1320=LataProjekcji,$F1320&gt;0),AND($D1320=LataProjekcji,$F1320=0,$E1321&lt;=10)),$F1321,IF($D1320&lt;LataProjekcji,IF((SUM($K1322:U1322)+$D1322)&lt;$D1321,$D1322,$D1321-SUM($K1322:U1322)),0)),0)</f>
        <v>0</v>
      </c>
      <c r="W1322" s="248">
        <f ca="1">ROUND(IF(OR(AND($D1320=LataProjekcji,$F1320&gt;0),AND($D1320=LataProjekcji,$F1320=0,$E1321&lt;=10)),$F1321,IF($D1320&lt;LataProjekcji,IF((SUM($K1322:V1322)+$D1322)&lt;$D1321,$D1322,$D1321-SUM($K1322:V1322)),0)),0)</f>
        <v>0</v>
      </c>
      <c r="X1322" s="248">
        <f ca="1">ROUND(IF(OR(AND($D1320=LataProjekcji,$F1320&gt;0),AND($D1320=LataProjekcji,$F1320=0,$E1321&lt;=10)),$F1321,IF($D1320&lt;LataProjekcji,IF((SUM($K1322:W1322)+$D1322)&lt;$D1321,$D1322,$D1321-SUM($K1322:W1322)),0)),0)</f>
        <v>0</v>
      </c>
    </row>
    <row r="1323" spans="1:24" hidden="1">
      <c r="A1323" s="328"/>
      <c r="B1323" s="21" t="s">
        <v>416</v>
      </c>
      <c r="C1323" s="21"/>
      <c r="D1323" s="22"/>
      <c r="E1323" s="21"/>
      <c r="F1323" s="21"/>
      <c r="G1323" s="21"/>
      <c r="H1323" s="21"/>
      <c r="I1323" s="21"/>
      <c r="J1323" s="21"/>
      <c r="K1323" s="22">
        <f ca="1">ROUND(K1322,0)</f>
        <v>0</v>
      </c>
      <c r="L1323" s="22">
        <f t="shared" ref="L1323:X1323" ca="1" si="1258">ROUND(K1323+L1322,0)</f>
        <v>0</v>
      </c>
      <c r="M1323" s="22">
        <f t="shared" ca="1" si="1258"/>
        <v>0</v>
      </c>
      <c r="N1323" s="22">
        <f t="shared" ca="1" si="1258"/>
        <v>0</v>
      </c>
      <c r="O1323" s="22">
        <f t="shared" ca="1" si="1258"/>
        <v>0</v>
      </c>
      <c r="P1323" s="22">
        <f t="shared" ca="1" si="1258"/>
        <v>0</v>
      </c>
      <c r="Q1323" s="22">
        <f t="shared" ca="1" si="1258"/>
        <v>0</v>
      </c>
      <c r="R1323" s="22">
        <f t="shared" ca="1" si="1258"/>
        <v>0</v>
      </c>
      <c r="S1323" s="22">
        <f t="shared" ca="1" si="1258"/>
        <v>0</v>
      </c>
      <c r="T1323" s="22">
        <f t="shared" ca="1" si="1258"/>
        <v>0</v>
      </c>
      <c r="U1323" s="22">
        <f t="shared" ca="1" si="1258"/>
        <v>0</v>
      </c>
      <c r="V1323" s="22">
        <f t="shared" ca="1" si="1258"/>
        <v>0</v>
      </c>
      <c r="W1323" s="22">
        <f t="shared" ca="1" si="1258"/>
        <v>0</v>
      </c>
      <c r="X1323" s="22">
        <f t="shared" ca="1" si="1258"/>
        <v>0</v>
      </c>
    </row>
    <row r="1324" spans="1:24" hidden="1">
      <c r="A1324" s="328"/>
      <c r="B1324" s="21" t="s">
        <v>406</v>
      </c>
      <c r="C1324" s="21"/>
      <c r="D1324" s="22"/>
      <c r="E1324" s="21"/>
      <c r="F1324" s="21"/>
      <c r="G1324" s="21"/>
      <c r="H1324" s="21"/>
      <c r="I1324" s="21"/>
      <c r="J1324" s="21"/>
      <c r="K1324" s="77">
        <f ca="1">IF($D1320=LataProjekcji,ROUND($D1321-K1323,0),ROUND(IF(K1322=0,0,$D1321-K1323),0))</f>
        <v>0</v>
      </c>
      <c r="L1324" s="254">
        <f t="shared" ref="L1324:X1324" ca="1" si="1259">IF($D1320=LataProjekcji,ROUND($D1321-L1323,0),ROUND(IF(AND(L1322=0,K1324&gt;0),$D1321-L1323,IF(L1322=0,0,$D1321-L1323)),0))</f>
        <v>0</v>
      </c>
      <c r="M1324" s="254">
        <f t="shared" ca="1" si="1259"/>
        <v>0</v>
      </c>
      <c r="N1324" s="254">
        <f t="shared" ca="1" si="1259"/>
        <v>0</v>
      </c>
      <c r="O1324" s="254">
        <f t="shared" ca="1" si="1259"/>
        <v>0</v>
      </c>
      <c r="P1324" s="254">
        <f t="shared" ca="1" si="1259"/>
        <v>0</v>
      </c>
      <c r="Q1324" s="254">
        <f t="shared" ca="1" si="1259"/>
        <v>0</v>
      </c>
      <c r="R1324" s="254">
        <f t="shared" ca="1" si="1259"/>
        <v>0</v>
      </c>
      <c r="S1324" s="254">
        <f t="shared" ca="1" si="1259"/>
        <v>0</v>
      </c>
      <c r="T1324" s="254">
        <f t="shared" ca="1" si="1259"/>
        <v>0</v>
      </c>
      <c r="U1324" s="254">
        <f t="shared" ca="1" si="1259"/>
        <v>0</v>
      </c>
      <c r="V1324" s="254">
        <f t="shared" ca="1" si="1259"/>
        <v>0</v>
      </c>
      <c r="W1324" s="254">
        <f t="shared" ca="1" si="1259"/>
        <v>0</v>
      </c>
      <c r="X1324" s="254">
        <f t="shared" ca="1" si="1259"/>
        <v>0</v>
      </c>
    </row>
    <row r="1325" spans="1:24" hidden="1">
      <c r="A1325" s="328"/>
      <c r="B1325" s="21"/>
      <c r="C1325" s="21"/>
      <c r="D1325" s="21"/>
      <c r="E1325" s="21"/>
      <c r="F1325" s="21"/>
      <c r="G1325" s="21"/>
      <c r="H1325" s="404">
        <f>H1318+1</f>
        <v>6</v>
      </c>
      <c r="I1325" s="483" cm="1">
        <f t="array" aca="1" ref="I1325" ca="1">OFFSET('Środki trwałe'!$C$269,H1325,,)</f>
        <v>0</v>
      </c>
      <c r="J1325" s="404" t="s">
        <v>427</v>
      </c>
      <c r="K1325" s="405">
        <f t="shared" ref="K1325:X1325" ca="1" si="1260">IF(AND(OFFSET($F$269,$D1319,0)="tak",OFFSET($G$269,$D1319,0)="tak",OFFSET($J$269,$D1319,0)="ok",LataProjekcji&lt;=Koniec_Projekt),ROUND(K1322*OFFSET($K$290,$H1325,(COLUMN()-11)),0),0)</f>
        <v>0</v>
      </c>
      <c r="L1325" s="405">
        <f t="shared" ca="1" si="1260"/>
        <v>0</v>
      </c>
      <c r="M1325" s="405">
        <f t="shared" ca="1" si="1260"/>
        <v>0</v>
      </c>
      <c r="N1325" s="405">
        <f t="shared" ca="1" si="1260"/>
        <v>0</v>
      </c>
      <c r="O1325" s="405">
        <f t="shared" ca="1" si="1260"/>
        <v>0</v>
      </c>
      <c r="P1325" s="405">
        <f t="shared" ca="1" si="1260"/>
        <v>0</v>
      </c>
      <c r="Q1325" s="405">
        <f t="shared" ca="1" si="1260"/>
        <v>0</v>
      </c>
      <c r="R1325" s="405">
        <f t="shared" ca="1" si="1260"/>
        <v>0</v>
      </c>
      <c r="S1325" s="405">
        <f t="shared" ca="1" si="1260"/>
        <v>0</v>
      </c>
      <c r="T1325" s="405">
        <f t="shared" ca="1" si="1260"/>
        <v>0</v>
      </c>
      <c r="U1325" s="405">
        <f t="shared" ca="1" si="1260"/>
        <v>0</v>
      </c>
      <c r="V1325" s="405">
        <f t="shared" ca="1" si="1260"/>
        <v>0</v>
      </c>
      <c r="W1325" s="405">
        <f t="shared" ca="1" si="1260"/>
        <v>0</v>
      </c>
      <c r="X1325" s="405">
        <f t="shared" ca="1" si="1260"/>
        <v>0</v>
      </c>
    </row>
    <row r="1326" spans="1:24" hidden="1">
      <c r="A1326" s="328"/>
      <c r="B1326" s="20">
        <f ca="1">OFFSET($B$269,D1326,0)</f>
        <v>0</v>
      </c>
      <c r="C1326" s="20"/>
      <c r="D1326" s="21">
        <f>D1319+1</f>
        <v>7</v>
      </c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</row>
    <row r="1327" spans="1:24" hidden="1">
      <c r="A1327" s="328"/>
      <c r="B1327" s="165" t="s">
        <v>425</v>
      </c>
      <c r="C1327" s="165"/>
      <c r="D1327" s="165">
        <f ca="1">YEAR(OFFSET($E$269,D1326,0))</f>
        <v>1900</v>
      </c>
      <c r="E1327" s="165">
        <f ca="1">MONTH(OFFSET($E$269,D1326,0))</f>
        <v>1</v>
      </c>
      <c r="F1327" s="21">
        <f ca="1">12-$E1327</f>
        <v>11</v>
      </c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</row>
    <row r="1328" spans="1:24" hidden="1">
      <c r="A1328" s="328"/>
      <c r="B1328" s="21" t="s">
        <v>406</v>
      </c>
      <c r="C1328" s="21"/>
      <c r="D1328" s="387">
        <f ca="1">IF(E1328&lt;0,0,ROUND(E1328,0))</f>
        <v>0</v>
      </c>
      <c r="E1328" s="249">
        <f ca="1">OFFSET($D$269,D1326,0)</f>
        <v>0</v>
      </c>
      <c r="F1328" s="387">
        <f ca="1">IF(E1328&gt;10,ROUND(($D1329/12)*$F1327,0),$D1328)</f>
        <v>0</v>
      </c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</row>
    <row r="1329" spans="1:24" hidden="1">
      <c r="A1329" s="328"/>
      <c r="B1329" s="21" t="s">
        <v>415</v>
      </c>
      <c r="C1329" s="21"/>
      <c r="D1329" s="387">
        <f ca="1">IF(ISBLANK(OFFSET($E$269,D1326,0)),0,IF(E1328&gt;10,ROUND(D1328*am_wnip,0),IF(D1328&lt;0,0,D1328)))</f>
        <v>0</v>
      </c>
      <c r="E1329" s="21"/>
      <c r="F1329" s="21"/>
      <c r="G1329" s="21"/>
      <c r="H1329" s="21"/>
      <c r="I1329" s="21"/>
      <c r="J1329" s="21"/>
      <c r="K1329" s="75">
        <f ca="1">ROUND(IF($D1327=LataProjekcji,$F1328,IF($D1327=LataProjekcji,$D1329,0)),0)</f>
        <v>0</v>
      </c>
      <c r="L1329" s="248">
        <f ca="1">ROUND(IF(OR(AND($D1327=LataProjekcji,$F1327&gt;0),AND($D1327=LataProjekcji,$F1327=0,$E1328&lt;=10)),$F1328,IF($D1327&lt;LataProjekcji,IF((SUM($K1329:K1329)+$D1329)&lt;$D1328,$D1329,$D1328-SUM($K1329:K1329)),0)),0)</f>
        <v>0</v>
      </c>
      <c r="M1329" s="248">
        <f ca="1">ROUND(IF(OR(AND($D1327=LataProjekcji,$F1327&gt;0),AND($D1327=LataProjekcji,$F1327=0,$E1328&lt;=10)),$F1328,IF($D1327&lt;LataProjekcji,IF((SUM($K1329:L1329)+$D1329)&lt;$D1328,$D1329,$D1328-SUM($K1329:L1329)),0)),0)</f>
        <v>0</v>
      </c>
      <c r="N1329" s="248">
        <f ca="1">ROUND(IF(OR(AND($D1327=LataProjekcji,$F1327&gt;0),AND($D1327=LataProjekcji,$F1327=0,$E1328&lt;=10)),$F1328,IF($D1327&lt;LataProjekcji,IF((SUM($K1329:M1329)+$D1329)&lt;$D1328,$D1329,$D1328-SUM($K1329:M1329)),0)),0)</f>
        <v>0</v>
      </c>
      <c r="O1329" s="248">
        <f ca="1">ROUND(IF(OR(AND($D1327=LataProjekcji,$F1327&gt;0),AND($D1327=LataProjekcji,$F1327=0,$E1328&lt;=10)),$F1328,IF($D1327&lt;LataProjekcji,IF((SUM($K1329:N1329)+$D1329)&lt;$D1328,$D1329,$D1328-SUM($K1329:N1329)),0)),0)</f>
        <v>0</v>
      </c>
      <c r="P1329" s="248">
        <f ca="1">ROUND(IF(OR(AND($D1327=LataProjekcji,$F1327&gt;0),AND($D1327=LataProjekcji,$F1327=0,$E1328&lt;=10)),$F1328,IF($D1327&lt;LataProjekcji,IF((SUM($K1329:O1329)+$D1329)&lt;$D1328,$D1329,$D1328-SUM($K1329:O1329)),0)),0)</f>
        <v>0</v>
      </c>
      <c r="Q1329" s="248">
        <f ca="1">ROUND(IF(OR(AND($D1327=LataProjekcji,$F1327&gt;0),AND($D1327=LataProjekcji,$F1327=0,$E1328&lt;=10)),$F1328,IF($D1327&lt;LataProjekcji,IF((SUM($K1329:P1329)+$D1329)&lt;$D1328,$D1329,$D1328-SUM($K1329:P1329)),0)),0)</f>
        <v>0</v>
      </c>
      <c r="R1329" s="248">
        <f ca="1">ROUND(IF(OR(AND($D1327=LataProjekcji,$F1327&gt;0),AND($D1327=LataProjekcji,$F1327=0,$E1328&lt;=10)),$F1328,IF($D1327&lt;LataProjekcji,IF((SUM($K1329:Q1329)+$D1329)&lt;$D1328,$D1329,$D1328-SUM($K1329:Q1329)),0)),0)</f>
        <v>0</v>
      </c>
      <c r="S1329" s="248">
        <f ca="1">ROUND(IF(OR(AND($D1327=LataProjekcji,$F1327&gt;0),AND($D1327=LataProjekcji,$F1327=0,$E1328&lt;=10)),$F1328,IF($D1327&lt;LataProjekcji,IF((SUM($K1329:R1329)+$D1329)&lt;$D1328,$D1329,$D1328-SUM($K1329:R1329)),0)),0)</f>
        <v>0</v>
      </c>
      <c r="T1329" s="248">
        <f ca="1">ROUND(IF(OR(AND($D1327=LataProjekcji,$F1327&gt;0),AND($D1327=LataProjekcji,$F1327=0,$E1328&lt;=10)),$F1328,IF($D1327&lt;LataProjekcji,IF((SUM($K1329:S1329)+$D1329)&lt;$D1328,$D1329,$D1328-SUM($K1329:S1329)),0)),0)</f>
        <v>0</v>
      </c>
      <c r="U1329" s="248">
        <f ca="1">ROUND(IF(OR(AND($D1327=LataProjekcji,$F1327&gt;0),AND($D1327=LataProjekcji,$F1327=0,$E1328&lt;=10)),$F1328,IF($D1327&lt;LataProjekcji,IF((SUM($K1329:T1329)+$D1329)&lt;$D1328,$D1329,$D1328-SUM($K1329:T1329)),0)),0)</f>
        <v>0</v>
      </c>
      <c r="V1329" s="248">
        <f ca="1">ROUND(IF(OR(AND($D1327=LataProjekcji,$F1327&gt;0),AND($D1327=LataProjekcji,$F1327=0,$E1328&lt;=10)),$F1328,IF($D1327&lt;LataProjekcji,IF((SUM($K1329:U1329)+$D1329)&lt;$D1328,$D1329,$D1328-SUM($K1329:U1329)),0)),0)</f>
        <v>0</v>
      </c>
      <c r="W1329" s="248">
        <f ca="1">ROUND(IF(OR(AND($D1327=LataProjekcji,$F1327&gt;0),AND($D1327=LataProjekcji,$F1327=0,$E1328&lt;=10)),$F1328,IF($D1327&lt;LataProjekcji,IF((SUM($K1329:V1329)+$D1329)&lt;$D1328,$D1329,$D1328-SUM($K1329:V1329)),0)),0)</f>
        <v>0</v>
      </c>
      <c r="X1329" s="248">
        <f ca="1">ROUND(IF(OR(AND($D1327=LataProjekcji,$F1327&gt;0),AND($D1327=LataProjekcji,$F1327=0,$E1328&lt;=10)),$F1328,IF($D1327&lt;LataProjekcji,IF((SUM($K1329:W1329)+$D1329)&lt;$D1328,$D1329,$D1328-SUM($K1329:W1329)),0)),0)</f>
        <v>0</v>
      </c>
    </row>
    <row r="1330" spans="1:24" hidden="1">
      <c r="A1330" s="328"/>
      <c r="B1330" s="21" t="s">
        <v>416</v>
      </c>
      <c r="C1330" s="21"/>
      <c r="D1330" s="22"/>
      <c r="E1330" s="21"/>
      <c r="F1330" s="21"/>
      <c r="G1330" s="21"/>
      <c r="H1330" s="21"/>
      <c r="I1330" s="21"/>
      <c r="J1330" s="21"/>
      <c r="K1330" s="22">
        <f ca="1">ROUND(K1329,0)</f>
        <v>0</v>
      </c>
      <c r="L1330" s="22">
        <f t="shared" ref="L1330:X1330" ca="1" si="1261">ROUND(K1330+L1329,0)</f>
        <v>0</v>
      </c>
      <c r="M1330" s="22">
        <f t="shared" ca="1" si="1261"/>
        <v>0</v>
      </c>
      <c r="N1330" s="22">
        <f t="shared" ca="1" si="1261"/>
        <v>0</v>
      </c>
      <c r="O1330" s="22">
        <f t="shared" ca="1" si="1261"/>
        <v>0</v>
      </c>
      <c r="P1330" s="22">
        <f t="shared" ca="1" si="1261"/>
        <v>0</v>
      </c>
      <c r="Q1330" s="22">
        <f t="shared" ca="1" si="1261"/>
        <v>0</v>
      </c>
      <c r="R1330" s="22">
        <f t="shared" ca="1" si="1261"/>
        <v>0</v>
      </c>
      <c r="S1330" s="22">
        <f t="shared" ca="1" si="1261"/>
        <v>0</v>
      </c>
      <c r="T1330" s="22">
        <f t="shared" ca="1" si="1261"/>
        <v>0</v>
      </c>
      <c r="U1330" s="22">
        <f t="shared" ca="1" si="1261"/>
        <v>0</v>
      </c>
      <c r="V1330" s="22">
        <f t="shared" ca="1" si="1261"/>
        <v>0</v>
      </c>
      <c r="W1330" s="22">
        <f t="shared" ca="1" si="1261"/>
        <v>0</v>
      </c>
      <c r="X1330" s="22">
        <f t="shared" ca="1" si="1261"/>
        <v>0</v>
      </c>
    </row>
    <row r="1331" spans="1:24" hidden="1">
      <c r="A1331" s="328"/>
      <c r="B1331" s="21" t="s">
        <v>406</v>
      </c>
      <c r="C1331" s="21"/>
      <c r="D1331" s="22"/>
      <c r="E1331" s="21"/>
      <c r="F1331" s="21"/>
      <c r="G1331" s="21"/>
      <c r="H1331" s="21"/>
      <c r="I1331" s="21"/>
      <c r="J1331" s="21"/>
      <c r="K1331" s="77">
        <f ca="1">IF($D1327=LataProjekcji,ROUND($D1328-K1330,0),ROUND(IF(K1329=0,0,$D1328-K1330),0))</f>
        <v>0</v>
      </c>
      <c r="L1331" s="254">
        <f t="shared" ref="L1331:X1331" ca="1" si="1262">IF($D1327=LataProjekcji,ROUND($D1328-L1330,0),ROUND(IF(AND(L1329=0,K1331&gt;0),$D1328-L1330,IF(L1329=0,0,$D1328-L1330)),0))</f>
        <v>0</v>
      </c>
      <c r="M1331" s="254">
        <f t="shared" ca="1" si="1262"/>
        <v>0</v>
      </c>
      <c r="N1331" s="254">
        <f t="shared" ca="1" si="1262"/>
        <v>0</v>
      </c>
      <c r="O1331" s="254">
        <f t="shared" ca="1" si="1262"/>
        <v>0</v>
      </c>
      <c r="P1331" s="254">
        <f t="shared" ca="1" si="1262"/>
        <v>0</v>
      </c>
      <c r="Q1331" s="254">
        <f t="shared" ca="1" si="1262"/>
        <v>0</v>
      </c>
      <c r="R1331" s="254">
        <f t="shared" ca="1" si="1262"/>
        <v>0</v>
      </c>
      <c r="S1331" s="254">
        <f t="shared" ca="1" si="1262"/>
        <v>0</v>
      </c>
      <c r="T1331" s="254">
        <f t="shared" ca="1" si="1262"/>
        <v>0</v>
      </c>
      <c r="U1331" s="254">
        <f t="shared" ca="1" si="1262"/>
        <v>0</v>
      </c>
      <c r="V1331" s="254">
        <f t="shared" ca="1" si="1262"/>
        <v>0</v>
      </c>
      <c r="W1331" s="254">
        <f t="shared" ca="1" si="1262"/>
        <v>0</v>
      </c>
      <c r="X1331" s="254">
        <f t="shared" ca="1" si="1262"/>
        <v>0</v>
      </c>
    </row>
    <row r="1332" spans="1:24" hidden="1">
      <c r="A1332" s="328"/>
      <c r="B1332" s="21"/>
      <c r="C1332" s="21"/>
      <c r="D1332" s="21"/>
      <c r="E1332" s="21"/>
      <c r="F1332" s="21"/>
      <c r="G1332" s="21"/>
      <c r="H1332" s="404">
        <f>H1325+1</f>
        <v>7</v>
      </c>
      <c r="I1332" s="483" cm="1">
        <f t="array" aca="1" ref="I1332" ca="1">OFFSET('Środki trwałe'!$C$269,H1332,,)</f>
        <v>0</v>
      </c>
      <c r="J1332" s="404" t="s">
        <v>427</v>
      </c>
      <c r="K1332" s="405">
        <f t="shared" ref="K1332:X1332" ca="1" si="1263">IF(AND(OFFSET($F$269,$D1326,0)="tak",OFFSET($G$269,$D1326,0)="tak",OFFSET($J$269,$D1326,0)="ok",LataProjekcji&lt;=Koniec_Projekt),ROUND(K1329*OFFSET($K$290,$H1332,(COLUMN()-11)),0),0)</f>
        <v>0</v>
      </c>
      <c r="L1332" s="405">
        <f t="shared" ca="1" si="1263"/>
        <v>0</v>
      </c>
      <c r="M1332" s="405">
        <f t="shared" ca="1" si="1263"/>
        <v>0</v>
      </c>
      <c r="N1332" s="405">
        <f t="shared" ca="1" si="1263"/>
        <v>0</v>
      </c>
      <c r="O1332" s="405">
        <f t="shared" ca="1" si="1263"/>
        <v>0</v>
      </c>
      <c r="P1332" s="405">
        <f t="shared" ca="1" si="1263"/>
        <v>0</v>
      </c>
      <c r="Q1332" s="405">
        <f t="shared" ca="1" si="1263"/>
        <v>0</v>
      </c>
      <c r="R1332" s="405">
        <f t="shared" ca="1" si="1263"/>
        <v>0</v>
      </c>
      <c r="S1332" s="405">
        <f t="shared" ca="1" si="1263"/>
        <v>0</v>
      </c>
      <c r="T1332" s="405">
        <f t="shared" ca="1" si="1263"/>
        <v>0</v>
      </c>
      <c r="U1332" s="405">
        <f t="shared" ca="1" si="1263"/>
        <v>0</v>
      </c>
      <c r="V1332" s="405">
        <f t="shared" ca="1" si="1263"/>
        <v>0</v>
      </c>
      <c r="W1332" s="405">
        <f t="shared" ca="1" si="1263"/>
        <v>0</v>
      </c>
      <c r="X1332" s="405">
        <f t="shared" ca="1" si="1263"/>
        <v>0</v>
      </c>
    </row>
    <row r="1333" spans="1:24" hidden="1">
      <c r="A1333" s="328"/>
      <c r="B1333" s="20">
        <f ca="1">OFFSET($B$269,D1333,0)</f>
        <v>0</v>
      </c>
      <c r="C1333" s="20"/>
      <c r="D1333" s="21">
        <f>D1326+1</f>
        <v>8</v>
      </c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</row>
    <row r="1334" spans="1:24" hidden="1">
      <c r="A1334" s="328"/>
      <c r="B1334" s="165" t="s">
        <v>425</v>
      </c>
      <c r="C1334" s="165"/>
      <c r="D1334" s="165">
        <f ca="1">YEAR(OFFSET($E$269,D1333,0))</f>
        <v>1900</v>
      </c>
      <c r="E1334" s="165">
        <f ca="1">MONTH(OFFSET($E$269,D1333,0))</f>
        <v>1</v>
      </c>
      <c r="F1334" s="21">
        <f ca="1">12-$E1334</f>
        <v>11</v>
      </c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</row>
    <row r="1335" spans="1:24" hidden="1">
      <c r="A1335" s="328"/>
      <c r="B1335" s="21" t="s">
        <v>406</v>
      </c>
      <c r="C1335" s="21"/>
      <c r="D1335" s="387">
        <f ca="1">IF(E1335&lt;0,0,ROUND(E1335,0))</f>
        <v>0</v>
      </c>
      <c r="E1335" s="249">
        <f ca="1">OFFSET($D$269,D1333,0)</f>
        <v>0</v>
      </c>
      <c r="F1335" s="387">
        <f ca="1">IF(E1335&gt;10,ROUND(($D1336/12)*$F1334,0),$D1335)</f>
        <v>0</v>
      </c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</row>
    <row r="1336" spans="1:24" hidden="1">
      <c r="A1336" s="328"/>
      <c r="B1336" s="21" t="s">
        <v>415</v>
      </c>
      <c r="C1336" s="21"/>
      <c r="D1336" s="387">
        <f ca="1">IF(ISBLANK(OFFSET($E$269,D1333,0)),0,IF(E1335&gt;10,ROUND(D1335*am_wnip,0),IF(D1335&lt;0,0,D1335)))</f>
        <v>0</v>
      </c>
      <c r="E1336" s="21"/>
      <c r="F1336" s="21"/>
      <c r="G1336" s="21"/>
      <c r="H1336" s="21"/>
      <c r="I1336" s="21"/>
      <c r="J1336" s="21"/>
      <c r="K1336" s="75">
        <f ca="1">ROUND(IF($D1334=LataProjekcji,$F1335,IF($D1334=LataProjekcji,$D1336,0)),0)</f>
        <v>0</v>
      </c>
      <c r="L1336" s="248">
        <f ca="1">ROUND(IF(OR(AND($D1334=LataProjekcji,$F1334&gt;0),AND($D1334=LataProjekcji,$F1334=0,$E1335&lt;=10)),$F1335,IF($D1334&lt;LataProjekcji,IF((SUM($K1336:K1336)+$D1336)&lt;$D1335,$D1336,$D1335-SUM($K1336:K1336)),0)),0)</f>
        <v>0</v>
      </c>
      <c r="M1336" s="248">
        <f ca="1">ROUND(IF(OR(AND($D1334=LataProjekcji,$F1334&gt;0),AND($D1334=LataProjekcji,$F1334=0,$E1335&lt;=10)),$F1335,IF($D1334&lt;LataProjekcji,IF((SUM($K1336:L1336)+$D1336)&lt;$D1335,$D1336,$D1335-SUM($K1336:L1336)),0)),0)</f>
        <v>0</v>
      </c>
      <c r="N1336" s="248">
        <f ca="1">ROUND(IF(OR(AND($D1334=LataProjekcji,$F1334&gt;0),AND($D1334=LataProjekcji,$F1334=0,$E1335&lt;=10)),$F1335,IF($D1334&lt;LataProjekcji,IF((SUM($K1336:M1336)+$D1336)&lt;$D1335,$D1336,$D1335-SUM($K1336:M1336)),0)),0)</f>
        <v>0</v>
      </c>
      <c r="O1336" s="248">
        <f ca="1">ROUND(IF(OR(AND($D1334=LataProjekcji,$F1334&gt;0),AND($D1334=LataProjekcji,$F1334=0,$E1335&lt;=10)),$F1335,IF($D1334&lt;LataProjekcji,IF((SUM($K1336:N1336)+$D1336)&lt;$D1335,$D1336,$D1335-SUM($K1336:N1336)),0)),0)</f>
        <v>0</v>
      </c>
      <c r="P1336" s="248">
        <f ca="1">ROUND(IF(OR(AND($D1334=LataProjekcji,$F1334&gt;0),AND($D1334=LataProjekcji,$F1334=0,$E1335&lt;=10)),$F1335,IF($D1334&lt;LataProjekcji,IF((SUM($K1336:O1336)+$D1336)&lt;$D1335,$D1336,$D1335-SUM($K1336:O1336)),0)),0)</f>
        <v>0</v>
      </c>
      <c r="Q1336" s="248">
        <f ca="1">ROUND(IF(OR(AND($D1334=LataProjekcji,$F1334&gt;0),AND($D1334=LataProjekcji,$F1334=0,$E1335&lt;=10)),$F1335,IF($D1334&lt;LataProjekcji,IF((SUM($K1336:P1336)+$D1336)&lt;$D1335,$D1336,$D1335-SUM($K1336:P1336)),0)),0)</f>
        <v>0</v>
      </c>
      <c r="R1336" s="248">
        <f ca="1">ROUND(IF(OR(AND($D1334=LataProjekcji,$F1334&gt;0),AND($D1334=LataProjekcji,$F1334=0,$E1335&lt;=10)),$F1335,IF($D1334&lt;LataProjekcji,IF((SUM($K1336:Q1336)+$D1336)&lt;$D1335,$D1336,$D1335-SUM($K1336:Q1336)),0)),0)</f>
        <v>0</v>
      </c>
      <c r="S1336" s="248">
        <f ca="1">ROUND(IF(OR(AND($D1334=LataProjekcji,$F1334&gt;0),AND($D1334=LataProjekcji,$F1334=0,$E1335&lt;=10)),$F1335,IF($D1334&lt;LataProjekcji,IF((SUM($K1336:R1336)+$D1336)&lt;$D1335,$D1336,$D1335-SUM($K1336:R1336)),0)),0)</f>
        <v>0</v>
      </c>
      <c r="T1336" s="248">
        <f ca="1">ROUND(IF(OR(AND($D1334=LataProjekcji,$F1334&gt;0),AND($D1334=LataProjekcji,$F1334=0,$E1335&lt;=10)),$F1335,IF($D1334&lt;LataProjekcji,IF((SUM($K1336:S1336)+$D1336)&lt;$D1335,$D1336,$D1335-SUM($K1336:S1336)),0)),0)</f>
        <v>0</v>
      </c>
      <c r="U1336" s="248">
        <f ca="1">ROUND(IF(OR(AND($D1334=LataProjekcji,$F1334&gt;0),AND($D1334=LataProjekcji,$F1334=0,$E1335&lt;=10)),$F1335,IF($D1334&lt;LataProjekcji,IF((SUM($K1336:T1336)+$D1336)&lt;$D1335,$D1336,$D1335-SUM($K1336:T1336)),0)),0)</f>
        <v>0</v>
      </c>
      <c r="V1336" s="248">
        <f ca="1">ROUND(IF(OR(AND($D1334=LataProjekcji,$F1334&gt;0),AND($D1334=LataProjekcji,$F1334=0,$E1335&lt;=10)),$F1335,IF($D1334&lt;LataProjekcji,IF((SUM($K1336:U1336)+$D1336)&lt;$D1335,$D1336,$D1335-SUM($K1336:U1336)),0)),0)</f>
        <v>0</v>
      </c>
      <c r="W1336" s="248">
        <f ca="1">ROUND(IF(OR(AND($D1334=LataProjekcji,$F1334&gt;0),AND($D1334=LataProjekcji,$F1334=0,$E1335&lt;=10)),$F1335,IF($D1334&lt;LataProjekcji,IF((SUM($K1336:V1336)+$D1336)&lt;$D1335,$D1336,$D1335-SUM($K1336:V1336)),0)),0)</f>
        <v>0</v>
      </c>
      <c r="X1336" s="248">
        <f ca="1">ROUND(IF(OR(AND($D1334=LataProjekcji,$F1334&gt;0),AND($D1334=LataProjekcji,$F1334=0,$E1335&lt;=10)),$F1335,IF($D1334&lt;LataProjekcji,IF((SUM($K1336:W1336)+$D1336)&lt;$D1335,$D1336,$D1335-SUM($K1336:W1336)),0)),0)</f>
        <v>0</v>
      </c>
    </row>
    <row r="1337" spans="1:24" hidden="1">
      <c r="A1337" s="328"/>
      <c r="B1337" s="21" t="s">
        <v>416</v>
      </c>
      <c r="C1337" s="21"/>
      <c r="D1337" s="22"/>
      <c r="E1337" s="21"/>
      <c r="F1337" s="21"/>
      <c r="G1337" s="21"/>
      <c r="H1337" s="21"/>
      <c r="I1337" s="21"/>
      <c r="J1337" s="21"/>
      <c r="K1337" s="22">
        <f ca="1">ROUND(K1336,0)</f>
        <v>0</v>
      </c>
      <c r="L1337" s="22">
        <f t="shared" ref="L1337:X1337" ca="1" si="1264">ROUND(K1337+L1336,0)</f>
        <v>0</v>
      </c>
      <c r="M1337" s="22">
        <f t="shared" ca="1" si="1264"/>
        <v>0</v>
      </c>
      <c r="N1337" s="22">
        <f t="shared" ca="1" si="1264"/>
        <v>0</v>
      </c>
      <c r="O1337" s="22">
        <f t="shared" ca="1" si="1264"/>
        <v>0</v>
      </c>
      <c r="P1337" s="22">
        <f t="shared" ca="1" si="1264"/>
        <v>0</v>
      </c>
      <c r="Q1337" s="22">
        <f t="shared" ca="1" si="1264"/>
        <v>0</v>
      </c>
      <c r="R1337" s="22">
        <f t="shared" ca="1" si="1264"/>
        <v>0</v>
      </c>
      <c r="S1337" s="22">
        <f t="shared" ca="1" si="1264"/>
        <v>0</v>
      </c>
      <c r="T1337" s="22">
        <f t="shared" ca="1" si="1264"/>
        <v>0</v>
      </c>
      <c r="U1337" s="22">
        <f t="shared" ca="1" si="1264"/>
        <v>0</v>
      </c>
      <c r="V1337" s="22">
        <f t="shared" ca="1" si="1264"/>
        <v>0</v>
      </c>
      <c r="W1337" s="22">
        <f t="shared" ca="1" si="1264"/>
        <v>0</v>
      </c>
      <c r="X1337" s="22">
        <f t="shared" ca="1" si="1264"/>
        <v>0</v>
      </c>
    </row>
    <row r="1338" spans="1:24" hidden="1">
      <c r="A1338" s="328"/>
      <c r="B1338" s="21" t="s">
        <v>406</v>
      </c>
      <c r="C1338" s="21"/>
      <c r="D1338" s="22"/>
      <c r="E1338" s="21"/>
      <c r="F1338" s="21"/>
      <c r="G1338" s="21"/>
      <c r="H1338" s="21"/>
      <c r="I1338" s="21"/>
      <c r="J1338" s="21"/>
      <c r="K1338" s="77">
        <f ca="1">IF($D1334=LataProjekcji,ROUND($D1335-K1337,0),ROUND(IF(K1336=0,0,$D1335-K1337),0))</f>
        <v>0</v>
      </c>
      <c r="L1338" s="254">
        <f t="shared" ref="L1338:X1338" ca="1" si="1265">IF($D1334=LataProjekcji,ROUND($D1335-L1337,0),ROUND(IF(AND(L1336=0,K1338&gt;0),$D1335-L1337,IF(L1336=0,0,$D1335-L1337)),0))</f>
        <v>0</v>
      </c>
      <c r="M1338" s="254">
        <f t="shared" ca="1" si="1265"/>
        <v>0</v>
      </c>
      <c r="N1338" s="254">
        <f t="shared" ca="1" si="1265"/>
        <v>0</v>
      </c>
      <c r="O1338" s="254">
        <f t="shared" ca="1" si="1265"/>
        <v>0</v>
      </c>
      <c r="P1338" s="254">
        <f t="shared" ca="1" si="1265"/>
        <v>0</v>
      </c>
      <c r="Q1338" s="254">
        <f t="shared" ca="1" si="1265"/>
        <v>0</v>
      </c>
      <c r="R1338" s="254">
        <f t="shared" ca="1" si="1265"/>
        <v>0</v>
      </c>
      <c r="S1338" s="254">
        <f t="shared" ca="1" si="1265"/>
        <v>0</v>
      </c>
      <c r="T1338" s="254">
        <f t="shared" ca="1" si="1265"/>
        <v>0</v>
      </c>
      <c r="U1338" s="254">
        <f t="shared" ca="1" si="1265"/>
        <v>0</v>
      </c>
      <c r="V1338" s="254">
        <f t="shared" ca="1" si="1265"/>
        <v>0</v>
      </c>
      <c r="W1338" s="254">
        <f t="shared" ca="1" si="1265"/>
        <v>0</v>
      </c>
      <c r="X1338" s="254">
        <f t="shared" ca="1" si="1265"/>
        <v>0</v>
      </c>
    </row>
    <row r="1339" spans="1:24" hidden="1">
      <c r="A1339" s="328"/>
      <c r="B1339" s="21"/>
      <c r="C1339" s="21"/>
      <c r="D1339" s="21"/>
      <c r="E1339" s="21"/>
      <c r="F1339" s="21"/>
      <c r="G1339" s="21"/>
      <c r="H1339" s="404">
        <f>H1332+1</f>
        <v>8</v>
      </c>
      <c r="I1339" s="483" cm="1">
        <f t="array" aca="1" ref="I1339" ca="1">OFFSET('Środki trwałe'!$C$269,H1339,,)</f>
        <v>0</v>
      </c>
      <c r="J1339" s="404" t="s">
        <v>427</v>
      </c>
      <c r="K1339" s="405">
        <f t="shared" ref="K1339:X1339" ca="1" si="1266">IF(AND(OFFSET($F$269,$D1333,0)="tak",OFFSET($G$269,$D1333,0)="tak",OFFSET($J$269,$D1333,0)="ok",LataProjekcji&lt;=Koniec_Projekt),ROUND(K1336*OFFSET($K$290,$H1339,(COLUMN()-11)),0),0)</f>
        <v>0</v>
      </c>
      <c r="L1339" s="405">
        <f t="shared" ca="1" si="1266"/>
        <v>0</v>
      </c>
      <c r="M1339" s="405">
        <f t="shared" ca="1" si="1266"/>
        <v>0</v>
      </c>
      <c r="N1339" s="405">
        <f t="shared" ca="1" si="1266"/>
        <v>0</v>
      </c>
      <c r="O1339" s="405">
        <f t="shared" ca="1" si="1266"/>
        <v>0</v>
      </c>
      <c r="P1339" s="405">
        <f t="shared" ca="1" si="1266"/>
        <v>0</v>
      </c>
      <c r="Q1339" s="405">
        <f t="shared" ca="1" si="1266"/>
        <v>0</v>
      </c>
      <c r="R1339" s="405">
        <f t="shared" ca="1" si="1266"/>
        <v>0</v>
      </c>
      <c r="S1339" s="405">
        <f t="shared" ca="1" si="1266"/>
        <v>0</v>
      </c>
      <c r="T1339" s="405">
        <f t="shared" ca="1" si="1266"/>
        <v>0</v>
      </c>
      <c r="U1339" s="405">
        <f t="shared" ca="1" si="1266"/>
        <v>0</v>
      </c>
      <c r="V1339" s="405">
        <f t="shared" ca="1" si="1266"/>
        <v>0</v>
      </c>
      <c r="W1339" s="405">
        <f t="shared" ca="1" si="1266"/>
        <v>0</v>
      </c>
      <c r="X1339" s="405">
        <f t="shared" ca="1" si="1266"/>
        <v>0</v>
      </c>
    </row>
    <row r="1340" spans="1:24" hidden="1">
      <c r="A1340" s="328"/>
      <c r="B1340" s="20">
        <f ca="1">OFFSET($B$269,D1340,0)</f>
        <v>0</v>
      </c>
      <c r="C1340" s="20"/>
      <c r="D1340" s="21">
        <f>D1333+1</f>
        <v>9</v>
      </c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</row>
    <row r="1341" spans="1:24" hidden="1">
      <c r="A1341" s="328"/>
      <c r="B1341" s="165" t="s">
        <v>425</v>
      </c>
      <c r="C1341" s="165"/>
      <c r="D1341" s="165">
        <f ca="1">YEAR(OFFSET($E$269,D1340,0))</f>
        <v>1900</v>
      </c>
      <c r="E1341" s="165">
        <f ca="1">MONTH(OFFSET($E$269,D1340,0))</f>
        <v>1</v>
      </c>
      <c r="F1341" s="21">
        <f ca="1">12-$E1341</f>
        <v>11</v>
      </c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</row>
    <row r="1342" spans="1:24" hidden="1">
      <c r="A1342" s="328"/>
      <c r="B1342" s="21" t="s">
        <v>406</v>
      </c>
      <c r="C1342" s="21"/>
      <c r="D1342" s="387">
        <f ca="1">IF(E1342&lt;0,0,ROUND(E1342,0))</f>
        <v>0</v>
      </c>
      <c r="E1342" s="249">
        <f ca="1">OFFSET($D$269,D1340,0)</f>
        <v>0</v>
      </c>
      <c r="F1342" s="387">
        <f ca="1">IF(E1342&gt;10,ROUND(($D1343/12)*$F1341,0),$D1342)</f>
        <v>0</v>
      </c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</row>
    <row r="1343" spans="1:24" hidden="1">
      <c r="A1343" s="328"/>
      <c r="B1343" s="21" t="s">
        <v>415</v>
      </c>
      <c r="C1343" s="21"/>
      <c r="D1343" s="387">
        <f ca="1">IF(ISBLANK(OFFSET($E$269,D1340,0)),0,IF(E1342&gt;10,ROUND(D1342*am_wnip,0),IF(D1342&lt;0,0,D1342)))</f>
        <v>0</v>
      </c>
      <c r="E1343" s="21"/>
      <c r="F1343" s="21"/>
      <c r="G1343" s="21"/>
      <c r="H1343" s="21"/>
      <c r="I1343" s="21"/>
      <c r="J1343" s="21"/>
      <c r="K1343" s="75">
        <f ca="1">ROUND(IF($D1341=LataProjekcji,$F1342,IF($D1341=LataProjekcji,$D1343,0)),0)</f>
        <v>0</v>
      </c>
      <c r="L1343" s="248">
        <f ca="1">ROUND(IF(OR(AND($D1341=LataProjekcji,$F1341&gt;0),AND($D1341=LataProjekcji,$F1341=0,$E1342&lt;=10)),$F1342,IF($D1341&lt;LataProjekcji,IF((SUM($K1343:K1343)+$D1343)&lt;$D1342,$D1343,$D1342-SUM($K1343:K1343)),0)),0)</f>
        <v>0</v>
      </c>
      <c r="M1343" s="248">
        <f ca="1">ROUND(IF(OR(AND($D1341=LataProjekcji,$F1341&gt;0),AND($D1341=LataProjekcji,$F1341=0,$E1342&lt;=10)),$F1342,IF($D1341&lt;LataProjekcji,IF((SUM($K1343:L1343)+$D1343)&lt;$D1342,$D1343,$D1342-SUM($K1343:L1343)),0)),0)</f>
        <v>0</v>
      </c>
      <c r="N1343" s="248">
        <f ca="1">ROUND(IF(OR(AND($D1341=LataProjekcji,$F1341&gt;0),AND($D1341=LataProjekcji,$F1341=0,$E1342&lt;=10)),$F1342,IF($D1341&lt;LataProjekcji,IF((SUM($K1343:M1343)+$D1343)&lt;$D1342,$D1343,$D1342-SUM($K1343:M1343)),0)),0)</f>
        <v>0</v>
      </c>
      <c r="O1343" s="248">
        <f ca="1">ROUND(IF(OR(AND($D1341=LataProjekcji,$F1341&gt;0),AND($D1341=LataProjekcji,$F1341=0,$E1342&lt;=10)),$F1342,IF($D1341&lt;LataProjekcji,IF((SUM($K1343:N1343)+$D1343)&lt;$D1342,$D1343,$D1342-SUM($K1343:N1343)),0)),0)</f>
        <v>0</v>
      </c>
      <c r="P1343" s="248">
        <f ca="1">ROUND(IF(OR(AND($D1341=LataProjekcji,$F1341&gt;0),AND($D1341=LataProjekcji,$F1341=0,$E1342&lt;=10)),$F1342,IF($D1341&lt;LataProjekcji,IF((SUM($K1343:O1343)+$D1343)&lt;$D1342,$D1343,$D1342-SUM($K1343:O1343)),0)),0)</f>
        <v>0</v>
      </c>
      <c r="Q1343" s="248">
        <f ca="1">ROUND(IF(OR(AND($D1341=LataProjekcji,$F1341&gt;0),AND($D1341=LataProjekcji,$F1341=0,$E1342&lt;=10)),$F1342,IF($D1341&lt;LataProjekcji,IF((SUM($K1343:P1343)+$D1343)&lt;$D1342,$D1343,$D1342-SUM($K1343:P1343)),0)),0)</f>
        <v>0</v>
      </c>
      <c r="R1343" s="248">
        <f ca="1">ROUND(IF(OR(AND($D1341=LataProjekcji,$F1341&gt;0),AND($D1341=LataProjekcji,$F1341=0,$E1342&lt;=10)),$F1342,IF($D1341&lt;LataProjekcji,IF((SUM($K1343:Q1343)+$D1343)&lt;$D1342,$D1343,$D1342-SUM($K1343:Q1343)),0)),0)</f>
        <v>0</v>
      </c>
      <c r="S1343" s="248">
        <f ca="1">ROUND(IF(OR(AND($D1341=LataProjekcji,$F1341&gt;0),AND($D1341=LataProjekcji,$F1341=0,$E1342&lt;=10)),$F1342,IF($D1341&lt;LataProjekcji,IF((SUM($K1343:R1343)+$D1343)&lt;$D1342,$D1343,$D1342-SUM($K1343:R1343)),0)),0)</f>
        <v>0</v>
      </c>
      <c r="T1343" s="248">
        <f ca="1">ROUND(IF(OR(AND($D1341=LataProjekcji,$F1341&gt;0),AND($D1341=LataProjekcji,$F1341=0,$E1342&lt;=10)),$F1342,IF($D1341&lt;LataProjekcji,IF((SUM($K1343:S1343)+$D1343)&lt;$D1342,$D1343,$D1342-SUM($K1343:S1343)),0)),0)</f>
        <v>0</v>
      </c>
      <c r="U1343" s="248">
        <f ca="1">ROUND(IF(OR(AND($D1341=LataProjekcji,$F1341&gt;0),AND($D1341=LataProjekcji,$F1341=0,$E1342&lt;=10)),$F1342,IF($D1341&lt;LataProjekcji,IF((SUM($K1343:T1343)+$D1343)&lt;$D1342,$D1343,$D1342-SUM($K1343:T1343)),0)),0)</f>
        <v>0</v>
      </c>
      <c r="V1343" s="248">
        <f ca="1">ROUND(IF(OR(AND($D1341=LataProjekcji,$F1341&gt;0),AND($D1341=LataProjekcji,$F1341=0,$E1342&lt;=10)),$F1342,IF($D1341&lt;LataProjekcji,IF((SUM($K1343:U1343)+$D1343)&lt;$D1342,$D1343,$D1342-SUM($K1343:U1343)),0)),0)</f>
        <v>0</v>
      </c>
      <c r="W1343" s="248">
        <f ca="1">ROUND(IF(OR(AND($D1341=LataProjekcji,$F1341&gt;0),AND($D1341=LataProjekcji,$F1341=0,$E1342&lt;=10)),$F1342,IF($D1341&lt;LataProjekcji,IF((SUM($K1343:V1343)+$D1343)&lt;$D1342,$D1343,$D1342-SUM($K1343:V1343)),0)),0)</f>
        <v>0</v>
      </c>
      <c r="X1343" s="248">
        <f ca="1">ROUND(IF(OR(AND($D1341=LataProjekcji,$F1341&gt;0),AND($D1341=LataProjekcji,$F1341=0,$E1342&lt;=10)),$F1342,IF($D1341&lt;LataProjekcji,IF((SUM($K1343:W1343)+$D1343)&lt;$D1342,$D1343,$D1342-SUM($K1343:W1343)),0)),0)</f>
        <v>0</v>
      </c>
    </row>
    <row r="1344" spans="1:24" hidden="1">
      <c r="A1344" s="328"/>
      <c r="B1344" s="21" t="s">
        <v>416</v>
      </c>
      <c r="C1344" s="21"/>
      <c r="D1344" s="22"/>
      <c r="E1344" s="21"/>
      <c r="F1344" s="21"/>
      <c r="G1344" s="21"/>
      <c r="H1344" s="21"/>
      <c r="I1344" s="21"/>
      <c r="J1344" s="21"/>
      <c r="K1344" s="22">
        <f ca="1">ROUND(K1343,0)</f>
        <v>0</v>
      </c>
      <c r="L1344" s="22">
        <f t="shared" ref="L1344:X1344" ca="1" si="1267">ROUND(K1344+L1343,0)</f>
        <v>0</v>
      </c>
      <c r="M1344" s="22">
        <f t="shared" ca="1" si="1267"/>
        <v>0</v>
      </c>
      <c r="N1344" s="22">
        <f t="shared" ca="1" si="1267"/>
        <v>0</v>
      </c>
      <c r="O1344" s="22">
        <f t="shared" ca="1" si="1267"/>
        <v>0</v>
      </c>
      <c r="P1344" s="22">
        <f t="shared" ca="1" si="1267"/>
        <v>0</v>
      </c>
      <c r="Q1344" s="22">
        <f t="shared" ca="1" si="1267"/>
        <v>0</v>
      </c>
      <c r="R1344" s="22">
        <f t="shared" ca="1" si="1267"/>
        <v>0</v>
      </c>
      <c r="S1344" s="22">
        <f t="shared" ca="1" si="1267"/>
        <v>0</v>
      </c>
      <c r="T1344" s="22">
        <f t="shared" ca="1" si="1267"/>
        <v>0</v>
      </c>
      <c r="U1344" s="22">
        <f t="shared" ca="1" si="1267"/>
        <v>0</v>
      </c>
      <c r="V1344" s="22">
        <f t="shared" ca="1" si="1267"/>
        <v>0</v>
      </c>
      <c r="W1344" s="22">
        <f t="shared" ca="1" si="1267"/>
        <v>0</v>
      </c>
      <c r="X1344" s="22">
        <f t="shared" ca="1" si="1267"/>
        <v>0</v>
      </c>
    </row>
    <row r="1345" spans="1:24" hidden="1">
      <c r="A1345" s="328"/>
      <c r="B1345" s="21" t="s">
        <v>406</v>
      </c>
      <c r="C1345" s="21"/>
      <c r="D1345" s="22"/>
      <c r="E1345" s="21"/>
      <c r="F1345" s="21"/>
      <c r="G1345" s="21"/>
      <c r="H1345" s="21"/>
      <c r="I1345" s="21"/>
      <c r="J1345" s="21"/>
      <c r="K1345" s="77">
        <f ca="1">IF($D1341=LataProjekcji,ROUND($D1342-K1344,0),ROUND(IF(K1343=0,0,$D1342-K1344),0))</f>
        <v>0</v>
      </c>
      <c r="L1345" s="254">
        <f t="shared" ref="L1345:X1345" ca="1" si="1268">IF($D1341=LataProjekcji,ROUND($D1342-L1344,0),ROUND(IF(AND(L1343=0,K1345&gt;0),$D1342-L1344,IF(L1343=0,0,$D1342-L1344)),0))</f>
        <v>0</v>
      </c>
      <c r="M1345" s="254">
        <f t="shared" ca="1" si="1268"/>
        <v>0</v>
      </c>
      <c r="N1345" s="254">
        <f t="shared" ca="1" si="1268"/>
        <v>0</v>
      </c>
      <c r="O1345" s="254">
        <f t="shared" ca="1" si="1268"/>
        <v>0</v>
      </c>
      <c r="P1345" s="254">
        <f t="shared" ca="1" si="1268"/>
        <v>0</v>
      </c>
      <c r="Q1345" s="254">
        <f t="shared" ca="1" si="1268"/>
        <v>0</v>
      </c>
      <c r="R1345" s="254">
        <f t="shared" ca="1" si="1268"/>
        <v>0</v>
      </c>
      <c r="S1345" s="254">
        <f t="shared" ca="1" si="1268"/>
        <v>0</v>
      </c>
      <c r="T1345" s="254">
        <f t="shared" ca="1" si="1268"/>
        <v>0</v>
      </c>
      <c r="U1345" s="254">
        <f t="shared" ca="1" si="1268"/>
        <v>0</v>
      </c>
      <c r="V1345" s="254">
        <f t="shared" ca="1" si="1268"/>
        <v>0</v>
      </c>
      <c r="W1345" s="254">
        <f t="shared" ca="1" si="1268"/>
        <v>0</v>
      </c>
      <c r="X1345" s="254">
        <f t="shared" ca="1" si="1268"/>
        <v>0</v>
      </c>
    </row>
    <row r="1346" spans="1:24" hidden="1">
      <c r="A1346" s="328"/>
      <c r="B1346" s="21"/>
      <c r="C1346" s="21"/>
      <c r="D1346" s="21"/>
      <c r="E1346" s="21"/>
      <c r="F1346" s="21"/>
      <c r="G1346" s="21"/>
      <c r="H1346" s="404">
        <f>H1339+1</f>
        <v>9</v>
      </c>
      <c r="I1346" s="483" cm="1">
        <f t="array" aca="1" ref="I1346" ca="1">OFFSET('Środki trwałe'!$C$269,H1346,,)</f>
        <v>0</v>
      </c>
      <c r="J1346" s="404" t="s">
        <v>427</v>
      </c>
      <c r="K1346" s="405">
        <f t="shared" ref="K1346:X1346" ca="1" si="1269">IF(AND(OFFSET($F$269,$D1340,0)="tak",OFFSET($G$269,$D1340,0)="tak",OFFSET($J$269,$D1340,0)="ok",LataProjekcji&lt;=Koniec_Projekt),ROUND(K1343*OFFSET($K$290,$H1346,(COLUMN()-11)),0),0)</f>
        <v>0</v>
      </c>
      <c r="L1346" s="405">
        <f t="shared" ca="1" si="1269"/>
        <v>0</v>
      </c>
      <c r="M1346" s="405">
        <f t="shared" ca="1" si="1269"/>
        <v>0</v>
      </c>
      <c r="N1346" s="405">
        <f t="shared" ca="1" si="1269"/>
        <v>0</v>
      </c>
      <c r="O1346" s="405">
        <f t="shared" ca="1" si="1269"/>
        <v>0</v>
      </c>
      <c r="P1346" s="405">
        <f t="shared" ca="1" si="1269"/>
        <v>0</v>
      </c>
      <c r="Q1346" s="405">
        <f t="shared" ca="1" si="1269"/>
        <v>0</v>
      </c>
      <c r="R1346" s="405">
        <f t="shared" ca="1" si="1269"/>
        <v>0</v>
      </c>
      <c r="S1346" s="405">
        <f t="shared" ca="1" si="1269"/>
        <v>0</v>
      </c>
      <c r="T1346" s="405">
        <f t="shared" ca="1" si="1269"/>
        <v>0</v>
      </c>
      <c r="U1346" s="405">
        <f t="shared" ca="1" si="1269"/>
        <v>0</v>
      </c>
      <c r="V1346" s="405">
        <f t="shared" ca="1" si="1269"/>
        <v>0</v>
      </c>
      <c r="W1346" s="405">
        <f t="shared" ca="1" si="1269"/>
        <v>0</v>
      </c>
      <c r="X1346" s="405">
        <f t="shared" ca="1" si="1269"/>
        <v>0</v>
      </c>
    </row>
    <row r="1347" spans="1:24" hidden="1">
      <c r="A1347" s="328"/>
      <c r="B1347" s="20">
        <f ca="1">OFFSET($B$269,D1347,0)</f>
        <v>0</v>
      </c>
      <c r="C1347" s="20"/>
      <c r="D1347" s="21">
        <f>D1340+1</f>
        <v>10</v>
      </c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</row>
    <row r="1348" spans="1:24" hidden="1">
      <c r="A1348" s="328"/>
      <c r="B1348" s="165" t="s">
        <v>425</v>
      </c>
      <c r="C1348" s="165"/>
      <c r="D1348" s="165">
        <f ca="1">YEAR(OFFSET($E$269,D1347,0))</f>
        <v>1900</v>
      </c>
      <c r="E1348" s="165">
        <f ca="1">MONTH(OFFSET($E$269,D1347,0))</f>
        <v>1</v>
      </c>
      <c r="F1348" s="21">
        <f ca="1">12-$E1348</f>
        <v>11</v>
      </c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</row>
    <row r="1349" spans="1:24" hidden="1">
      <c r="A1349" s="328"/>
      <c r="B1349" s="21" t="s">
        <v>406</v>
      </c>
      <c r="C1349" s="21"/>
      <c r="D1349" s="387">
        <f ca="1">IF(E1349&lt;0,0,ROUND(E1349,0))</f>
        <v>0</v>
      </c>
      <c r="E1349" s="249">
        <f ca="1">OFFSET($D$269,D1347,0)</f>
        <v>0</v>
      </c>
      <c r="F1349" s="387">
        <f ca="1">IF(E1349&gt;10,ROUND(($D1350/12)*$F1348,0),$D1349)</f>
        <v>0</v>
      </c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</row>
    <row r="1350" spans="1:24" hidden="1">
      <c r="A1350" s="328"/>
      <c r="B1350" s="21" t="s">
        <v>415</v>
      </c>
      <c r="C1350" s="21"/>
      <c r="D1350" s="387">
        <f ca="1">IF(ISBLANK(OFFSET($E$269,D1347,0)),0,IF(E1349&gt;10,ROUND(D1349*am_wnip,0),IF(D1349&lt;0,0,D1349)))</f>
        <v>0</v>
      </c>
      <c r="E1350" s="21"/>
      <c r="F1350" s="21"/>
      <c r="G1350" s="21"/>
      <c r="H1350" s="21"/>
      <c r="I1350" s="21"/>
      <c r="J1350" s="21"/>
      <c r="K1350" s="75">
        <f ca="1">ROUND(IF($D1348=LataProjekcji,$F1349,IF($D1348=LataProjekcji,$D1350,0)),0)</f>
        <v>0</v>
      </c>
      <c r="L1350" s="248">
        <f ca="1">ROUND(IF(OR(AND($D1348=LataProjekcji,$F1348&gt;0),AND($D1348=LataProjekcji,$F1348=0,$E1349&lt;=10)),$F1349,IF($D1348&lt;LataProjekcji,IF((SUM($K1350:K1350)+$D1350)&lt;$D1349,$D1350,$D1349-SUM($K1350:K1350)),0)),0)</f>
        <v>0</v>
      </c>
      <c r="M1350" s="248">
        <f ca="1">ROUND(IF(OR(AND($D1348=LataProjekcji,$F1348&gt;0),AND($D1348=LataProjekcji,$F1348=0,$E1349&lt;=10)),$F1349,IF($D1348&lt;LataProjekcji,IF((SUM($K1350:L1350)+$D1350)&lt;$D1349,$D1350,$D1349-SUM($K1350:L1350)),0)),0)</f>
        <v>0</v>
      </c>
      <c r="N1350" s="248">
        <f ca="1">ROUND(IF(OR(AND($D1348=LataProjekcji,$F1348&gt;0),AND($D1348=LataProjekcji,$F1348=0,$E1349&lt;=10)),$F1349,IF($D1348&lt;LataProjekcji,IF((SUM($K1350:M1350)+$D1350)&lt;$D1349,$D1350,$D1349-SUM($K1350:M1350)),0)),0)</f>
        <v>0</v>
      </c>
      <c r="O1350" s="248">
        <f ca="1">ROUND(IF(OR(AND($D1348=LataProjekcji,$F1348&gt;0),AND($D1348=LataProjekcji,$F1348=0,$E1349&lt;=10)),$F1349,IF($D1348&lt;LataProjekcji,IF((SUM($K1350:N1350)+$D1350)&lt;$D1349,$D1350,$D1349-SUM($K1350:N1350)),0)),0)</f>
        <v>0</v>
      </c>
      <c r="P1350" s="248">
        <f ca="1">ROUND(IF(OR(AND($D1348=LataProjekcji,$F1348&gt;0),AND($D1348=LataProjekcji,$F1348=0,$E1349&lt;=10)),$F1349,IF($D1348&lt;LataProjekcji,IF((SUM($K1350:O1350)+$D1350)&lt;$D1349,$D1350,$D1349-SUM($K1350:O1350)),0)),0)</f>
        <v>0</v>
      </c>
      <c r="Q1350" s="248">
        <f ca="1">ROUND(IF(OR(AND($D1348=LataProjekcji,$F1348&gt;0),AND($D1348=LataProjekcji,$F1348=0,$E1349&lt;=10)),$F1349,IF($D1348&lt;LataProjekcji,IF((SUM($K1350:P1350)+$D1350)&lt;$D1349,$D1350,$D1349-SUM($K1350:P1350)),0)),0)</f>
        <v>0</v>
      </c>
      <c r="R1350" s="248">
        <f ca="1">ROUND(IF(OR(AND($D1348=LataProjekcji,$F1348&gt;0),AND($D1348=LataProjekcji,$F1348=0,$E1349&lt;=10)),$F1349,IF($D1348&lt;LataProjekcji,IF((SUM($K1350:Q1350)+$D1350)&lt;$D1349,$D1350,$D1349-SUM($K1350:Q1350)),0)),0)</f>
        <v>0</v>
      </c>
      <c r="S1350" s="248">
        <f ca="1">ROUND(IF(OR(AND($D1348=LataProjekcji,$F1348&gt;0),AND($D1348=LataProjekcji,$F1348=0,$E1349&lt;=10)),$F1349,IF($D1348&lt;LataProjekcji,IF((SUM($K1350:R1350)+$D1350)&lt;$D1349,$D1350,$D1349-SUM($K1350:R1350)),0)),0)</f>
        <v>0</v>
      </c>
      <c r="T1350" s="248">
        <f ca="1">ROUND(IF(OR(AND($D1348=LataProjekcji,$F1348&gt;0),AND($D1348=LataProjekcji,$F1348=0,$E1349&lt;=10)),$F1349,IF($D1348&lt;LataProjekcji,IF((SUM($K1350:S1350)+$D1350)&lt;$D1349,$D1350,$D1349-SUM($K1350:S1350)),0)),0)</f>
        <v>0</v>
      </c>
      <c r="U1350" s="248">
        <f ca="1">ROUND(IF(OR(AND($D1348=LataProjekcji,$F1348&gt;0),AND($D1348=LataProjekcji,$F1348=0,$E1349&lt;=10)),$F1349,IF($D1348&lt;LataProjekcji,IF((SUM($K1350:T1350)+$D1350)&lt;$D1349,$D1350,$D1349-SUM($K1350:T1350)),0)),0)</f>
        <v>0</v>
      </c>
      <c r="V1350" s="248">
        <f ca="1">ROUND(IF(OR(AND($D1348=LataProjekcji,$F1348&gt;0),AND($D1348=LataProjekcji,$F1348=0,$E1349&lt;=10)),$F1349,IF($D1348&lt;LataProjekcji,IF((SUM($K1350:U1350)+$D1350)&lt;$D1349,$D1350,$D1349-SUM($K1350:U1350)),0)),0)</f>
        <v>0</v>
      </c>
      <c r="W1350" s="248">
        <f ca="1">ROUND(IF(OR(AND($D1348=LataProjekcji,$F1348&gt;0),AND($D1348=LataProjekcji,$F1348=0,$E1349&lt;=10)),$F1349,IF($D1348&lt;LataProjekcji,IF((SUM($K1350:V1350)+$D1350)&lt;$D1349,$D1350,$D1349-SUM($K1350:V1350)),0)),0)</f>
        <v>0</v>
      </c>
      <c r="X1350" s="248">
        <f ca="1">ROUND(IF(OR(AND($D1348=LataProjekcji,$F1348&gt;0),AND($D1348=LataProjekcji,$F1348=0,$E1349&lt;=10)),$F1349,IF($D1348&lt;LataProjekcji,IF((SUM($K1350:W1350)+$D1350)&lt;$D1349,$D1350,$D1349-SUM($K1350:W1350)),0)),0)</f>
        <v>0</v>
      </c>
    </row>
    <row r="1351" spans="1:24" hidden="1">
      <c r="A1351" s="328"/>
      <c r="B1351" s="21" t="s">
        <v>416</v>
      </c>
      <c r="C1351" s="21"/>
      <c r="D1351" s="22"/>
      <c r="E1351" s="21"/>
      <c r="F1351" s="21"/>
      <c r="G1351" s="21"/>
      <c r="H1351" s="21"/>
      <c r="I1351" s="21"/>
      <c r="J1351" s="21"/>
      <c r="K1351" s="22">
        <f ca="1">ROUND(K1350,0)</f>
        <v>0</v>
      </c>
      <c r="L1351" s="22">
        <f t="shared" ref="L1351:X1351" ca="1" si="1270">ROUND(K1351+L1350,0)</f>
        <v>0</v>
      </c>
      <c r="M1351" s="22">
        <f t="shared" ca="1" si="1270"/>
        <v>0</v>
      </c>
      <c r="N1351" s="22">
        <f t="shared" ca="1" si="1270"/>
        <v>0</v>
      </c>
      <c r="O1351" s="22">
        <f t="shared" ca="1" si="1270"/>
        <v>0</v>
      </c>
      <c r="P1351" s="22">
        <f t="shared" ca="1" si="1270"/>
        <v>0</v>
      </c>
      <c r="Q1351" s="22">
        <f t="shared" ca="1" si="1270"/>
        <v>0</v>
      </c>
      <c r="R1351" s="22">
        <f t="shared" ca="1" si="1270"/>
        <v>0</v>
      </c>
      <c r="S1351" s="22">
        <f t="shared" ca="1" si="1270"/>
        <v>0</v>
      </c>
      <c r="T1351" s="22">
        <f t="shared" ca="1" si="1270"/>
        <v>0</v>
      </c>
      <c r="U1351" s="22">
        <f t="shared" ca="1" si="1270"/>
        <v>0</v>
      </c>
      <c r="V1351" s="22">
        <f t="shared" ca="1" si="1270"/>
        <v>0</v>
      </c>
      <c r="W1351" s="22">
        <f t="shared" ca="1" si="1270"/>
        <v>0</v>
      </c>
      <c r="X1351" s="22">
        <f t="shared" ca="1" si="1270"/>
        <v>0</v>
      </c>
    </row>
    <row r="1352" spans="1:24" hidden="1">
      <c r="A1352" s="328"/>
      <c r="B1352" s="21" t="s">
        <v>406</v>
      </c>
      <c r="C1352" s="21"/>
      <c r="D1352" s="22"/>
      <c r="E1352" s="21"/>
      <c r="F1352" s="21"/>
      <c r="G1352" s="21"/>
      <c r="H1352" s="21"/>
      <c r="I1352" s="21"/>
      <c r="J1352" s="21"/>
      <c r="K1352" s="77">
        <f ca="1">IF($D1348=LataProjekcji,ROUND($D1349-K1351,0),ROUND(IF(K1350=0,0,$D1349-K1351),0))</f>
        <v>0</v>
      </c>
      <c r="L1352" s="254">
        <f t="shared" ref="L1352:X1352" ca="1" si="1271">IF($D1348=LataProjekcji,ROUND($D1349-L1351,0),ROUND(IF(AND(L1350=0,K1352&gt;0),$D1349-L1351,IF(L1350=0,0,$D1349-L1351)),0))</f>
        <v>0</v>
      </c>
      <c r="M1352" s="254">
        <f t="shared" ca="1" si="1271"/>
        <v>0</v>
      </c>
      <c r="N1352" s="254">
        <f t="shared" ca="1" si="1271"/>
        <v>0</v>
      </c>
      <c r="O1352" s="254">
        <f t="shared" ca="1" si="1271"/>
        <v>0</v>
      </c>
      <c r="P1352" s="254">
        <f t="shared" ca="1" si="1271"/>
        <v>0</v>
      </c>
      <c r="Q1352" s="254">
        <f t="shared" ca="1" si="1271"/>
        <v>0</v>
      </c>
      <c r="R1352" s="254">
        <f t="shared" ca="1" si="1271"/>
        <v>0</v>
      </c>
      <c r="S1352" s="254">
        <f t="shared" ca="1" si="1271"/>
        <v>0</v>
      </c>
      <c r="T1352" s="254">
        <f t="shared" ca="1" si="1271"/>
        <v>0</v>
      </c>
      <c r="U1352" s="254">
        <f t="shared" ca="1" si="1271"/>
        <v>0</v>
      </c>
      <c r="V1352" s="254">
        <f t="shared" ca="1" si="1271"/>
        <v>0</v>
      </c>
      <c r="W1352" s="254">
        <f t="shared" ca="1" si="1271"/>
        <v>0</v>
      </c>
      <c r="X1352" s="254">
        <f t="shared" ca="1" si="1271"/>
        <v>0</v>
      </c>
    </row>
    <row r="1353" spans="1:24" hidden="1">
      <c r="A1353" s="328"/>
      <c r="B1353" s="21"/>
      <c r="C1353" s="21"/>
      <c r="D1353" s="21"/>
      <c r="E1353" s="21"/>
      <c r="F1353" s="21"/>
      <c r="G1353" s="21"/>
      <c r="H1353" s="404">
        <f>H1346+1</f>
        <v>10</v>
      </c>
      <c r="I1353" s="483" cm="1">
        <f t="array" aca="1" ref="I1353" ca="1">OFFSET('Środki trwałe'!$C$269,H1353,,)</f>
        <v>0</v>
      </c>
      <c r="J1353" s="404" t="s">
        <v>427</v>
      </c>
      <c r="K1353" s="405">
        <f t="shared" ref="K1353:X1353" ca="1" si="1272">IF(AND(OFFSET($F$269,$D1347,0)="tak",OFFSET($G$269,$D1347,0)="tak",OFFSET($J$269,$D1347,0)="ok",LataProjekcji&lt;=Koniec_Projekt),ROUND(K1350*OFFSET($K$290,$H1353,(COLUMN()-11)),0),0)</f>
        <v>0</v>
      </c>
      <c r="L1353" s="405">
        <f t="shared" ca="1" si="1272"/>
        <v>0</v>
      </c>
      <c r="M1353" s="405">
        <f t="shared" ca="1" si="1272"/>
        <v>0</v>
      </c>
      <c r="N1353" s="405">
        <f t="shared" ca="1" si="1272"/>
        <v>0</v>
      </c>
      <c r="O1353" s="405">
        <f t="shared" ca="1" si="1272"/>
        <v>0</v>
      </c>
      <c r="P1353" s="405">
        <f t="shared" ca="1" si="1272"/>
        <v>0</v>
      </c>
      <c r="Q1353" s="405">
        <f t="shared" ca="1" si="1272"/>
        <v>0</v>
      </c>
      <c r="R1353" s="405">
        <f t="shared" ca="1" si="1272"/>
        <v>0</v>
      </c>
      <c r="S1353" s="405">
        <f t="shared" ca="1" si="1272"/>
        <v>0</v>
      </c>
      <c r="T1353" s="405">
        <f t="shared" ca="1" si="1272"/>
        <v>0</v>
      </c>
      <c r="U1353" s="405">
        <f t="shared" ca="1" si="1272"/>
        <v>0</v>
      </c>
      <c r="V1353" s="405">
        <f t="shared" ca="1" si="1272"/>
        <v>0</v>
      </c>
      <c r="W1353" s="405">
        <f t="shared" ca="1" si="1272"/>
        <v>0</v>
      </c>
      <c r="X1353" s="405">
        <f t="shared" ca="1" si="1272"/>
        <v>0</v>
      </c>
    </row>
    <row r="1354" spans="1:24" hidden="1">
      <c r="A1354" s="328"/>
      <c r="B1354" s="20">
        <f ca="1">OFFSET($B$269,D1354,0)</f>
        <v>0</v>
      </c>
      <c r="C1354" s="20"/>
      <c r="D1354" s="21">
        <f>D1347+1</f>
        <v>11</v>
      </c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</row>
    <row r="1355" spans="1:24" hidden="1">
      <c r="A1355" s="328"/>
      <c r="B1355" s="165" t="s">
        <v>425</v>
      </c>
      <c r="C1355" s="165"/>
      <c r="D1355" s="165">
        <f ca="1">YEAR(OFFSET($E$269,D1354,0))</f>
        <v>1900</v>
      </c>
      <c r="E1355" s="165">
        <f ca="1">MONTH(OFFSET($E$269,D1354,0))</f>
        <v>1</v>
      </c>
      <c r="F1355" s="21">
        <f ca="1">12-$E1355</f>
        <v>11</v>
      </c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</row>
    <row r="1356" spans="1:24" hidden="1">
      <c r="A1356" s="328"/>
      <c r="B1356" s="21" t="s">
        <v>406</v>
      </c>
      <c r="C1356" s="21"/>
      <c r="D1356" s="387">
        <f ca="1">IF(E1356&lt;0,0,ROUND(E1356,0))</f>
        <v>0</v>
      </c>
      <c r="E1356" s="249">
        <f ca="1">OFFSET($D$269,D1354,0)</f>
        <v>0</v>
      </c>
      <c r="F1356" s="387">
        <f ca="1">IF(E1356&gt;10,ROUND(($D1357/12)*$F1355,0),$D1356)</f>
        <v>0</v>
      </c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</row>
    <row r="1357" spans="1:24" hidden="1">
      <c r="A1357" s="328"/>
      <c r="B1357" s="21" t="s">
        <v>415</v>
      </c>
      <c r="C1357" s="21"/>
      <c r="D1357" s="387">
        <f ca="1">IF(ISBLANK(OFFSET($E$269,D1354,0)),0,IF(E1356&gt;10,ROUND(D1356*am_wnip,0),IF(D1356&lt;0,0,D1356)))</f>
        <v>0</v>
      </c>
      <c r="E1357" s="21"/>
      <c r="F1357" s="21"/>
      <c r="G1357" s="21"/>
      <c r="H1357" s="21"/>
      <c r="I1357" s="21"/>
      <c r="J1357" s="21"/>
      <c r="K1357" s="75">
        <f ca="1">ROUND(IF($D1355=LataProjekcji,$F1356,IF($D1355=LataProjekcji,$D1357,0)),0)</f>
        <v>0</v>
      </c>
      <c r="L1357" s="248">
        <f ca="1">ROUND(IF(OR(AND($D1355=LataProjekcji,$F1355&gt;0),AND($D1355=LataProjekcji,$F1355=0,$E1356&lt;=10)),$F1356,IF($D1355&lt;LataProjekcji,IF((SUM($K1357:K1357)+$D1357)&lt;$D1356,$D1357,$D1356-SUM($K1357:K1357)),0)),0)</f>
        <v>0</v>
      </c>
      <c r="M1357" s="248">
        <f ca="1">ROUND(IF(OR(AND($D1355=LataProjekcji,$F1355&gt;0),AND($D1355=LataProjekcji,$F1355=0,$E1356&lt;=10)),$F1356,IF($D1355&lt;LataProjekcji,IF((SUM($K1357:L1357)+$D1357)&lt;$D1356,$D1357,$D1356-SUM($K1357:L1357)),0)),0)</f>
        <v>0</v>
      </c>
      <c r="N1357" s="248">
        <f ca="1">ROUND(IF(OR(AND($D1355=LataProjekcji,$F1355&gt;0),AND($D1355=LataProjekcji,$F1355=0,$E1356&lt;=10)),$F1356,IF($D1355&lt;LataProjekcji,IF((SUM($K1357:M1357)+$D1357)&lt;$D1356,$D1357,$D1356-SUM($K1357:M1357)),0)),0)</f>
        <v>0</v>
      </c>
      <c r="O1357" s="248">
        <f ca="1">ROUND(IF(OR(AND($D1355=LataProjekcji,$F1355&gt;0),AND($D1355=LataProjekcji,$F1355=0,$E1356&lt;=10)),$F1356,IF($D1355&lt;LataProjekcji,IF((SUM($K1357:N1357)+$D1357)&lt;$D1356,$D1357,$D1356-SUM($K1357:N1357)),0)),0)</f>
        <v>0</v>
      </c>
      <c r="P1357" s="248">
        <f ca="1">ROUND(IF(OR(AND($D1355=LataProjekcji,$F1355&gt;0),AND($D1355=LataProjekcji,$F1355=0,$E1356&lt;=10)),$F1356,IF($D1355&lt;LataProjekcji,IF((SUM($K1357:O1357)+$D1357)&lt;$D1356,$D1357,$D1356-SUM($K1357:O1357)),0)),0)</f>
        <v>0</v>
      </c>
      <c r="Q1357" s="248">
        <f ca="1">ROUND(IF(OR(AND($D1355=LataProjekcji,$F1355&gt;0),AND($D1355=LataProjekcji,$F1355=0,$E1356&lt;=10)),$F1356,IF($D1355&lt;LataProjekcji,IF((SUM($K1357:P1357)+$D1357)&lt;$D1356,$D1357,$D1356-SUM($K1357:P1357)),0)),0)</f>
        <v>0</v>
      </c>
      <c r="R1357" s="248">
        <f ca="1">ROUND(IF(OR(AND($D1355=LataProjekcji,$F1355&gt;0),AND($D1355=LataProjekcji,$F1355=0,$E1356&lt;=10)),$F1356,IF($D1355&lt;LataProjekcji,IF((SUM($K1357:Q1357)+$D1357)&lt;$D1356,$D1357,$D1356-SUM($K1357:Q1357)),0)),0)</f>
        <v>0</v>
      </c>
      <c r="S1357" s="248">
        <f ca="1">ROUND(IF(OR(AND($D1355=LataProjekcji,$F1355&gt;0),AND($D1355=LataProjekcji,$F1355=0,$E1356&lt;=10)),$F1356,IF($D1355&lt;LataProjekcji,IF((SUM($K1357:R1357)+$D1357)&lt;$D1356,$D1357,$D1356-SUM($K1357:R1357)),0)),0)</f>
        <v>0</v>
      </c>
      <c r="T1357" s="248">
        <f ca="1">ROUND(IF(OR(AND($D1355=LataProjekcji,$F1355&gt;0),AND($D1355=LataProjekcji,$F1355=0,$E1356&lt;=10)),$F1356,IF($D1355&lt;LataProjekcji,IF((SUM($K1357:S1357)+$D1357)&lt;$D1356,$D1357,$D1356-SUM($K1357:S1357)),0)),0)</f>
        <v>0</v>
      </c>
      <c r="U1357" s="248">
        <f ca="1">ROUND(IF(OR(AND($D1355=LataProjekcji,$F1355&gt;0),AND($D1355=LataProjekcji,$F1355=0,$E1356&lt;=10)),$F1356,IF($D1355&lt;LataProjekcji,IF((SUM($K1357:T1357)+$D1357)&lt;$D1356,$D1357,$D1356-SUM($K1357:T1357)),0)),0)</f>
        <v>0</v>
      </c>
      <c r="V1357" s="248">
        <f ca="1">ROUND(IF(OR(AND($D1355=LataProjekcji,$F1355&gt;0),AND($D1355=LataProjekcji,$F1355=0,$E1356&lt;=10)),$F1356,IF($D1355&lt;LataProjekcji,IF((SUM($K1357:U1357)+$D1357)&lt;$D1356,$D1357,$D1356-SUM($K1357:U1357)),0)),0)</f>
        <v>0</v>
      </c>
      <c r="W1357" s="248">
        <f ca="1">ROUND(IF(OR(AND($D1355=LataProjekcji,$F1355&gt;0),AND($D1355=LataProjekcji,$F1355=0,$E1356&lt;=10)),$F1356,IF($D1355&lt;LataProjekcji,IF((SUM($K1357:V1357)+$D1357)&lt;$D1356,$D1357,$D1356-SUM($K1357:V1357)),0)),0)</f>
        <v>0</v>
      </c>
      <c r="X1357" s="248">
        <f ca="1">ROUND(IF(OR(AND($D1355=LataProjekcji,$F1355&gt;0),AND($D1355=LataProjekcji,$F1355=0,$E1356&lt;=10)),$F1356,IF($D1355&lt;LataProjekcji,IF((SUM($K1357:W1357)+$D1357)&lt;$D1356,$D1357,$D1356-SUM($K1357:W1357)),0)),0)</f>
        <v>0</v>
      </c>
    </row>
    <row r="1358" spans="1:24" hidden="1">
      <c r="A1358" s="328"/>
      <c r="B1358" s="21" t="s">
        <v>416</v>
      </c>
      <c r="C1358" s="21"/>
      <c r="D1358" s="22"/>
      <c r="E1358" s="21"/>
      <c r="F1358" s="21"/>
      <c r="G1358" s="21"/>
      <c r="H1358" s="21"/>
      <c r="I1358" s="21"/>
      <c r="J1358" s="21"/>
      <c r="K1358" s="22">
        <f ca="1">ROUND(K1357,0)</f>
        <v>0</v>
      </c>
      <c r="L1358" s="22">
        <f t="shared" ref="L1358:X1358" ca="1" si="1273">ROUND(K1358+L1357,0)</f>
        <v>0</v>
      </c>
      <c r="M1358" s="22">
        <f t="shared" ca="1" si="1273"/>
        <v>0</v>
      </c>
      <c r="N1358" s="22">
        <f t="shared" ca="1" si="1273"/>
        <v>0</v>
      </c>
      <c r="O1358" s="22">
        <f t="shared" ca="1" si="1273"/>
        <v>0</v>
      </c>
      <c r="P1358" s="22">
        <f t="shared" ca="1" si="1273"/>
        <v>0</v>
      </c>
      <c r="Q1358" s="22">
        <f t="shared" ca="1" si="1273"/>
        <v>0</v>
      </c>
      <c r="R1358" s="22">
        <f t="shared" ca="1" si="1273"/>
        <v>0</v>
      </c>
      <c r="S1358" s="22">
        <f t="shared" ca="1" si="1273"/>
        <v>0</v>
      </c>
      <c r="T1358" s="22">
        <f t="shared" ca="1" si="1273"/>
        <v>0</v>
      </c>
      <c r="U1358" s="22">
        <f t="shared" ca="1" si="1273"/>
        <v>0</v>
      </c>
      <c r="V1358" s="22">
        <f t="shared" ca="1" si="1273"/>
        <v>0</v>
      </c>
      <c r="W1358" s="22">
        <f t="shared" ca="1" si="1273"/>
        <v>0</v>
      </c>
      <c r="X1358" s="22">
        <f t="shared" ca="1" si="1273"/>
        <v>0</v>
      </c>
    </row>
    <row r="1359" spans="1:24" hidden="1">
      <c r="A1359" s="328"/>
      <c r="B1359" s="21" t="s">
        <v>406</v>
      </c>
      <c r="C1359" s="21"/>
      <c r="D1359" s="22"/>
      <c r="E1359" s="21"/>
      <c r="F1359" s="21"/>
      <c r="G1359" s="21"/>
      <c r="H1359" s="21"/>
      <c r="I1359" s="21"/>
      <c r="J1359" s="21"/>
      <c r="K1359" s="77">
        <f ca="1">IF($D1355=LataProjekcji,ROUND($D1356-K1358,0),ROUND(IF(K1357=0,0,$D1356-K1358),0))</f>
        <v>0</v>
      </c>
      <c r="L1359" s="254">
        <f t="shared" ref="L1359:X1359" ca="1" si="1274">IF($D1355=LataProjekcji,ROUND($D1356-L1358,0),ROUND(IF(AND(L1357=0,K1359&gt;0),$D1356-L1358,IF(L1357=0,0,$D1356-L1358)),0))</f>
        <v>0</v>
      </c>
      <c r="M1359" s="254">
        <f t="shared" ca="1" si="1274"/>
        <v>0</v>
      </c>
      <c r="N1359" s="254">
        <f t="shared" ca="1" si="1274"/>
        <v>0</v>
      </c>
      <c r="O1359" s="254">
        <f t="shared" ca="1" si="1274"/>
        <v>0</v>
      </c>
      <c r="P1359" s="254">
        <f t="shared" ca="1" si="1274"/>
        <v>0</v>
      </c>
      <c r="Q1359" s="254">
        <f t="shared" ca="1" si="1274"/>
        <v>0</v>
      </c>
      <c r="R1359" s="254">
        <f t="shared" ca="1" si="1274"/>
        <v>0</v>
      </c>
      <c r="S1359" s="254">
        <f t="shared" ca="1" si="1274"/>
        <v>0</v>
      </c>
      <c r="T1359" s="254">
        <f t="shared" ca="1" si="1274"/>
        <v>0</v>
      </c>
      <c r="U1359" s="254">
        <f t="shared" ca="1" si="1274"/>
        <v>0</v>
      </c>
      <c r="V1359" s="254">
        <f t="shared" ca="1" si="1274"/>
        <v>0</v>
      </c>
      <c r="W1359" s="254">
        <f t="shared" ca="1" si="1274"/>
        <v>0</v>
      </c>
      <c r="X1359" s="254">
        <f t="shared" ca="1" si="1274"/>
        <v>0</v>
      </c>
    </row>
    <row r="1360" spans="1:24" hidden="1">
      <c r="A1360" s="328"/>
      <c r="B1360" s="21"/>
      <c r="C1360" s="21"/>
      <c r="D1360" s="21"/>
      <c r="E1360" s="21"/>
      <c r="F1360" s="21"/>
      <c r="G1360" s="21"/>
      <c r="H1360" s="404">
        <f>H1353+1</f>
        <v>11</v>
      </c>
      <c r="I1360" s="483" cm="1">
        <f t="array" aca="1" ref="I1360" ca="1">OFFSET('Środki trwałe'!$C$269,H1360,,)</f>
        <v>0</v>
      </c>
      <c r="J1360" s="404" t="s">
        <v>427</v>
      </c>
      <c r="K1360" s="405">
        <f t="shared" ref="K1360:X1360" ca="1" si="1275">IF(AND(OFFSET($F$269,$D1354,0)="tak",OFFSET($G$269,$D1354,0)="tak",OFFSET($J$269,$D1354,0)="ok",LataProjekcji&lt;=Koniec_Projekt),ROUND(K1357*OFFSET($K$290,$H1360,(COLUMN()-11)),0),0)</f>
        <v>0</v>
      </c>
      <c r="L1360" s="405">
        <f t="shared" ca="1" si="1275"/>
        <v>0</v>
      </c>
      <c r="M1360" s="405">
        <f t="shared" ca="1" si="1275"/>
        <v>0</v>
      </c>
      <c r="N1360" s="405">
        <f t="shared" ca="1" si="1275"/>
        <v>0</v>
      </c>
      <c r="O1360" s="405">
        <f t="shared" ca="1" si="1275"/>
        <v>0</v>
      </c>
      <c r="P1360" s="405">
        <f t="shared" ca="1" si="1275"/>
        <v>0</v>
      </c>
      <c r="Q1360" s="405">
        <f t="shared" ca="1" si="1275"/>
        <v>0</v>
      </c>
      <c r="R1360" s="405">
        <f t="shared" ca="1" si="1275"/>
        <v>0</v>
      </c>
      <c r="S1360" s="405">
        <f t="shared" ca="1" si="1275"/>
        <v>0</v>
      </c>
      <c r="T1360" s="405">
        <f t="shared" ca="1" si="1275"/>
        <v>0</v>
      </c>
      <c r="U1360" s="405">
        <f t="shared" ca="1" si="1275"/>
        <v>0</v>
      </c>
      <c r="V1360" s="405">
        <f t="shared" ca="1" si="1275"/>
        <v>0</v>
      </c>
      <c r="W1360" s="405">
        <f t="shared" ca="1" si="1275"/>
        <v>0</v>
      </c>
      <c r="X1360" s="405">
        <f t="shared" ca="1" si="1275"/>
        <v>0</v>
      </c>
    </row>
    <row r="1361" spans="1:24" hidden="1">
      <c r="A1361" s="328"/>
      <c r="B1361" s="20">
        <f ca="1">OFFSET($B$269,D1361,0)</f>
        <v>0</v>
      </c>
      <c r="C1361" s="20"/>
      <c r="D1361" s="21">
        <f>D1354+1</f>
        <v>12</v>
      </c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</row>
    <row r="1362" spans="1:24" hidden="1">
      <c r="A1362" s="328"/>
      <c r="B1362" s="165" t="s">
        <v>425</v>
      </c>
      <c r="C1362" s="165"/>
      <c r="D1362" s="165">
        <f ca="1">YEAR(OFFSET($E$269,D1361,0))</f>
        <v>1900</v>
      </c>
      <c r="E1362" s="165">
        <f ca="1">MONTH(OFFSET($E$269,D1361,0))</f>
        <v>1</v>
      </c>
      <c r="F1362" s="21">
        <f ca="1">12-$E1362</f>
        <v>11</v>
      </c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</row>
    <row r="1363" spans="1:24" hidden="1">
      <c r="A1363" s="328"/>
      <c r="B1363" s="21" t="s">
        <v>406</v>
      </c>
      <c r="C1363" s="21"/>
      <c r="D1363" s="387">
        <f ca="1">IF(E1363&lt;0,0,ROUND(E1363,0))</f>
        <v>0</v>
      </c>
      <c r="E1363" s="249">
        <f ca="1">OFFSET($D$269,D1361,0)</f>
        <v>0</v>
      </c>
      <c r="F1363" s="387">
        <f ca="1">IF(E1363&gt;10,ROUND(($D1364/12)*$F1362,0),$D1363)</f>
        <v>0</v>
      </c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</row>
    <row r="1364" spans="1:24" hidden="1">
      <c r="A1364" s="328"/>
      <c r="B1364" s="21" t="s">
        <v>415</v>
      </c>
      <c r="C1364" s="21"/>
      <c r="D1364" s="387">
        <f ca="1">IF(ISBLANK(OFFSET($E$269,D1361,0)),0,IF(E1363&gt;10,ROUND(D1363*am_wnip,0),IF(D1363&lt;0,0,D1363)))</f>
        <v>0</v>
      </c>
      <c r="E1364" s="21"/>
      <c r="F1364" s="21"/>
      <c r="G1364" s="21"/>
      <c r="H1364" s="21"/>
      <c r="I1364" s="21"/>
      <c r="J1364" s="21"/>
      <c r="K1364" s="75">
        <f ca="1">ROUND(IF($D1362=LataProjekcji,$F1363,IF($D1362=LataProjekcji,$D1364,0)),0)</f>
        <v>0</v>
      </c>
      <c r="L1364" s="248">
        <f ca="1">ROUND(IF(OR(AND($D1362=LataProjekcji,$F1362&gt;0),AND($D1362=LataProjekcji,$F1362=0,$E1363&lt;=10)),$F1363,IF($D1362&lt;LataProjekcji,IF((SUM($K1364:K1364)+$D1364)&lt;$D1363,$D1364,$D1363-SUM($K1364:K1364)),0)),0)</f>
        <v>0</v>
      </c>
      <c r="M1364" s="248">
        <f ca="1">ROUND(IF(OR(AND($D1362=LataProjekcji,$F1362&gt;0),AND($D1362=LataProjekcji,$F1362=0,$E1363&lt;=10)),$F1363,IF($D1362&lt;LataProjekcji,IF((SUM($K1364:L1364)+$D1364)&lt;$D1363,$D1364,$D1363-SUM($K1364:L1364)),0)),0)</f>
        <v>0</v>
      </c>
      <c r="N1364" s="248">
        <f ca="1">ROUND(IF(OR(AND($D1362=LataProjekcji,$F1362&gt;0),AND($D1362=LataProjekcji,$F1362=0,$E1363&lt;=10)),$F1363,IF($D1362&lt;LataProjekcji,IF((SUM($K1364:M1364)+$D1364)&lt;$D1363,$D1364,$D1363-SUM($K1364:M1364)),0)),0)</f>
        <v>0</v>
      </c>
      <c r="O1364" s="248">
        <f ca="1">ROUND(IF(OR(AND($D1362=LataProjekcji,$F1362&gt;0),AND($D1362=LataProjekcji,$F1362=0,$E1363&lt;=10)),$F1363,IF($D1362&lt;LataProjekcji,IF((SUM($K1364:N1364)+$D1364)&lt;$D1363,$D1364,$D1363-SUM($K1364:N1364)),0)),0)</f>
        <v>0</v>
      </c>
      <c r="P1364" s="248">
        <f ca="1">ROUND(IF(OR(AND($D1362=LataProjekcji,$F1362&gt;0),AND($D1362=LataProjekcji,$F1362=0,$E1363&lt;=10)),$F1363,IF($D1362&lt;LataProjekcji,IF((SUM($K1364:O1364)+$D1364)&lt;$D1363,$D1364,$D1363-SUM($K1364:O1364)),0)),0)</f>
        <v>0</v>
      </c>
      <c r="Q1364" s="248">
        <f ca="1">ROUND(IF(OR(AND($D1362=LataProjekcji,$F1362&gt;0),AND($D1362=LataProjekcji,$F1362=0,$E1363&lt;=10)),$F1363,IF($D1362&lt;LataProjekcji,IF((SUM($K1364:P1364)+$D1364)&lt;$D1363,$D1364,$D1363-SUM($K1364:P1364)),0)),0)</f>
        <v>0</v>
      </c>
      <c r="R1364" s="248">
        <f ca="1">ROUND(IF(OR(AND($D1362=LataProjekcji,$F1362&gt;0),AND($D1362=LataProjekcji,$F1362=0,$E1363&lt;=10)),$F1363,IF($D1362&lt;LataProjekcji,IF((SUM($K1364:Q1364)+$D1364)&lt;$D1363,$D1364,$D1363-SUM($K1364:Q1364)),0)),0)</f>
        <v>0</v>
      </c>
      <c r="S1364" s="248">
        <f ca="1">ROUND(IF(OR(AND($D1362=LataProjekcji,$F1362&gt;0),AND($D1362=LataProjekcji,$F1362=0,$E1363&lt;=10)),$F1363,IF($D1362&lt;LataProjekcji,IF((SUM($K1364:R1364)+$D1364)&lt;$D1363,$D1364,$D1363-SUM($K1364:R1364)),0)),0)</f>
        <v>0</v>
      </c>
      <c r="T1364" s="248">
        <f ca="1">ROUND(IF(OR(AND($D1362=LataProjekcji,$F1362&gt;0),AND($D1362=LataProjekcji,$F1362=0,$E1363&lt;=10)),$F1363,IF($D1362&lt;LataProjekcji,IF((SUM($K1364:S1364)+$D1364)&lt;$D1363,$D1364,$D1363-SUM($K1364:S1364)),0)),0)</f>
        <v>0</v>
      </c>
      <c r="U1364" s="248">
        <f ca="1">ROUND(IF(OR(AND($D1362=LataProjekcji,$F1362&gt;0),AND($D1362=LataProjekcji,$F1362=0,$E1363&lt;=10)),$F1363,IF($D1362&lt;LataProjekcji,IF((SUM($K1364:T1364)+$D1364)&lt;$D1363,$D1364,$D1363-SUM($K1364:T1364)),0)),0)</f>
        <v>0</v>
      </c>
      <c r="V1364" s="248">
        <f ca="1">ROUND(IF(OR(AND($D1362=LataProjekcji,$F1362&gt;0),AND($D1362=LataProjekcji,$F1362=0,$E1363&lt;=10)),$F1363,IF($D1362&lt;LataProjekcji,IF((SUM($K1364:U1364)+$D1364)&lt;$D1363,$D1364,$D1363-SUM($K1364:U1364)),0)),0)</f>
        <v>0</v>
      </c>
      <c r="W1364" s="248">
        <f ca="1">ROUND(IF(OR(AND($D1362=LataProjekcji,$F1362&gt;0),AND($D1362=LataProjekcji,$F1362=0,$E1363&lt;=10)),$F1363,IF($D1362&lt;LataProjekcji,IF((SUM($K1364:V1364)+$D1364)&lt;$D1363,$D1364,$D1363-SUM($K1364:V1364)),0)),0)</f>
        <v>0</v>
      </c>
      <c r="X1364" s="248">
        <f ca="1">ROUND(IF(OR(AND($D1362=LataProjekcji,$F1362&gt;0),AND($D1362=LataProjekcji,$F1362=0,$E1363&lt;=10)),$F1363,IF($D1362&lt;LataProjekcji,IF((SUM($K1364:W1364)+$D1364)&lt;$D1363,$D1364,$D1363-SUM($K1364:W1364)),0)),0)</f>
        <v>0</v>
      </c>
    </row>
    <row r="1365" spans="1:24" hidden="1">
      <c r="A1365" s="328"/>
      <c r="B1365" s="21" t="s">
        <v>416</v>
      </c>
      <c r="C1365" s="21"/>
      <c r="D1365" s="22"/>
      <c r="E1365" s="21"/>
      <c r="F1365" s="21"/>
      <c r="G1365" s="21"/>
      <c r="H1365" s="21"/>
      <c r="I1365" s="21"/>
      <c r="J1365" s="21"/>
      <c r="K1365" s="22">
        <f ca="1">ROUND(K1364,0)</f>
        <v>0</v>
      </c>
      <c r="L1365" s="22">
        <f t="shared" ref="L1365:X1365" ca="1" si="1276">ROUND(K1365+L1364,0)</f>
        <v>0</v>
      </c>
      <c r="M1365" s="22">
        <f t="shared" ca="1" si="1276"/>
        <v>0</v>
      </c>
      <c r="N1365" s="22">
        <f t="shared" ca="1" si="1276"/>
        <v>0</v>
      </c>
      <c r="O1365" s="22">
        <f t="shared" ca="1" si="1276"/>
        <v>0</v>
      </c>
      <c r="P1365" s="22">
        <f t="shared" ca="1" si="1276"/>
        <v>0</v>
      </c>
      <c r="Q1365" s="22">
        <f t="shared" ca="1" si="1276"/>
        <v>0</v>
      </c>
      <c r="R1365" s="22">
        <f t="shared" ca="1" si="1276"/>
        <v>0</v>
      </c>
      <c r="S1365" s="22">
        <f t="shared" ca="1" si="1276"/>
        <v>0</v>
      </c>
      <c r="T1365" s="22">
        <f t="shared" ca="1" si="1276"/>
        <v>0</v>
      </c>
      <c r="U1365" s="22">
        <f t="shared" ca="1" si="1276"/>
        <v>0</v>
      </c>
      <c r="V1365" s="22">
        <f t="shared" ca="1" si="1276"/>
        <v>0</v>
      </c>
      <c r="W1365" s="22">
        <f t="shared" ca="1" si="1276"/>
        <v>0</v>
      </c>
      <c r="X1365" s="22">
        <f t="shared" ca="1" si="1276"/>
        <v>0</v>
      </c>
    </row>
    <row r="1366" spans="1:24" hidden="1">
      <c r="A1366" s="328"/>
      <c r="B1366" s="21" t="s">
        <v>406</v>
      </c>
      <c r="C1366" s="21"/>
      <c r="D1366" s="22"/>
      <c r="E1366" s="21"/>
      <c r="F1366" s="21"/>
      <c r="G1366" s="21"/>
      <c r="H1366" s="21"/>
      <c r="I1366" s="21"/>
      <c r="J1366" s="21"/>
      <c r="K1366" s="77">
        <f ca="1">IF($D1362=LataProjekcji,ROUND($D1363-K1365,0),ROUND(IF(K1364=0,0,$D1363-K1365),0))</f>
        <v>0</v>
      </c>
      <c r="L1366" s="254">
        <f t="shared" ref="L1366:X1366" ca="1" si="1277">IF($D1362=LataProjekcji,ROUND($D1363-L1365,0),ROUND(IF(AND(L1364=0,K1366&gt;0),$D1363-L1365,IF(L1364=0,0,$D1363-L1365)),0))</f>
        <v>0</v>
      </c>
      <c r="M1366" s="254">
        <f t="shared" ca="1" si="1277"/>
        <v>0</v>
      </c>
      <c r="N1366" s="254">
        <f t="shared" ca="1" si="1277"/>
        <v>0</v>
      </c>
      <c r="O1366" s="254">
        <f t="shared" ca="1" si="1277"/>
        <v>0</v>
      </c>
      <c r="P1366" s="254">
        <f t="shared" ca="1" si="1277"/>
        <v>0</v>
      </c>
      <c r="Q1366" s="254">
        <f t="shared" ca="1" si="1277"/>
        <v>0</v>
      </c>
      <c r="R1366" s="254">
        <f t="shared" ca="1" si="1277"/>
        <v>0</v>
      </c>
      <c r="S1366" s="254">
        <f t="shared" ca="1" si="1277"/>
        <v>0</v>
      </c>
      <c r="T1366" s="254">
        <f t="shared" ca="1" si="1277"/>
        <v>0</v>
      </c>
      <c r="U1366" s="254">
        <f t="shared" ca="1" si="1277"/>
        <v>0</v>
      </c>
      <c r="V1366" s="254">
        <f t="shared" ca="1" si="1277"/>
        <v>0</v>
      </c>
      <c r="W1366" s="254">
        <f t="shared" ca="1" si="1277"/>
        <v>0</v>
      </c>
      <c r="X1366" s="254">
        <f t="shared" ca="1" si="1277"/>
        <v>0</v>
      </c>
    </row>
    <row r="1367" spans="1:24" hidden="1">
      <c r="A1367" s="328"/>
      <c r="B1367" s="21"/>
      <c r="C1367" s="21"/>
      <c r="D1367" s="21"/>
      <c r="E1367" s="21"/>
      <c r="F1367" s="21"/>
      <c r="G1367" s="21"/>
      <c r="H1367" s="404">
        <f>H1360+1</f>
        <v>12</v>
      </c>
      <c r="I1367" s="483" cm="1">
        <f t="array" aca="1" ref="I1367" ca="1">OFFSET('Środki trwałe'!$C$269,H1367,,)</f>
        <v>0</v>
      </c>
      <c r="J1367" s="404" t="s">
        <v>427</v>
      </c>
      <c r="K1367" s="405">
        <f t="shared" ref="K1367:X1367" ca="1" si="1278">IF(AND(OFFSET($F$269,$D1361,0)="tak",OFFSET($G$269,$D1361,0)="tak",OFFSET($J$269,$D1361,0)="ok",LataProjekcji&lt;=Koniec_Projekt),ROUND(K1364*OFFSET($K$290,$H1367,(COLUMN()-11)),0),0)</f>
        <v>0</v>
      </c>
      <c r="L1367" s="405">
        <f t="shared" ca="1" si="1278"/>
        <v>0</v>
      </c>
      <c r="M1367" s="405">
        <f t="shared" ca="1" si="1278"/>
        <v>0</v>
      </c>
      <c r="N1367" s="405">
        <f t="shared" ca="1" si="1278"/>
        <v>0</v>
      </c>
      <c r="O1367" s="405">
        <f t="shared" ca="1" si="1278"/>
        <v>0</v>
      </c>
      <c r="P1367" s="405">
        <f t="shared" ca="1" si="1278"/>
        <v>0</v>
      </c>
      <c r="Q1367" s="405">
        <f t="shared" ca="1" si="1278"/>
        <v>0</v>
      </c>
      <c r="R1367" s="405">
        <f t="shared" ca="1" si="1278"/>
        <v>0</v>
      </c>
      <c r="S1367" s="405">
        <f t="shared" ca="1" si="1278"/>
        <v>0</v>
      </c>
      <c r="T1367" s="405">
        <f t="shared" ca="1" si="1278"/>
        <v>0</v>
      </c>
      <c r="U1367" s="405">
        <f t="shared" ca="1" si="1278"/>
        <v>0</v>
      </c>
      <c r="V1367" s="405">
        <f t="shared" ca="1" si="1278"/>
        <v>0</v>
      </c>
      <c r="W1367" s="405">
        <f t="shared" ca="1" si="1278"/>
        <v>0</v>
      </c>
      <c r="X1367" s="405">
        <f t="shared" ca="1" si="1278"/>
        <v>0</v>
      </c>
    </row>
    <row r="1368" spans="1:24" hidden="1">
      <c r="A1368" s="328"/>
      <c r="B1368" s="20">
        <f ca="1">OFFSET($B$269,D1368,0)</f>
        <v>0</v>
      </c>
      <c r="C1368" s="20"/>
      <c r="D1368" s="21">
        <f>D1361+1</f>
        <v>13</v>
      </c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</row>
    <row r="1369" spans="1:24" hidden="1">
      <c r="A1369" s="328"/>
      <c r="B1369" s="165" t="s">
        <v>425</v>
      </c>
      <c r="C1369" s="165"/>
      <c r="D1369" s="165">
        <f ca="1">YEAR(OFFSET($E$269,D1368,0))</f>
        <v>1900</v>
      </c>
      <c r="E1369" s="165">
        <f ca="1">MONTH(OFFSET($E$269,D1368,0))</f>
        <v>1</v>
      </c>
      <c r="F1369" s="21">
        <f ca="1">12-$E1369</f>
        <v>11</v>
      </c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</row>
    <row r="1370" spans="1:24" hidden="1">
      <c r="A1370" s="328"/>
      <c r="B1370" s="21" t="s">
        <v>406</v>
      </c>
      <c r="C1370" s="21"/>
      <c r="D1370" s="387">
        <f ca="1">IF(E1370&lt;0,0,ROUND(E1370,0))</f>
        <v>0</v>
      </c>
      <c r="E1370" s="249">
        <f ca="1">OFFSET($D$269,D1368,0)</f>
        <v>0</v>
      </c>
      <c r="F1370" s="387">
        <f ca="1">IF(E1370&gt;10,ROUND(($D1371/12)*$F1369,0),$D1370)</f>
        <v>0</v>
      </c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</row>
    <row r="1371" spans="1:24" hidden="1">
      <c r="A1371" s="328"/>
      <c r="B1371" s="21" t="s">
        <v>415</v>
      </c>
      <c r="C1371" s="21"/>
      <c r="D1371" s="387">
        <f ca="1">IF(ISBLANK(OFFSET($E$269,D1368,0)),0,IF(E1370&gt;10,ROUND(D1370*am_wnip,0),IF(D1370&lt;0,0,D1370)))</f>
        <v>0</v>
      </c>
      <c r="E1371" s="21"/>
      <c r="F1371" s="21"/>
      <c r="G1371" s="21"/>
      <c r="H1371" s="21"/>
      <c r="I1371" s="21"/>
      <c r="J1371" s="21"/>
      <c r="K1371" s="75">
        <f ca="1">ROUND(IF($D1369=LataProjekcji,$F1370,IF($D1369=LataProjekcji,$D1371,0)),0)</f>
        <v>0</v>
      </c>
      <c r="L1371" s="248">
        <f ca="1">ROUND(IF(OR(AND($D1369=LataProjekcji,$F1369&gt;0),AND($D1369=LataProjekcji,$F1369=0,$E1370&lt;=10)),$F1370,IF($D1369&lt;LataProjekcji,IF((SUM($K1371:K1371)+$D1371)&lt;$D1370,$D1371,$D1370-SUM($K1371:K1371)),0)),0)</f>
        <v>0</v>
      </c>
      <c r="M1371" s="248">
        <f ca="1">ROUND(IF(OR(AND($D1369=LataProjekcji,$F1369&gt;0),AND($D1369=LataProjekcji,$F1369=0,$E1370&lt;=10)),$F1370,IF($D1369&lt;LataProjekcji,IF((SUM($K1371:L1371)+$D1371)&lt;$D1370,$D1371,$D1370-SUM($K1371:L1371)),0)),0)</f>
        <v>0</v>
      </c>
      <c r="N1371" s="248">
        <f ca="1">ROUND(IF(OR(AND($D1369=LataProjekcji,$F1369&gt;0),AND($D1369=LataProjekcji,$F1369=0,$E1370&lt;=10)),$F1370,IF($D1369&lt;LataProjekcji,IF((SUM($K1371:M1371)+$D1371)&lt;$D1370,$D1371,$D1370-SUM($K1371:M1371)),0)),0)</f>
        <v>0</v>
      </c>
      <c r="O1371" s="248">
        <f ca="1">ROUND(IF(OR(AND($D1369=LataProjekcji,$F1369&gt;0),AND($D1369=LataProjekcji,$F1369=0,$E1370&lt;=10)),$F1370,IF($D1369&lt;LataProjekcji,IF((SUM($K1371:N1371)+$D1371)&lt;$D1370,$D1371,$D1370-SUM($K1371:N1371)),0)),0)</f>
        <v>0</v>
      </c>
      <c r="P1371" s="248">
        <f ca="1">ROUND(IF(OR(AND($D1369=LataProjekcji,$F1369&gt;0),AND($D1369=LataProjekcji,$F1369=0,$E1370&lt;=10)),$F1370,IF($D1369&lt;LataProjekcji,IF((SUM($K1371:O1371)+$D1371)&lt;$D1370,$D1371,$D1370-SUM($K1371:O1371)),0)),0)</f>
        <v>0</v>
      </c>
      <c r="Q1371" s="248">
        <f ca="1">ROUND(IF(OR(AND($D1369=LataProjekcji,$F1369&gt;0),AND($D1369=LataProjekcji,$F1369=0,$E1370&lt;=10)),$F1370,IF($D1369&lt;LataProjekcji,IF((SUM($K1371:P1371)+$D1371)&lt;$D1370,$D1371,$D1370-SUM($K1371:P1371)),0)),0)</f>
        <v>0</v>
      </c>
      <c r="R1371" s="248">
        <f ca="1">ROUND(IF(OR(AND($D1369=LataProjekcji,$F1369&gt;0),AND($D1369=LataProjekcji,$F1369=0,$E1370&lt;=10)),$F1370,IF($D1369&lt;LataProjekcji,IF((SUM($K1371:Q1371)+$D1371)&lt;$D1370,$D1371,$D1370-SUM($K1371:Q1371)),0)),0)</f>
        <v>0</v>
      </c>
      <c r="S1371" s="248">
        <f ca="1">ROUND(IF(OR(AND($D1369=LataProjekcji,$F1369&gt;0),AND($D1369=LataProjekcji,$F1369=0,$E1370&lt;=10)),$F1370,IF($D1369&lt;LataProjekcji,IF((SUM($K1371:R1371)+$D1371)&lt;$D1370,$D1371,$D1370-SUM($K1371:R1371)),0)),0)</f>
        <v>0</v>
      </c>
      <c r="T1371" s="248">
        <f ca="1">ROUND(IF(OR(AND($D1369=LataProjekcji,$F1369&gt;0),AND($D1369=LataProjekcji,$F1369=0,$E1370&lt;=10)),$F1370,IF($D1369&lt;LataProjekcji,IF((SUM($K1371:S1371)+$D1371)&lt;$D1370,$D1371,$D1370-SUM($K1371:S1371)),0)),0)</f>
        <v>0</v>
      </c>
      <c r="U1371" s="248">
        <f ca="1">ROUND(IF(OR(AND($D1369=LataProjekcji,$F1369&gt;0),AND($D1369=LataProjekcji,$F1369=0,$E1370&lt;=10)),$F1370,IF($D1369&lt;LataProjekcji,IF((SUM($K1371:T1371)+$D1371)&lt;$D1370,$D1371,$D1370-SUM($K1371:T1371)),0)),0)</f>
        <v>0</v>
      </c>
      <c r="V1371" s="248">
        <f ca="1">ROUND(IF(OR(AND($D1369=LataProjekcji,$F1369&gt;0),AND($D1369=LataProjekcji,$F1369=0,$E1370&lt;=10)),$F1370,IF($D1369&lt;LataProjekcji,IF((SUM($K1371:U1371)+$D1371)&lt;$D1370,$D1371,$D1370-SUM($K1371:U1371)),0)),0)</f>
        <v>0</v>
      </c>
      <c r="W1371" s="248">
        <f ca="1">ROUND(IF(OR(AND($D1369=LataProjekcji,$F1369&gt;0),AND($D1369=LataProjekcji,$F1369=0,$E1370&lt;=10)),$F1370,IF($D1369&lt;LataProjekcji,IF((SUM($K1371:V1371)+$D1371)&lt;$D1370,$D1371,$D1370-SUM($K1371:V1371)),0)),0)</f>
        <v>0</v>
      </c>
      <c r="X1371" s="248">
        <f ca="1">ROUND(IF(OR(AND($D1369=LataProjekcji,$F1369&gt;0),AND($D1369=LataProjekcji,$F1369=0,$E1370&lt;=10)),$F1370,IF($D1369&lt;LataProjekcji,IF((SUM($K1371:W1371)+$D1371)&lt;$D1370,$D1371,$D1370-SUM($K1371:W1371)),0)),0)</f>
        <v>0</v>
      </c>
    </row>
    <row r="1372" spans="1:24" hidden="1">
      <c r="A1372" s="328"/>
      <c r="B1372" s="21" t="s">
        <v>416</v>
      </c>
      <c r="C1372" s="21"/>
      <c r="D1372" s="22"/>
      <c r="E1372" s="21"/>
      <c r="F1372" s="21"/>
      <c r="G1372" s="21"/>
      <c r="H1372" s="21"/>
      <c r="I1372" s="21"/>
      <c r="J1372" s="21"/>
      <c r="K1372" s="22">
        <f ca="1">ROUND(K1371,0)</f>
        <v>0</v>
      </c>
      <c r="L1372" s="22">
        <f t="shared" ref="L1372:X1372" ca="1" si="1279">ROUND(K1372+L1371,0)</f>
        <v>0</v>
      </c>
      <c r="M1372" s="22">
        <f t="shared" ca="1" si="1279"/>
        <v>0</v>
      </c>
      <c r="N1372" s="22">
        <f t="shared" ca="1" si="1279"/>
        <v>0</v>
      </c>
      <c r="O1372" s="22">
        <f t="shared" ca="1" si="1279"/>
        <v>0</v>
      </c>
      <c r="P1372" s="22">
        <f t="shared" ca="1" si="1279"/>
        <v>0</v>
      </c>
      <c r="Q1372" s="22">
        <f t="shared" ca="1" si="1279"/>
        <v>0</v>
      </c>
      <c r="R1372" s="22">
        <f t="shared" ca="1" si="1279"/>
        <v>0</v>
      </c>
      <c r="S1372" s="22">
        <f t="shared" ca="1" si="1279"/>
        <v>0</v>
      </c>
      <c r="T1372" s="22">
        <f t="shared" ca="1" si="1279"/>
        <v>0</v>
      </c>
      <c r="U1372" s="22">
        <f t="shared" ca="1" si="1279"/>
        <v>0</v>
      </c>
      <c r="V1372" s="22">
        <f t="shared" ca="1" si="1279"/>
        <v>0</v>
      </c>
      <c r="W1372" s="22">
        <f t="shared" ca="1" si="1279"/>
        <v>0</v>
      </c>
      <c r="X1372" s="22">
        <f t="shared" ca="1" si="1279"/>
        <v>0</v>
      </c>
    </row>
    <row r="1373" spans="1:24" hidden="1">
      <c r="A1373" s="328"/>
      <c r="B1373" s="21" t="s">
        <v>406</v>
      </c>
      <c r="C1373" s="21"/>
      <c r="D1373" s="22"/>
      <c r="E1373" s="21"/>
      <c r="F1373" s="21"/>
      <c r="G1373" s="21"/>
      <c r="H1373" s="21"/>
      <c r="I1373" s="21"/>
      <c r="J1373" s="21"/>
      <c r="K1373" s="77">
        <f ca="1">IF($D1369=LataProjekcji,ROUND($D1370-K1372,0),ROUND(IF(K1371=0,0,$D1370-K1372),0))</f>
        <v>0</v>
      </c>
      <c r="L1373" s="254">
        <f t="shared" ref="L1373:X1373" ca="1" si="1280">IF($D1369=LataProjekcji,ROUND($D1370-L1372,0),ROUND(IF(AND(L1371=0,K1373&gt;0),$D1370-L1372,IF(L1371=0,0,$D1370-L1372)),0))</f>
        <v>0</v>
      </c>
      <c r="M1373" s="254">
        <f t="shared" ca="1" si="1280"/>
        <v>0</v>
      </c>
      <c r="N1373" s="254">
        <f t="shared" ca="1" si="1280"/>
        <v>0</v>
      </c>
      <c r="O1373" s="254">
        <f t="shared" ca="1" si="1280"/>
        <v>0</v>
      </c>
      <c r="P1373" s="254">
        <f t="shared" ca="1" si="1280"/>
        <v>0</v>
      </c>
      <c r="Q1373" s="254">
        <f t="shared" ca="1" si="1280"/>
        <v>0</v>
      </c>
      <c r="R1373" s="254">
        <f t="shared" ca="1" si="1280"/>
        <v>0</v>
      </c>
      <c r="S1373" s="254">
        <f t="shared" ca="1" si="1280"/>
        <v>0</v>
      </c>
      <c r="T1373" s="254">
        <f t="shared" ca="1" si="1280"/>
        <v>0</v>
      </c>
      <c r="U1373" s="254">
        <f t="shared" ca="1" si="1280"/>
        <v>0</v>
      </c>
      <c r="V1373" s="254">
        <f t="shared" ca="1" si="1280"/>
        <v>0</v>
      </c>
      <c r="W1373" s="254">
        <f t="shared" ca="1" si="1280"/>
        <v>0</v>
      </c>
      <c r="X1373" s="254">
        <f t="shared" ca="1" si="1280"/>
        <v>0</v>
      </c>
    </row>
    <row r="1374" spans="1:24" hidden="1">
      <c r="A1374" s="328"/>
      <c r="B1374" s="21"/>
      <c r="C1374" s="21"/>
      <c r="D1374" s="21"/>
      <c r="E1374" s="21"/>
      <c r="F1374" s="21"/>
      <c r="G1374" s="21"/>
      <c r="H1374" s="404">
        <f>H1367+1</f>
        <v>13</v>
      </c>
      <c r="I1374" s="483" cm="1">
        <f t="array" aca="1" ref="I1374" ca="1">OFFSET('Środki trwałe'!$C$269,H1374,,)</f>
        <v>0</v>
      </c>
      <c r="J1374" s="404" t="s">
        <v>427</v>
      </c>
      <c r="K1374" s="405">
        <f t="shared" ref="K1374:X1374" ca="1" si="1281">IF(AND(OFFSET($F$269,$D1368,0)="tak",OFFSET($G$269,$D1368,0)="tak",OFFSET($J$269,$D1368,0)="ok",LataProjekcji&lt;=Koniec_Projekt),ROUND(K1371*OFFSET($K$290,$H1374,(COLUMN()-11)),0),0)</f>
        <v>0</v>
      </c>
      <c r="L1374" s="405">
        <f t="shared" ca="1" si="1281"/>
        <v>0</v>
      </c>
      <c r="M1374" s="405">
        <f t="shared" ca="1" si="1281"/>
        <v>0</v>
      </c>
      <c r="N1374" s="405">
        <f t="shared" ca="1" si="1281"/>
        <v>0</v>
      </c>
      <c r="O1374" s="405">
        <f t="shared" ca="1" si="1281"/>
        <v>0</v>
      </c>
      <c r="P1374" s="405">
        <f t="shared" ca="1" si="1281"/>
        <v>0</v>
      </c>
      <c r="Q1374" s="405">
        <f t="shared" ca="1" si="1281"/>
        <v>0</v>
      </c>
      <c r="R1374" s="405">
        <f t="shared" ca="1" si="1281"/>
        <v>0</v>
      </c>
      <c r="S1374" s="405">
        <f t="shared" ca="1" si="1281"/>
        <v>0</v>
      </c>
      <c r="T1374" s="405">
        <f t="shared" ca="1" si="1281"/>
        <v>0</v>
      </c>
      <c r="U1374" s="405">
        <f t="shared" ca="1" si="1281"/>
        <v>0</v>
      </c>
      <c r="V1374" s="405">
        <f t="shared" ca="1" si="1281"/>
        <v>0</v>
      </c>
      <c r="W1374" s="405">
        <f t="shared" ca="1" si="1281"/>
        <v>0</v>
      </c>
      <c r="X1374" s="405">
        <f t="shared" ca="1" si="1281"/>
        <v>0</v>
      </c>
    </row>
    <row r="1375" spans="1:24" hidden="1">
      <c r="A1375" s="328"/>
      <c r="B1375" s="20">
        <f ca="1">OFFSET($B$269,D1375,0)</f>
        <v>0</v>
      </c>
      <c r="C1375" s="20"/>
      <c r="D1375" s="21">
        <f>D1368+1</f>
        <v>14</v>
      </c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</row>
    <row r="1376" spans="1:24" hidden="1">
      <c r="A1376" s="328"/>
      <c r="B1376" s="165" t="s">
        <v>425</v>
      </c>
      <c r="C1376" s="165"/>
      <c r="D1376" s="165">
        <f ca="1">YEAR(OFFSET($E$269,D1375,0))</f>
        <v>1900</v>
      </c>
      <c r="E1376" s="165">
        <f ca="1">MONTH(OFFSET($E$269,D1375,0))</f>
        <v>1</v>
      </c>
      <c r="F1376" s="21">
        <f ca="1">12-$E1376</f>
        <v>11</v>
      </c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</row>
    <row r="1377" spans="1:24" hidden="1">
      <c r="A1377" s="328"/>
      <c r="B1377" s="21" t="s">
        <v>406</v>
      </c>
      <c r="C1377" s="21"/>
      <c r="D1377" s="388">
        <f ca="1">IF(E1377&lt;0,0,ROUND(E1377,0))</f>
        <v>0</v>
      </c>
      <c r="E1377" s="249">
        <f ca="1">OFFSET($D$269,D1375,0)</f>
        <v>0</v>
      </c>
      <c r="F1377" s="388">
        <f ca="1">IF(E1377&gt;10,ROUND(($D1378/12)*$F1376,0),$D1377)</f>
        <v>0</v>
      </c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</row>
    <row r="1378" spans="1:24" hidden="1">
      <c r="A1378" s="328"/>
      <c r="B1378" s="21" t="s">
        <v>415</v>
      </c>
      <c r="C1378" s="21"/>
      <c r="D1378" s="388">
        <f ca="1">IF(ISBLANK(OFFSET($E$269,D1375,0)),0,IF(E1377&gt;10,ROUND(D1377*am_wnip,0),IF(D1377&lt;0,0,D1377)))</f>
        <v>0</v>
      </c>
      <c r="E1378" s="21"/>
      <c r="F1378" s="21"/>
      <c r="G1378" s="21"/>
      <c r="H1378" s="21"/>
      <c r="I1378" s="21"/>
      <c r="J1378" s="21"/>
      <c r="K1378" s="75">
        <f ca="1">ROUND(IF($D1376=LataProjekcji,$F1377,IF($D1376=LataProjekcji,$D1378,0)),0)</f>
        <v>0</v>
      </c>
      <c r="L1378" s="248">
        <f ca="1">ROUND(IF(OR(AND($D1376=LataProjekcji,$F1376&gt;0),AND($D1376=LataProjekcji,$F1376=0,$E1377&lt;=10)),$F1377,IF($D1376&lt;LataProjekcji,IF((SUM($K1378:K1378)+$D1378)&lt;$D1377,$D1378,$D1377-SUM($K1378:K1378)),0)),0)</f>
        <v>0</v>
      </c>
      <c r="M1378" s="248">
        <f ca="1">ROUND(IF(OR(AND($D1376=LataProjekcji,$F1376&gt;0),AND($D1376=LataProjekcji,$F1376=0,$E1377&lt;=10)),$F1377,IF($D1376&lt;LataProjekcji,IF((SUM($K1378:L1378)+$D1378)&lt;$D1377,$D1378,$D1377-SUM($K1378:L1378)),0)),0)</f>
        <v>0</v>
      </c>
      <c r="N1378" s="248">
        <f ca="1">ROUND(IF(OR(AND($D1376=LataProjekcji,$F1376&gt;0),AND($D1376=LataProjekcji,$F1376=0,$E1377&lt;=10)),$F1377,IF($D1376&lt;LataProjekcji,IF((SUM($K1378:M1378)+$D1378)&lt;$D1377,$D1378,$D1377-SUM($K1378:M1378)),0)),0)</f>
        <v>0</v>
      </c>
      <c r="O1378" s="248">
        <f ca="1">ROUND(IF(OR(AND($D1376=LataProjekcji,$F1376&gt;0),AND($D1376=LataProjekcji,$F1376=0,$E1377&lt;=10)),$F1377,IF($D1376&lt;LataProjekcji,IF((SUM($K1378:N1378)+$D1378)&lt;$D1377,$D1378,$D1377-SUM($K1378:N1378)),0)),0)</f>
        <v>0</v>
      </c>
      <c r="P1378" s="248">
        <f ca="1">ROUND(IF(OR(AND($D1376=LataProjekcji,$F1376&gt;0),AND($D1376=LataProjekcji,$F1376=0,$E1377&lt;=10)),$F1377,IF($D1376&lt;LataProjekcji,IF((SUM($K1378:O1378)+$D1378)&lt;$D1377,$D1378,$D1377-SUM($K1378:O1378)),0)),0)</f>
        <v>0</v>
      </c>
      <c r="Q1378" s="248">
        <f ca="1">ROUND(IF(OR(AND($D1376=LataProjekcji,$F1376&gt;0),AND($D1376=LataProjekcji,$F1376=0,$E1377&lt;=10)),$F1377,IF($D1376&lt;LataProjekcji,IF((SUM($K1378:P1378)+$D1378)&lt;$D1377,$D1378,$D1377-SUM($K1378:P1378)),0)),0)</f>
        <v>0</v>
      </c>
      <c r="R1378" s="248">
        <f ca="1">ROUND(IF(OR(AND($D1376=LataProjekcji,$F1376&gt;0),AND($D1376=LataProjekcji,$F1376=0,$E1377&lt;=10)),$F1377,IF($D1376&lt;LataProjekcji,IF((SUM($K1378:Q1378)+$D1378)&lt;$D1377,$D1378,$D1377-SUM($K1378:Q1378)),0)),0)</f>
        <v>0</v>
      </c>
      <c r="S1378" s="248">
        <f ca="1">ROUND(IF(OR(AND($D1376=LataProjekcji,$F1376&gt;0),AND($D1376=LataProjekcji,$F1376=0,$E1377&lt;=10)),$F1377,IF($D1376&lt;LataProjekcji,IF((SUM($K1378:R1378)+$D1378)&lt;$D1377,$D1378,$D1377-SUM($K1378:R1378)),0)),0)</f>
        <v>0</v>
      </c>
      <c r="T1378" s="248">
        <f ca="1">ROUND(IF(OR(AND($D1376=LataProjekcji,$F1376&gt;0),AND($D1376=LataProjekcji,$F1376=0,$E1377&lt;=10)),$F1377,IF($D1376&lt;LataProjekcji,IF((SUM($K1378:S1378)+$D1378)&lt;$D1377,$D1378,$D1377-SUM($K1378:S1378)),0)),0)</f>
        <v>0</v>
      </c>
      <c r="U1378" s="248">
        <f ca="1">ROUND(IF(OR(AND($D1376=LataProjekcji,$F1376&gt;0),AND($D1376=LataProjekcji,$F1376=0,$E1377&lt;=10)),$F1377,IF($D1376&lt;LataProjekcji,IF((SUM($K1378:T1378)+$D1378)&lt;$D1377,$D1378,$D1377-SUM($K1378:T1378)),0)),0)</f>
        <v>0</v>
      </c>
      <c r="V1378" s="248">
        <f ca="1">ROUND(IF(OR(AND($D1376=LataProjekcji,$F1376&gt;0),AND($D1376=LataProjekcji,$F1376=0,$E1377&lt;=10)),$F1377,IF($D1376&lt;LataProjekcji,IF((SUM($K1378:U1378)+$D1378)&lt;$D1377,$D1378,$D1377-SUM($K1378:U1378)),0)),0)</f>
        <v>0</v>
      </c>
      <c r="W1378" s="248">
        <f ca="1">ROUND(IF(OR(AND($D1376=LataProjekcji,$F1376&gt;0),AND($D1376=LataProjekcji,$F1376=0,$E1377&lt;=10)),$F1377,IF($D1376&lt;LataProjekcji,IF((SUM($K1378:V1378)+$D1378)&lt;$D1377,$D1378,$D1377-SUM($K1378:V1378)),0)),0)</f>
        <v>0</v>
      </c>
      <c r="X1378" s="248">
        <f ca="1">ROUND(IF(OR(AND($D1376=LataProjekcji,$F1376&gt;0),AND($D1376=LataProjekcji,$F1376=0,$E1377&lt;=10)),$F1377,IF($D1376&lt;LataProjekcji,IF((SUM($K1378:W1378)+$D1378)&lt;$D1377,$D1378,$D1377-SUM($K1378:W1378)),0)),0)</f>
        <v>0</v>
      </c>
    </row>
    <row r="1379" spans="1:24" hidden="1">
      <c r="A1379" s="328"/>
      <c r="B1379" s="21" t="s">
        <v>416</v>
      </c>
      <c r="C1379" s="21"/>
      <c r="D1379" s="22"/>
      <c r="E1379" s="21"/>
      <c r="F1379" s="21"/>
      <c r="G1379" s="21"/>
      <c r="H1379" s="21"/>
      <c r="I1379" s="21"/>
      <c r="J1379" s="21"/>
      <c r="K1379" s="22">
        <f ca="1">ROUND(K1378,0)</f>
        <v>0</v>
      </c>
      <c r="L1379" s="22">
        <f t="shared" ref="L1379:X1379" ca="1" si="1282">ROUND(K1379+L1378,0)</f>
        <v>0</v>
      </c>
      <c r="M1379" s="22">
        <f t="shared" ca="1" si="1282"/>
        <v>0</v>
      </c>
      <c r="N1379" s="22">
        <f t="shared" ca="1" si="1282"/>
        <v>0</v>
      </c>
      <c r="O1379" s="22">
        <f t="shared" ca="1" si="1282"/>
        <v>0</v>
      </c>
      <c r="P1379" s="22">
        <f t="shared" ca="1" si="1282"/>
        <v>0</v>
      </c>
      <c r="Q1379" s="22">
        <f t="shared" ca="1" si="1282"/>
        <v>0</v>
      </c>
      <c r="R1379" s="22">
        <f t="shared" ca="1" si="1282"/>
        <v>0</v>
      </c>
      <c r="S1379" s="22">
        <f t="shared" ca="1" si="1282"/>
        <v>0</v>
      </c>
      <c r="T1379" s="22">
        <f t="shared" ca="1" si="1282"/>
        <v>0</v>
      </c>
      <c r="U1379" s="22">
        <f t="shared" ca="1" si="1282"/>
        <v>0</v>
      </c>
      <c r="V1379" s="22">
        <f t="shared" ca="1" si="1282"/>
        <v>0</v>
      </c>
      <c r="W1379" s="22">
        <f t="shared" ca="1" si="1282"/>
        <v>0</v>
      </c>
      <c r="X1379" s="22">
        <f t="shared" ca="1" si="1282"/>
        <v>0</v>
      </c>
    </row>
    <row r="1380" spans="1:24" hidden="1">
      <c r="A1380" s="328"/>
      <c r="B1380" s="21" t="s">
        <v>406</v>
      </c>
      <c r="C1380" s="21"/>
      <c r="D1380" s="22"/>
      <c r="E1380" s="21"/>
      <c r="F1380" s="21"/>
      <c r="G1380" s="21"/>
      <c r="H1380" s="21"/>
      <c r="I1380" s="21"/>
      <c r="J1380" s="21"/>
      <c r="K1380" s="77">
        <f ca="1">IF($D1376=LataProjekcji,ROUND($D1377-K1379,0),ROUND(IF(K1378=0,0,$D1377-K1379),0))</f>
        <v>0</v>
      </c>
      <c r="L1380" s="254">
        <f t="shared" ref="L1380:X1380" ca="1" si="1283">IF($D1376=LataProjekcji,ROUND($D1377-L1379,0),ROUND(IF(AND(L1378=0,K1380&gt;0),$D1377-L1379,IF(L1378=0,0,$D1377-L1379)),0))</f>
        <v>0</v>
      </c>
      <c r="M1380" s="254">
        <f t="shared" ca="1" si="1283"/>
        <v>0</v>
      </c>
      <c r="N1380" s="254">
        <f t="shared" ca="1" si="1283"/>
        <v>0</v>
      </c>
      <c r="O1380" s="254">
        <f t="shared" ca="1" si="1283"/>
        <v>0</v>
      </c>
      <c r="P1380" s="254">
        <f t="shared" ca="1" si="1283"/>
        <v>0</v>
      </c>
      <c r="Q1380" s="254">
        <f t="shared" ca="1" si="1283"/>
        <v>0</v>
      </c>
      <c r="R1380" s="254">
        <f t="shared" ca="1" si="1283"/>
        <v>0</v>
      </c>
      <c r="S1380" s="254">
        <f t="shared" ca="1" si="1283"/>
        <v>0</v>
      </c>
      <c r="T1380" s="254">
        <f t="shared" ca="1" si="1283"/>
        <v>0</v>
      </c>
      <c r="U1380" s="254">
        <f t="shared" ca="1" si="1283"/>
        <v>0</v>
      </c>
      <c r="V1380" s="254">
        <f t="shared" ca="1" si="1283"/>
        <v>0</v>
      </c>
      <c r="W1380" s="254">
        <f t="shared" ca="1" si="1283"/>
        <v>0</v>
      </c>
      <c r="X1380" s="254">
        <f t="shared" ca="1" si="1283"/>
        <v>0</v>
      </c>
    </row>
    <row r="1381" spans="1:24" hidden="1">
      <c r="A1381" s="328"/>
      <c r="H1381" s="404">
        <f>H1374+1</f>
        <v>14</v>
      </c>
      <c r="I1381" s="483" cm="1">
        <f t="array" aca="1" ref="I1381" ca="1">OFFSET('Środki trwałe'!$C$269,H1381,,)</f>
        <v>0</v>
      </c>
      <c r="J1381" s="404" t="s">
        <v>427</v>
      </c>
      <c r="K1381" s="405">
        <f t="shared" ref="K1381:X1381" ca="1" si="1284">IF(AND(OFFSET($F$269,$D1375,0)="tak",OFFSET($G$269,$D1375,0)="tak",OFFSET($J$269,$D1375,0)="ok",LataProjekcji&lt;=Koniec_Projekt),ROUND(K1378*OFFSET($K$290,$H1381,(COLUMN()-11)),0),0)</f>
        <v>0</v>
      </c>
      <c r="L1381" s="405">
        <f t="shared" ca="1" si="1284"/>
        <v>0</v>
      </c>
      <c r="M1381" s="405">
        <f t="shared" ca="1" si="1284"/>
        <v>0</v>
      </c>
      <c r="N1381" s="405">
        <f t="shared" ca="1" si="1284"/>
        <v>0</v>
      </c>
      <c r="O1381" s="405">
        <f t="shared" ca="1" si="1284"/>
        <v>0</v>
      </c>
      <c r="P1381" s="405">
        <f t="shared" ca="1" si="1284"/>
        <v>0</v>
      </c>
      <c r="Q1381" s="405">
        <f t="shared" ca="1" si="1284"/>
        <v>0</v>
      </c>
      <c r="R1381" s="405">
        <f t="shared" ca="1" si="1284"/>
        <v>0</v>
      </c>
      <c r="S1381" s="405">
        <f t="shared" ca="1" si="1284"/>
        <v>0</v>
      </c>
      <c r="T1381" s="405">
        <f t="shared" ca="1" si="1284"/>
        <v>0</v>
      </c>
      <c r="U1381" s="405">
        <f t="shared" ca="1" si="1284"/>
        <v>0</v>
      </c>
      <c r="V1381" s="405">
        <f t="shared" ca="1" si="1284"/>
        <v>0</v>
      </c>
      <c r="W1381" s="405">
        <f t="shared" ca="1" si="1284"/>
        <v>0</v>
      </c>
      <c r="X1381" s="405">
        <f t="shared" ca="1" si="1284"/>
        <v>0</v>
      </c>
    </row>
    <row r="1382" spans="1:24" hidden="1">
      <c r="A1382" s="328"/>
    </row>
    <row r="1383" spans="1:24" hidden="1">
      <c r="A1383" s="328"/>
    </row>
    <row r="1384" spans="1:24" hidden="1">
      <c r="A1384" s="328"/>
    </row>
    <row r="1385" spans="1:24" hidden="1">
      <c r="A1385" s="328"/>
    </row>
    <row r="1386" spans="1:24" hidden="1">
      <c r="A1386" s="328"/>
    </row>
    <row r="1387" spans="1:24" ht="12.6" hidden="1" thickBot="1">
      <c r="A1387" s="328"/>
      <c r="B1387" s="464" t="s">
        <v>752</v>
      </c>
      <c r="K1387" s="1">
        <f>COLUMN()</f>
        <v>11</v>
      </c>
    </row>
    <row r="1388" spans="1:24" ht="12.6" hidden="1" thickBot="1">
      <c r="A1388" s="328"/>
      <c r="B1388" s="20">
        <f ca="1">OFFSET($B$269,D1388,0)</f>
        <v>0</v>
      </c>
      <c r="C1388" s="20"/>
      <c r="D1388" s="250">
        <v>57</v>
      </c>
      <c r="E1388" s="21"/>
      <c r="F1388" s="21" t="s">
        <v>411</v>
      </c>
      <c r="G1388" s="48"/>
      <c r="H1388" s="50" t="s">
        <v>412</v>
      </c>
      <c r="I1388" s="21" t="s">
        <v>413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</row>
    <row r="1389" spans="1:24" hidden="1">
      <c r="A1389" s="328"/>
      <c r="B1389" s="21" t="s">
        <v>414</v>
      </c>
      <c r="C1389" s="21"/>
      <c r="D1389" s="165">
        <f ca="1">YEAR(OFFSET($E$269,D1388,0))</f>
        <v>1900</v>
      </c>
      <c r="E1389" s="165">
        <f ca="1">MONTH(OFFSET($E$269,D1388,0))</f>
        <v>1</v>
      </c>
      <c r="F1389" s="21">
        <f ca="1">12-$E1389</f>
        <v>11</v>
      </c>
      <c r="G1389" s="49"/>
      <c r="H1389" s="51">
        <f>D331-G1389</f>
        <v>0</v>
      </c>
      <c r="I1389" s="22">
        <f>D331-G1389-H1389</f>
        <v>0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</row>
    <row r="1390" spans="1:24" hidden="1">
      <c r="A1390" s="328"/>
      <c r="B1390" s="21" t="s">
        <v>406</v>
      </c>
      <c r="C1390" s="21"/>
      <c r="D1390" s="247">
        <f ca="1">IF(E1390&lt;0,0,ROUND(E1390,0))</f>
        <v>0</v>
      </c>
      <c r="E1390" s="249">
        <f ca="1">OFFSET($D$269,D1388,0)</f>
        <v>0</v>
      </c>
      <c r="F1390" s="247">
        <f ca="1">IF(E1390&gt;10,ROUND(($D1391/12)*$F1389,0),$D1390)</f>
        <v>0</v>
      </c>
      <c r="G1390" s="21" t="s">
        <v>426</v>
      </c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</row>
    <row r="1391" spans="1:24" hidden="1">
      <c r="A1391" s="328"/>
      <c r="B1391" s="21" t="s">
        <v>415</v>
      </c>
      <c r="C1391" s="21"/>
      <c r="D1391" s="247">
        <f ca="1">IF(ISBLANK(OFFSET($E$269,D1388,0)),0,IF(E1390&gt;10,ROUND(D1390*am_grunty,0),IF(D1390&lt;0,0,D1390)))</f>
        <v>0</v>
      </c>
      <c r="E1391" s="21"/>
      <c r="F1391" s="21"/>
      <c r="G1391" s="21"/>
      <c r="H1391" s="21"/>
      <c r="I1391" s="21"/>
      <c r="J1391" s="21"/>
      <c r="K1391" s="75">
        <f ca="1">ROUND(IF($D1389=LataProjekcji,$F1390,IF($D1389=LataProjekcji,$D1391,0)),0)</f>
        <v>0</v>
      </c>
      <c r="L1391" s="248">
        <f ca="1">ROUND(IF(OR(AND($D1389=LataProjekcji,$F1389&gt;0),AND($D1389=LataProjekcji,$F1389=0,$E1390&lt;=10)),$F1390,IF($D1389&lt;LataProjekcji,IF((SUM($K1391:K1391)+$D1391)&lt;$D1390,$D1391,$D1390-SUM($K1391:K1391)),0)),0)</f>
        <v>0</v>
      </c>
      <c r="M1391" s="248">
        <f ca="1">ROUND(IF(OR(AND($D1389=LataProjekcji,$F1389&gt;0),AND($D1389=LataProjekcji,$F1389=0,$E1390&lt;=10)),$F1390,IF($D1389&lt;LataProjekcji,IF((SUM($K1391:L1391)+$D1391)&lt;$D1390,$D1391,$D1390-SUM($K1391:L1391)),0)),0)</f>
        <v>0</v>
      </c>
      <c r="N1391" s="248">
        <f ca="1">ROUND(IF(OR(AND($D1389=LataProjekcji,$F1389&gt;0),AND($D1389=LataProjekcji,$F1389=0,$E1390&lt;=10)),$F1390,IF($D1389&lt;LataProjekcji,IF((SUM($K1391:M1391)+$D1391)&lt;$D1390,$D1391,$D1390-SUM($K1391:M1391)),0)),0)</f>
        <v>0</v>
      </c>
      <c r="O1391" s="248">
        <f ca="1">ROUND(IF(OR(AND($D1389=LataProjekcji,$F1389&gt;0),AND($D1389=LataProjekcji,$F1389=0,$E1390&lt;=10)),$F1390,IF($D1389&lt;LataProjekcji,IF((SUM($K1391:N1391)+$D1391)&lt;$D1390,$D1391,$D1390-SUM($K1391:N1391)),0)),0)</f>
        <v>0</v>
      </c>
      <c r="P1391" s="248">
        <f ca="1">ROUND(IF(OR(AND($D1389=LataProjekcji,$F1389&gt;0),AND($D1389=LataProjekcji,$F1389=0,$E1390&lt;=10)),$F1390,IF($D1389&lt;LataProjekcji,IF((SUM($K1391:O1391)+$D1391)&lt;$D1390,$D1391,$D1390-SUM($K1391:O1391)),0)),0)</f>
        <v>0</v>
      </c>
      <c r="Q1391" s="248">
        <f ca="1">ROUND(IF(OR(AND($D1389=LataProjekcji,$F1389&gt;0),AND($D1389=LataProjekcji,$F1389=0,$E1390&lt;=10)),$F1390,IF($D1389&lt;LataProjekcji,IF((SUM($K1391:P1391)+$D1391)&lt;$D1390,$D1391,$D1390-SUM($K1391:P1391)),0)),0)</f>
        <v>0</v>
      </c>
      <c r="R1391" s="248">
        <f ca="1">ROUND(IF(OR(AND($D1389=LataProjekcji,$F1389&gt;0),AND($D1389=LataProjekcji,$F1389=0,$E1390&lt;=10)),$F1390,IF($D1389&lt;LataProjekcji,IF((SUM($K1391:Q1391)+$D1391)&lt;$D1390,$D1391,$D1390-SUM($K1391:Q1391)),0)),0)</f>
        <v>0</v>
      </c>
      <c r="S1391" s="248">
        <f ca="1">ROUND(IF(OR(AND($D1389=LataProjekcji,$F1389&gt;0),AND($D1389=LataProjekcji,$F1389=0,$E1390&lt;=10)),$F1390,IF($D1389&lt;LataProjekcji,IF((SUM($K1391:R1391)+$D1391)&lt;$D1390,$D1391,$D1390-SUM($K1391:R1391)),0)),0)</f>
        <v>0</v>
      </c>
      <c r="T1391" s="248">
        <f ca="1">ROUND(IF(OR(AND($D1389=LataProjekcji,$F1389&gt;0),AND($D1389=LataProjekcji,$F1389=0,$E1390&lt;=10)),$F1390,IF($D1389&lt;LataProjekcji,IF((SUM($K1391:S1391)+$D1391)&lt;$D1390,$D1391,$D1390-SUM($K1391:S1391)),0)),0)</f>
        <v>0</v>
      </c>
      <c r="U1391" s="248">
        <f ca="1">ROUND(IF(OR(AND($D1389=LataProjekcji,$F1389&gt;0),AND($D1389=LataProjekcji,$F1389=0,$E1390&lt;=10)),$F1390,IF($D1389&lt;LataProjekcji,IF((SUM($K1391:T1391)+$D1391)&lt;$D1390,$D1391,$D1390-SUM($K1391:T1391)),0)),0)</f>
        <v>0</v>
      </c>
      <c r="V1391" s="248">
        <f ca="1">ROUND(IF(OR(AND($D1389=LataProjekcji,$F1389&gt;0),AND($D1389=LataProjekcji,$F1389=0,$E1390&lt;=10)),$F1390,IF($D1389&lt;LataProjekcji,IF((SUM($K1391:U1391)+$D1391)&lt;$D1390,$D1391,$D1390-SUM($K1391:U1391)),0)),0)</f>
        <v>0</v>
      </c>
      <c r="W1391" s="248">
        <f ca="1">ROUND(IF(OR(AND($D1389=LataProjekcji,$F1389&gt;0),AND($D1389=LataProjekcji,$F1389=0,$E1390&lt;=10)),$F1390,IF($D1389&lt;LataProjekcji,IF((SUM($K1391:V1391)+$D1391)&lt;$D1390,$D1391,$D1390-SUM($K1391:V1391)),0)),0)</f>
        <v>0</v>
      </c>
      <c r="X1391" s="248">
        <f ca="1">ROUND(IF(OR(AND($D1389=LataProjekcji,$F1389&gt;0),AND($D1389=LataProjekcji,$F1389=0,$E1390&lt;=10)),$F1390,IF($D1389&lt;LataProjekcji,IF((SUM($K1391:W1391)+$D1391)&lt;$D1390,$D1391,$D1390-SUM($K1391:W1391)),0)),0)</f>
        <v>0</v>
      </c>
    </row>
    <row r="1392" spans="1:24" hidden="1">
      <c r="A1392" s="328"/>
      <c r="B1392" s="21" t="s">
        <v>416</v>
      </c>
      <c r="C1392" s="21"/>
      <c r="D1392" s="22"/>
      <c r="E1392" s="21"/>
      <c r="F1392" s="21"/>
      <c r="G1392" s="21"/>
      <c r="H1392" s="21"/>
      <c r="I1392" s="21"/>
      <c r="J1392" s="21"/>
      <c r="K1392" s="22">
        <f ca="1">ROUND(K1391,0)</f>
        <v>0</v>
      </c>
      <c r="L1392" s="22">
        <f t="shared" ref="L1392:X1392" ca="1" si="1285">ROUND(K1392+L1391,0)</f>
        <v>0</v>
      </c>
      <c r="M1392" s="22">
        <f t="shared" ca="1" si="1285"/>
        <v>0</v>
      </c>
      <c r="N1392" s="22">
        <f t="shared" ca="1" si="1285"/>
        <v>0</v>
      </c>
      <c r="O1392" s="22">
        <f t="shared" ca="1" si="1285"/>
        <v>0</v>
      </c>
      <c r="P1392" s="22">
        <f t="shared" ca="1" si="1285"/>
        <v>0</v>
      </c>
      <c r="Q1392" s="22">
        <f t="shared" ca="1" si="1285"/>
        <v>0</v>
      </c>
      <c r="R1392" s="22">
        <f t="shared" ca="1" si="1285"/>
        <v>0</v>
      </c>
      <c r="S1392" s="22">
        <f t="shared" ca="1" si="1285"/>
        <v>0</v>
      </c>
      <c r="T1392" s="22">
        <f t="shared" ca="1" si="1285"/>
        <v>0</v>
      </c>
      <c r="U1392" s="22">
        <f t="shared" ca="1" si="1285"/>
        <v>0</v>
      </c>
      <c r="V1392" s="22">
        <f t="shared" ca="1" si="1285"/>
        <v>0</v>
      </c>
      <c r="W1392" s="22">
        <f t="shared" ca="1" si="1285"/>
        <v>0</v>
      </c>
      <c r="X1392" s="22">
        <f t="shared" ca="1" si="1285"/>
        <v>0</v>
      </c>
    </row>
    <row r="1393" spans="1:24" hidden="1">
      <c r="A1393" s="328"/>
      <c r="B1393" s="21" t="s">
        <v>406</v>
      </c>
      <c r="C1393" s="21"/>
      <c r="D1393" s="22"/>
      <c r="E1393" s="21"/>
      <c r="F1393" s="21"/>
      <c r="G1393" s="21"/>
      <c r="H1393" s="21"/>
      <c r="I1393" s="21"/>
      <c r="J1393" s="21"/>
      <c r="K1393" s="77">
        <f ca="1">IF($D1389=LataProjekcji,ROUND($D1390-K1392,0),ROUND(IF(K1391=0,0,$D1390-K1392),0))</f>
        <v>0</v>
      </c>
      <c r="L1393" s="254">
        <f t="shared" ref="L1393:X1393" ca="1" si="1286">IF($D1389=LataProjekcji,ROUND($D1390-L1392,0),ROUND(IF(AND(L1391=0,K1393&gt;0),$D1390-L1392,IF(L1391=0,0,$D1390-L1392)),0))</f>
        <v>0</v>
      </c>
      <c r="M1393" s="254">
        <f t="shared" ca="1" si="1286"/>
        <v>0</v>
      </c>
      <c r="N1393" s="254">
        <f t="shared" ca="1" si="1286"/>
        <v>0</v>
      </c>
      <c r="O1393" s="254">
        <f t="shared" ca="1" si="1286"/>
        <v>0</v>
      </c>
      <c r="P1393" s="254">
        <f t="shared" ca="1" si="1286"/>
        <v>0</v>
      </c>
      <c r="Q1393" s="254">
        <f t="shared" ca="1" si="1286"/>
        <v>0</v>
      </c>
      <c r="R1393" s="254">
        <f t="shared" ca="1" si="1286"/>
        <v>0</v>
      </c>
      <c r="S1393" s="254">
        <f t="shared" ca="1" si="1286"/>
        <v>0</v>
      </c>
      <c r="T1393" s="254">
        <f t="shared" ca="1" si="1286"/>
        <v>0</v>
      </c>
      <c r="U1393" s="254">
        <f t="shared" ca="1" si="1286"/>
        <v>0</v>
      </c>
      <c r="V1393" s="254">
        <f t="shared" ca="1" si="1286"/>
        <v>0</v>
      </c>
      <c r="W1393" s="254">
        <f t="shared" ca="1" si="1286"/>
        <v>0</v>
      </c>
      <c r="X1393" s="254">
        <f t="shared" ca="1" si="1286"/>
        <v>0</v>
      </c>
    </row>
    <row r="1394" spans="1:24" hidden="1">
      <c r="A1394" s="328"/>
      <c r="B1394" s="21"/>
      <c r="C1394" s="21"/>
      <c r="D1394" s="22"/>
      <c r="E1394" s="21"/>
      <c r="F1394" s="21"/>
      <c r="G1394" s="21"/>
      <c r="H1394" s="404">
        <v>0</v>
      </c>
      <c r="I1394" s="483" cm="1">
        <f t="array" aca="1" ref="I1394" ca="1">OFFSET('Środki trwałe'!$C$326,H1394,,)</f>
        <v>0</v>
      </c>
      <c r="J1394" s="404" t="s">
        <v>427</v>
      </c>
      <c r="K1394" s="405">
        <f t="shared" ref="K1394:X1394" ca="1" si="1287">IF(AND(OFFSET($F$269,$D1388,0)="tak",OFFSET($G$269,$D1388,0)="tak",OFFSET($J$269,$D1388,0)="ok",LataProjekcji&lt;=Koniec_Projekt),ROUND(K1391*OFFSET($K$337,$H1394,(COLUMN()-11)),0),0)</f>
        <v>0</v>
      </c>
      <c r="L1394" s="405">
        <f t="shared" ca="1" si="1287"/>
        <v>0</v>
      </c>
      <c r="M1394" s="405">
        <f t="shared" ca="1" si="1287"/>
        <v>0</v>
      </c>
      <c r="N1394" s="405">
        <f t="shared" ca="1" si="1287"/>
        <v>0</v>
      </c>
      <c r="O1394" s="405">
        <f t="shared" ca="1" si="1287"/>
        <v>0</v>
      </c>
      <c r="P1394" s="405">
        <f t="shared" ca="1" si="1287"/>
        <v>0</v>
      </c>
      <c r="Q1394" s="405">
        <f t="shared" ca="1" si="1287"/>
        <v>0</v>
      </c>
      <c r="R1394" s="405">
        <f t="shared" ca="1" si="1287"/>
        <v>0</v>
      </c>
      <c r="S1394" s="405">
        <f t="shared" ca="1" si="1287"/>
        <v>0</v>
      </c>
      <c r="T1394" s="405">
        <f t="shared" ca="1" si="1287"/>
        <v>0</v>
      </c>
      <c r="U1394" s="405">
        <f t="shared" ca="1" si="1287"/>
        <v>0</v>
      </c>
      <c r="V1394" s="405">
        <f t="shared" ca="1" si="1287"/>
        <v>0</v>
      </c>
      <c r="W1394" s="405">
        <f t="shared" ca="1" si="1287"/>
        <v>0</v>
      </c>
      <c r="X1394" s="405">
        <f t="shared" ca="1" si="1287"/>
        <v>0</v>
      </c>
    </row>
    <row r="1395" spans="1:24" hidden="1">
      <c r="A1395" s="328"/>
      <c r="B1395" s="20">
        <f ca="1">OFFSET($B$269,D1395,0)</f>
        <v>0</v>
      </c>
      <c r="C1395" s="20"/>
      <c r="D1395" s="21">
        <f>D1388+1</f>
        <v>58</v>
      </c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</row>
    <row r="1396" spans="1:24" hidden="1">
      <c r="A1396" s="328"/>
      <c r="B1396" s="21" t="s">
        <v>414</v>
      </c>
      <c r="C1396" s="21"/>
      <c r="D1396" s="165">
        <f ca="1">YEAR(OFFSET($E$269,D1395,0))</f>
        <v>1900</v>
      </c>
      <c r="E1396" s="165">
        <f ca="1">MONTH(OFFSET($E$269,D1395,0))</f>
        <v>1</v>
      </c>
      <c r="F1396" s="21">
        <f ca="1">12-$E1396</f>
        <v>11</v>
      </c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</row>
    <row r="1397" spans="1:24" hidden="1">
      <c r="A1397" s="328"/>
      <c r="B1397" s="21" t="s">
        <v>406</v>
      </c>
      <c r="C1397" s="21"/>
      <c r="D1397" s="385">
        <f ca="1">IF(E1397&lt;0,0,ROUND(E1397,0))</f>
        <v>0</v>
      </c>
      <c r="E1397" s="249">
        <f ca="1">OFFSET($D$269,D1395,0)</f>
        <v>0</v>
      </c>
      <c r="F1397" s="385">
        <f ca="1">IF(E1397&gt;10,ROUND(($D1398/12)*$F1396,0),$D1397)</f>
        <v>0</v>
      </c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</row>
    <row r="1398" spans="1:24" hidden="1">
      <c r="A1398" s="328"/>
      <c r="B1398" s="21" t="s">
        <v>415</v>
      </c>
      <c r="C1398" s="21"/>
      <c r="D1398" s="385">
        <f ca="1">IF(ISBLANK(OFFSET($E$269,D1395,0)),0,IF(E1397&gt;10,ROUND(D1397*am_grunty,0),IF(D1397&lt;0,0,D1397)))</f>
        <v>0</v>
      </c>
      <c r="E1398" s="21"/>
      <c r="F1398" s="21"/>
      <c r="G1398" s="21"/>
      <c r="H1398" s="21"/>
      <c r="I1398" s="21"/>
      <c r="J1398" s="21"/>
      <c r="K1398" s="75">
        <f ca="1">ROUND(IF($D1396=LataProjekcji,$F1397,IF($D1396=LataProjekcji,$D1398,0)),0)</f>
        <v>0</v>
      </c>
      <c r="L1398" s="248">
        <f ca="1">ROUND(IF(OR(AND($D1396=LataProjekcji,$F1396&gt;0),AND($D1396=LataProjekcji,$F1396=0,$E1397&lt;=10)),$F1397,IF($D1396&lt;LataProjekcji,IF((SUM($K1398:K1398)+$D1398)&lt;$D1397,$D1398,$D1397-SUM($K1398:K1398)),0)),0)</f>
        <v>0</v>
      </c>
      <c r="M1398" s="248">
        <f ca="1">ROUND(IF(OR(AND($D1396=LataProjekcji,$F1396&gt;0),AND($D1396=LataProjekcji,$F1396=0,$E1397&lt;=10)),$F1397,IF($D1396&lt;LataProjekcji,IF((SUM($K1398:L1398)+$D1398)&lt;$D1397,$D1398,$D1397-SUM($K1398:L1398)),0)),0)</f>
        <v>0</v>
      </c>
      <c r="N1398" s="248">
        <f ca="1">ROUND(IF(OR(AND($D1396=LataProjekcji,$F1396&gt;0),AND($D1396=LataProjekcji,$F1396=0,$E1397&lt;=10)),$F1397,IF($D1396&lt;LataProjekcji,IF((SUM($K1398:M1398)+$D1398)&lt;$D1397,$D1398,$D1397-SUM($K1398:M1398)),0)),0)</f>
        <v>0</v>
      </c>
      <c r="O1398" s="248">
        <f ca="1">ROUND(IF(OR(AND($D1396=LataProjekcji,$F1396&gt;0),AND($D1396=LataProjekcji,$F1396=0,$E1397&lt;=10)),$F1397,IF($D1396&lt;LataProjekcji,IF((SUM($K1398:N1398)+$D1398)&lt;$D1397,$D1398,$D1397-SUM($K1398:N1398)),0)),0)</f>
        <v>0</v>
      </c>
      <c r="P1398" s="248">
        <f ca="1">ROUND(IF(OR(AND($D1396=LataProjekcji,$F1396&gt;0),AND($D1396=LataProjekcji,$F1396=0,$E1397&lt;=10)),$F1397,IF($D1396&lt;LataProjekcji,IF((SUM($K1398:O1398)+$D1398)&lt;$D1397,$D1398,$D1397-SUM($K1398:O1398)),0)),0)</f>
        <v>0</v>
      </c>
      <c r="Q1398" s="248">
        <f ca="1">ROUND(IF(OR(AND($D1396=LataProjekcji,$F1396&gt;0),AND($D1396=LataProjekcji,$F1396=0,$E1397&lt;=10)),$F1397,IF($D1396&lt;LataProjekcji,IF((SUM($K1398:P1398)+$D1398)&lt;$D1397,$D1398,$D1397-SUM($K1398:P1398)),0)),0)</f>
        <v>0</v>
      </c>
      <c r="R1398" s="248">
        <f ca="1">ROUND(IF(OR(AND($D1396=LataProjekcji,$F1396&gt;0),AND($D1396=LataProjekcji,$F1396=0,$E1397&lt;=10)),$F1397,IF($D1396&lt;LataProjekcji,IF((SUM($K1398:Q1398)+$D1398)&lt;$D1397,$D1398,$D1397-SUM($K1398:Q1398)),0)),0)</f>
        <v>0</v>
      </c>
      <c r="S1398" s="248">
        <f ca="1">ROUND(IF(OR(AND($D1396=LataProjekcji,$F1396&gt;0),AND($D1396=LataProjekcji,$F1396=0,$E1397&lt;=10)),$F1397,IF($D1396&lt;LataProjekcji,IF((SUM($K1398:R1398)+$D1398)&lt;$D1397,$D1398,$D1397-SUM($K1398:R1398)),0)),0)</f>
        <v>0</v>
      </c>
      <c r="T1398" s="248">
        <f ca="1">ROUND(IF(OR(AND($D1396=LataProjekcji,$F1396&gt;0),AND($D1396=LataProjekcji,$F1396=0,$E1397&lt;=10)),$F1397,IF($D1396&lt;LataProjekcji,IF((SUM($K1398:S1398)+$D1398)&lt;$D1397,$D1398,$D1397-SUM($K1398:S1398)),0)),0)</f>
        <v>0</v>
      </c>
      <c r="U1398" s="248">
        <f ca="1">ROUND(IF(OR(AND($D1396=LataProjekcji,$F1396&gt;0),AND($D1396=LataProjekcji,$F1396=0,$E1397&lt;=10)),$F1397,IF($D1396&lt;LataProjekcji,IF((SUM($K1398:T1398)+$D1398)&lt;$D1397,$D1398,$D1397-SUM($K1398:T1398)),0)),0)</f>
        <v>0</v>
      </c>
      <c r="V1398" s="248">
        <f ca="1">ROUND(IF(OR(AND($D1396=LataProjekcji,$F1396&gt;0),AND($D1396=LataProjekcji,$F1396=0,$E1397&lt;=10)),$F1397,IF($D1396&lt;LataProjekcji,IF((SUM($K1398:U1398)+$D1398)&lt;$D1397,$D1398,$D1397-SUM($K1398:U1398)),0)),0)</f>
        <v>0</v>
      </c>
      <c r="W1398" s="248">
        <f ca="1">ROUND(IF(OR(AND($D1396=LataProjekcji,$F1396&gt;0),AND($D1396=LataProjekcji,$F1396=0,$E1397&lt;=10)),$F1397,IF($D1396&lt;LataProjekcji,IF((SUM($K1398:V1398)+$D1398)&lt;$D1397,$D1398,$D1397-SUM($K1398:V1398)),0)),0)</f>
        <v>0</v>
      </c>
      <c r="X1398" s="248">
        <f ca="1">ROUND(IF(OR(AND($D1396=LataProjekcji,$F1396&gt;0),AND($D1396=LataProjekcji,$F1396=0,$E1397&lt;=10)),$F1397,IF($D1396&lt;LataProjekcji,IF((SUM($K1398:W1398)+$D1398)&lt;$D1397,$D1398,$D1397-SUM($K1398:W1398)),0)),0)</f>
        <v>0</v>
      </c>
    </row>
    <row r="1399" spans="1:24" hidden="1">
      <c r="A1399" s="328"/>
      <c r="B1399" s="21" t="s">
        <v>416</v>
      </c>
      <c r="C1399" s="21"/>
      <c r="D1399" s="22"/>
      <c r="E1399" s="21"/>
      <c r="F1399" s="21"/>
      <c r="G1399" s="21"/>
      <c r="H1399" s="21"/>
      <c r="I1399" s="21"/>
      <c r="J1399" s="21"/>
      <c r="K1399" s="22">
        <f ca="1">ROUND(K1398,0)</f>
        <v>0</v>
      </c>
      <c r="L1399" s="22">
        <f t="shared" ref="L1399:X1399" ca="1" si="1288">ROUND(K1399+L1398,0)</f>
        <v>0</v>
      </c>
      <c r="M1399" s="22">
        <f t="shared" ca="1" si="1288"/>
        <v>0</v>
      </c>
      <c r="N1399" s="22">
        <f t="shared" ca="1" si="1288"/>
        <v>0</v>
      </c>
      <c r="O1399" s="22">
        <f t="shared" ca="1" si="1288"/>
        <v>0</v>
      </c>
      <c r="P1399" s="22">
        <f t="shared" ca="1" si="1288"/>
        <v>0</v>
      </c>
      <c r="Q1399" s="22">
        <f t="shared" ca="1" si="1288"/>
        <v>0</v>
      </c>
      <c r="R1399" s="22">
        <f t="shared" ca="1" si="1288"/>
        <v>0</v>
      </c>
      <c r="S1399" s="22">
        <f t="shared" ca="1" si="1288"/>
        <v>0</v>
      </c>
      <c r="T1399" s="22">
        <f t="shared" ca="1" si="1288"/>
        <v>0</v>
      </c>
      <c r="U1399" s="22">
        <f t="shared" ca="1" si="1288"/>
        <v>0</v>
      </c>
      <c r="V1399" s="22">
        <f t="shared" ca="1" si="1288"/>
        <v>0</v>
      </c>
      <c r="W1399" s="22">
        <f t="shared" ca="1" si="1288"/>
        <v>0</v>
      </c>
      <c r="X1399" s="22">
        <f t="shared" ca="1" si="1288"/>
        <v>0</v>
      </c>
    </row>
    <row r="1400" spans="1:24" hidden="1">
      <c r="A1400" s="328"/>
      <c r="B1400" s="21" t="s">
        <v>406</v>
      </c>
      <c r="C1400" s="21"/>
      <c r="D1400" s="22"/>
      <c r="E1400" s="21"/>
      <c r="F1400" s="21"/>
      <c r="G1400" s="21"/>
      <c r="H1400" s="21"/>
      <c r="I1400" s="21"/>
      <c r="J1400" s="21"/>
      <c r="K1400" s="77">
        <f ca="1">IF($D1396=LataProjekcji,ROUND($D1397-K1399,0),ROUND(IF(K1398=0,0,$D1397-K1399),0))</f>
        <v>0</v>
      </c>
      <c r="L1400" s="254">
        <f t="shared" ref="L1400:X1400" ca="1" si="1289">IF($D1396=LataProjekcji,ROUND($D1397-L1399,0),ROUND(IF(AND(L1398=0,K1400&gt;0),$D1397-L1399,IF(L1398=0,0,$D1397-L1399)),0))</f>
        <v>0</v>
      </c>
      <c r="M1400" s="254">
        <f t="shared" ca="1" si="1289"/>
        <v>0</v>
      </c>
      <c r="N1400" s="254">
        <f t="shared" ca="1" si="1289"/>
        <v>0</v>
      </c>
      <c r="O1400" s="254">
        <f t="shared" ca="1" si="1289"/>
        <v>0</v>
      </c>
      <c r="P1400" s="254">
        <f t="shared" ca="1" si="1289"/>
        <v>0</v>
      </c>
      <c r="Q1400" s="254">
        <f t="shared" ca="1" si="1289"/>
        <v>0</v>
      </c>
      <c r="R1400" s="254">
        <f t="shared" ca="1" si="1289"/>
        <v>0</v>
      </c>
      <c r="S1400" s="254">
        <f t="shared" ca="1" si="1289"/>
        <v>0</v>
      </c>
      <c r="T1400" s="254">
        <f t="shared" ca="1" si="1289"/>
        <v>0</v>
      </c>
      <c r="U1400" s="254">
        <f t="shared" ca="1" si="1289"/>
        <v>0</v>
      </c>
      <c r="V1400" s="254">
        <f t="shared" ca="1" si="1289"/>
        <v>0</v>
      </c>
      <c r="W1400" s="254">
        <f t="shared" ca="1" si="1289"/>
        <v>0</v>
      </c>
      <c r="X1400" s="254">
        <f t="shared" ca="1" si="1289"/>
        <v>0</v>
      </c>
    </row>
    <row r="1401" spans="1:24" hidden="1">
      <c r="A1401" s="328"/>
      <c r="B1401" s="20"/>
      <c r="C1401" s="20"/>
      <c r="D1401" s="21"/>
      <c r="E1401" s="21"/>
      <c r="F1401" s="21"/>
      <c r="G1401" s="21"/>
      <c r="H1401" s="404">
        <f>H1394+1</f>
        <v>1</v>
      </c>
      <c r="I1401" s="483" cm="1">
        <f t="array" aca="1" ref="I1401" ca="1">OFFSET('Środki trwałe'!$C$326,H1401,,)</f>
        <v>0</v>
      </c>
      <c r="J1401" s="404" t="s">
        <v>427</v>
      </c>
      <c r="K1401" s="405">
        <f t="shared" ref="K1401:X1401" ca="1" si="1290">IF(AND(OFFSET($F$269,$D1395,0)="tak",OFFSET($G$269,$D1395,0)="tak",OFFSET($J$269,$D1395,0)="ok",LataProjekcji&lt;=Koniec_Projekt),ROUND(K1398*OFFSET($K$337,$H1401,(COLUMN()-11)),0),0)</f>
        <v>0</v>
      </c>
      <c r="L1401" s="405">
        <f t="shared" ca="1" si="1290"/>
        <v>0</v>
      </c>
      <c r="M1401" s="405">
        <f t="shared" ca="1" si="1290"/>
        <v>0</v>
      </c>
      <c r="N1401" s="405">
        <f t="shared" ca="1" si="1290"/>
        <v>0</v>
      </c>
      <c r="O1401" s="405">
        <f t="shared" ca="1" si="1290"/>
        <v>0</v>
      </c>
      <c r="P1401" s="405">
        <f t="shared" ca="1" si="1290"/>
        <v>0</v>
      </c>
      <c r="Q1401" s="405">
        <f t="shared" ca="1" si="1290"/>
        <v>0</v>
      </c>
      <c r="R1401" s="405">
        <f t="shared" ca="1" si="1290"/>
        <v>0</v>
      </c>
      <c r="S1401" s="405">
        <f t="shared" ca="1" si="1290"/>
        <v>0</v>
      </c>
      <c r="T1401" s="405">
        <f t="shared" ca="1" si="1290"/>
        <v>0</v>
      </c>
      <c r="U1401" s="405">
        <f t="shared" ca="1" si="1290"/>
        <v>0</v>
      </c>
      <c r="V1401" s="405">
        <f t="shared" ca="1" si="1290"/>
        <v>0</v>
      </c>
      <c r="W1401" s="405">
        <f t="shared" ca="1" si="1290"/>
        <v>0</v>
      </c>
      <c r="X1401" s="405">
        <f t="shared" ca="1" si="1290"/>
        <v>0</v>
      </c>
    </row>
    <row r="1402" spans="1:24" hidden="1">
      <c r="A1402" s="328"/>
      <c r="B1402" s="20">
        <f ca="1">OFFSET($B$269,D1402,0)</f>
        <v>0</v>
      </c>
      <c r="C1402" s="20"/>
      <c r="D1402" s="21">
        <f>D1395+1</f>
        <v>59</v>
      </c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</row>
    <row r="1403" spans="1:24" hidden="1">
      <c r="A1403" s="328"/>
      <c r="B1403" s="21" t="s">
        <v>414</v>
      </c>
      <c r="C1403" s="21"/>
      <c r="D1403" s="165">
        <f ca="1">YEAR(OFFSET($E$269,D1402,0))</f>
        <v>1900</v>
      </c>
      <c r="E1403" s="165">
        <f ca="1">MONTH(OFFSET($E$269,D1402,0))</f>
        <v>1</v>
      </c>
      <c r="F1403" s="21">
        <f ca="1">12-$E1403</f>
        <v>11</v>
      </c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</row>
    <row r="1404" spans="1:24" hidden="1">
      <c r="A1404" s="328"/>
      <c r="B1404" s="21" t="s">
        <v>406</v>
      </c>
      <c r="C1404" s="21"/>
      <c r="D1404" s="386">
        <f ca="1">IF(E1404&lt;0,0,ROUND(E1404,0))</f>
        <v>0</v>
      </c>
      <c r="E1404" s="249">
        <f ca="1">OFFSET($D$269,D1402,0)</f>
        <v>0</v>
      </c>
      <c r="F1404" s="386">
        <f ca="1">IF(E1404&gt;10,ROUND(($D1405/12)*$F1403,0),$D1404)</f>
        <v>0</v>
      </c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</row>
    <row r="1405" spans="1:24" hidden="1">
      <c r="A1405" s="328"/>
      <c r="B1405" s="21" t="s">
        <v>415</v>
      </c>
      <c r="C1405" s="21"/>
      <c r="D1405" s="386">
        <f ca="1">IF(ISBLANK(OFFSET($E$269,D1402,0)),0,IF(E1404&gt;10,ROUND(D1404*am_grunty,0),IF(D1404&lt;0,0,D1404)))</f>
        <v>0</v>
      </c>
      <c r="E1405" s="21"/>
      <c r="F1405" s="21"/>
      <c r="G1405" s="21"/>
      <c r="H1405" s="21"/>
      <c r="I1405" s="21"/>
      <c r="J1405" s="21"/>
      <c r="K1405" s="75">
        <f ca="1">ROUND(IF($D1403=LataProjekcji,$F1404,IF($D1403=LataProjekcji,$D1405,0)),0)</f>
        <v>0</v>
      </c>
      <c r="L1405" s="248">
        <f ca="1">ROUND(IF(OR(AND($D1403=LataProjekcji,$F1403&gt;0),AND($D1403=LataProjekcji,$F1403=0,$E1404&lt;=10)),$F1404,IF($D1403&lt;LataProjekcji,IF((SUM($K1405:K1405)+$D1405)&lt;$D1404,$D1405,$D1404-SUM($K1405:K1405)),0)),0)</f>
        <v>0</v>
      </c>
      <c r="M1405" s="248">
        <f ca="1">ROUND(IF(OR(AND($D1403=LataProjekcji,$F1403&gt;0),AND($D1403=LataProjekcji,$F1403=0,$E1404&lt;=10)),$F1404,IF($D1403&lt;LataProjekcji,IF((SUM($K1405:L1405)+$D1405)&lt;$D1404,$D1405,$D1404-SUM($K1405:L1405)),0)),0)</f>
        <v>0</v>
      </c>
      <c r="N1405" s="248">
        <f ca="1">ROUND(IF(OR(AND($D1403=LataProjekcji,$F1403&gt;0),AND($D1403=LataProjekcji,$F1403=0,$E1404&lt;=10)),$F1404,IF($D1403&lt;LataProjekcji,IF((SUM($K1405:M1405)+$D1405)&lt;$D1404,$D1405,$D1404-SUM($K1405:M1405)),0)),0)</f>
        <v>0</v>
      </c>
      <c r="O1405" s="248">
        <f ca="1">ROUND(IF(OR(AND($D1403=LataProjekcji,$F1403&gt;0),AND($D1403=LataProjekcji,$F1403=0,$E1404&lt;=10)),$F1404,IF($D1403&lt;LataProjekcji,IF((SUM($K1405:N1405)+$D1405)&lt;$D1404,$D1405,$D1404-SUM($K1405:N1405)),0)),0)</f>
        <v>0</v>
      </c>
      <c r="P1405" s="248">
        <f ca="1">ROUND(IF(OR(AND($D1403=LataProjekcji,$F1403&gt;0),AND($D1403=LataProjekcji,$F1403=0,$E1404&lt;=10)),$F1404,IF($D1403&lt;LataProjekcji,IF((SUM($K1405:O1405)+$D1405)&lt;$D1404,$D1405,$D1404-SUM($K1405:O1405)),0)),0)</f>
        <v>0</v>
      </c>
      <c r="Q1405" s="248">
        <f ca="1">ROUND(IF(OR(AND($D1403=LataProjekcji,$F1403&gt;0),AND($D1403=LataProjekcji,$F1403=0,$E1404&lt;=10)),$F1404,IF($D1403&lt;LataProjekcji,IF((SUM($K1405:P1405)+$D1405)&lt;$D1404,$D1405,$D1404-SUM($K1405:P1405)),0)),0)</f>
        <v>0</v>
      </c>
      <c r="R1405" s="248">
        <f ca="1">ROUND(IF(OR(AND($D1403=LataProjekcji,$F1403&gt;0),AND($D1403=LataProjekcji,$F1403=0,$E1404&lt;=10)),$F1404,IF($D1403&lt;LataProjekcji,IF((SUM($K1405:Q1405)+$D1405)&lt;$D1404,$D1405,$D1404-SUM($K1405:Q1405)),0)),0)</f>
        <v>0</v>
      </c>
      <c r="S1405" s="248">
        <f ca="1">ROUND(IF(OR(AND($D1403=LataProjekcji,$F1403&gt;0),AND($D1403=LataProjekcji,$F1403=0,$E1404&lt;=10)),$F1404,IF($D1403&lt;LataProjekcji,IF((SUM($K1405:R1405)+$D1405)&lt;$D1404,$D1405,$D1404-SUM($K1405:R1405)),0)),0)</f>
        <v>0</v>
      </c>
      <c r="T1405" s="248">
        <f ca="1">ROUND(IF(OR(AND($D1403=LataProjekcji,$F1403&gt;0),AND($D1403=LataProjekcji,$F1403=0,$E1404&lt;=10)),$F1404,IF($D1403&lt;LataProjekcji,IF((SUM($K1405:S1405)+$D1405)&lt;$D1404,$D1405,$D1404-SUM($K1405:S1405)),0)),0)</f>
        <v>0</v>
      </c>
      <c r="U1405" s="248">
        <f ca="1">ROUND(IF(OR(AND($D1403=LataProjekcji,$F1403&gt;0),AND($D1403=LataProjekcji,$F1403=0,$E1404&lt;=10)),$F1404,IF($D1403&lt;LataProjekcji,IF((SUM($K1405:T1405)+$D1405)&lt;$D1404,$D1405,$D1404-SUM($K1405:T1405)),0)),0)</f>
        <v>0</v>
      </c>
      <c r="V1405" s="248">
        <f ca="1">ROUND(IF(OR(AND($D1403=LataProjekcji,$F1403&gt;0),AND($D1403=LataProjekcji,$F1403=0,$E1404&lt;=10)),$F1404,IF($D1403&lt;LataProjekcji,IF((SUM($K1405:U1405)+$D1405)&lt;$D1404,$D1405,$D1404-SUM($K1405:U1405)),0)),0)</f>
        <v>0</v>
      </c>
      <c r="W1405" s="248">
        <f ca="1">ROUND(IF(OR(AND($D1403=LataProjekcji,$F1403&gt;0),AND($D1403=LataProjekcji,$F1403=0,$E1404&lt;=10)),$F1404,IF($D1403&lt;LataProjekcji,IF((SUM($K1405:V1405)+$D1405)&lt;$D1404,$D1405,$D1404-SUM($K1405:V1405)),0)),0)</f>
        <v>0</v>
      </c>
      <c r="X1405" s="248">
        <f ca="1">ROUND(IF(OR(AND($D1403=LataProjekcji,$F1403&gt;0),AND($D1403=LataProjekcji,$F1403=0,$E1404&lt;=10)),$F1404,IF($D1403&lt;LataProjekcji,IF((SUM($K1405:W1405)+$D1405)&lt;$D1404,$D1405,$D1404-SUM($K1405:W1405)),0)),0)</f>
        <v>0</v>
      </c>
    </row>
    <row r="1406" spans="1:24" hidden="1">
      <c r="A1406" s="328"/>
      <c r="B1406" s="21" t="s">
        <v>416</v>
      </c>
      <c r="C1406" s="21"/>
      <c r="D1406" s="22"/>
      <c r="E1406" s="21"/>
      <c r="F1406" s="21"/>
      <c r="G1406" s="21"/>
      <c r="H1406" s="21"/>
      <c r="I1406" s="21"/>
      <c r="J1406" s="21"/>
      <c r="K1406" s="22">
        <f ca="1">ROUND(K1405,0)</f>
        <v>0</v>
      </c>
      <c r="L1406" s="22">
        <f t="shared" ref="L1406:X1406" ca="1" si="1291">ROUND(K1406+L1405,0)</f>
        <v>0</v>
      </c>
      <c r="M1406" s="22">
        <f t="shared" ca="1" si="1291"/>
        <v>0</v>
      </c>
      <c r="N1406" s="22">
        <f t="shared" ca="1" si="1291"/>
        <v>0</v>
      </c>
      <c r="O1406" s="22">
        <f t="shared" ca="1" si="1291"/>
        <v>0</v>
      </c>
      <c r="P1406" s="22">
        <f t="shared" ca="1" si="1291"/>
        <v>0</v>
      </c>
      <c r="Q1406" s="22">
        <f t="shared" ca="1" si="1291"/>
        <v>0</v>
      </c>
      <c r="R1406" s="22">
        <f t="shared" ca="1" si="1291"/>
        <v>0</v>
      </c>
      <c r="S1406" s="22">
        <f t="shared" ca="1" si="1291"/>
        <v>0</v>
      </c>
      <c r="T1406" s="22">
        <f t="shared" ca="1" si="1291"/>
        <v>0</v>
      </c>
      <c r="U1406" s="22">
        <f t="shared" ca="1" si="1291"/>
        <v>0</v>
      </c>
      <c r="V1406" s="22">
        <f t="shared" ca="1" si="1291"/>
        <v>0</v>
      </c>
      <c r="W1406" s="22">
        <f t="shared" ca="1" si="1291"/>
        <v>0</v>
      </c>
      <c r="X1406" s="22">
        <f t="shared" ca="1" si="1291"/>
        <v>0</v>
      </c>
    </row>
    <row r="1407" spans="1:24" hidden="1">
      <c r="A1407" s="328"/>
      <c r="B1407" s="21" t="s">
        <v>406</v>
      </c>
      <c r="C1407" s="21"/>
      <c r="D1407" s="22"/>
      <c r="E1407" s="21"/>
      <c r="F1407" s="21"/>
      <c r="G1407" s="21"/>
      <c r="H1407" s="21"/>
      <c r="I1407" s="21"/>
      <c r="J1407" s="21"/>
      <c r="K1407" s="77">
        <f ca="1">IF($D1403=LataProjekcji,ROUND($D1404-K1406,0),ROUND(IF(K1405=0,0,$D1404-K1406),0))</f>
        <v>0</v>
      </c>
      <c r="L1407" s="254">
        <f t="shared" ref="L1407:X1407" ca="1" si="1292">IF($D1403=LataProjekcji,ROUND($D1404-L1406,0),ROUND(IF(AND(L1405=0,K1407&gt;0),$D1404-L1406,IF(L1405=0,0,$D1404-L1406)),0))</f>
        <v>0</v>
      </c>
      <c r="M1407" s="254">
        <f t="shared" ca="1" si="1292"/>
        <v>0</v>
      </c>
      <c r="N1407" s="254">
        <f t="shared" ca="1" si="1292"/>
        <v>0</v>
      </c>
      <c r="O1407" s="254">
        <f t="shared" ca="1" si="1292"/>
        <v>0</v>
      </c>
      <c r="P1407" s="254">
        <f t="shared" ca="1" si="1292"/>
        <v>0</v>
      </c>
      <c r="Q1407" s="254">
        <f t="shared" ca="1" si="1292"/>
        <v>0</v>
      </c>
      <c r="R1407" s="254">
        <f t="shared" ca="1" si="1292"/>
        <v>0</v>
      </c>
      <c r="S1407" s="254">
        <f t="shared" ca="1" si="1292"/>
        <v>0</v>
      </c>
      <c r="T1407" s="254">
        <f t="shared" ca="1" si="1292"/>
        <v>0</v>
      </c>
      <c r="U1407" s="254">
        <f t="shared" ca="1" si="1292"/>
        <v>0</v>
      </c>
      <c r="V1407" s="254">
        <f t="shared" ca="1" si="1292"/>
        <v>0</v>
      </c>
      <c r="W1407" s="254">
        <f t="shared" ca="1" si="1292"/>
        <v>0</v>
      </c>
      <c r="X1407" s="254">
        <f t="shared" ca="1" si="1292"/>
        <v>0</v>
      </c>
    </row>
    <row r="1408" spans="1:24" hidden="1">
      <c r="A1408" s="328"/>
      <c r="B1408" s="21"/>
      <c r="C1408" s="21"/>
      <c r="D1408" s="22"/>
      <c r="E1408" s="21"/>
      <c r="F1408" s="21"/>
      <c r="G1408" s="21"/>
      <c r="H1408" s="404">
        <f>H1401+1</f>
        <v>2</v>
      </c>
      <c r="I1408" s="483" cm="1">
        <f t="array" aca="1" ref="I1408" ca="1">OFFSET('Środki trwałe'!$C$326,H1408,,)</f>
        <v>0</v>
      </c>
      <c r="J1408" s="404" t="s">
        <v>427</v>
      </c>
      <c r="K1408" s="405">
        <f t="shared" ref="K1408:X1408" ca="1" si="1293">IF(AND(OFFSET($F$269,$D1402,0)="tak",OFFSET($G$269,$D1402,0)="tak",OFFSET($J$269,$D1402,0)="ok",LataProjekcji&lt;=Koniec_Projekt),ROUND(K1405*OFFSET($K$337,$H1408,(COLUMN()-11)),0),0)</f>
        <v>0</v>
      </c>
      <c r="L1408" s="405">
        <f t="shared" ca="1" si="1293"/>
        <v>0</v>
      </c>
      <c r="M1408" s="405">
        <f t="shared" ca="1" si="1293"/>
        <v>0</v>
      </c>
      <c r="N1408" s="405">
        <f t="shared" ca="1" si="1293"/>
        <v>0</v>
      </c>
      <c r="O1408" s="405">
        <f t="shared" ca="1" si="1293"/>
        <v>0</v>
      </c>
      <c r="P1408" s="405">
        <f t="shared" ca="1" si="1293"/>
        <v>0</v>
      </c>
      <c r="Q1408" s="405">
        <f t="shared" ca="1" si="1293"/>
        <v>0</v>
      </c>
      <c r="R1408" s="405">
        <f t="shared" ca="1" si="1293"/>
        <v>0</v>
      </c>
      <c r="S1408" s="405">
        <f t="shared" ca="1" si="1293"/>
        <v>0</v>
      </c>
      <c r="T1408" s="405">
        <f t="shared" ca="1" si="1293"/>
        <v>0</v>
      </c>
      <c r="U1408" s="405">
        <f t="shared" ca="1" si="1293"/>
        <v>0</v>
      </c>
      <c r="V1408" s="405">
        <f t="shared" ca="1" si="1293"/>
        <v>0</v>
      </c>
      <c r="W1408" s="405">
        <f t="shared" ca="1" si="1293"/>
        <v>0</v>
      </c>
      <c r="X1408" s="405">
        <f t="shared" ca="1" si="1293"/>
        <v>0</v>
      </c>
    </row>
    <row r="1409" spans="1:24" hidden="1">
      <c r="A1409" s="328"/>
      <c r="B1409" s="20">
        <f ca="1">OFFSET($B$269,D1409,0)</f>
        <v>0</v>
      </c>
      <c r="C1409" s="20"/>
      <c r="D1409" s="21">
        <f>D1402+1</f>
        <v>60</v>
      </c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</row>
    <row r="1410" spans="1:24" hidden="1">
      <c r="A1410" s="328"/>
      <c r="B1410" s="21" t="s">
        <v>414</v>
      </c>
      <c r="C1410" s="21"/>
      <c r="D1410" s="165">
        <f ca="1">YEAR(OFFSET($E$269,D1409,0))</f>
        <v>1900</v>
      </c>
      <c r="E1410" s="165">
        <f ca="1">MONTH(OFFSET($E$269,D1409,0))</f>
        <v>1</v>
      </c>
      <c r="F1410" s="21">
        <f ca="1">12-$E1410</f>
        <v>11</v>
      </c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</row>
    <row r="1411" spans="1:24" hidden="1">
      <c r="A1411" s="328"/>
      <c r="B1411" s="21" t="s">
        <v>406</v>
      </c>
      <c r="C1411" s="21"/>
      <c r="D1411" s="387">
        <f ca="1">IF(E1411&lt;0,0,ROUND(E1411,0))</f>
        <v>0</v>
      </c>
      <c r="E1411" s="249">
        <f ca="1">OFFSET($D$269,D1409,0)</f>
        <v>0</v>
      </c>
      <c r="F1411" s="387">
        <f ca="1">IF(E1411&gt;10,ROUND(($D1412/12)*$F1410,0),$D1411)</f>
        <v>0</v>
      </c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</row>
    <row r="1412" spans="1:24" hidden="1">
      <c r="A1412" s="328"/>
      <c r="B1412" s="21" t="s">
        <v>415</v>
      </c>
      <c r="C1412" s="21"/>
      <c r="D1412" s="387">
        <f ca="1">IF(ISBLANK(OFFSET($E$269,D1409,0)),0,IF(E1411&gt;10,ROUND(D1411*am_grunty,0),IF(D1411&lt;0,0,D1411)))</f>
        <v>0</v>
      </c>
      <c r="E1412" s="21"/>
      <c r="F1412" s="21"/>
      <c r="G1412" s="21"/>
      <c r="H1412" s="21"/>
      <c r="I1412" s="21"/>
      <c r="J1412" s="21"/>
      <c r="K1412" s="75">
        <f ca="1">ROUND(IF($D1410=LataProjekcji,$F1411,IF($D1410=LataProjekcji,$D1412,0)),0)</f>
        <v>0</v>
      </c>
      <c r="L1412" s="248">
        <f ca="1">ROUND(IF(OR(AND($D1410=LataProjekcji,$F1410&gt;0),AND($D1410=LataProjekcji,$F1410=0,$E1411&lt;=10)),$F1411,IF($D1410&lt;LataProjekcji,IF((SUM($K1412:K1412)+$D1412)&lt;$D1411,$D1412,$D1411-SUM($K1412:K1412)),0)),0)</f>
        <v>0</v>
      </c>
      <c r="M1412" s="248">
        <f ca="1">ROUND(IF(OR(AND($D1410=LataProjekcji,$F1410&gt;0),AND($D1410=LataProjekcji,$F1410=0,$E1411&lt;=10)),$F1411,IF($D1410&lt;LataProjekcji,IF((SUM($K1412:L1412)+$D1412)&lt;$D1411,$D1412,$D1411-SUM($K1412:L1412)),0)),0)</f>
        <v>0</v>
      </c>
      <c r="N1412" s="248">
        <f ca="1">ROUND(IF(OR(AND($D1410=LataProjekcji,$F1410&gt;0),AND($D1410=LataProjekcji,$F1410=0,$E1411&lt;=10)),$F1411,IF($D1410&lt;LataProjekcji,IF((SUM($K1412:M1412)+$D1412)&lt;$D1411,$D1412,$D1411-SUM($K1412:M1412)),0)),0)</f>
        <v>0</v>
      </c>
      <c r="O1412" s="248">
        <f ca="1">ROUND(IF(OR(AND($D1410=LataProjekcji,$F1410&gt;0),AND($D1410=LataProjekcji,$F1410=0,$E1411&lt;=10)),$F1411,IF($D1410&lt;LataProjekcji,IF((SUM($K1412:N1412)+$D1412)&lt;$D1411,$D1412,$D1411-SUM($K1412:N1412)),0)),0)</f>
        <v>0</v>
      </c>
      <c r="P1412" s="248">
        <f ca="1">ROUND(IF(OR(AND($D1410=LataProjekcji,$F1410&gt;0),AND($D1410=LataProjekcji,$F1410=0,$E1411&lt;=10)),$F1411,IF($D1410&lt;LataProjekcji,IF((SUM($K1412:O1412)+$D1412)&lt;$D1411,$D1412,$D1411-SUM($K1412:O1412)),0)),0)</f>
        <v>0</v>
      </c>
      <c r="Q1412" s="248">
        <f ca="1">ROUND(IF(OR(AND($D1410=LataProjekcji,$F1410&gt;0),AND($D1410=LataProjekcji,$F1410=0,$E1411&lt;=10)),$F1411,IF($D1410&lt;LataProjekcji,IF((SUM($K1412:P1412)+$D1412)&lt;$D1411,$D1412,$D1411-SUM($K1412:P1412)),0)),0)</f>
        <v>0</v>
      </c>
      <c r="R1412" s="248">
        <f ca="1">ROUND(IF(OR(AND($D1410=LataProjekcji,$F1410&gt;0),AND($D1410=LataProjekcji,$F1410=0,$E1411&lt;=10)),$F1411,IF($D1410&lt;LataProjekcji,IF((SUM($K1412:Q1412)+$D1412)&lt;$D1411,$D1412,$D1411-SUM($K1412:Q1412)),0)),0)</f>
        <v>0</v>
      </c>
      <c r="S1412" s="248">
        <f ca="1">ROUND(IF(OR(AND($D1410=LataProjekcji,$F1410&gt;0),AND($D1410=LataProjekcji,$F1410=0,$E1411&lt;=10)),$F1411,IF($D1410&lt;LataProjekcji,IF((SUM($K1412:R1412)+$D1412)&lt;$D1411,$D1412,$D1411-SUM($K1412:R1412)),0)),0)</f>
        <v>0</v>
      </c>
      <c r="T1412" s="248">
        <f ca="1">ROUND(IF(OR(AND($D1410=LataProjekcji,$F1410&gt;0),AND($D1410=LataProjekcji,$F1410=0,$E1411&lt;=10)),$F1411,IF($D1410&lt;LataProjekcji,IF((SUM($K1412:S1412)+$D1412)&lt;$D1411,$D1412,$D1411-SUM($K1412:S1412)),0)),0)</f>
        <v>0</v>
      </c>
      <c r="U1412" s="248">
        <f ca="1">ROUND(IF(OR(AND($D1410=LataProjekcji,$F1410&gt;0),AND($D1410=LataProjekcji,$F1410=0,$E1411&lt;=10)),$F1411,IF($D1410&lt;LataProjekcji,IF((SUM($K1412:T1412)+$D1412)&lt;$D1411,$D1412,$D1411-SUM($K1412:T1412)),0)),0)</f>
        <v>0</v>
      </c>
      <c r="V1412" s="248">
        <f ca="1">ROUND(IF(OR(AND($D1410=LataProjekcji,$F1410&gt;0),AND($D1410=LataProjekcji,$F1410=0,$E1411&lt;=10)),$F1411,IF($D1410&lt;LataProjekcji,IF((SUM($K1412:U1412)+$D1412)&lt;$D1411,$D1412,$D1411-SUM($K1412:U1412)),0)),0)</f>
        <v>0</v>
      </c>
      <c r="W1412" s="248">
        <f ca="1">ROUND(IF(OR(AND($D1410=LataProjekcji,$F1410&gt;0),AND($D1410=LataProjekcji,$F1410=0,$E1411&lt;=10)),$F1411,IF($D1410&lt;LataProjekcji,IF((SUM($K1412:V1412)+$D1412)&lt;$D1411,$D1412,$D1411-SUM($K1412:V1412)),0)),0)</f>
        <v>0</v>
      </c>
      <c r="X1412" s="248">
        <f ca="1">ROUND(IF(OR(AND($D1410=LataProjekcji,$F1410&gt;0),AND($D1410=LataProjekcji,$F1410=0,$E1411&lt;=10)),$F1411,IF($D1410&lt;LataProjekcji,IF((SUM($K1412:W1412)+$D1412)&lt;$D1411,$D1412,$D1411-SUM($K1412:W1412)),0)),0)</f>
        <v>0</v>
      </c>
    </row>
    <row r="1413" spans="1:24" hidden="1">
      <c r="A1413" s="328"/>
      <c r="B1413" s="21" t="s">
        <v>416</v>
      </c>
      <c r="C1413" s="21"/>
      <c r="D1413" s="22"/>
      <c r="E1413" s="21"/>
      <c r="F1413" s="21"/>
      <c r="G1413" s="21"/>
      <c r="H1413" s="21"/>
      <c r="I1413" s="21"/>
      <c r="J1413" s="21"/>
      <c r="K1413" s="22">
        <f ca="1">ROUND(K1412,0)</f>
        <v>0</v>
      </c>
      <c r="L1413" s="22">
        <f t="shared" ref="L1413:X1413" ca="1" si="1294">ROUND(K1413+L1412,0)</f>
        <v>0</v>
      </c>
      <c r="M1413" s="22">
        <f t="shared" ca="1" si="1294"/>
        <v>0</v>
      </c>
      <c r="N1413" s="22">
        <f t="shared" ca="1" si="1294"/>
        <v>0</v>
      </c>
      <c r="O1413" s="22">
        <f t="shared" ca="1" si="1294"/>
        <v>0</v>
      </c>
      <c r="P1413" s="22">
        <f t="shared" ca="1" si="1294"/>
        <v>0</v>
      </c>
      <c r="Q1413" s="22">
        <f t="shared" ca="1" si="1294"/>
        <v>0</v>
      </c>
      <c r="R1413" s="22">
        <f t="shared" ca="1" si="1294"/>
        <v>0</v>
      </c>
      <c r="S1413" s="22">
        <f t="shared" ca="1" si="1294"/>
        <v>0</v>
      </c>
      <c r="T1413" s="22">
        <f t="shared" ca="1" si="1294"/>
        <v>0</v>
      </c>
      <c r="U1413" s="22">
        <f t="shared" ca="1" si="1294"/>
        <v>0</v>
      </c>
      <c r="V1413" s="22">
        <f t="shared" ca="1" si="1294"/>
        <v>0</v>
      </c>
      <c r="W1413" s="22">
        <f t="shared" ca="1" si="1294"/>
        <v>0</v>
      </c>
      <c r="X1413" s="22">
        <f t="shared" ca="1" si="1294"/>
        <v>0</v>
      </c>
    </row>
    <row r="1414" spans="1:24" hidden="1">
      <c r="A1414" s="328"/>
      <c r="B1414" s="21" t="s">
        <v>406</v>
      </c>
      <c r="C1414" s="21"/>
      <c r="D1414" s="22"/>
      <c r="E1414" s="21"/>
      <c r="F1414" s="21"/>
      <c r="G1414" s="21"/>
      <c r="H1414" s="21"/>
      <c r="I1414" s="21"/>
      <c r="J1414" s="21"/>
      <c r="K1414" s="77">
        <f ca="1">IF($D1410=LataProjekcji,ROUND($D1411-K1413,0),ROUND(IF(K1412=0,0,$D1411-K1413),0))</f>
        <v>0</v>
      </c>
      <c r="L1414" s="254">
        <f t="shared" ref="L1414:X1414" ca="1" si="1295">IF($D1410=LataProjekcji,ROUND($D1411-L1413,0),ROUND(IF(AND(L1412=0,K1414&gt;0),$D1411-L1413,IF(L1412=0,0,$D1411-L1413)),0))</f>
        <v>0</v>
      </c>
      <c r="M1414" s="254">
        <f t="shared" ca="1" si="1295"/>
        <v>0</v>
      </c>
      <c r="N1414" s="254">
        <f t="shared" ca="1" si="1295"/>
        <v>0</v>
      </c>
      <c r="O1414" s="254">
        <f t="shared" ca="1" si="1295"/>
        <v>0</v>
      </c>
      <c r="P1414" s="254">
        <f t="shared" ca="1" si="1295"/>
        <v>0</v>
      </c>
      <c r="Q1414" s="254">
        <f t="shared" ca="1" si="1295"/>
        <v>0</v>
      </c>
      <c r="R1414" s="254">
        <f t="shared" ca="1" si="1295"/>
        <v>0</v>
      </c>
      <c r="S1414" s="254">
        <f t="shared" ca="1" si="1295"/>
        <v>0</v>
      </c>
      <c r="T1414" s="254">
        <f t="shared" ca="1" si="1295"/>
        <v>0</v>
      </c>
      <c r="U1414" s="254">
        <f t="shared" ca="1" si="1295"/>
        <v>0</v>
      </c>
      <c r="V1414" s="254">
        <f t="shared" ca="1" si="1295"/>
        <v>0</v>
      </c>
      <c r="W1414" s="254">
        <f t="shared" ca="1" si="1295"/>
        <v>0</v>
      </c>
      <c r="X1414" s="254">
        <f t="shared" ca="1" si="1295"/>
        <v>0</v>
      </c>
    </row>
    <row r="1415" spans="1:24" hidden="1">
      <c r="A1415" s="328"/>
      <c r="B1415" s="21"/>
      <c r="C1415" s="21"/>
      <c r="D1415" s="21"/>
      <c r="E1415" s="21"/>
      <c r="F1415" s="21"/>
      <c r="G1415" s="21"/>
      <c r="H1415" s="404">
        <f>H1408+1</f>
        <v>3</v>
      </c>
      <c r="I1415" s="483" cm="1">
        <f t="array" aca="1" ref="I1415" ca="1">OFFSET('Środki trwałe'!$C$326,H1415,,)</f>
        <v>0</v>
      </c>
      <c r="J1415" s="404" t="s">
        <v>427</v>
      </c>
      <c r="K1415" s="405">
        <f t="shared" ref="K1415:X1415" ca="1" si="1296">IF(AND(OFFSET($F$269,$D1409,0)="tak",OFFSET($G$269,$D1409,0)="tak",OFFSET($J$269,$D1409,0)="ok",LataProjekcji&lt;=Koniec_Projekt),ROUND(K1412*OFFSET($K$337,$H1415,(COLUMN()-11)),0),0)</f>
        <v>0</v>
      </c>
      <c r="L1415" s="405">
        <f t="shared" ca="1" si="1296"/>
        <v>0</v>
      </c>
      <c r="M1415" s="405">
        <f t="shared" ca="1" si="1296"/>
        <v>0</v>
      </c>
      <c r="N1415" s="405">
        <f t="shared" ca="1" si="1296"/>
        <v>0</v>
      </c>
      <c r="O1415" s="405">
        <f t="shared" ca="1" si="1296"/>
        <v>0</v>
      </c>
      <c r="P1415" s="405">
        <f t="shared" ca="1" si="1296"/>
        <v>0</v>
      </c>
      <c r="Q1415" s="405">
        <f t="shared" ca="1" si="1296"/>
        <v>0</v>
      </c>
      <c r="R1415" s="405">
        <f t="shared" ca="1" si="1296"/>
        <v>0</v>
      </c>
      <c r="S1415" s="405">
        <f t="shared" ca="1" si="1296"/>
        <v>0</v>
      </c>
      <c r="T1415" s="405">
        <f t="shared" ca="1" si="1296"/>
        <v>0</v>
      </c>
      <c r="U1415" s="405">
        <f t="shared" ca="1" si="1296"/>
        <v>0</v>
      </c>
      <c r="V1415" s="405">
        <f t="shared" ca="1" si="1296"/>
        <v>0</v>
      </c>
      <c r="W1415" s="405">
        <f t="shared" ca="1" si="1296"/>
        <v>0</v>
      </c>
      <c r="X1415" s="405">
        <f t="shared" ca="1" si="1296"/>
        <v>0</v>
      </c>
    </row>
    <row r="1416" spans="1:24" hidden="1">
      <c r="A1416" s="328"/>
      <c r="B1416" s="20">
        <f ca="1">OFFSET($B$269,D1416,0)</f>
        <v>0</v>
      </c>
      <c r="C1416" s="20"/>
      <c r="D1416" s="21">
        <f>D1409+1</f>
        <v>61</v>
      </c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</row>
    <row r="1417" spans="1:24" hidden="1">
      <c r="A1417" s="328"/>
      <c r="B1417" s="21" t="s">
        <v>414</v>
      </c>
      <c r="C1417" s="21"/>
      <c r="D1417" s="165">
        <f ca="1">YEAR(OFFSET($E$269,D1416,0))</f>
        <v>1900</v>
      </c>
      <c r="E1417" s="165">
        <f ca="1">MONTH(OFFSET($E$269,D1416,0))</f>
        <v>1</v>
      </c>
      <c r="F1417" s="21">
        <f ca="1">12-$E1417</f>
        <v>11</v>
      </c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</row>
    <row r="1418" spans="1:24" hidden="1">
      <c r="A1418" s="328"/>
      <c r="B1418" s="21" t="s">
        <v>406</v>
      </c>
      <c r="C1418" s="21"/>
      <c r="D1418" s="388">
        <f ca="1">IF(E1418&lt;0,0,ROUND(E1418,0))</f>
        <v>0</v>
      </c>
      <c r="E1418" s="249">
        <f ca="1">OFFSET($D$269,D1416,0)</f>
        <v>0</v>
      </c>
      <c r="F1418" s="388">
        <f ca="1">IF(E1418&gt;10,ROUND(($D1419/12)*$F1417,0),$D1418)</f>
        <v>0</v>
      </c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</row>
    <row r="1419" spans="1:24" hidden="1">
      <c r="A1419" s="328"/>
      <c r="B1419" s="21" t="s">
        <v>415</v>
      </c>
      <c r="C1419" s="21"/>
      <c r="D1419" s="388">
        <f ca="1">IF(ISBLANK(OFFSET($E$269,D1416,0)),0,IF(E1418&gt;10,ROUND(D1418*am_grunty,0),IF(D1418&lt;0,0,D1418)))</f>
        <v>0</v>
      </c>
      <c r="E1419" s="21"/>
      <c r="F1419" s="21"/>
      <c r="G1419" s="21"/>
      <c r="H1419" s="21"/>
      <c r="I1419" s="21"/>
      <c r="J1419" s="21"/>
      <c r="K1419" s="75">
        <f ca="1">ROUND(IF($D1417=LataProjekcji,$F1418,IF($D1417=LataProjekcji,$D1419,0)),0)</f>
        <v>0</v>
      </c>
      <c r="L1419" s="248">
        <f ca="1">ROUND(IF(OR(AND($D1417=LataProjekcji,$F1417&gt;0),AND($D1417=LataProjekcji,$F1417=0,$E1418&lt;=10)),$F1418,IF($D1417&lt;LataProjekcji,IF((SUM($K1419:K1419)+$D1419)&lt;$D1418,$D1419,$D1418-SUM($K1419:K1419)),0)),0)</f>
        <v>0</v>
      </c>
      <c r="M1419" s="248">
        <f ca="1">ROUND(IF(OR(AND($D1417=LataProjekcji,$F1417&gt;0),AND($D1417=LataProjekcji,$F1417=0,$E1418&lt;=10)),$F1418,IF($D1417&lt;LataProjekcji,IF((SUM($K1419:L1419)+$D1419)&lt;$D1418,$D1419,$D1418-SUM($K1419:L1419)),0)),0)</f>
        <v>0</v>
      </c>
      <c r="N1419" s="248">
        <f ca="1">ROUND(IF(OR(AND($D1417=LataProjekcji,$F1417&gt;0),AND($D1417=LataProjekcji,$F1417=0,$E1418&lt;=10)),$F1418,IF($D1417&lt;LataProjekcji,IF((SUM($K1419:M1419)+$D1419)&lt;$D1418,$D1419,$D1418-SUM($K1419:M1419)),0)),0)</f>
        <v>0</v>
      </c>
      <c r="O1419" s="248">
        <f ca="1">ROUND(IF(OR(AND($D1417=LataProjekcji,$F1417&gt;0),AND($D1417=LataProjekcji,$F1417=0,$E1418&lt;=10)),$F1418,IF($D1417&lt;LataProjekcji,IF((SUM($K1419:N1419)+$D1419)&lt;$D1418,$D1419,$D1418-SUM($K1419:N1419)),0)),0)</f>
        <v>0</v>
      </c>
      <c r="P1419" s="248">
        <f ca="1">ROUND(IF(OR(AND($D1417=LataProjekcji,$F1417&gt;0),AND($D1417=LataProjekcji,$F1417=0,$E1418&lt;=10)),$F1418,IF($D1417&lt;LataProjekcji,IF((SUM($K1419:O1419)+$D1419)&lt;$D1418,$D1419,$D1418-SUM($K1419:O1419)),0)),0)</f>
        <v>0</v>
      </c>
      <c r="Q1419" s="248">
        <f ca="1">ROUND(IF(OR(AND($D1417=LataProjekcji,$F1417&gt;0),AND($D1417=LataProjekcji,$F1417=0,$E1418&lt;=10)),$F1418,IF($D1417&lt;LataProjekcji,IF((SUM($K1419:P1419)+$D1419)&lt;$D1418,$D1419,$D1418-SUM($K1419:P1419)),0)),0)</f>
        <v>0</v>
      </c>
      <c r="R1419" s="248">
        <f ca="1">ROUND(IF(OR(AND($D1417=LataProjekcji,$F1417&gt;0),AND($D1417=LataProjekcji,$F1417=0,$E1418&lt;=10)),$F1418,IF($D1417&lt;LataProjekcji,IF((SUM($K1419:Q1419)+$D1419)&lt;$D1418,$D1419,$D1418-SUM($K1419:Q1419)),0)),0)</f>
        <v>0</v>
      </c>
      <c r="S1419" s="248">
        <f ca="1">ROUND(IF(OR(AND($D1417=LataProjekcji,$F1417&gt;0),AND($D1417=LataProjekcji,$F1417=0,$E1418&lt;=10)),$F1418,IF($D1417&lt;LataProjekcji,IF((SUM($K1419:R1419)+$D1419)&lt;$D1418,$D1419,$D1418-SUM($K1419:R1419)),0)),0)</f>
        <v>0</v>
      </c>
      <c r="T1419" s="248">
        <f ca="1">ROUND(IF(OR(AND($D1417=LataProjekcji,$F1417&gt;0),AND($D1417=LataProjekcji,$F1417=0,$E1418&lt;=10)),$F1418,IF($D1417&lt;LataProjekcji,IF((SUM($K1419:S1419)+$D1419)&lt;$D1418,$D1419,$D1418-SUM($K1419:S1419)),0)),0)</f>
        <v>0</v>
      </c>
      <c r="U1419" s="248">
        <f ca="1">ROUND(IF(OR(AND($D1417=LataProjekcji,$F1417&gt;0),AND($D1417=LataProjekcji,$F1417=0,$E1418&lt;=10)),$F1418,IF($D1417&lt;LataProjekcji,IF((SUM($K1419:T1419)+$D1419)&lt;$D1418,$D1419,$D1418-SUM($K1419:T1419)),0)),0)</f>
        <v>0</v>
      </c>
      <c r="V1419" s="248">
        <f ca="1">ROUND(IF(OR(AND($D1417=LataProjekcji,$F1417&gt;0),AND($D1417=LataProjekcji,$F1417=0,$E1418&lt;=10)),$F1418,IF($D1417&lt;LataProjekcji,IF((SUM($K1419:U1419)+$D1419)&lt;$D1418,$D1419,$D1418-SUM($K1419:U1419)),0)),0)</f>
        <v>0</v>
      </c>
      <c r="W1419" s="248">
        <f ca="1">ROUND(IF(OR(AND($D1417=LataProjekcji,$F1417&gt;0),AND($D1417=LataProjekcji,$F1417=0,$E1418&lt;=10)),$F1418,IF($D1417&lt;LataProjekcji,IF((SUM($K1419:V1419)+$D1419)&lt;$D1418,$D1419,$D1418-SUM($K1419:V1419)),0)),0)</f>
        <v>0</v>
      </c>
      <c r="X1419" s="248">
        <f ca="1">ROUND(IF(OR(AND($D1417=LataProjekcji,$F1417&gt;0),AND($D1417=LataProjekcji,$F1417=0,$E1418&lt;=10)),$F1418,IF($D1417&lt;LataProjekcji,IF((SUM($K1419:W1419)+$D1419)&lt;$D1418,$D1419,$D1418-SUM($K1419:W1419)),0)),0)</f>
        <v>0</v>
      </c>
    </row>
    <row r="1420" spans="1:24" hidden="1">
      <c r="A1420" s="328"/>
      <c r="B1420" s="21" t="s">
        <v>416</v>
      </c>
      <c r="C1420" s="21"/>
      <c r="D1420" s="22"/>
      <c r="E1420" s="21"/>
      <c r="F1420" s="21"/>
      <c r="G1420" s="21"/>
      <c r="H1420" s="21"/>
      <c r="I1420" s="21"/>
      <c r="J1420" s="21"/>
      <c r="K1420" s="22">
        <f ca="1">ROUND(K1419,0)</f>
        <v>0</v>
      </c>
      <c r="L1420" s="22">
        <f t="shared" ref="L1420:X1420" ca="1" si="1297">ROUND(K1420+L1419,0)</f>
        <v>0</v>
      </c>
      <c r="M1420" s="22">
        <f t="shared" ca="1" si="1297"/>
        <v>0</v>
      </c>
      <c r="N1420" s="22">
        <f t="shared" ca="1" si="1297"/>
        <v>0</v>
      </c>
      <c r="O1420" s="22">
        <f t="shared" ca="1" si="1297"/>
        <v>0</v>
      </c>
      <c r="P1420" s="22">
        <f t="shared" ca="1" si="1297"/>
        <v>0</v>
      </c>
      <c r="Q1420" s="22">
        <f t="shared" ca="1" si="1297"/>
        <v>0</v>
      </c>
      <c r="R1420" s="22">
        <f t="shared" ca="1" si="1297"/>
        <v>0</v>
      </c>
      <c r="S1420" s="22">
        <f t="shared" ca="1" si="1297"/>
        <v>0</v>
      </c>
      <c r="T1420" s="22">
        <f t="shared" ca="1" si="1297"/>
        <v>0</v>
      </c>
      <c r="U1420" s="22">
        <f t="shared" ca="1" si="1297"/>
        <v>0</v>
      </c>
      <c r="V1420" s="22">
        <f t="shared" ca="1" si="1297"/>
        <v>0</v>
      </c>
      <c r="W1420" s="22">
        <f t="shared" ca="1" si="1297"/>
        <v>0</v>
      </c>
      <c r="X1420" s="22">
        <f t="shared" ca="1" si="1297"/>
        <v>0</v>
      </c>
    </row>
    <row r="1421" spans="1:24" hidden="1">
      <c r="A1421" s="328"/>
      <c r="B1421" s="21" t="s">
        <v>406</v>
      </c>
      <c r="C1421" s="21"/>
      <c r="D1421" s="22"/>
      <c r="E1421" s="21"/>
      <c r="F1421" s="21"/>
      <c r="G1421" s="21"/>
      <c r="H1421" s="21"/>
      <c r="I1421" s="21"/>
      <c r="J1421" s="21"/>
      <c r="K1421" s="77">
        <f ca="1">IF($D1417=LataProjekcji,ROUND($D1418-K1420,0),ROUND(IF(K1419=0,0,$D1418-K1420),0))</f>
        <v>0</v>
      </c>
      <c r="L1421" s="254">
        <f t="shared" ref="L1421:X1421" ca="1" si="1298">IF($D1417=LataProjekcji,ROUND($D1418-L1420,0),ROUND(IF(AND(L1419=0,K1421&gt;0),$D1418-L1420,IF(L1419=0,0,$D1418-L1420)),0))</f>
        <v>0</v>
      </c>
      <c r="M1421" s="254">
        <f t="shared" ca="1" si="1298"/>
        <v>0</v>
      </c>
      <c r="N1421" s="254">
        <f t="shared" ca="1" si="1298"/>
        <v>0</v>
      </c>
      <c r="O1421" s="254">
        <f t="shared" ca="1" si="1298"/>
        <v>0</v>
      </c>
      <c r="P1421" s="254">
        <f t="shared" ca="1" si="1298"/>
        <v>0</v>
      </c>
      <c r="Q1421" s="254">
        <f t="shared" ca="1" si="1298"/>
        <v>0</v>
      </c>
      <c r="R1421" s="254">
        <f t="shared" ca="1" si="1298"/>
        <v>0</v>
      </c>
      <c r="S1421" s="254">
        <f t="shared" ca="1" si="1298"/>
        <v>0</v>
      </c>
      <c r="T1421" s="254">
        <f t="shared" ca="1" si="1298"/>
        <v>0</v>
      </c>
      <c r="U1421" s="254">
        <f t="shared" ca="1" si="1298"/>
        <v>0</v>
      </c>
      <c r="V1421" s="254">
        <f t="shared" ca="1" si="1298"/>
        <v>0</v>
      </c>
      <c r="W1421" s="254">
        <f t="shared" ca="1" si="1298"/>
        <v>0</v>
      </c>
      <c r="X1421" s="254">
        <f t="shared" ca="1" si="1298"/>
        <v>0</v>
      </c>
    </row>
    <row r="1422" spans="1:24" hidden="1">
      <c r="A1422" s="328"/>
      <c r="H1422" s="404">
        <f>H1415+1</f>
        <v>4</v>
      </c>
      <c r="I1422" s="483" cm="1">
        <f t="array" aca="1" ref="I1422" ca="1">OFFSET('Środki trwałe'!$C$326,H1422,,)</f>
        <v>0</v>
      </c>
      <c r="J1422" s="404" t="s">
        <v>427</v>
      </c>
      <c r="K1422" s="405">
        <f t="shared" ref="K1422:X1422" ca="1" si="1299">IF(AND(OFFSET($F$269,$D1416,0)="tak",OFFSET($G$269,$D1416,0)="tak",OFFSET($J$269,$D1416,0)="ok",LataProjekcji&lt;=Koniec_Projekt),ROUND(K1419*OFFSET($K$337,$H1422,(COLUMN()-11)),0),0)</f>
        <v>0</v>
      </c>
      <c r="L1422" s="405">
        <f t="shared" ca="1" si="1299"/>
        <v>0</v>
      </c>
      <c r="M1422" s="405">
        <f t="shared" ca="1" si="1299"/>
        <v>0</v>
      </c>
      <c r="N1422" s="405">
        <f t="shared" ca="1" si="1299"/>
        <v>0</v>
      </c>
      <c r="O1422" s="405">
        <f t="shared" ca="1" si="1299"/>
        <v>0</v>
      </c>
      <c r="P1422" s="405">
        <f t="shared" ca="1" si="1299"/>
        <v>0</v>
      </c>
      <c r="Q1422" s="405">
        <f t="shared" ca="1" si="1299"/>
        <v>0</v>
      </c>
      <c r="R1422" s="405">
        <f t="shared" ca="1" si="1299"/>
        <v>0</v>
      </c>
      <c r="S1422" s="405">
        <f t="shared" ca="1" si="1299"/>
        <v>0</v>
      </c>
      <c r="T1422" s="405">
        <f t="shared" ca="1" si="1299"/>
        <v>0</v>
      </c>
      <c r="U1422" s="405">
        <f t="shared" ca="1" si="1299"/>
        <v>0</v>
      </c>
      <c r="V1422" s="405">
        <f t="shared" ca="1" si="1299"/>
        <v>0</v>
      </c>
      <c r="W1422" s="405">
        <f t="shared" ca="1" si="1299"/>
        <v>0</v>
      </c>
      <c r="X1422" s="405">
        <f t="shared" ca="1" si="1299"/>
        <v>0</v>
      </c>
    </row>
    <row r="1423" spans="1:24" hidden="1">
      <c r="A1423" s="328"/>
    </row>
    <row r="1424" spans="1:24" hidden="1">
      <c r="A1424" s="328"/>
    </row>
    <row r="1425" spans="1:24" hidden="1">
      <c r="A1425" s="328"/>
    </row>
    <row r="1426" spans="1:24" hidden="1">
      <c r="A1426" s="328"/>
    </row>
    <row r="1427" spans="1:24" ht="12.6" hidden="1" thickBot="1">
      <c r="A1427" s="328"/>
      <c r="B1427" s="464" t="s">
        <v>751</v>
      </c>
    </row>
    <row r="1428" spans="1:24" ht="12.6" hidden="1" thickBot="1">
      <c r="A1428" s="328"/>
      <c r="B1428" s="20">
        <f ca="1">OFFSET($B$269,D1428,0)</f>
        <v>0</v>
      </c>
      <c r="C1428" s="20"/>
      <c r="D1428" s="250">
        <v>84</v>
      </c>
      <c r="E1428" s="21"/>
      <c r="F1428" s="21" t="s">
        <v>411</v>
      </c>
      <c r="G1428" s="48"/>
      <c r="H1428" s="50" t="s">
        <v>412</v>
      </c>
      <c r="I1428" s="21" t="s">
        <v>413</v>
      </c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</row>
    <row r="1429" spans="1:24" hidden="1">
      <c r="A1429" s="328"/>
      <c r="B1429" s="21" t="s">
        <v>414</v>
      </c>
      <c r="C1429" s="21"/>
      <c r="D1429" s="165">
        <f ca="1">YEAR(OFFSET($E$269,D1428,0))</f>
        <v>1900</v>
      </c>
      <c r="E1429" s="165">
        <f ca="1">MONTH(OFFSET($E$269,D1428,0))</f>
        <v>1</v>
      </c>
      <c r="F1429" s="21">
        <f ca="1">12-$E1429</f>
        <v>11</v>
      </c>
      <c r="G1429" s="49"/>
      <c r="H1429" s="51">
        <f>D412-G1429</f>
        <v>0</v>
      </c>
      <c r="I1429" s="22">
        <f>D412-G1429-H1429</f>
        <v>0</v>
      </c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</row>
    <row r="1430" spans="1:24" hidden="1">
      <c r="A1430" s="328"/>
      <c r="B1430" s="21" t="s">
        <v>406</v>
      </c>
      <c r="C1430" s="21"/>
      <c r="D1430" s="247">
        <f ca="1">IF(E1430&lt;0,0,ROUND(E1430,0))</f>
        <v>0</v>
      </c>
      <c r="E1430" s="249">
        <f ca="1">OFFSET($D$269,D1428,0)</f>
        <v>0</v>
      </c>
      <c r="F1430" s="247">
        <f ca="1">IF(E1430&gt;10,ROUND(($D1431/12)*$F1429,0),$D1430)</f>
        <v>0</v>
      </c>
      <c r="G1430" s="21" t="s">
        <v>426</v>
      </c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</row>
    <row r="1431" spans="1:24" hidden="1">
      <c r="A1431" s="328"/>
      <c r="B1431" s="21" t="s">
        <v>415</v>
      </c>
      <c r="C1431" s="21"/>
      <c r="D1431" s="247">
        <f ca="1">IF(ISBLANK(OFFSET($E$269,D1428,0)),0,IF(E1430&gt;10,ROUND(D1430*am_budynki,0),IF(D1430&lt;0,0,D1430)))</f>
        <v>0</v>
      </c>
      <c r="E1431" s="21"/>
      <c r="F1431" s="21"/>
      <c r="G1431" s="21"/>
      <c r="H1431" s="21"/>
      <c r="I1431" s="21"/>
      <c r="J1431" s="21"/>
      <c r="K1431" s="75">
        <f ca="1">ROUND(IF($D1429=LataProjekcji,$F1430,IF($D1429=LataProjekcji,$D1431,0)),0)</f>
        <v>0</v>
      </c>
      <c r="L1431" s="248">
        <f ca="1">ROUND(IF(OR(AND($D1429=LataProjekcji,$F1429&gt;0),AND($D1429=LataProjekcji,$F1429=0,$E1430&lt;=10)),$F1430,IF($D1429&lt;LataProjekcji,IF((SUM($K1431:K1431)+$D1431)&lt;$D1430,$D1431,$D1430-SUM($K1431:K1431)),0)),0)</f>
        <v>0</v>
      </c>
      <c r="M1431" s="248">
        <f ca="1">ROUND(IF(OR(AND($D1429=LataProjekcji,$F1429&gt;0),AND($D1429=LataProjekcji,$F1429=0,$E1430&lt;=10)),$F1430,IF($D1429&lt;LataProjekcji,IF((SUM($K1431:L1431)+$D1431)&lt;$D1430,$D1431,$D1430-SUM($K1431:L1431)),0)),0)</f>
        <v>0</v>
      </c>
      <c r="N1431" s="248">
        <f ca="1">ROUND(IF(OR(AND($D1429=LataProjekcji,$F1429&gt;0),AND($D1429=LataProjekcji,$F1429=0,$E1430&lt;=10)),$F1430,IF($D1429&lt;LataProjekcji,IF((SUM($K1431:M1431)+$D1431)&lt;$D1430,$D1431,$D1430-SUM($K1431:M1431)),0)),0)</f>
        <v>0</v>
      </c>
      <c r="O1431" s="248">
        <f ca="1">ROUND(IF(OR(AND($D1429=LataProjekcji,$F1429&gt;0),AND($D1429=LataProjekcji,$F1429=0,$E1430&lt;=10)),$F1430,IF($D1429&lt;LataProjekcji,IF((SUM($K1431:N1431)+$D1431)&lt;$D1430,$D1431,$D1430-SUM($K1431:N1431)),0)),0)</f>
        <v>0</v>
      </c>
      <c r="P1431" s="248">
        <f ca="1">ROUND(IF(OR(AND($D1429=LataProjekcji,$F1429&gt;0),AND($D1429=LataProjekcji,$F1429=0,$E1430&lt;=10)),$F1430,IF($D1429&lt;LataProjekcji,IF((SUM($K1431:O1431)+$D1431)&lt;$D1430,$D1431,$D1430-SUM($K1431:O1431)),0)),0)</f>
        <v>0</v>
      </c>
      <c r="Q1431" s="248">
        <f ca="1">ROUND(IF(OR(AND($D1429=LataProjekcji,$F1429&gt;0),AND($D1429=LataProjekcji,$F1429=0,$E1430&lt;=10)),$F1430,IF($D1429&lt;LataProjekcji,IF((SUM($K1431:P1431)+$D1431)&lt;$D1430,$D1431,$D1430-SUM($K1431:P1431)),0)),0)</f>
        <v>0</v>
      </c>
      <c r="R1431" s="248">
        <f ca="1">ROUND(IF(OR(AND($D1429=LataProjekcji,$F1429&gt;0),AND($D1429=LataProjekcji,$F1429=0,$E1430&lt;=10)),$F1430,IF($D1429&lt;LataProjekcji,IF((SUM($K1431:Q1431)+$D1431)&lt;$D1430,$D1431,$D1430-SUM($K1431:Q1431)),0)),0)</f>
        <v>0</v>
      </c>
      <c r="S1431" s="248">
        <f ca="1">ROUND(IF(OR(AND($D1429=LataProjekcji,$F1429&gt;0),AND($D1429=LataProjekcji,$F1429=0,$E1430&lt;=10)),$F1430,IF($D1429&lt;LataProjekcji,IF((SUM($K1431:R1431)+$D1431)&lt;$D1430,$D1431,$D1430-SUM($K1431:R1431)),0)),0)</f>
        <v>0</v>
      </c>
      <c r="T1431" s="248">
        <f ca="1">ROUND(IF(OR(AND($D1429=LataProjekcji,$F1429&gt;0),AND($D1429=LataProjekcji,$F1429=0,$E1430&lt;=10)),$F1430,IF($D1429&lt;LataProjekcji,IF((SUM($K1431:S1431)+$D1431)&lt;$D1430,$D1431,$D1430-SUM($K1431:S1431)),0)),0)</f>
        <v>0</v>
      </c>
      <c r="U1431" s="248">
        <f ca="1">ROUND(IF(OR(AND($D1429=LataProjekcji,$F1429&gt;0),AND($D1429=LataProjekcji,$F1429=0,$E1430&lt;=10)),$F1430,IF($D1429&lt;LataProjekcji,IF((SUM($K1431:T1431)+$D1431)&lt;$D1430,$D1431,$D1430-SUM($K1431:T1431)),0)),0)</f>
        <v>0</v>
      </c>
      <c r="V1431" s="248">
        <f ca="1">ROUND(IF(OR(AND($D1429=LataProjekcji,$F1429&gt;0),AND($D1429=LataProjekcji,$F1429=0,$E1430&lt;=10)),$F1430,IF($D1429&lt;LataProjekcji,IF((SUM($K1431:U1431)+$D1431)&lt;$D1430,$D1431,$D1430-SUM($K1431:U1431)),0)),0)</f>
        <v>0</v>
      </c>
      <c r="W1431" s="248">
        <f ca="1">ROUND(IF(OR(AND($D1429=LataProjekcji,$F1429&gt;0),AND($D1429=LataProjekcji,$F1429=0,$E1430&lt;=10)),$F1430,IF($D1429&lt;LataProjekcji,IF((SUM($K1431:V1431)+$D1431)&lt;$D1430,$D1431,$D1430-SUM($K1431:V1431)),0)),0)</f>
        <v>0</v>
      </c>
      <c r="X1431" s="248">
        <f ca="1">ROUND(IF(OR(AND($D1429=LataProjekcji,$F1429&gt;0),AND($D1429=LataProjekcji,$F1429=0,$E1430&lt;=10)),$F1430,IF($D1429&lt;LataProjekcji,IF((SUM($K1431:W1431)+$D1431)&lt;$D1430,$D1431,$D1430-SUM($K1431:W1431)),0)),0)</f>
        <v>0</v>
      </c>
    </row>
    <row r="1432" spans="1:24" hidden="1">
      <c r="A1432" s="328"/>
      <c r="B1432" s="21" t="s">
        <v>416</v>
      </c>
      <c r="C1432" s="21"/>
      <c r="D1432" s="22"/>
      <c r="E1432" s="21"/>
      <c r="F1432" s="21"/>
      <c r="G1432" s="21"/>
      <c r="H1432" s="21"/>
      <c r="I1432" s="21"/>
      <c r="J1432" s="21"/>
      <c r="K1432" s="22">
        <f ca="1">ROUND(K1431,0)</f>
        <v>0</v>
      </c>
      <c r="L1432" s="22">
        <f t="shared" ref="L1432:X1432" ca="1" si="1300">ROUND(K1432+L1431,0)</f>
        <v>0</v>
      </c>
      <c r="M1432" s="22">
        <f t="shared" ca="1" si="1300"/>
        <v>0</v>
      </c>
      <c r="N1432" s="22">
        <f t="shared" ca="1" si="1300"/>
        <v>0</v>
      </c>
      <c r="O1432" s="22">
        <f t="shared" ca="1" si="1300"/>
        <v>0</v>
      </c>
      <c r="P1432" s="22">
        <f t="shared" ca="1" si="1300"/>
        <v>0</v>
      </c>
      <c r="Q1432" s="22">
        <f t="shared" ca="1" si="1300"/>
        <v>0</v>
      </c>
      <c r="R1432" s="22">
        <f t="shared" ca="1" si="1300"/>
        <v>0</v>
      </c>
      <c r="S1432" s="22">
        <f t="shared" ca="1" si="1300"/>
        <v>0</v>
      </c>
      <c r="T1432" s="22">
        <f t="shared" ca="1" si="1300"/>
        <v>0</v>
      </c>
      <c r="U1432" s="22">
        <f t="shared" ca="1" si="1300"/>
        <v>0</v>
      </c>
      <c r="V1432" s="22">
        <f t="shared" ca="1" si="1300"/>
        <v>0</v>
      </c>
      <c r="W1432" s="22">
        <f t="shared" ca="1" si="1300"/>
        <v>0</v>
      </c>
      <c r="X1432" s="22">
        <f t="shared" ca="1" si="1300"/>
        <v>0</v>
      </c>
    </row>
    <row r="1433" spans="1:24" hidden="1">
      <c r="A1433" s="328"/>
      <c r="B1433" s="21" t="s">
        <v>406</v>
      </c>
      <c r="C1433" s="21"/>
      <c r="D1433" s="22"/>
      <c r="E1433" s="21"/>
      <c r="F1433" s="21"/>
      <c r="G1433" s="21"/>
      <c r="H1433" s="21"/>
      <c r="I1433" s="21"/>
      <c r="J1433" s="21"/>
      <c r="K1433" s="77">
        <f ca="1">IF($D1429=LataProjekcji,ROUND($D1430-K1432,0),ROUND(IF(K1431=0,0,$D1430-K1432),0))</f>
        <v>0</v>
      </c>
      <c r="L1433" s="254">
        <f t="shared" ref="L1433:X1433" ca="1" si="1301">IF($D1429=LataProjekcji,ROUND($D1430-L1432,0),ROUND(IF(AND(L1431=0,K1433&gt;0),$D1430-L1432,IF(L1431=0,0,$D1430-L1432)),0))</f>
        <v>0</v>
      </c>
      <c r="M1433" s="254">
        <f t="shared" ca="1" si="1301"/>
        <v>0</v>
      </c>
      <c r="N1433" s="254">
        <f t="shared" ca="1" si="1301"/>
        <v>0</v>
      </c>
      <c r="O1433" s="254">
        <f t="shared" ca="1" si="1301"/>
        <v>0</v>
      </c>
      <c r="P1433" s="254">
        <f t="shared" ca="1" si="1301"/>
        <v>0</v>
      </c>
      <c r="Q1433" s="254">
        <f t="shared" ca="1" si="1301"/>
        <v>0</v>
      </c>
      <c r="R1433" s="254">
        <f t="shared" ca="1" si="1301"/>
        <v>0</v>
      </c>
      <c r="S1433" s="254">
        <f t="shared" ca="1" si="1301"/>
        <v>0</v>
      </c>
      <c r="T1433" s="254">
        <f t="shared" ca="1" si="1301"/>
        <v>0</v>
      </c>
      <c r="U1433" s="254">
        <f t="shared" ca="1" si="1301"/>
        <v>0</v>
      </c>
      <c r="V1433" s="254">
        <f t="shared" ca="1" si="1301"/>
        <v>0</v>
      </c>
      <c r="W1433" s="254">
        <f t="shared" ca="1" si="1301"/>
        <v>0</v>
      </c>
      <c r="X1433" s="254">
        <f t="shared" ca="1" si="1301"/>
        <v>0</v>
      </c>
    </row>
    <row r="1434" spans="1:24" hidden="1">
      <c r="A1434" s="328"/>
      <c r="B1434" s="21"/>
      <c r="C1434" s="21"/>
      <c r="D1434" s="22"/>
      <c r="E1434" s="21"/>
      <c r="F1434" s="21"/>
      <c r="G1434" s="21"/>
      <c r="H1434" s="404">
        <v>0</v>
      </c>
      <c r="I1434" s="483" cm="1">
        <f t="array" aca="1" ref="I1434" ca="1">OFFSET('Środki trwałe'!$C$353,H1434,,)</f>
        <v>0</v>
      </c>
      <c r="J1434" s="404" t="s">
        <v>427</v>
      </c>
      <c r="K1434" s="405">
        <f t="shared" ref="K1434:X1434" ca="1" si="1302">IF(AND(OFFSET($F$269,$D1428,0)="tak",OFFSET($G$269,$D1428,0)="tak",OFFSET($J$269,$D1428,0)="ok",LataProjekcji&lt;=Koniec_Projekt),ROUND(K1431*OFFSET($K$374,$H1434,(COLUMN()-11)),0),0)</f>
        <v>0</v>
      </c>
      <c r="L1434" s="405">
        <f t="shared" ca="1" si="1302"/>
        <v>0</v>
      </c>
      <c r="M1434" s="405">
        <f t="shared" ca="1" si="1302"/>
        <v>0</v>
      </c>
      <c r="N1434" s="405">
        <f t="shared" ca="1" si="1302"/>
        <v>0</v>
      </c>
      <c r="O1434" s="405">
        <f t="shared" ca="1" si="1302"/>
        <v>0</v>
      </c>
      <c r="P1434" s="405">
        <f t="shared" ca="1" si="1302"/>
        <v>0</v>
      </c>
      <c r="Q1434" s="405">
        <f t="shared" ca="1" si="1302"/>
        <v>0</v>
      </c>
      <c r="R1434" s="405">
        <f t="shared" ca="1" si="1302"/>
        <v>0</v>
      </c>
      <c r="S1434" s="405">
        <f t="shared" ca="1" si="1302"/>
        <v>0</v>
      </c>
      <c r="T1434" s="405">
        <f t="shared" ca="1" si="1302"/>
        <v>0</v>
      </c>
      <c r="U1434" s="405">
        <f t="shared" ca="1" si="1302"/>
        <v>0</v>
      </c>
      <c r="V1434" s="405">
        <f t="shared" ca="1" si="1302"/>
        <v>0</v>
      </c>
      <c r="W1434" s="405">
        <f t="shared" ca="1" si="1302"/>
        <v>0</v>
      </c>
      <c r="X1434" s="405">
        <f t="shared" ca="1" si="1302"/>
        <v>0</v>
      </c>
    </row>
    <row r="1435" spans="1:24" hidden="1">
      <c r="A1435" s="328"/>
      <c r="B1435" s="20">
        <f ca="1">OFFSET($B$269,D1435,0)</f>
        <v>0</v>
      </c>
      <c r="C1435" s="20"/>
      <c r="D1435" s="21">
        <f>D1428+1</f>
        <v>85</v>
      </c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</row>
    <row r="1436" spans="1:24" hidden="1">
      <c r="A1436" s="328"/>
      <c r="B1436" s="21" t="s">
        <v>414</v>
      </c>
      <c r="C1436" s="21"/>
      <c r="D1436" s="165">
        <f ca="1">YEAR(OFFSET($E$269,D1435,0))</f>
        <v>1900</v>
      </c>
      <c r="E1436" s="165">
        <f ca="1">MONTH(OFFSET($E$269,D1435,0))</f>
        <v>1</v>
      </c>
      <c r="F1436" s="21">
        <f ca="1">12-$E1436</f>
        <v>11</v>
      </c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</row>
    <row r="1437" spans="1:24" hidden="1">
      <c r="A1437" s="328"/>
      <c r="B1437" s="21" t="s">
        <v>406</v>
      </c>
      <c r="C1437" s="21"/>
      <c r="D1437" s="385">
        <f ca="1">IF(E1437&lt;0,0,ROUND(E1437,0))</f>
        <v>0</v>
      </c>
      <c r="E1437" s="249">
        <f ca="1">OFFSET($D$269,D1435,0)</f>
        <v>0</v>
      </c>
      <c r="F1437" s="385">
        <f ca="1">IF(E1437&gt;10,ROUND(($D1438/12)*$F1436,0),$D1437)</f>
        <v>0</v>
      </c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</row>
    <row r="1438" spans="1:24" hidden="1">
      <c r="A1438" s="328"/>
      <c r="B1438" s="21" t="s">
        <v>415</v>
      </c>
      <c r="C1438" s="21"/>
      <c r="D1438" s="385">
        <f ca="1">IF(ISBLANK(OFFSET($E$269,D1435,0)),0,IF(E1437&gt;10,ROUND(D1437*am_budynki,0),IF(D1437&lt;0,0,D1437)))</f>
        <v>0</v>
      </c>
      <c r="E1438" s="21"/>
      <c r="F1438" s="21"/>
      <c r="G1438" s="21"/>
      <c r="H1438" s="21"/>
      <c r="I1438" s="21"/>
      <c r="J1438" s="21"/>
      <c r="K1438" s="75">
        <f ca="1">ROUND(IF($D1436=LataProjekcji,$F1437,IF($D1436=LataProjekcji,$D1438,0)),0)</f>
        <v>0</v>
      </c>
      <c r="L1438" s="248">
        <f ca="1">ROUND(IF(OR(AND($D1436=LataProjekcji,$F1436&gt;0),AND($D1436=LataProjekcji,$F1436=0,$E1437&lt;=10)),$F1437,IF($D1436&lt;LataProjekcji,IF((SUM($K1438:K1438)+$D1438)&lt;$D1437,$D1438,$D1437-SUM($K1438:K1438)),0)),0)</f>
        <v>0</v>
      </c>
      <c r="M1438" s="248">
        <f ca="1">ROUND(IF(OR(AND($D1436=LataProjekcji,$F1436&gt;0),AND($D1436=LataProjekcji,$F1436=0,$E1437&lt;=10)),$F1437,IF($D1436&lt;LataProjekcji,IF((SUM($K1438:L1438)+$D1438)&lt;$D1437,$D1438,$D1437-SUM($K1438:L1438)),0)),0)</f>
        <v>0</v>
      </c>
      <c r="N1438" s="248">
        <f ca="1">ROUND(IF(OR(AND($D1436=LataProjekcji,$F1436&gt;0),AND($D1436=LataProjekcji,$F1436=0,$E1437&lt;=10)),$F1437,IF($D1436&lt;LataProjekcji,IF((SUM($K1438:M1438)+$D1438)&lt;$D1437,$D1438,$D1437-SUM($K1438:M1438)),0)),0)</f>
        <v>0</v>
      </c>
      <c r="O1438" s="248">
        <f ca="1">ROUND(IF(OR(AND($D1436=LataProjekcji,$F1436&gt;0),AND($D1436=LataProjekcji,$F1436=0,$E1437&lt;=10)),$F1437,IF($D1436&lt;LataProjekcji,IF((SUM($K1438:N1438)+$D1438)&lt;$D1437,$D1438,$D1437-SUM($K1438:N1438)),0)),0)</f>
        <v>0</v>
      </c>
      <c r="P1438" s="248">
        <f ca="1">ROUND(IF(OR(AND($D1436=LataProjekcji,$F1436&gt;0),AND($D1436=LataProjekcji,$F1436=0,$E1437&lt;=10)),$F1437,IF($D1436&lt;LataProjekcji,IF((SUM($K1438:O1438)+$D1438)&lt;$D1437,$D1438,$D1437-SUM($K1438:O1438)),0)),0)</f>
        <v>0</v>
      </c>
      <c r="Q1438" s="248">
        <f ca="1">ROUND(IF(OR(AND($D1436=LataProjekcji,$F1436&gt;0),AND($D1436=LataProjekcji,$F1436=0,$E1437&lt;=10)),$F1437,IF($D1436&lt;LataProjekcji,IF((SUM($K1438:P1438)+$D1438)&lt;$D1437,$D1438,$D1437-SUM($K1438:P1438)),0)),0)</f>
        <v>0</v>
      </c>
      <c r="R1438" s="248">
        <f ca="1">ROUND(IF(OR(AND($D1436=LataProjekcji,$F1436&gt;0),AND($D1436=LataProjekcji,$F1436=0,$E1437&lt;=10)),$F1437,IF($D1436&lt;LataProjekcji,IF((SUM($K1438:Q1438)+$D1438)&lt;$D1437,$D1438,$D1437-SUM($K1438:Q1438)),0)),0)</f>
        <v>0</v>
      </c>
      <c r="S1438" s="248">
        <f ca="1">ROUND(IF(OR(AND($D1436=LataProjekcji,$F1436&gt;0),AND($D1436=LataProjekcji,$F1436=0,$E1437&lt;=10)),$F1437,IF($D1436&lt;LataProjekcji,IF((SUM($K1438:R1438)+$D1438)&lt;$D1437,$D1438,$D1437-SUM($K1438:R1438)),0)),0)</f>
        <v>0</v>
      </c>
      <c r="T1438" s="248">
        <f ca="1">ROUND(IF(OR(AND($D1436=LataProjekcji,$F1436&gt;0),AND($D1436=LataProjekcji,$F1436=0,$E1437&lt;=10)),$F1437,IF($D1436&lt;LataProjekcji,IF((SUM($K1438:S1438)+$D1438)&lt;$D1437,$D1438,$D1437-SUM($K1438:S1438)),0)),0)</f>
        <v>0</v>
      </c>
      <c r="U1438" s="248">
        <f ca="1">ROUND(IF(OR(AND($D1436=LataProjekcji,$F1436&gt;0),AND($D1436=LataProjekcji,$F1436=0,$E1437&lt;=10)),$F1437,IF($D1436&lt;LataProjekcji,IF((SUM($K1438:T1438)+$D1438)&lt;$D1437,$D1438,$D1437-SUM($K1438:T1438)),0)),0)</f>
        <v>0</v>
      </c>
      <c r="V1438" s="248">
        <f ca="1">ROUND(IF(OR(AND($D1436=LataProjekcji,$F1436&gt;0),AND($D1436=LataProjekcji,$F1436=0,$E1437&lt;=10)),$F1437,IF($D1436&lt;LataProjekcji,IF((SUM($K1438:U1438)+$D1438)&lt;$D1437,$D1438,$D1437-SUM($K1438:U1438)),0)),0)</f>
        <v>0</v>
      </c>
      <c r="W1438" s="248">
        <f ca="1">ROUND(IF(OR(AND($D1436=LataProjekcji,$F1436&gt;0),AND($D1436=LataProjekcji,$F1436=0,$E1437&lt;=10)),$F1437,IF($D1436&lt;LataProjekcji,IF((SUM($K1438:V1438)+$D1438)&lt;$D1437,$D1438,$D1437-SUM($K1438:V1438)),0)),0)</f>
        <v>0</v>
      </c>
      <c r="X1438" s="248">
        <f ca="1">ROUND(IF(OR(AND($D1436=LataProjekcji,$F1436&gt;0),AND($D1436=LataProjekcji,$F1436=0,$E1437&lt;=10)),$F1437,IF($D1436&lt;LataProjekcji,IF((SUM($K1438:W1438)+$D1438)&lt;$D1437,$D1438,$D1437-SUM($K1438:W1438)),0)),0)</f>
        <v>0</v>
      </c>
    </row>
    <row r="1439" spans="1:24" hidden="1">
      <c r="A1439" s="328"/>
      <c r="B1439" s="21" t="s">
        <v>416</v>
      </c>
      <c r="C1439" s="21"/>
      <c r="D1439" s="22"/>
      <c r="E1439" s="21"/>
      <c r="F1439" s="21"/>
      <c r="G1439" s="21"/>
      <c r="H1439" s="21"/>
      <c r="I1439" s="21"/>
      <c r="J1439" s="21"/>
      <c r="K1439" s="22">
        <f ca="1">ROUND(K1438,0)</f>
        <v>0</v>
      </c>
      <c r="L1439" s="22">
        <f t="shared" ref="L1439:X1439" ca="1" si="1303">ROUND(K1439+L1438,0)</f>
        <v>0</v>
      </c>
      <c r="M1439" s="22">
        <f t="shared" ca="1" si="1303"/>
        <v>0</v>
      </c>
      <c r="N1439" s="22">
        <f t="shared" ca="1" si="1303"/>
        <v>0</v>
      </c>
      <c r="O1439" s="22">
        <f t="shared" ca="1" si="1303"/>
        <v>0</v>
      </c>
      <c r="P1439" s="22">
        <f t="shared" ca="1" si="1303"/>
        <v>0</v>
      </c>
      <c r="Q1439" s="22">
        <f t="shared" ca="1" si="1303"/>
        <v>0</v>
      </c>
      <c r="R1439" s="22">
        <f t="shared" ca="1" si="1303"/>
        <v>0</v>
      </c>
      <c r="S1439" s="22">
        <f t="shared" ca="1" si="1303"/>
        <v>0</v>
      </c>
      <c r="T1439" s="22">
        <f t="shared" ca="1" si="1303"/>
        <v>0</v>
      </c>
      <c r="U1439" s="22">
        <f t="shared" ca="1" si="1303"/>
        <v>0</v>
      </c>
      <c r="V1439" s="22">
        <f t="shared" ca="1" si="1303"/>
        <v>0</v>
      </c>
      <c r="W1439" s="22">
        <f t="shared" ca="1" si="1303"/>
        <v>0</v>
      </c>
      <c r="X1439" s="22">
        <f t="shared" ca="1" si="1303"/>
        <v>0</v>
      </c>
    </row>
    <row r="1440" spans="1:24" hidden="1">
      <c r="A1440" s="328"/>
      <c r="B1440" s="21" t="s">
        <v>406</v>
      </c>
      <c r="C1440" s="21"/>
      <c r="D1440" s="22"/>
      <c r="E1440" s="21"/>
      <c r="F1440" s="21"/>
      <c r="G1440" s="21"/>
      <c r="H1440" s="21"/>
      <c r="I1440" s="21"/>
      <c r="J1440" s="21"/>
      <c r="K1440" s="77">
        <f ca="1">IF($D1436=LataProjekcji,ROUND($D1437-K1439,0),ROUND(IF(K1438=0,0,$D1437-K1439),0))</f>
        <v>0</v>
      </c>
      <c r="L1440" s="254">
        <f t="shared" ref="L1440:X1440" ca="1" si="1304">IF($D1436=LataProjekcji,ROUND($D1437-L1439,0),ROUND(IF(AND(L1438=0,K1440&gt;0),$D1437-L1439,IF(L1438=0,0,$D1437-L1439)),0))</f>
        <v>0</v>
      </c>
      <c r="M1440" s="254">
        <f t="shared" ca="1" si="1304"/>
        <v>0</v>
      </c>
      <c r="N1440" s="254">
        <f t="shared" ca="1" si="1304"/>
        <v>0</v>
      </c>
      <c r="O1440" s="254">
        <f t="shared" ca="1" si="1304"/>
        <v>0</v>
      </c>
      <c r="P1440" s="254">
        <f t="shared" ca="1" si="1304"/>
        <v>0</v>
      </c>
      <c r="Q1440" s="254">
        <f t="shared" ca="1" si="1304"/>
        <v>0</v>
      </c>
      <c r="R1440" s="254">
        <f t="shared" ca="1" si="1304"/>
        <v>0</v>
      </c>
      <c r="S1440" s="254">
        <f t="shared" ca="1" si="1304"/>
        <v>0</v>
      </c>
      <c r="T1440" s="254">
        <f t="shared" ca="1" si="1304"/>
        <v>0</v>
      </c>
      <c r="U1440" s="254">
        <f t="shared" ca="1" si="1304"/>
        <v>0</v>
      </c>
      <c r="V1440" s="254">
        <f t="shared" ca="1" si="1304"/>
        <v>0</v>
      </c>
      <c r="W1440" s="254">
        <f t="shared" ca="1" si="1304"/>
        <v>0</v>
      </c>
      <c r="X1440" s="254">
        <f t="shared" ca="1" si="1304"/>
        <v>0</v>
      </c>
    </row>
    <row r="1441" spans="1:24" hidden="1">
      <c r="A1441" s="328"/>
      <c r="B1441" s="20"/>
      <c r="C1441" s="20"/>
      <c r="D1441" s="21"/>
      <c r="E1441" s="21"/>
      <c r="F1441" s="21"/>
      <c r="G1441" s="21"/>
      <c r="H1441" s="404">
        <f>H1434+1</f>
        <v>1</v>
      </c>
      <c r="I1441" s="483" cm="1">
        <f t="array" aca="1" ref="I1441" ca="1">OFFSET('Środki trwałe'!$C$353,H1441,,)</f>
        <v>0</v>
      </c>
      <c r="J1441" s="404" t="s">
        <v>427</v>
      </c>
      <c r="K1441" s="405">
        <f t="shared" ref="K1441:X1441" ca="1" si="1305">IF(AND(OFFSET($F$269,$D1435,0)="tak",OFFSET($G$269,$D1435,0)="tak",OFFSET($J$269,$D1435,0)="ok",LataProjekcji&lt;=Koniec_Projekt),ROUND(K1438*OFFSET($K$374,$H1441,(COLUMN()-11)),0),0)</f>
        <v>0</v>
      </c>
      <c r="L1441" s="405">
        <f t="shared" ca="1" si="1305"/>
        <v>0</v>
      </c>
      <c r="M1441" s="405">
        <f t="shared" ca="1" si="1305"/>
        <v>0</v>
      </c>
      <c r="N1441" s="405">
        <f t="shared" ca="1" si="1305"/>
        <v>0</v>
      </c>
      <c r="O1441" s="405">
        <f t="shared" ca="1" si="1305"/>
        <v>0</v>
      </c>
      <c r="P1441" s="405">
        <f t="shared" ca="1" si="1305"/>
        <v>0</v>
      </c>
      <c r="Q1441" s="405">
        <f t="shared" ca="1" si="1305"/>
        <v>0</v>
      </c>
      <c r="R1441" s="405">
        <f t="shared" ca="1" si="1305"/>
        <v>0</v>
      </c>
      <c r="S1441" s="405">
        <f t="shared" ca="1" si="1305"/>
        <v>0</v>
      </c>
      <c r="T1441" s="405">
        <f t="shared" ca="1" si="1305"/>
        <v>0</v>
      </c>
      <c r="U1441" s="405">
        <f t="shared" ca="1" si="1305"/>
        <v>0</v>
      </c>
      <c r="V1441" s="405">
        <f t="shared" ca="1" si="1305"/>
        <v>0</v>
      </c>
      <c r="W1441" s="405">
        <f t="shared" ca="1" si="1305"/>
        <v>0</v>
      </c>
      <c r="X1441" s="405">
        <f t="shared" ca="1" si="1305"/>
        <v>0</v>
      </c>
    </row>
    <row r="1442" spans="1:24" hidden="1">
      <c r="A1442" s="328"/>
      <c r="B1442" s="20">
        <f ca="1">OFFSET($B$269,D1442,0)</f>
        <v>0</v>
      </c>
      <c r="C1442" s="20"/>
      <c r="D1442" s="21">
        <f>D1435+1</f>
        <v>86</v>
      </c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</row>
    <row r="1443" spans="1:24" hidden="1">
      <c r="A1443" s="328"/>
      <c r="B1443" s="21" t="s">
        <v>414</v>
      </c>
      <c r="C1443" s="21"/>
      <c r="D1443" s="165">
        <f ca="1">YEAR(OFFSET($E$269,D1442,0))</f>
        <v>1900</v>
      </c>
      <c r="E1443" s="165">
        <f ca="1">MONTH(OFFSET($E$269,D1442,0))</f>
        <v>1</v>
      </c>
      <c r="F1443" s="21">
        <f ca="1">12-$E1443</f>
        <v>11</v>
      </c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</row>
    <row r="1444" spans="1:24" hidden="1">
      <c r="A1444" s="328"/>
      <c r="B1444" s="21" t="s">
        <v>406</v>
      </c>
      <c r="C1444" s="21"/>
      <c r="D1444" s="386">
        <f ca="1">IF(E1444&lt;0,0,ROUND(E1444,0))</f>
        <v>0</v>
      </c>
      <c r="E1444" s="249">
        <f ca="1">OFFSET($D$269,D1442,0)</f>
        <v>0</v>
      </c>
      <c r="F1444" s="386">
        <f ca="1">IF(E1444&gt;10,ROUND(($D1445/12)*$F1443,0),$D1444)</f>
        <v>0</v>
      </c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</row>
    <row r="1445" spans="1:24" hidden="1">
      <c r="A1445" s="328"/>
      <c r="B1445" s="21" t="s">
        <v>415</v>
      </c>
      <c r="C1445" s="21"/>
      <c r="D1445" s="386">
        <f ca="1">IF(ISBLANK(OFFSET($E$269,D1442,0)),0,IF(E1444&gt;10,ROUND(D1444*am_budynki,0),IF(D1444&lt;0,0,D1444)))</f>
        <v>0</v>
      </c>
      <c r="E1445" s="21"/>
      <c r="F1445" s="21"/>
      <c r="G1445" s="21"/>
      <c r="H1445" s="21"/>
      <c r="I1445" s="21"/>
      <c r="J1445" s="21"/>
      <c r="K1445" s="75">
        <f ca="1">ROUND(IF($D1443=LataProjekcji,$F1444,IF($D1443=LataProjekcji,$D1445,0)),0)</f>
        <v>0</v>
      </c>
      <c r="L1445" s="248">
        <f ca="1">ROUND(IF(OR(AND($D1443=LataProjekcji,$F1443&gt;0),AND($D1443=LataProjekcji,$F1443=0,$E1444&lt;=10)),$F1444,IF($D1443&lt;LataProjekcji,IF((SUM($K1445:K1445)+$D1445)&lt;$D1444,$D1445,$D1444-SUM($K1445:K1445)),0)),0)</f>
        <v>0</v>
      </c>
      <c r="M1445" s="248">
        <f ca="1">ROUND(IF(OR(AND($D1443=LataProjekcji,$F1443&gt;0),AND($D1443=LataProjekcji,$F1443=0,$E1444&lt;=10)),$F1444,IF($D1443&lt;LataProjekcji,IF((SUM($K1445:L1445)+$D1445)&lt;$D1444,$D1445,$D1444-SUM($K1445:L1445)),0)),0)</f>
        <v>0</v>
      </c>
      <c r="N1445" s="248">
        <f ca="1">ROUND(IF(OR(AND($D1443=LataProjekcji,$F1443&gt;0),AND($D1443=LataProjekcji,$F1443=0,$E1444&lt;=10)),$F1444,IF($D1443&lt;LataProjekcji,IF((SUM($K1445:M1445)+$D1445)&lt;$D1444,$D1445,$D1444-SUM($K1445:M1445)),0)),0)</f>
        <v>0</v>
      </c>
      <c r="O1445" s="248">
        <f ca="1">ROUND(IF(OR(AND($D1443=LataProjekcji,$F1443&gt;0),AND($D1443=LataProjekcji,$F1443=0,$E1444&lt;=10)),$F1444,IF($D1443&lt;LataProjekcji,IF((SUM($K1445:N1445)+$D1445)&lt;$D1444,$D1445,$D1444-SUM($K1445:N1445)),0)),0)</f>
        <v>0</v>
      </c>
      <c r="P1445" s="248">
        <f ca="1">ROUND(IF(OR(AND($D1443=LataProjekcji,$F1443&gt;0),AND($D1443=LataProjekcji,$F1443=0,$E1444&lt;=10)),$F1444,IF($D1443&lt;LataProjekcji,IF((SUM($K1445:O1445)+$D1445)&lt;$D1444,$D1445,$D1444-SUM($K1445:O1445)),0)),0)</f>
        <v>0</v>
      </c>
      <c r="Q1445" s="248">
        <f ca="1">ROUND(IF(OR(AND($D1443=LataProjekcji,$F1443&gt;0),AND($D1443=LataProjekcji,$F1443=0,$E1444&lt;=10)),$F1444,IF($D1443&lt;LataProjekcji,IF((SUM($K1445:P1445)+$D1445)&lt;$D1444,$D1445,$D1444-SUM($K1445:P1445)),0)),0)</f>
        <v>0</v>
      </c>
      <c r="R1445" s="248">
        <f ca="1">ROUND(IF(OR(AND($D1443=LataProjekcji,$F1443&gt;0),AND($D1443=LataProjekcji,$F1443=0,$E1444&lt;=10)),$F1444,IF($D1443&lt;LataProjekcji,IF((SUM($K1445:Q1445)+$D1445)&lt;$D1444,$D1445,$D1444-SUM($K1445:Q1445)),0)),0)</f>
        <v>0</v>
      </c>
      <c r="S1445" s="248">
        <f ca="1">ROUND(IF(OR(AND($D1443=LataProjekcji,$F1443&gt;0),AND($D1443=LataProjekcji,$F1443=0,$E1444&lt;=10)),$F1444,IF($D1443&lt;LataProjekcji,IF((SUM($K1445:R1445)+$D1445)&lt;$D1444,$D1445,$D1444-SUM($K1445:R1445)),0)),0)</f>
        <v>0</v>
      </c>
      <c r="T1445" s="248">
        <f ca="1">ROUND(IF(OR(AND($D1443=LataProjekcji,$F1443&gt;0),AND($D1443=LataProjekcji,$F1443=0,$E1444&lt;=10)),$F1444,IF($D1443&lt;LataProjekcji,IF((SUM($K1445:S1445)+$D1445)&lt;$D1444,$D1445,$D1444-SUM($K1445:S1445)),0)),0)</f>
        <v>0</v>
      </c>
      <c r="U1445" s="248">
        <f ca="1">ROUND(IF(OR(AND($D1443=LataProjekcji,$F1443&gt;0),AND($D1443=LataProjekcji,$F1443=0,$E1444&lt;=10)),$F1444,IF($D1443&lt;LataProjekcji,IF((SUM($K1445:T1445)+$D1445)&lt;$D1444,$D1445,$D1444-SUM($K1445:T1445)),0)),0)</f>
        <v>0</v>
      </c>
      <c r="V1445" s="248">
        <f ca="1">ROUND(IF(OR(AND($D1443=LataProjekcji,$F1443&gt;0),AND($D1443=LataProjekcji,$F1443=0,$E1444&lt;=10)),$F1444,IF($D1443&lt;LataProjekcji,IF((SUM($K1445:U1445)+$D1445)&lt;$D1444,$D1445,$D1444-SUM($K1445:U1445)),0)),0)</f>
        <v>0</v>
      </c>
      <c r="W1445" s="248">
        <f ca="1">ROUND(IF(OR(AND($D1443=LataProjekcji,$F1443&gt;0),AND($D1443=LataProjekcji,$F1443=0,$E1444&lt;=10)),$F1444,IF($D1443&lt;LataProjekcji,IF((SUM($K1445:V1445)+$D1445)&lt;$D1444,$D1445,$D1444-SUM($K1445:V1445)),0)),0)</f>
        <v>0</v>
      </c>
      <c r="X1445" s="248">
        <f ca="1">ROUND(IF(OR(AND($D1443=LataProjekcji,$F1443&gt;0),AND($D1443=LataProjekcji,$F1443=0,$E1444&lt;=10)),$F1444,IF($D1443&lt;LataProjekcji,IF((SUM($K1445:W1445)+$D1445)&lt;$D1444,$D1445,$D1444-SUM($K1445:W1445)),0)),0)</f>
        <v>0</v>
      </c>
    </row>
    <row r="1446" spans="1:24" hidden="1">
      <c r="A1446" s="328"/>
      <c r="B1446" s="21" t="s">
        <v>416</v>
      </c>
      <c r="C1446" s="21"/>
      <c r="D1446" s="22"/>
      <c r="E1446" s="21"/>
      <c r="F1446" s="21"/>
      <c r="G1446" s="21"/>
      <c r="H1446" s="21"/>
      <c r="I1446" s="21"/>
      <c r="J1446" s="21"/>
      <c r="K1446" s="22">
        <f ca="1">ROUND(K1445,0)</f>
        <v>0</v>
      </c>
      <c r="L1446" s="22">
        <f t="shared" ref="L1446:X1446" ca="1" si="1306">ROUND(K1446+L1445,0)</f>
        <v>0</v>
      </c>
      <c r="M1446" s="22">
        <f t="shared" ca="1" si="1306"/>
        <v>0</v>
      </c>
      <c r="N1446" s="22">
        <f t="shared" ca="1" si="1306"/>
        <v>0</v>
      </c>
      <c r="O1446" s="22">
        <f t="shared" ca="1" si="1306"/>
        <v>0</v>
      </c>
      <c r="P1446" s="22">
        <f t="shared" ca="1" si="1306"/>
        <v>0</v>
      </c>
      <c r="Q1446" s="22">
        <f t="shared" ca="1" si="1306"/>
        <v>0</v>
      </c>
      <c r="R1446" s="22">
        <f t="shared" ca="1" si="1306"/>
        <v>0</v>
      </c>
      <c r="S1446" s="22">
        <f t="shared" ca="1" si="1306"/>
        <v>0</v>
      </c>
      <c r="T1446" s="22">
        <f t="shared" ca="1" si="1306"/>
        <v>0</v>
      </c>
      <c r="U1446" s="22">
        <f t="shared" ca="1" si="1306"/>
        <v>0</v>
      </c>
      <c r="V1446" s="22">
        <f t="shared" ca="1" si="1306"/>
        <v>0</v>
      </c>
      <c r="W1446" s="22">
        <f t="shared" ca="1" si="1306"/>
        <v>0</v>
      </c>
      <c r="X1446" s="22">
        <f t="shared" ca="1" si="1306"/>
        <v>0</v>
      </c>
    </row>
    <row r="1447" spans="1:24" hidden="1">
      <c r="A1447" s="328"/>
      <c r="B1447" s="21" t="s">
        <v>406</v>
      </c>
      <c r="C1447" s="21"/>
      <c r="D1447" s="22"/>
      <c r="E1447" s="21"/>
      <c r="F1447" s="21"/>
      <c r="G1447" s="21"/>
      <c r="H1447" s="21"/>
      <c r="I1447" s="21"/>
      <c r="J1447" s="21"/>
      <c r="K1447" s="77">
        <f ca="1">IF($D1443=LataProjekcji,ROUND($D1444-K1446,0),ROUND(IF(K1445=0,0,$D1444-K1446),0))</f>
        <v>0</v>
      </c>
      <c r="L1447" s="254">
        <f t="shared" ref="L1447:X1447" ca="1" si="1307">IF($D1443=LataProjekcji,ROUND($D1444-L1446,0),ROUND(IF(AND(L1445=0,K1447&gt;0),$D1444-L1446,IF(L1445=0,0,$D1444-L1446)),0))</f>
        <v>0</v>
      </c>
      <c r="M1447" s="254">
        <f t="shared" ca="1" si="1307"/>
        <v>0</v>
      </c>
      <c r="N1447" s="254">
        <f t="shared" ca="1" si="1307"/>
        <v>0</v>
      </c>
      <c r="O1447" s="254">
        <f t="shared" ca="1" si="1307"/>
        <v>0</v>
      </c>
      <c r="P1447" s="254">
        <f t="shared" ca="1" si="1307"/>
        <v>0</v>
      </c>
      <c r="Q1447" s="254">
        <f t="shared" ca="1" si="1307"/>
        <v>0</v>
      </c>
      <c r="R1447" s="254">
        <f t="shared" ca="1" si="1307"/>
        <v>0</v>
      </c>
      <c r="S1447" s="254">
        <f t="shared" ca="1" si="1307"/>
        <v>0</v>
      </c>
      <c r="T1447" s="254">
        <f t="shared" ca="1" si="1307"/>
        <v>0</v>
      </c>
      <c r="U1447" s="254">
        <f t="shared" ca="1" si="1307"/>
        <v>0</v>
      </c>
      <c r="V1447" s="254">
        <f t="shared" ca="1" si="1307"/>
        <v>0</v>
      </c>
      <c r="W1447" s="254">
        <f t="shared" ca="1" si="1307"/>
        <v>0</v>
      </c>
      <c r="X1447" s="254">
        <f t="shared" ca="1" si="1307"/>
        <v>0</v>
      </c>
    </row>
    <row r="1448" spans="1:24" hidden="1">
      <c r="A1448" s="328"/>
      <c r="B1448" s="21"/>
      <c r="C1448" s="21"/>
      <c r="D1448" s="22"/>
      <c r="E1448" s="21"/>
      <c r="F1448" s="21"/>
      <c r="G1448" s="21"/>
      <c r="H1448" s="404">
        <f>H1441+1</f>
        <v>2</v>
      </c>
      <c r="I1448" s="483" cm="1">
        <f t="array" aca="1" ref="I1448" ca="1">OFFSET('Środki trwałe'!$C$353,H1448,,)</f>
        <v>0</v>
      </c>
      <c r="J1448" s="404" t="s">
        <v>427</v>
      </c>
      <c r="K1448" s="405">
        <f t="shared" ref="K1448:X1448" ca="1" si="1308">IF(AND(OFFSET($F$269,$D1442,0)="tak",OFFSET($G$269,$D1442,0)="tak",OFFSET($J$269,$D1442,0)="ok",LataProjekcji&lt;=Koniec_Projekt),ROUND(K1445*OFFSET($K$374,$H1448,(COLUMN()-11)),0),0)</f>
        <v>0</v>
      </c>
      <c r="L1448" s="405">
        <f t="shared" ca="1" si="1308"/>
        <v>0</v>
      </c>
      <c r="M1448" s="405">
        <f t="shared" ca="1" si="1308"/>
        <v>0</v>
      </c>
      <c r="N1448" s="405">
        <f t="shared" ca="1" si="1308"/>
        <v>0</v>
      </c>
      <c r="O1448" s="405">
        <f t="shared" ca="1" si="1308"/>
        <v>0</v>
      </c>
      <c r="P1448" s="405">
        <f t="shared" ca="1" si="1308"/>
        <v>0</v>
      </c>
      <c r="Q1448" s="405">
        <f t="shared" ca="1" si="1308"/>
        <v>0</v>
      </c>
      <c r="R1448" s="405">
        <f t="shared" ca="1" si="1308"/>
        <v>0</v>
      </c>
      <c r="S1448" s="405">
        <f t="shared" ca="1" si="1308"/>
        <v>0</v>
      </c>
      <c r="T1448" s="405">
        <f t="shared" ca="1" si="1308"/>
        <v>0</v>
      </c>
      <c r="U1448" s="405">
        <f t="shared" ca="1" si="1308"/>
        <v>0</v>
      </c>
      <c r="V1448" s="405">
        <f t="shared" ca="1" si="1308"/>
        <v>0</v>
      </c>
      <c r="W1448" s="405">
        <f t="shared" ca="1" si="1308"/>
        <v>0</v>
      </c>
      <c r="X1448" s="405">
        <f t="shared" ca="1" si="1308"/>
        <v>0</v>
      </c>
    </row>
    <row r="1449" spans="1:24" hidden="1">
      <c r="A1449" s="328"/>
      <c r="B1449" s="20">
        <f ca="1">OFFSET($B$269,D1449,0)</f>
        <v>0</v>
      </c>
      <c r="C1449" s="20"/>
      <c r="D1449" s="21">
        <f>D1442+1</f>
        <v>87</v>
      </c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</row>
    <row r="1450" spans="1:24" hidden="1">
      <c r="A1450" s="328"/>
      <c r="B1450" s="21" t="s">
        <v>414</v>
      </c>
      <c r="C1450" s="21"/>
      <c r="D1450" s="165">
        <f ca="1">YEAR(OFFSET($E$269,D1449,0))</f>
        <v>1900</v>
      </c>
      <c r="E1450" s="165">
        <f ca="1">MONTH(OFFSET($E$269,D1449,0))</f>
        <v>1</v>
      </c>
      <c r="F1450" s="21">
        <f ca="1">12-$E1450</f>
        <v>11</v>
      </c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</row>
    <row r="1451" spans="1:24" hidden="1">
      <c r="A1451" s="328"/>
      <c r="B1451" s="21" t="s">
        <v>406</v>
      </c>
      <c r="C1451" s="21"/>
      <c r="D1451" s="387">
        <f ca="1">IF(E1451&lt;0,0,ROUND(E1451,0))</f>
        <v>0</v>
      </c>
      <c r="E1451" s="249">
        <f ca="1">OFFSET($D$269,D1449,0)</f>
        <v>0</v>
      </c>
      <c r="F1451" s="387">
        <f ca="1">IF(E1451&gt;10,ROUND(($D1452/12)*$F1450,0),$D1451)</f>
        <v>0</v>
      </c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</row>
    <row r="1452" spans="1:24" hidden="1">
      <c r="A1452" s="328"/>
      <c r="B1452" s="21" t="s">
        <v>415</v>
      </c>
      <c r="C1452" s="21"/>
      <c r="D1452" s="387">
        <f ca="1">IF(ISBLANK(OFFSET($E$269,D1449,0)),0,IF(E1451&gt;10,ROUND(D1451*am_budynki,0),IF(D1451&lt;0,0,D1451)))</f>
        <v>0</v>
      </c>
      <c r="E1452" s="21"/>
      <c r="F1452" s="21"/>
      <c r="G1452" s="21"/>
      <c r="H1452" s="21"/>
      <c r="I1452" s="21"/>
      <c r="J1452" s="21"/>
      <c r="K1452" s="75">
        <f ca="1">ROUND(IF($D1450=LataProjekcji,$F1451,IF($D1450=LataProjekcji,$D1452,0)),0)</f>
        <v>0</v>
      </c>
      <c r="L1452" s="248">
        <f ca="1">ROUND(IF(OR(AND($D1450=LataProjekcji,$F1450&gt;0),AND($D1450=LataProjekcji,$F1450=0,$E1451&lt;=10)),$F1451,IF($D1450&lt;LataProjekcji,IF((SUM($K1452:K1452)+$D1452)&lt;$D1451,$D1452,$D1451-SUM($K1452:K1452)),0)),0)</f>
        <v>0</v>
      </c>
      <c r="M1452" s="248">
        <f ca="1">ROUND(IF(OR(AND($D1450=LataProjekcji,$F1450&gt;0),AND($D1450=LataProjekcji,$F1450=0,$E1451&lt;=10)),$F1451,IF($D1450&lt;LataProjekcji,IF((SUM($K1452:L1452)+$D1452)&lt;$D1451,$D1452,$D1451-SUM($K1452:L1452)),0)),0)</f>
        <v>0</v>
      </c>
      <c r="N1452" s="248">
        <f ca="1">ROUND(IF(OR(AND($D1450=LataProjekcji,$F1450&gt;0),AND($D1450=LataProjekcji,$F1450=0,$E1451&lt;=10)),$F1451,IF($D1450&lt;LataProjekcji,IF((SUM($K1452:M1452)+$D1452)&lt;$D1451,$D1452,$D1451-SUM($K1452:M1452)),0)),0)</f>
        <v>0</v>
      </c>
      <c r="O1452" s="248">
        <f ca="1">ROUND(IF(OR(AND($D1450=LataProjekcji,$F1450&gt;0),AND($D1450=LataProjekcji,$F1450=0,$E1451&lt;=10)),$F1451,IF($D1450&lt;LataProjekcji,IF((SUM($K1452:N1452)+$D1452)&lt;$D1451,$D1452,$D1451-SUM($K1452:N1452)),0)),0)</f>
        <v>0</v>
      </c>
      <c r="P1452" s="248">
        <f ca="1">ROUND(IF(OR(AND($D1450=LataProjekcji,$F1450&gt;0),AND($D1450=LataProjekcji,$F1450=0,$E1451&lt;=10)),$F1451,IF($D1450&lt;LataProjekcji,IF((SUM($K1452:O1452)+$D1452)&lt;$D1451,$D1452,$D1451-SUM($K1452:O1452)),0)),0)</f>
        <v>0</v>
      </c>
      <c r="Q1452" s="248">
        <f ca="1">ROUND(IF(OR(AND($D1450=LataProjekcji,$F1450&gt;0),AND($D1450=LataProjekcji,$F1450=0,$E1451&lt;=10)),$F1451,IF($D1450&lt;LataProjekcji,IF((SUM($K1452:P1452)+$D1452)&lt;$D1451,$D1452,$D1451-SUM($K1452:P1452)),0)),0)</f>
        <v>0</v>
      </c>
      <c r="R1452" s="248">
        <f ca="1">ROUND(IF(OR(AND($D1450=LataProjekcji,$F1450&gt;0),AND($D1450=LataProjekcji,$F1450=0,$E1451&lt;=10)),$F1451,IF($D1450&lt;LataProjekcji,IF((SUM($K1452:Q1452)+$D1452)&lt;$D1451,$D1452,$D1451-SUM($K1452:Q1452)),0)),0)</f>
        <v>0</v>
      </c>
      <c r="S1452" s="248">
        <f ca="1">ROUND(IF(OR(AND($D1450=LataProjekcji,$F1450&gt;0),AND($D1450=LataProjekcji,$F1450=0,$E1451&lt;=10)),$F1451,IF($D1450&lt;LataProjekcji,IF((SUM($K1452:R1452)+$D1452)&lt;$D1451,$D1452,$D1451-SUM($K1452:R1452)),0)),0)</f>
        <v>0</v>
      </c>
      <c r="T1452" s="248">
        <f ca="1">ROUND(IF(OR(AND($D1450=LataProjekcji,$F1450&gt;0),AND($D1450=LataProjekcji,$F1450=0,$E1451&lt;=10)),$F1451,IF($D1450&lt;LataProjekcji,IF((SUM($K1452:S1452)+$D1452)&lt;$D1451,$D1452,$D1451-SUM($K1452:S1452)),0)),0)</f>
        <v>0</v>
      </c>
      <c r="U1452" s="248">
        <f ca="1">ROUND(IF(OR(AND($D1450=LataProjekcji,$F1450&gt;0),AND($D1450=LataProjekcji,$F1450=0,$E1451&lt;=10)),$F1451,IF($D1450&lt;LataProjekcji,IF((SUM($K1452:T1452)+$D1452)&lt;$D1451,$D1452,$D1451-SUM($K1452:T1452)),0)),0)</f>
        <v>0</v>
      </c>
      <c r="V1452" s="248">
        <f ca="1">ROUND(IF(OR(AND($D1450=LataProjekcji,$F1450&gt;0),AND($D1450=LataProjekcji,$F1450=0,$E1451&lt;=10)),$F1451,IF($D1450&lt;LataProjekcji,IF((SUM($K1452:U1452)+$D1452)&lt;$D1451,$D1452,$D1451-SUM($K1452:U1452)),0)),0)</f>
        <v>0</v>
      </c>
      <c r="W1452" s="248">
        <f ca="1">ROUND(IF(OR(AND($D1450=LataProjekcji,$F1450&gt;0),AND($D1450=LataProjekcji,$F1450=0,$E1451&lt;=10)),$F1451,IF($D1450&lt;LataProjekcji,IF((SUM($K1452:V1452)+$D1452)&lt;$D1451,$D1452,$D1451-SUM($K1452:V1452)),0)),0)</f>
        <v>0</v>
      </c>
      <c r="X1452" s="248">
        <f ca="1">ROUND(IF(OR(AND($D1450=LataProjekcji,$F1450&gt;0),AND($D1450=LataProjekcji,$F1450=0,$E1451&lt;=10)),$F1451,IF($D1450&lt;LataProjekcji,IF((SUM($K1452:W1452)+$D1452)&lt;$D1451,$D1452,$D1451-SUM($K1452:W1452)),0)),0)</f>
        <v>0</v>
      </c>
    </row>
    <row r="1453" spans="1:24" hidden="1">
      <c r="A1453" s="328"/>
      <c r="B1453" s="21" t="s">
        <v>416</v>
      </c>
      <c r="C1453" s="21"/>
      <c r="D1453" s="22"/>
      <c r="E1453" s="21"/>
      <c r="F1453" s="21"/>
      <c r="G1453" s="21"/>
      <c r="H1453" s="21"/>
      <c r="I1453" s="21"/>
      <c r="J1453" s="21"/>
      <c r="K1453" s="22">
        <f ca="1">ROUND(K1452,0)</f>
        <v>0</v>
      </c>
      <c r="L1453" s="22">
        <f t="shared" ref="L1453:X1453" ca="1" si="1309">ROUND(K1453+L1452,0)</f>
        <v>0</v>
      </c>
      <c r="M1453" s="22">
        <f t="shared" ca="1" si="1309"/>
        <v>0</v>
      </c>
      <c r="N1453" s="22">
        <f t="shared" ca="1" si="1309"/>
        <v>0</v>
      </c>
      <c r="O1453" s="22">
        <f t="shared" ca="1" si="1309"/>
        <v>0</v>
      </c>
      <c r="P1453" s="22">
        <f t="shared" ca="1" si="1309"/>
        <v>0</v>
      </c>
      <c r="Q1453" s="22">
        <f t="shared" ca="1" si="1309"/>
        <v>0</v>
      </c>
      <c r="R1453" s="22">
        <f t="shared" ca="1" si="1309"/>
        <v>0</v>
      </c>
      <c r="S1453" s="22">
        <f t="shared" ca="1" si="1309"/>
        <v>0</v>
      </c>
      <c r="T1453" s="22">
        <f t="shared" ca="1" si="1309"/>
        <v>0</v>
      </c>
      <c r="U1453" s="22">
        <f t="shared" ca="1" si="1309"/>
        <v>0</v>
      </c>
      <c r="V1453" s="22">
        <f t="shared" ca="1" si="1309"/>
        <v>0</v>
      </c>
      <c r="W1453" s="22">
        <f t="shared" ca="1" si="1309"/>
        <v>0</v>
      </c>
      <c r="X1453" s="22">
        <f t="shared" ca="1" si="1309"/>
        <v>0</v>
      </c>
    </row>
    <row r="1454" spans="1:24" hidden="1">
      <c r="A1454" s="328"/>
      <c r="B1454" s="21" t="s">
        <v>406</v>
      </c>
      <c r="C1454" s="21"/>
      <c r="D1454" s="22"/>
      <c r="E1454" s="21"/>
      <c r="F1454" s="21"/>
      <c r="G1454" s="21"/>
      <c r="H1454" s="21"/>
      <c r="I1454" s="21"/>
      <c r="J1454" s="21"/>
      <c r="K1454" s="77">
        <f ca="1">IF($D1450=LataProjekcji,ROUND($D1451-K1453,0),ROUND(IF(K1452=0,0,$D1451-K1453),0))</f>
        <v>0</v>
      </c>
      <c r="L1454" s="254">
        <f t="shared" ref="L1454:X1454" ca="1" si="1310">IF($D1450=LataProjekcji,ROUND($D1451-L1453,0),ROUND(IF(AND(L1452=0,K1454&gt;0),$D1451-L1453,IF(L1452=0,0,$D1451-L1453)),0))</f>
        <v>0</v>
      </c>
      <c r="M1454" s="254">
        <f t="shared" ca="1" si="1310"/>
        <v>0</v>
      </c>
      <c r="N1454" s="254">
        <f t="shared" ca="1" si="1310"/>
        <v>0</v>
      </c>
      <c r="O1454" s="254">
        <f t="shared" ca="1" si="1310"/>
        <v>0</v>
      </c>
      <c r="P1454" s="254">
        <f t="shared" ca="1" si="1310"/>
        <v>0</v>
      </c>
      <c r="Q1454" s="254">
        <f t="shared" ca="1" si="1310"/>
        <v>0</v>
      </c>
      <c r="R1454" s="254">
        <f t="shared" ca="1" si="1310"/>
        <v>0</v>
      </c>
      <c r="S1454" s="254">
        <f t="shared" ca="1" si="1310"/>
        <v>0</v>
      </c>
      <c r="T1454" s="254">
        <f t="shared" ca="1" si="1310"/>
        <v>0</v>
      </c>
      <c r="U1454" s="254">
        <f t="shared" ca="1" si="1310"/>
        <v>0</v>
      </c>
      <c r="V1454" s="254">
        <f t="shared" ca="1" si="1310"/>
        <v>0</v>
      </c>
      <c r="W1454" s="254">
        <f t="shared" ca="1" si="1310"/>
        <v>0</v>
      </c>
      <c r="X1454" s="254">
        <f t="shared" ca="1" si="1310"/>
        <v>0</v>
      </c>
    </row>
    <row r="1455" spans="1:24" hidden="1">
      <c r="A1455" s="328"/>
      <c r="B1455" s="21"/>
      <c r="C1455" s="21"/>
      <c r="D1455" s="21"/>
      <c r="E1455" s="21"/>
      <c r="F1455" s="21"/>
      <c r="G1455" s="21"/>
      <c r="H1455" s="404">
        <f>H1448+1</f>
        <v>3</v>
      </c>
      <c r="I1455" s="483" cm="1">
        <f t="array" aca="1" ref="I1455" ca="1">OFFSET('Środki trwałe'!$C$353,H1455,,)</f>
        <v>0</v>
      </c>
      <c r="J1455" s="404" t="s">
        <v>427</v>
      </c>
      <c r="K1455" s="405">
        <f t="shared" ref="K1455:X1455" ca="1" si="1311">IF(AND(OFFSET($F$269,$D1449,0)="tak",OFFSET($G$269,$D1449,0)="tak",OFFSET($J$269,$D1449,0)="ok",LataProjekcji&lt;=Koniec_Projekt),ROUND(K1452*OFFSET($K$374,$H1455,(COLUMN()-11)),0),0)</f>
        <v>0</v>
      </c>
      <c r="L1455" s="405">
        <f t="shared" ca="1" si="1311"/>
        <v>0</v>
      </c>
      <c r="M1455" s="405">
        <f t="shared" ca="1" si="1311"/>
        <v>0</v>
      </c>
      <c r="N1455" s="405">
        <f t="shared" ca="1" si="1311"/>
        <v>0</v>
      </c>
      <c r="O1455" s="405">
        <f t="shared" ca="1" si="1311"/>
        <v>0</v>
      </c>
      <c r="P1455" s="405">
        <f t="shared" ca="1" si="1311"/>
        <v>0</v>
      </c>
      <c r="Q1455" s="405">
        <f t="shared" ca="1" si="1311"/>
        <v>0</v>
      </c>
      <c r="R1455" s="405">
        <f t="shared" ca="1" si="1311"/>
        <v>0</v>
      </c>
      <c r="S1455" s="405">
        <f t="shared" ca="1" si="1311"/>
        <v>0</v>
      </c>
      <c r="T1455" s="405">
        <f t="shared" ca="1" si="1311"/>
        <v>0</v>
      </c>
      <c r="U1455" s="405">
        <f t="shared" ca="1" si="1311"/>
        <v>0</v>
      </c>
      <c r="V1455" s="405">
        <f t="shared" ca="1" si="1311"/>
        <v>0</v>
      </c>
      <c r="W1455" s="405">
        <f t="shared" ca="1" si="1311"/>
        <v>0</v>
      </c>
      <c r="X1455" s="405">
        <f t="shared" ca="1" si="1311"/>
        <v>0</v>
      </c>
    </row>
    <row r="1456" spans="1:24" hidden="1">
      <c r="A1456" s="328"/>
      <c r="B1456" s="20">
        <f ca="1">OFFSET($B$269,D1456,0)</f>
        <v>0</v>
      </c>
      <c r="C1456" s="20"/>
      <c r="D1456" s="21">
        <f>D1449+1</f>
        <v>88</v>
      </c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</row>
    <row r="1457" spans="1:24" hidden="1">
      <c r="A1457" s="328"/>
      <c r="B1457" s="21" t="s">
        <v>414</v>
      </c>
      <c r="C1457" s="21"/>
      <c r="D1457" s="165">
        <f ca="1">YEAR(OFFSET($E$269,D1456,0))</f>
        <v>1900</v>
      </c>
      <c r="E1457" s="165">
        <f ca="1">MONTH(OFFSET($E$269,D1456,0))</f>
        <v>1</v>
      </c>
      <c r="F1457" s="21">
        <f ca="1">12-$E1457</f>
        <v>11</v>
      </c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</row>
    <row r="1458" spans="1:24" hidden="1">
      <c r="A1458" s="328"/>
      <c r="B1458" s="21" t="s">
        <v>406</v>
      </c>
      <c r="C1458" s="21"/>
      <c r="D1458" s="388">
        <f ca="1">IF(E1458&lt;0,0,ROUND(E1458,0))</f>
        <v>0</v>
      </c>
      <c r="E1458" s="249">
        <f ca="1">OFFSET($D$269,D1456,0)</f>
        <v>0</v>
      </c>
      <c r="F1458" s="388">
        <f ca="1">IF(E1458&gt;10,ROUND(($D1459/12)*$F1457,0),$D1458)</f>
        <v>0</v>
      </c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</row>
    <row r="1459" spans="1:24" hidden="1">
      <c r="A1459" s="328"/>
      <c r="B1459" s="21" t="s">
        <v>415</v>
      </c>
      <c r="C1459" s="21"/>
      <c r="D1459" s="388">
        <f ca="1">IF(ISBLANK(OFFSET($E$269,D1456,0)),0,IF(E1458&gt;10,ROUND(D1458*am_budynki,0),IF(D1458&lt;0,0,D1458)))</f>
        <v>0</v>
      </c>
      <c r="E1459" s="21"/>
      <c r="F1459" s="21"/>
      <c r="G1459" s="21"/>
      <c r="H1459" s="21"/>
      <c r="I1459" s="21"/>
      <c r="J1459" s="21"/>
      <c r="K1459" s="75">
        <f ca="1">ROUND(IF($D1457=LataProjekcji,$F1458,IF($D1457=LataProjekcji,$D1459,0)),0)</f>
        <v>0</v>
      </c>
      <c r="L1459" s="248">
        <f ca="1">ROUND(IF(OR(AND($D1457=LataProjekcji,$F1457&gt;0),AND($D1457=LataProjekcji,$F1457=0,$E1458&lt;=10)),$F1458,IF($D1457&lt;LataProjekcji,IF((SUM($K1459:K1459)+$D1459)&lt;$D1458,$D1459,$D1458-SUM($K1459:K1459)),0)),0)</f>
        <v>0</v>
      </c>
      <c r="M1459" s="248">
        <f ca="1">ROUND(IF(OR(AND($D1457=LataProjekcji,$F1457&gt;0),AND($D1457=LataProjekcji,$F1457=0,$E1458&lt;=10)),$F1458,IF($D1457&lt;LataProjekcji,IF((SUM($K1459:L1459)+$D1459)&lt;$D1458,$D1459,$D1458-SUM($K1459:L1459)),0)),0)</f>
        <v>0</v>
      </c>
      <c r="N1459" s="248">
        <f ca="1">ROUND(IF(OR(AND($D1457=LataProjekcji,$F1457&gt;0),AND($D1457=LataProjekcji,$F1457=0,$E1458&lt;=10)),$F1458,IF($D1457&lt;LataProjekcji,IF((SUM($K1459:M1459)+$D1459)&lt;$D1458,$D1459,$D1458-SUM($K1459:M1459)),0)),0)</f>
        <v>0</v>
      </c>
      <c r="O1459" s="248">
        <f ca="1">ROUND(IF(OR(AND($D1457=LataProjekcji,$F1457&gt;0),AND($D1457=LataProjekcji,$F1457=0,$E1458&lt;=10)),$F1458,IF($D1457&lt;LataProjekcji,IF((SUM($K1459:N1459)+$D1459)&lt;$D1458,$D1459,$D1458-SUM($K1459:N1459)),0)),0)</f>
        <v>0</v>
      </c>
      <c r="P1459" s="248">
        <f ca="1">ROUND(IF(OR(AND($D1457=LataProjekcji,$F1457&gt;0),AND($D1457=LataProjekcji,$F1457=0,$E1458&lt;=10)),$F1458,IF($D1457&lt;LataProjekcji,IF((SUM($K1459:O1459)+$D1459)&lt;$D1458,$D1459,$D1458-SUM($K1459:O1459)),0)),0)</f>
        <v>0</v>
      </c>
      <c r="Q1459" s="248">
        <f ca="1">ROUND(IF(OR(AND($D1457=LataProjekcji,$F1457&gt;0),AND($D1457=LataProjekcji,$F1457=0,$E1458&lt;=10)),$F1458,IF($D1457&lt;LataProjekcji,IF((SUM($K1459:P1459)+$D1459)&lt;$D1458,$D1459,$D1458-SUM($K1459:P1459)),0)),0)</f>
        <v>0</v>
      </c>
      <c r="R1459" s="248">
        <f ca="1">ROUND(IF(OR(AND($D1457=LataProjekcji,$F1457&gt;0),AND($D1457=LataProjekcji,$F1457=0,$E1458&lt;=10)),$F1458,IF($D1457&lt;LataProjekcji,IF((SUM($K1459:Q1459)+$D1459)&lt;$D1458,$D1459,$D1458-SUM($K1459:Q1459)),0)),0)</f>
        <v>0</v>
      </c>
      <c r="S1459" s="248">
        <f ca="1">ROUND(IF(OR(AND($D1457=LataProjekcji,$F1457&gt;0),AND($D1457=LataProjekcji,$F1457=0,$E1458&lt;=10)),$F1458,IF($D1457&lt;LataProjekcji,IF((SUM($K1459:R1459)+$D1459)&lt;$D1458,$D1459,$D1458-SUM($K1459:R1459)),0)),0)</f>
        <v>0</v>
      </c>
      <c r="T1459" s="248">
        <f ca="1">ROUND(IF(OR(AND($D1457=LataProjekcji,$F1457&gt;0),AND($D1457=LataProjekcji,$F1457=0,$E1458&lt;=10)),$F1458,IF($D1457&lt;LataProjekcji,IF((SUM($K1459:S1459)+$D1459)&lt;$D1458,$D1459,$D1458-SUM($K1459:S1459)),0)),0)</f>
        <v>0</v>
      </c>
      <c r="U1459" s="248">
        <f ca="1">ROUND(IF(OR(AND($D1457=LataProjekcji,$F1457&gt;0),AND($D1457=LataProjekcji,$F1457=0,$E1458&lt;=10)),$F1458,IF($D1457&lt;LataProjekcji,IF((SUM($K1459:T1459)+$D1459)&lt;$D1458,$D1459,$D1458-SUM($K1459:T1459)),0)),0)</f>
        <v>0</v>
      </c>
      <c r="V1459" s="248">
        <f ca="1">ROUND(IF(OR(AND($D1457=LataProjekcji,$F1457&gt;0),AND($D1457=LataProjekcji,$F1457=0,$E1458&lt;=10)),$F1458,IF($D1457&lt;LataProjekcji,IF((SUM($K1459:U1459)+$D1459)&lt;$D1458,$D1459,$D1458-SUM($K1459:U1459)),0)),0)</f>
        <v>0</v>
      </c>
      <c r="W1459" s="248">
        <f ca="1">ROUND(IF(OR(AND($D1457=LataProjekcji,$F1457&gt;0),AND($D1457=LataProjekcji,$F1457=0,$E1458&lt;=10)),$F1458,IF($D1457&lt;LataProjekcji,IF((SUM($K1459:V1459)+$D1459)&lt;$D1458,$D1459,$D1458-SUM($K1459:V1459)),0)),0)</f>
        <v>0</v>
      </c>
      <c r="X1459" s="248">
        <f ca="1">ROUND(IF(OR(AND($D1457=LataProjekcji,$F1457&gt;0),AND($D1457=LataProjekcji,$F1457=0,$E1458&lt;=10)),$F1458,IF($D1457&lt;LataProjekcji,IF((SUM($K1459:W1459)+$D1459)&lt;$D1458,$D1459,$D1458-SUM($K1459:W1459)),0)),0)</f>
        <v>0</v>
      </c>
    </row>
    <row r="1460" spans="1:24" hidden="1">
      <c r="A1460" s="328"/>
      <c r="B1460" s="21" t="s">
        <v>416</v>
      </c>
      <c r="C1460" s="21"/>
      <c r="D1460" s="22"/>
      <c r="E1460" s="21"/>
      <c r="F1460" s="21"/>
      <c r="G1460" s="21"/>
      <c r="H1460" s="21"/>
      <c r="I1460" s="21"/>
      <c r="J1460" s="21"/>
      <c r="K1460" s="22">
        <f ca="1">ROUND(K1459,0)</f>
        <v>0</v>
      </c>
      <c r="L1460" s="22">
        <f t="shared" ref="L1460:X1460" ca="1" si="1312">ROUND(K1460+L1459,0)</f>
        <v>0</v>
      </c>
      <c r="M1460" s="22">
        <f t="shared" ca="1" si="1312"/>
        <v>0</v>
      </c>
      <c r="N1460" s="22">
        <f t="shared" ca="1" si="1312"/>
        <v>0</v>
      </c>
      <c r="O1460" s="22">
        <f t="shared" ca="1" si="1312"/>
        <v>0</v>
      </c>
      <c r="P1460" s="22">
        <f t="shared" ca="1" si="1312"/>
        <v>0</v>
      </c>
      <c r="Q1460" s="22">
        <f t="shared" ca="1" si="1312"/>
        <v>0</v>
      </c>
      <c r="R1460" s="22">
        <f t="shared" ca="1" si="1312"/>
        <v>0</v>
      </c>
      <c r="S1460" s="22">
        <f t="shared" ca="1" si="1312"/>
        <v>0</v>
      </c>
      <c r="T1460" s="22">
        <f t="shared" ca="1" si="1312"/>
        <v>0</v>
      </c>
      <c r="U1460" s="22">
        <f t="shared" ca="1" si="1312"/>
        <v>0</v>
      </c>
      <c r="V1460" s="22">
        <f t="shared" ca="1" si="1312"/>
        <v>0</v>
      </c>
      <c r="W1460" s="22">
        <f t="shared" ca="1" si="1312"/>
        <v>0</v>
      </c>
      <c r="X1460" s="22">
        <f t="shared" ca="1" si="1312"/>
        <v>0</v>
      </c>
    </row>
    <row r="1461" spans="1:24" hidden="1">
      <c r="A1461" s="328"/>
      <c r="B1461" s="21" t="s">
        <v>406</v>
      </c>
      <c r="C1461" s="21"/>
      <c r="D1461" s="22"/>
      <c r="E1461" s="21"/>
      <c r="F1461" s="21"/>
      <c r="G1461" s="21"/>
      <c r="H1461" s="21"/>
      <c r="I1461" s="21"/>
      <c r="J1461" s="21"/>
      <c r="K1461" s="77">
        <f ca="1">IF($D1457=LataProjekcji,ROUND($D1458-K1460,0),ROUND(IF(K1459=0,0,$D1458-K1460),0))</f>
        <v>0</v>
      </c>
      <c r="L1461" s="254">
        <f t="shared" ref="L1461:X1461" ca="1" si="1313">IF($D1457=LataProjekcji,ROUND($D1458-L1460,0),ROUND(IF(AND(L1459=0,K1461&gt;0),$D1458-L1460,IF(L1459=0,0,$D1458-L1460)),0))</f>
        <v>0</v>
      </c>
      <c r="M1461" s="254">
        <f t="shared" ca="1" si="1313"/>
        <v>0</v>
      </c>
      <c r="N1461" s="254">
        <f t="shared" ca="1" si="1313"/>
        <v>0</v>
      </c>
      <c r="O1461" s="254">
        <f t="shared" ca="1" si="1313"/>
        <v>0</v>
      </c>
      <c r="P1461" s="254">
        <f t="shared" ca="1" si="1313"/>
        <v>0</v>
      </c>
      <c r="Q1461" s="254">
        <f t="shared" ca="1" si="1313"/>
        <v>0</v>
      </c>
      <c r="R1461" s="254">
        <f t="shared" ca="1" si="1313"/>
        <v>0</v>
      </c>
      <c r="S1461" s="254">
        <f t="shared" ca="1" si="1313"/>
        <v>0</v>
      </c>
      <c r="T1461" s="254">
        <f t="shared" ca="1" si="1313"/>
        <v>0</v>
      </c>
      <c r="U1461" s="254">
        <f t="shared" ca="1" si="1313"/>
        <v>0</v>
      </c>
      <c r="V1461" s="254">
        <f t="shared" ca="1" si="1313"/>
        <v>0</v>
      </c>
      <c r="W1461" s="254">
        <f t="shared" ca="1" si="1313"/>
        <v>0</v>
      </c>
      <c r="X1461" s="254">
        <f t="shared" ca="1" si="1313"/>
        <v>0</v>
      </c>
    </row>
    <row r="1462" spans="1:24" hidden="1">
      <c r="A1462" s="328"/>
      <c r="B1462" s="21"/>
      <c r="C1462" s="21"/>
      <c r="D1462" s="21"/>
      <c r="E1462" s="21"/>
      <c r="F1462" s="21"/>
      <c r="G1462" s="21"/>
      <c r="H1462" s="404">
        <f>H1455+1</f>
        <v>4</v>
      </c>
      <c r="I1462" s="483" cm="1">
        <f t="array" aca="1" ref="I1462" ca="1">OFFSET('Środki trwałe'!$C$353,H1462,,)</f>
        <v>0</v>
      </c>
      <c r="J1462" s="404" t="s">
        <v>427</v>
      </c>
      <c r="K1462" s="405">
        <f t="shared" ref="K1462:X1462" ca="1" si="1314">IF(AND(OFFSET($F$269,$D1456,0)="tak",OFFSET($G$269,$D1456,0)="tak",OFFSET($J$269,$D1456,0)="ok",LataProjekcji&lt;=Koniec_Projekt),ROUND(K1459*OFFSET($K$374,$H1462,(COLUMN()-11)),0),0)</f>
        <v>0</v>
      </c>
      <c r="L1462" s="405">
        <f t="shared" ca="1" si="1314"/>
        <v>0</v>
      </c>
      <c r="M1462" s="405">
        <f t="shared" ca="1" si="1314"/>
        <v>0</v>
      </c>
      <c r="N1462" s="405">
        <f t="shared" ca="1" si="1314"/>
        <v>0</v>
      </c>
      <c r="O1462" s="405">
        <f t="shared" ca="1" si="1314"/>
        <v>0</v>
      </c>
      <c r="P1462" s="405">
        <f t="shared" ca="1" si="1314"/>
        <v>0</v>
      </c>
      <c r="Q1462" s="405">
        <f t="shared" ca="1" si="1314"/>
        <v>0</v>
      </c>
      <c r="R1462" s="405">
        <f t="shared" ca="1" si="1314"/>
        <v>0</v>
      </c>
      <c r="S1462" s="405">
        <f t="shared" ca="1" si="1314"/>
        <v>0</v>
      </c>
      <c r="T1462" s="405">
        <f t="shared" ca="1" si="1314"/>
        <v>0</v>
      </c>
      <c r="U1462" s="405">
        <f t="shared" ca="1" si="1314"/>
        <v>0</v>
      </c>
      <c r="V1462" s="405">
        <f t="shared" ca="1" si="1314"/>
        <v>0</v>
      </c>
      <c r="W1462" s="405">
        <f t="shared" ca="1" si="1314"/>
        <v>0</v>
      </c>
      <c r="X1462" s="405">
        <f t="shared" ca="1" si="1314"/>
        <v>0</v>
      </c>
    </row>
    <row r="1463" spans="1:24" hidden="1">
      <c r="A1463" s="328"/>
      <c r="B1463" s="20">
        <f ca="1">OFFSET($B$269,D1463,0)</f>
        <v>0</v>
      </c>
      <c r="C1463" s="20"/>
      <c r="D1463" s="21">
        <f>D1456+1</f>
        <v>89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</row>
    <row r="1464" spans="1:24" hidden="1">
      <c r="A1464" s="328"/>
      <c r="B1464" s="21" t="s">
        <v>414</v>
      </c>
      <c r="C1464" s="21"/>
      <c r="D1464" s="165">
        <f ca="1">YEAR(OFFSET($E$269,D1463,0))</f>
        <v>1900</v>
      </c>
      <c r="E1464" s="165">
        <f ca="1">MONTH(OFFSET($E$269,D1463,0))</f>
        <v>1</v>
      </c>
      <c r="F1464" s="21">
        <f ca="1">12-$E1464</f>
        <v>11</v>
      </c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</row>
    <row r="1465" spans="1:24" hidden="1">
      <c r="A1465" s="328"/>
      <c r="B1465" s="21" t="s">
        <v>406</v>
      </c>
      <c r="C1465" s="21"/>
      <c r="D1465" s="388">
        <f ca="1">IF(E1465&lt;0,0,ROUND(E1465,0))</f>
        <v>0</v>
      </c>
      <c r="E1465" s="249">
        <f ca="1">OFFSET($D$269,D1463,0)</f>
        <v>0</v>
      </c>
      <c r="F1465" s="388">
        <f ca="1">IF(E1465&gt;10,ROUND(($D1466/12)*$F1464,0),$D1465)</f>
        <v>0</v>
      </c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</row>
    <row r="1466" spans="1:24" hidden="1">
      <c r="A1466" s="328"/>
      <c r="B1466" s="21" t="s">
        <v>415</v>
      </c>
      <c r="C1466" s="21"/>
      <c r="D1466" s="388">
        <f ca="1">IF(ISBLANK(OFFSET($E$269,D1463,0)),0,IF(E1465&gt;10,ROUND(D1465*am_budynki,0),IF(D1465&lt;0,0,D1465)))</f>
        <v>0</v>
      </c>
      <c r="E1466" s="21"/>
      <c r="F1466" s="21"/>
      <c r="G1466" s="21"/>
      <c r="H1466" s="21"/>
      <c r="I1466" s="21"/>
      <c r="J1466" s="21"/>
      <c r="K1466" s="75">
        <f ca="1">ROUND(IF($D1464=LataProjekcji,$F1465,IF($D1464=LataProjekcji,$D1466,0)),0)</f>
        <v>0</v>
      </c>
      <c r="L1466" s="248">
        <f ca="1">ROUND(IF(OR(AND($D1464=LataProjekcji,$F1464&gt;0),AND($D1464=LataProjekcji,$F1464=0,$E1465&lt;=10)),$F1465,IF($D1464&lt;LataProjekcji,IF((SUM($K1466:K1466)+$D1466)&lt;$D1465,$D1466,$D1465-SUM($K1466:K1466)),0)),0)</f>
        <v>0</v>
      </c>
      <c r="M1466" s="248">
        <f ca="1">ROUND(IF(OR(AND($D1464=LataProjekcji,$F1464&gt;0),AND($D1464=LataProjekcji,$F1464=0,$E1465&lt;=10)),$F1465,IF($D1464&lt;LataProjekcji,IF((SUM($K1466:L1466)+$D1466)&lt;$D1465,$D1466,$D1465-SUM($K1466:L1466)),0)),0)</f>
        <v>0</v>
      </c>
      <c r="N1466" s="248">
        <f ca="1">ROUND(IF(OR(AND($D1464=LataProjekcji,$F1464&gt;0),AND($D1464=LataProjekcji,$F1464=0,$E1465&lt;=10)),$F1465,IF($D1464&lt;LataProjekcji,IF((SUM($K1466:M1466)+$D1466)&lt;$D1465,$D1466,$D1465-SUM($K1466:M1466)),0)),0)</f>
        <v>0</v>
      </c>
      <c r="O1466" s="248">
        <f ca="1">ROUND(IF(OR(AND($D1464=LataProjekcji,$F1464&gt;0),AND($D1464=LataProjekcji,$F1464=0,$E1465&lt;=10)),$F1465,IF($D1464&lt;LataProjekcji,IF((SUM($K1466:N1466)+$D1466)&lt;$D1465,$D1466,$D1465-SUM($K1466:N1466)),0)),0)</f>
        <v>0</v>
      </c>
      <c r="P1466" s="248">
        <f ca="1">ROUND(IF(OR(AND($D1464=LataProjekcji,$F1464&gt;0),AND($D1464=LataProjekcji,$F1464=0,$E1465&lt;=10)),$F1465,IF($D1464&lt;LataProjekcji,IF((SUM($K1466:O1466)+$D1466)&lt;$D1465,$D1466,$D1465-SUM($K1466:O1466)),0)),0)</f>
        <v>0</v>
      </c>
      <c r="Q1466" s="248">
        <f ca="1">ROUND(IF(OR(AND($D1464=LataProjekcji,$F1464&gt;0),AND($D1464=LataProjekcji,$F1464=0,$E1465&lt;=10)),$F1465,IF($D1464&lt;LataProjekcji,IF((SUM($K1466:P1466)+$D1466)&lt;$D1465,$D1466,$D1465-SUM($K1466:P1466)),0)),0)</f>
        <v>0</v>
      </c>
      <c r="R1466" s="248">
        <f ca="1">ROUND(IF(OR(AND($D1464=LataProjekcji,$F1464&gt;0),AND($D1464=LataProjekcji,$F1464=0,$E1465&lt;=10)),$F1465,IF($D1464&lt;LataProjekcji,IF((SUM($K1466:Q1466)+$D1466)&lt;$D1465,$D1466,$D1465-SUM($K1466:Q1466)),0)),0)</f>
        <v>0</v>
      </c>
      <c r="S1466" s="248">
        <f ca="1">ROUND(IF(OR(AND($D1464=LataProjekcji,$F1464&gt;0),AND($D1464=LataProjekcji,$F1464=0,$E1465&lt;=10)),$F1465,IF($D1464&lt;LataProjekcji,IF((SUM($K1466:R1466)+$D1466)&lt;$D1465,$D1466,$D1465-SUM($K1466:R1466)),0)),0)</f>
        <v>0</v>
      </c>
      <c r="T1466" s="248">
        <f ca="1">ROUND(IF(OR(AND($D1464=LataProjekcji,$F1464&gt;0),AND($D1464=LataProjekcji,$F1464=0,$E1465&lt;=10)),$F1465,IF($D1464&lt;LataProjekcji,IF((SUM($K1466:S1466)+$D1466)&lt;$D1465,$D1466,$D1465-SUM($K1466:S1466)),0)),0)</f>
        <v>0</v>
      </c>
      <c r="U1466" s="248">
        <f ca="1">ROUND(IF(OR(AND($D1464=LataProjekcji,$F1464&gt;0),AND($D1464=LataProjekcji,$F1464=0,$E1465&lt;=10)),$F1465,IF($D1464&lt;LataProjekcji,IF((SUM($K1466:T1466)+$D1466)&lt;$D1465,$D1466,$D1465-SUM($K1466:T1466)),0)),0)</f>
        <v>0</v>
      </c>
      <c r="V1466" s="248">
        <f ca="1">ROUND(IF(OR(AND($D1464=LataProjekcji,$F1464&gt;0),AND($D1464=LataProjekcji,$F1464=0,$E1465&lt;=10)),$F1465,IF($D1464&lt;LataProjekcji,IF((SUM($K1466:U1466)+$D1466)&lt;$D1465,$D1466,$D1465-SUM($K1466:U1466)),0)),0)</f>
        <v>0</v>
      </c>
      <c r="W1466" s="248">
        <f ca="1">ROUND(IF(OR(AND($D1464=LataProjekcji,$F1464&gt;0),AND($D1464=LataProjekcji,$F1464=0,$E1465&lt;=10)),$F1465,IF($D1464&lt;LataProjekcji,IF((SUM($K1466:V1466)+$D1466)&lt;$D1465,$D1466,$D1465-SUM($K1466:V1466)),0)),0)</f>
        <v>0</v>
      </c>
      <c r="X1466" s="248">
        <f ca="1">ROUND(IF(OR(AND($D1464=LataProjekcji,$F1464&gt;0),AND($D1464=LataProjekcji,$F1464=0,$E1465&lt;=10)),$F1465,IF($D1464&lt;LataProjekcji,IF((SUM($K1466:W1466)+$D1466)&lt;$D1465,$D1466,$D1465-SUM($K1466:W1466)),0)),0)</f>
        <v>0</v>
      </c>
    </row>
    <row r="1467" spans="1:24" hidden="1">
      <c r="A1467" s="328"/>
      <c r="B1467" s="21" t="s">
        <v>416</v>
      </c>
      <c r="C1467" s="21"/>
      <c r="D1467" s="22"/>
      <c r="E1467" s="21"/>
      <c r="F1467" s="21"/>
      <c r="G1467" s="21"/>
      <c r="H1467" s="21"/>
      <c r="I1467" s="21"/>
      <c r="J1467" s="21"/>
      <c r="K1467" s="22">
        <f ca="1">ROUND(K1466,0)</f>
        <v>0</v>
      </c>
      <c r="L1467" s="22">
        <f t="shared" ref="L1467:X1467" ca="1" si="1315">ROUND(K1467+L1466,0)</f>
        <v>0</v>
      </c>
      <c r="M1467" s="22">
        <f t="shared" ca="1" si="1315"/>
        <v>0</v>
      </c>
      <c r="N1467" s="22">
        <f t="shared" ca="1" si="1315"/>
        <v>0</v>
      </c>
      <c r="O1467" s="22">
        <f t="shared" ca="1" si="1315"/>
        <v>0</v>
      </c>
      <c r="P1467" s="22">
        <f t="shared" ca="1" si="1315"/>
        <v>0</v>
      </c>
      <c r="Q1467" s="22">
        <f t="shared" ca="1" si="1315"/>
        <v>0</v>
      </c>
      <c r="R1467" s="22">
        <f t="shared" ca="1" si="1315"/>
        <v>0</v>
      </c>
      <c r="S1467" s="22">
        <f t="shared" ca="1" si="1315"/>
        <v>0</v>
      </c>
      <c r="T1467" s="22">
        <f t="shared" ca="1" si="1315"/>
        <v>0</v>
      </c>
      <c r="U1467" s="22">
        <f t="shared" ca="1" si="1315"/>
        <v>0</v>
      </c>
      <c r="V1467" s="22">
        <f t="shared" ca="1" si="1315"/>
        <v>0</v>
      </c>
      <c r="W1467" s="22">
        <f t="shared" ca="1" si="1315"/>
        <v>0</v>
      </c>
      <c r="X1467" s="22">
        <f t="shared" ca="1" si="1315"/>
        <v>0</v>
      </c>
    </row>
    <row r="1468" spans="1:24" hidden="1">
      <c r="A1468" s="328"/>
      <c r="B1468" s="21" t="s">
        <v>406</v>
      </c>
      <c r="C1468" s="21"/>
      <c r="D1468" s="22"/>
      <c r="E1468" s="21"/>
      <c r="F1468" s="21"/>
      <c r="G1468" s="21"/>
      <c r="H1468" s="21"/>
      <c r="I1468" s="21"/>
      <c r="J1468" s="21"/>
      <c r="K1468" s="77">
        <f ca="1">IF($D1464=LataProjekcji,ROUND($D1465-K1467,0),ROUND(IF(K1466=0,0,$D1465-K1467),0))</f>
        <v>0</v>
      </c>
      <c r="L1468" s="254">
        <f t="shared" ref="L1468:X1468" ca="1" si="1316">IF($D1464=LataProjekcji,ROUND($D1465-L1467,0),ROUND(IF(AND(L1466=0,K1468&gt;0),$D1465-L1467,IF(L1466=0,0,$D1465-L1467)),0))</f>
        <v>0</v>
      </c>
      <c r="M1468" s="254">
        <f t="shared" ca="1" si="1316"/>
        <v>0</v>
      </c>
      <c r="N1468" s="254">
        <f t="shared" ca="1" si="1316"/>
        <v>0</v>
      </c>
      <c r="O1468" s="254">
        <f t="shared" ca="1" si="1316"/>
        <v>0</v>
      </c>
      <c r="P1468" s="254">
        <f t="shared" ca="1" si="1316"/>
        <v>0</v>
      </c>
      <c r="Q1468" s="254">
        <f t="shared" ca="1" si="1316"/>
        <v>0</v>
      </c>
      <c r="R1468" s="254">
        <f t="shared" ca="1" si="1316"/>
        <v>0</v>
      </c>
      <c r="S1468" s="254">
        <f t="shared" ca="1" si="1316"/>
        <v>0</v>
      </c>
      <c r="T1468" s="254">
        <f t="shared" ca="1" si="1316"/>
        <v>0</v>
      </c>
      <c r="U1468" s="254">
        <f t="shared" ca="1" si="1316"/>
        <v>0</v>
      </c>
      <c r="V1468" s="254">
        <f t="shared" ca="1" si="1316"/>
        <v>0</v>
      </c>
      <c r="W1468" s="254">
        <f t="shared" ca="1" si="1316"/>
        <v>0</v>
      </c>
      <c r="X1468" s="254">
        <f t="shared" ca="1" si="1316"/>
        <v>0</v>
      </c>
    </row>
    <row r="1469" spans="1:24" hidden="1">
      <c r="A1469" s="328"/>
      <c r="B1469" s="21"/>
      <c r="C1469" s="21"/>
      <c r="D1469" s="21"/>
      <c r="E1469" s="21"/>
      <c r="F1469" s="21"/>
      <c r="G1469" s="21"/>
      <c r="H1469" s="404">
        <f>H1462+1</f>
        <v>5</v>
      </c>
      <c r="I1469" s="483" cm="1">
        <f t="array" aca="1" ref="I1469" ca="1">OFFSET('Środki trwałe'!$C$353,H1469,,)</f>
        <v>0</v>
      </c>
      <c r="J1469" s="404" t="s">
        <v>427</v>
      </c>
      <c r="K1469" s="405">
        <f t="shared" ref="K1469:X1469" ca="1" si="1317">IF(AND(OFFSET($F$269,$D1463,0)="tak",OFFSET($G$269,$D1463,0)="tak",OFFSET($J$269,$D1463,0)="ok",LataProjekcji&lt;=Koniec_Projekt),ROUND(K1466*OFFSET($K$374,$H1469,(COLUMN()-11)),0),0)</f>
        <v>0</v>
      </c>
      <c r="L1469" s="405">
        <f t="shared" ca="1" si="1317"/>
        <v>0</v>
      </c>
      <c r="M1469" s="405">
        <f t="shared" ca="1" si="1317"/>
        <v>0</v>
      </c>
      <c r="N1469" s="405">
        <f t="shared" ca="1" si="1317"/>
        <v>0</v>
      </c>
      <c r="O1469" s="405">
        <f t="shared" ca="1" si="1317"/>
        <v>0</v>
      </c>
      <c r="P1469" s="405">
        <f t="shared" ca="1" si="1317"/>
        <v>0</v>
      </c>
      <c r="Q1469" s="405">
        <f t="shared" ca="1" si="1317"/>
        <v>0</v>
      </c>
      <c r="R1469" s="405">
        <f t="shared" ca="1" si="1317"/>
        <v>0</v>
      </c>
      <c r="S1469" s="405">
        <f t="shared" ca="1" si="1317"/>
        <v>0</v>
      </c>
      <c r="T1469" s="405">
        <f t="shared" ca="1" si="1317"/>
        <v>0</v>
      </c>
      <c r="U1469" s="405">
        <f t="shared" ca="1" si="1317"/>
        <v>0</v>
      </c>
      <c r="V1469" s="405">
        <f t="shared" ca="1" si="1317"/>
        <v>0</v>
      </c>
      <c r="W1469" s="405">
        <f t="shared" ca="1" si="1317"/>
        <v>0</v>
      </c>
      <c r="X1469" s="405">
        <f t="shared" ca="1" si="1317"/>
        <v>0</v>
      </c>
    </row>
    <row r="1470" spans="1:24" hidden="1">
      <c r="A1470" s="328"/>
      <c r="B1470" s="20">
        <f ca="1">OFFSET($B$269,D1470,0)</f>
        <v>0</v>
      </c>
      <c r="C1470" s="20"/>
      <c r="D1470" s="21">
        <f>D1463+1</f>
        <v>90</v>
      </c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</row>
    <row r="1471" spans="1:24" hidden="1">
      <c r="A1471" s="328"/>
      <c r="B1471" s="21" t="s">
        <v>414</v>
      </c>
      <c r="C1471" s="21"/>
      <c r="D1471" s="165">
        <f ca="1">YEAR(OFFSET($E$269,D1470,0))</f>
        <v>1900</v>
      </c>
      <c r="E1471" s="165">
        <f ca="1">MONTH(OFFSET($E$269,D1470,0))</f>
        <v>1</v>
      </c>
      <c r="F1471" s="21">
        <f ca="1">12-$E1471</f>
        <v>11</v>
      </c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</row>
    <row r="1472" spans="1:24" hidden="1">
      <c r="A1472" s="328"/>
      <c r="B1472" s="21" t="s">
        <v>406</v>
      </c>
      <c r="C1472" s="21"/>
      <c r="D1472" s="388">
        <f ca="1">IF(E1472&lt;0,0,ROUND(E1472,0))</f>
        <v>0</v>
      </c>
      <c r="E1472" s="249">
        <f ca="1">OFFSET($D$269,D1470,0)</f>
        <v>0</v>
      </c>
      <c r="F1472" s="388">
        <f ca="1">IF(E1472&gt;10,ROUND(($D1473/12)*$F1471,0),$D1472)</f>
        <v>0</v>
      </c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</row>
    <row r="1473" spans="1:24" hidden="1">
      <c r="A1473" s="328"/>
      <c r="B1473" s="21" t="s">
        <v>415</v>
      </c>
      <c r="C1473" s="21"/>
      <c r="D1473" s="388">
        <f ca="1">IF(ISBLANK(OFFSET($E$269,D1470,0)),0,IF(E1472&gt;10,ROUND(D1472*am_budynki,0),IF(D1472&lt;0,0,D1472)))</f>
        <v>0</v>
      </c>
      <c r="E1473" s="21"/>
      <c r="F1473" s="21"/>
      <c r="G1473" s="21"/>
      <c r="H1473" s="21"/>
      <c r="I1473" s="21"/>
      <c r="J1473" s="21"/>
      <c r="K1473" s="75">
        <f ca="1">ROUND(IF($D1471=LataProjekcji,$F1472,IF($D1471=LataProjekcji,$D1473,0)),0)</f>
        <v>0</v>
      </c>
      <c r="L1473" s="248">
        <f ca="1">ROUND(IF(OR(AND($D1471=LataProjekcji,$F1471&gt;0),AND($D1471=LataProjekcji,$F1471=0,$E1472&lt;=10)),$F1472,IF($D1471&lt;LataProjekcji,IF((SUM($K1473:K1473)+$D1473)&lt;$D1472,$D1473,$D1472-SUM($K1473:K1473)),0)),0)</f>
        <v>0</v>
      </c>
      <c r="M1473" s="248">
        <f ca="1">ROUND(IF(OR(AND($D1471=LataProjekcji,$F1471&gt;0),AND($D1471=LataProjekcji,$F1471=0,$E1472&lt;=10)),$F1472,IF($D1471&lt;LataProjekcji,IF((SUM($K1473:L1473)+$D1473)&lt;$D1472,$D1473,$D1472-SUM($K1473:L1473)),0)),0)</f>
        <v>0</v>
      </c>
      <c r="N1473" s="248">
        <f ca="1">ROUND(IF(OR(AND($D1471=LataProjekcji,$F1471&gt;0),AND($D1471=LataProjekcji,$F1471=0,$E1472&lt;=10)),$F1472,IF($D1471&lt;LataProjekcji,IF((SUM($K1473:M1473)+$D1473)&lt;$D1472,$D1473,$D1472-SUM($K1473:M1473)),0)),0)</f>
        <v>0</v>
      </c>
      <c r="O1473" s="248">
        <f ca="1">ROUND(IF(OR(AND($D1471=LataProjekcji,$F1471&gt;0),AND($D1471=LataProjekcji,$F1471=0,$E1472&lt;=10)),$F1472,IF($D1471&lt;LataProjekcji,IF((SUM($K1473:N1473)+$D1473)&lt;$D1472,$D1473,$D1472-SUM($K1473:N1473)),0)),0)</f>
        <v>0</v>
      </c>
      <c r="P1473" s="248">
        <f ca="1">ROUND(IF(OR(AND($D1471=LataProjekcji,$F1471&gt;0),AND($D1471=LataProjekcji,$F1471=0,$E1472&lt;=10)),$F1472,IF($D1471&lt;LataProjekcji,IF((SUM($K1473:O1473)+$D1473)&lt;$D1472,$D1473,$D1472-SUM($K1473:O1473)),0)),0)</f>
        <v>0</v>
      </c>
      <c r="Q1473" s="248">
        <f ca="1">ROUND(IF(OR(AND($D1471=LataProjekcji,$F1471&gt;0),AND($D1471=LataProjekcji,$F1471=0,$E1472&lt;=10)),$F1472,IF($D1471&lt;LataProjekcji,IF((SUM($K1473:P1473)+$D1473)&lt;$D1472,$D1473,$D1472-SUM($K1473:P1473)),0)),0)</f>
        <v>0</v>
      </c>
      <c r="R1473" s="248">
        <f ca="1">ROUND(IF(OR(AND($D1471=LataProjekcji,$F1471&gt;0),AND($D1471=LataProjekcji,$F1471=0,$E1472&lt;=10)),$F1472,IF($D1471&lt;LataProjekcji,IF((SUM($K1473:Q1473)+$D1473)&lt;$D1472,$D1473,$D1472-SUM($K1473:Q1473)),0)),0)</f>
        <v>0</v>
      </c>
      <c r="S1473" s="248">
        <f ca="1">ROUND(IF(OR(AND($D1471=LataProjekcji,$F1471&gt;0),AND($D1471=LataProjekcji,$F1471=0,$E1472&lt;=10)),$F1472,IF($D1471&lt;LataProjekcji,IF((SUM($K1473:R1473)+$D1473)&lt;$D1472,$D1473,$D1472-SUM($K1473:R1473)),0)),0)</f>
        <v>0</v>
      </c>
      <c r="T1473" s="248">
        <f ca="1">ROUND(IF(OR(AND($D1471=LataProjekcji,$F1471&gt;0),AND($D1471=LataProjekcji,$F1471=0,$E1472&lt;=10)),$F1472,IF($D1471&lt;LataProjekcji,IF((SUM($K1473:S1473)+$D1473)&lt;$D1472,$D1473,$D1472-SUM($K1473:S1473)),0)),0)</f>
        <v>0</v>
      </c>
      <c r="U1473" s="248">
        <f ca="1">ROUND(IF(OR(AND($D1471=LataProjekcji,$F1471&gt;0),AND($D1471=LataProjekcji,$F1471=0,$E1472&lt;=10)),$F1472,IF($D1471&lt;LataProjekcji,IF((SUM($K1473:T1473)+$D1473)&lt;$D1472,$D1473,$D1472-SUM($K1473:T1473)),0)),0)</f>
        <v>0</v>
      </c>
      <c r="V1473" s="248">
        <f ca="1">ROUND(IF(OR(AND($D1471=LataProjekcji,$F1471&gt;0),AND($D1471=LataProjekcji,$F1471=0,$E1472&lt;=10)),$F1472,IF($D1471&lt;LataProjekcji,IF((SUM($K1473:U1473)+$D1473)&lt;$D1472,$D1473,$D1472-SUM($K1473:U1473)),0)),0)</f>
        <v>0</v>
      </c>
      <c r="W1473" s="248">
        <f ca="1">ROUND(IF(OR(AND($D1471=LataProjekcji,$F1471&gt;0),AND($D1471=LataProjekcji,$F1471=0,$E1472&lt;=10)),$F1472,IF($D1471&lt;LataProjekcji,IF((SUM($K1473:V1473)+$D1473)&lt;$D1472,$D1473,$D1472-SUM($K1473:V1473)),0)),0)</f>
        <v>0</v>
      </c>
      <c r="X1473" s="248">
        <f ca="1">ROUND(IF(OR(AND($D1471=LataProjekcji,$F1471&gt;0),AND($D1471=LataProjekcji,$F1471=0,$E1472&lt;=10)),$F1472,IF($D1471&lt;LataProjekcji,IF((SUM($K1473:W1473)+$D1473)&lt;$D1472,$D1473,$D1472-SUM($K1473:W1473)),0)),0)</f>
        <v>0</v>
      </c>
    </row>
    <row r="1474" spans="1:24" hidden="1">
      <c r="A1474" s="328"/>
      <c r="B1474" s="21" t="s">
        <v>416</v>
      </c>
      <c r="C1474" s="21"/>
      <c r="D1474" s="22"/>
      <c r="E1474" s="21"/>
      <c r="F1474" s="21"/>
      <c r="G1474" s="21"/>
      <c r="H1474" s="21"/>
      <c r="I1474" s="21"/>
      <c r="J1474" s="21"/>
      <c r="K1474" s="22">
        <f ca="1">ROUND(K1473,0)</f>
        <v>0</v>
      </c>
      <c r="L1474" s="22">
        <f t="shared" ref="L1474:X1474" ca="1" si="1318">ROUND(K1474+L1473,0)</f>
        <v>0</v>
      </c>
      <c r="M1474" s="22">
        <f t="shared" ca="1" si="1318"/>
        <v>0</v>
      </c>
      <c r="N1474" s="22">
        <f t="shared" ca="1" si="1318"/>
        <v>0</v>
      </c>
      <c r="O1474" s="22">
        <f t="shared" ca="1" si="1318"/>
        <v>0</v>
      </c>
      <c r="P1474" s="22">
        <f t="shared" ca="1" si="1318"/>
        <v>0</v>
      </c>
      <c r="Q1474" s="22">
        <f t="shared" ca="1" si="1318"/>
        <v>0</v>
      </c>
      <c r="R1474" s="22">
        <f t="shared" ca="1" si="1318"/>
        <v>0</v>
      </c>
      <c r="S1474" s="22">
        <f t="shared" ca="1" si="1318"/>
        <v>0</v>
      </c>
      <c r="T1474" s="22">
        <f t="shared" ca="1" si="1318"/>
        <v>0</v>
      </c>
      <c r="U1474" s="22">
        <f t="shared" ca="1" si="1318"/>
        <v>0</v>
      </c>
      <c r="V1474" s="22">
        <f t="shared" ca="1" si="1318"/>
        <v>0</v>
      </c>
      <c r="W1474" s="22">
        <f t="shared" ca="1" si="1318"/>
        <v>0</v>
      </c>
      <c r="X1474" s="22">
        <f t="shared" ca="1" si="1318"/>
        <v>0</v>
      </c>
    </row>
    <row r="1475" spans="1:24" hidden="1">
      <c r="A1475" s="328"/>
      <c r="B1475" s="21" t="s">
        <v>406</v>
      </c>
      <c r="C1475" s="21"/>
      <c r="D1475" s="22"/>
      <c r="E1475" s="21"/>
      <c r="F1475" s="21"/>
      <c r="G1475" s="21"/>
      <c r="H1475" s="21"/>
      <c r="I1475" s="21"/>
      <c r="J1475" s="21"/>
      <c r="K1475" s="77">
        <f ca="1">IF($D1471=LataProjekcji,ROUND($D1472-K1474,0),ROUND(IF(K1473=0,0,$D1472-K1474),0))</f>
        <v>0</v>
      </c>
      <c r="L1475" s="254">
        <f t="shared" ref="L1475:X1475" ca="1" si="1319">IF($D1471=LataProjekcji,ROUND($D1472-L1474,0),ROUND(IF(AND(L1473=0,K1475&gt;0),$D1472-L1474,IF(L1473=0,0,$D1472-L1474)),0))</f>
        <v>0</v>
      </c>
      <c r="M1475" s="254">
        <f t="shared" ca="1" si="1319"/>
        <v>0</v>
      </c>
      <c r="N1475" s="254">
        <f t="shared" ca="1" si="1319"/>
        <v>0</v>
      </c>
      <c r="O1475" s="254">
        <f t="shared" ca="1" si="1319"/>
        <v>0</v>
      </c>
      <c r="P1475" s="254">
        <f t="shared" ca="1" si="1319"/>
        <v>0</v>
      </c>
      <c r="Q1475" s="254">
        <f t="shared" ca="1" si="1319"/>
        <v>0</v>
      </c>
      <c r="R1475" s="254">
        <f t="shared" ca="1" si="1319"/>
        <v>0</v>
      </c>
      <c r="S1475" s="254">
        <f t="shared" ca="1" si="1319"/>
        <v>0</v>
      </c>
      <c r="T1475" s="254">
        <f t="shared" ca="1" si="1319"/>
        <v>0</v>
      </c>
      <c r="U1475" s="254">
        <f t="shared" ca="1" si="1319"/>
        <v>0</v>
      </c>
      <c r="V1475" s="254">
        <f t="shared" ca="1" si="1319"/>
        <v>0</v>
      </c>
      <c r="W1475" s="254">
        <f t="shared" ca="1" si="1319"/>
        <v>0</v>
      </c>
      <c r="X1475" s="254">
        <f t="shared" ca="1" si="1319"/>
        <v>0</v>
      </c>
    </row>
    <row r="1476" spans="1:24" hidden="1">
      <c r="A1476" s="328"/>
      <c r="B1476" s="21"/>
      <c r="C1476" s="21"/>
      <c r="D1476" s="21"/>
      <c r="E1476" s="21"/>
      <c r="F1476" s="21"/>
      <c r="G1476" s="21"/>
      <c r="H1476" s="404">
        <f>H1469+1</f>
        <v>6</v>
      </c>
      <c r="I1476" s="483" cm="1">
        <f t="array" aca="1" ref="I1476" ca="1">OFFSET('Środki trwałe'!$C$353,H1476,,)</f>
        <v>0</v>
      </c>
      <c r="J1476" s="404" t="s">
        <v>427</v>
      </c>
      <c r="K1476" s="405">
        <f t="shared" ref="K1476:X1476" ca="1" si="1320">IF(AND(OFFSET($F$269,$D1470,0)="tak",OFFSET($G$269,$D1470,0)="tak",OFFSET($J$269,$D1470,0)="ok",LataProjekcji&lt;=Koniec_Projekt),ROUND(K1473*OFFSET($K$374,$H1476,(COLUMN()-11)),0),0)</f>
        <v>0</v>
      </c>
      <c r="L1476" s="405">
        <f t="shared" ca="1" si="1320"/>
        <v>0</v>
      </c>
      <c r="M1476" s="405">
        <f t="shared" ca="1" si="1320"/>
        <v>0</v>
      </c>
      <c r="N1476" s="405">
        <f t="shared" ca="1" si="1320"/>
        <v>0</v>
      </c>
      <c r="O1476" s="405">
        <f t="shared" ca="1" si="1320"/>
        <v>0</v>
      </c>
      <c r="P1476" s="405">
        <f t="shared" ca="1" si="1320"/>
        <v>0</v>
      </c>
      <c r="Q1476" s="405">
        <f t="shared" ca="1" si="1320"/>
        <v>0</v>
      </c>
      <c r="R1476" s="405">
        <f t="shared" ca="1" si="1320"/>
        <v>0</v>
      </c>
      <c r="S1476" s="405">
        <f t="shared" ca="1" si="1320"/>
        <v>0</v>
      </c>
      <c r="T1476" s="405">
        <f t="shared" ca="1" si="1320"/>
        <v>0</v>
      </c>
      <c r="U1476" s="405">
        <f t="shared" ca="1" si="1320"/>
        <v>0</v>
      </c>
      <c r="V1476" s="405">
        <f t="shared" ca="1" si="1320"/>
        <v>0</v>
      </c>
      <c r="W1476" s="405">
        <f t="shared" ca="1" si="1320"/>
        <v>0</v>
      </c>
      <c r="X1476" s="405">
        <f t="shared" ca="1" si="1320"/>
        <v>0</v>
      </c>
    </row>
    <row r="1477" spans="1:24" hidden="1">
      <c r="A1477" s="328"/>
      <c r="B1477" s="20">
        <f ca="1">OFFSET($B$269,D1477,0)</f>
        <v>0</v>
      </c>
      <c r="C1477" s="20"/>
      <c r="D1477" s="21">
        <f>D1470+1</f>
        <v>91</v>
      </c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</row>
    <row r="1478" spans="1:24" hidden="1">
      <c r="A1478" s="328"/>
      <c r="B1478" s="21" t="s">
        <v>414</v>
      </c>
      <c r="C1478" s="21"/>
      <c r="D1478" s="165">
        <f ca="1">YEAR(OFFSET($E$269,D1477,0))</f>
        <v>1900</v>
      </c>
      <c r="E1478" s="165">
        <f ca="1">MONTH(OFFSET($E$269,D1477,0))</f>
        <v>1</v>
      </c>
      <c r="F1478" s="21">
        <f ca="1">12-$E1478</f>
        <v>11</v>
      </c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</row>
    <row r="1479" spans="1:24" hidden="1">
      <c r="A1479" s="328"/>
      <c r="B1479" s="21" t="s">
        <v>406</v>
      </c>
      <c r="C1479" s="21"/>
      <c r="D1479" s="388">
        <f ca="1">IF(E1479&lt;0,0,ROUND(E1479,0))</f>
        <v>0</v>
      </c>
      <c r="E1479" s="249">
        <f ca="1">OFFSET($D$269,D1477,0)</f>
        <v>0</v>
      </c>
      <c r="F1479" s="388">
        <f ca="1">IF(E1479&gt;10,ROUND(($D1480/12)*$F1478,0),$D1479)</f>
        <v>0</v>
      </c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</row>
    <row r="1480" spans="1:24" hidden="1">
      <c r="A1480" s="328"/>
      <c r="B1480" s="21" t="s">
        <v>415</v>
      </c>
      <c r="C1480" s="21"/>
      <c r="D1480" s="388">
        <f ca="1">IF(ISBLANK(OFFSET($E$269,D1477,0)),0,IF(E1479&gt;10,ROUND(D1479*am_budynki,0),IF(D1479&lt;0,0,D1479)))</f>
        <v>0</v>
      </c>
      <c r="E1480" s="21"/>
      <c r="F1480" s="21"/>
      <c r="G1480" s="21"/>
      <c r="H1480" s="21"/>
      <c r="I1480" s="21"/>
      <c r="J1480" s="21"/>
      <c r="K1480" s="75">
        <f ca="1">ROUND(IF($D1478=LataProjekcji,$F1479,IF($D1478=LataProjekcji,$D1480,0)),0)</f>
        <v>0</v>
      </c>
      <c r="L1480" s="248">
        <f ca="1">ROUND(IF(OR(AND($D1478=LataProjekcji,$F1478&gt;0),AND($D1478=LataProjekcji,$F1478=0,$E1479&lt;=10)),$F1479,IF($D1478&lt;LataProjekcji,IF((SUM($K1480:K1480)+$D1480)&lt;$D1479,$D1480,$D1479-SUM($K1480:K1480)),0)),0)</f>
        <v>0</v>
      </c>
      <c r="M1480" s="248">
        <f ca="1">ROUND(IF(OR(AND($D1478=LataProjekcji,$F1478&gt;0),AND($D1478=LataProjekcji,$F1478=0,$E1479&lt;=10)),$F1479,IF($D1478&lt;LataProjekcji,IF((SUM($K1480:L1480)+$D1480)&lt;$D1479,$D1480,$D1479-SUM($K1480:L1480)),0)),0)</f>
        <v>0</v>
      </c>
      <c r="N1480" s="248">
        <f ca="1">ROUND(IF(OR(AND($D1478=LataProjekcji,$F1478&gt;0),AND($D1478=LataProjekcji,$F1478=0,$E1479&lt;=10)),$F1479,IF($D1478&lt;LataProjekcji,IF((SUM($K1480:M1480)+$D1480)&lt;$D1479,$D1480,$D1479-SUM($K1480:M1480)),0)),0)</f>
        <v>0</v>
      </c>
      <c r="O1480" s="248">
        <f ca="1">ROUND(IF(OR(AND($D1478=LataProjekcji,$F1478&gt;0),AND($D1478=LataProjekcji,$F1478=0,$E1479&lt;=10)),$F1479,IF($D1478&lt;LataProjekcji,IF((SUM($K1480:N1480)+$D1480)&lt;$D1479,$D1480,$D1479-SUM($K1480:N1480)),0)),0)</f>
        <v>0</v>
      </c>
      <c r="P1480" s="248">
        <f ca="1">ROUND(IF(OR(AND($D1478=LataProjekcji,$F1478&gt;0),AND($D1478=LataProjekcji,$F1478=0,$E1479&lt;=10)),$F1479,IF($D1478&lt;LataProjekcji,IF((SUM($K1480:O1480)+$D1480)&lt;$D1479,$D1480,$D1479-SUM($K1480:O1480)),0)),0)</f>
        <v>0</v>
      </c>
      <c r="Q1480" s="248">
        <f ca="1">ROUND(IF(OR(AND($D1478=LataProjekcji,$F1478&gt;0),AND($D1478=LataProjekcji,$F1478=0,$E1479&lt;=10)),$F1479,IF($D1478&lt;LataProjekcji,IF((SUM($K1480:P1480)+$D1480)&lt;$D1479,$D1480,$D1479-SUM($K1480:P1480)),0)),0)</f>
        <v>0</v>
      </c>
      <c r="R1480" s="248">
        <f ca="1">ROUND(IF(OR(AND($D1478=LataProjekcji,$F1478&gt;0),AND($D1478=LataProjekcji,$F1478=0,$E1479&lt;=10)),$F1479,IF($D1478&lt;LataProjekcji,IF((SUM($K1480:Q1480)+$D1480)&lt;$D1479,$D1480,$D1479-SUM($K1480:Q1480)),0)),0)</f>
        <v>0</v>
      </c>
      <c r="S1480" s="248">
        <f ca="1">ROUND(IF(OR(AND($D1478=LataProjekcji,$F1478&gt;0),AND($D1478=LataProjekcji,$F1478=0,$E1479&lt;=10)),$F1479,IF($D1478&lt;LataProjekcji,IF((SUM($K1480:R1480)+$D1480)&lt;$D1479,$D1480,$D1479-SUM($K1480:R1480)),0)),0)</f>
        <v>0</v>
      </c>
      <c r="T1480" s="248">
        <f ca="1">ROUND(IF(OR(AND($D1478=LataProjekcji,$F1478&gt;0),AND($D1478=LataProjekcji,$F1478=0,$E1479&lt;=10)),$F1479,IF($D1478&lt;LataProjekcji,IF((SUM($K1480:S1480)+$D1480)&lt;$D1479,$D1480,$D1479-SUM($K1480:S1480)),0)),0)</f>
        <v>0</v>
      </c>
      <c r="U1480" s="248">
        <f ca="1">ROUND(IF(OR(AND($D1478=LataProjekcji,$F1478&gt;0),AND($D1478=LataProjekcji,$F1478=0,$E1479&lt;=10)),$F1479,IF($D1478&lt;LataProjekcji,IF((SUM($K1480:T1480)+$D1480)&lt;$D1479,$D1480,$D1479-SUM($K1480:T1480)),0)),0)</f>
        <v>0</v>
      </c>
      <c r="V1480" s="248">
        <f ca="1">ROUND(IF(OR(AND($D1478=LataProjekcji,$F1478&gt;0),AND($D1478=LataProjekcji,$F1478=0,$E1479&lt;=10)),$F1479,IF($D1478&lt;LataProjekcji,IF((SUM($K1480:U1480)+$D1480)&lt;$D1479,$D1480,$D1479-SUM($K1480:U1480)),0)),0)</f>
        <v>0</v>
      </c>
      <c r="W1480" s="248">
        <f ca="1">ROUND(IF(OR(AND($D1478=LataProjekcji,$F1478&gt;0),AND($D1478=LataProjekcji,$F1478=0,$E1479&lt;=10)),$F1479,IF($D1478&lt;LataProjekcji,IF((SUM($K1480:V1480)+$D1480)&lt;$D1479,$D1480,$D1479-SUM($K1480:V1480)),0)),0)</f>
        <v>0</v>
      </c>
      <c r="X1480" s="248">
        <f ca="1">ROUND(IF(OR(AND($D1478=LataProjekcji,$F1478&gt;0),AND($D1478=LataProjekcji,$F1478=0,$E1479&lt;=10)),$F1479,IF($D1478&lt;LataProjekcji,IF((SUM($K1480:W1480)+$D1480)&lt;$D1479,$D1480,$D1479-SUM($K1480:W1480)),0)),0)</f>
        <v>0</v>
      </c>
    </row>
    <row r="1481" spans="1:24" hidden="1">
      <c r="A1481" s="328"/>
      <c r="B1481" s="21" t="s">
        <v>416</v>
      </c>
      <c r="C1481" s="21"/>
      <c r="D1481" s="22"/>
      <c r="E1481" s="21"/>
      <c r="F1481" s="21"/>
      <c r="G1481" s="21"/>
      <c r="H1481" s="21"/>
      <c r="I1481" s="21"/>
      <c r="J1481" s="21"/>
      <c r="K1481" s="22">
        <f ca="1">ROUND(K1480,0)</f>
        <v>0</v>
      </c>
      <c r="L1481" s="22">
        <f t="shared" ref="L1481:X1481" ca="1" si="1321">ROUND(K1481+L1480,0)</f>
        <v>0</v>
      </c>
      <c r="M1481" s="22">
        <f t="shared" ca="1" si="1321"/>
        <v>0</v>
      </c>
      <c r="N1481" s="22">
        <f t="shared" ca="1" si="1321"/>
        <v>0</v>
      </c>
      <c r="O1481" s="22">
        <f t="shared" ca="1" si="1321"/>
        <v>0</v>
      </c>
      <c r="P1481" s="22">
        <f t="shared" ca="1" si="1321"/>
        <v>0</v>
      </c>
      <c r="Q1481" s="22">
        <f t="shared" ca="1" si="1321"/>
        <v>0</v>
      </c>
      <c r="R1481" s="22">
        <f t="shared" ca="1" si="1321"/>
        <v>0</v>
      </c>
      <c r="S1481" s="22">
        <f t="shared" ca="1" si="1321"/>
        <v>0</v>
      </c>
      <c r="T1481" s="22">
        <f t="shared" ca="1" si="1321"/>
        <v>0</v>
      </c>
      <c r="U1481" s="22">
        <f t="shared" ca="1" si="1321"/>
        <v>0</v>
      </c>
      <c r="V1481" s="22">
        <f t="shared" ca="1" si="1321"/>
        <v>0</v>
      </c>
      <c r="W1481" s="22">
        <f t="shared" ca="1" si="1321"/>
        <v>0</v>
      </c>
      <c r="X1481" s="22">
        <f t="shared" ca="1" si="1321"/>
        <v>0</v>
      </c>
    </row>
    <row r="1482" spans="1:24" hidden="1">
      <c r="A1482" s="328"/>
      <c r="B1482" s="21" t="s">
        <v>406</v>
      </c>
      <c r="C1482" s="21"/>
      <c r="D1482" s="22"/>
      <c r="E1482" s="21"/>
      <c r="F1482" s="21"/>
      <c r="G1482" s="21"/>
      <c r="H1482" s="21"/>
      <c r="I1482" s="21"/>
      <c r="J1482" s="21"/>
      <c r="K1482" s="77">
        <f ca="1">IF($D1478=LataProjekcji,ROUND($D1479-K1481,0),ROUND(IF(K1480=0,0,$D1479-K1481),0))</f>
        <v>0</v>
      </c>
      <c r="L1482" s="254">
        <f t="shared" ref="L1482:X1482" ca="1" si="1322">IF($D1478=LataProjekcji,ROUND($D1479-L1481,0),ROUND(IF(AND(L1480=0,K1482&gt;0),$D1479-L1481,IF(L1480=0,0,$D1479-L1481)),0))</f>
        <v>0</v>
      </c>
      <c r="M1482" s="254">
        <f t="shared" ca="1" si="1322"/>
        <v>0</v>
      </c>
      <c r="N1482" s="254">
        <f t="shared" ca="1" si="1322"/>
        <v>0</v>
      </c>
      <c r="O1482" s="254">
        <f t="shared" ca="1" si="1322"/>
        <v>0</v>
      </c>
      <c r="P1482" s="254">
        <f t="shared" ca="1" si="1322"/>
        <v>0</v>
      </c>
      <c r="Q1482" s="254">
        <f t="shared" ca="1" si="1322"/>
        <v>0</v>
      </c>
      <c r="R1482" s="254">
        <f t="shared" ca="1" si="1322"/>
        <v>0</v>
      </c>
      <c r="S1482" s="254">
        <f t="shared" ca="1" si="1322"/>
        <v>0</v>
      </c>
      <c r="T1482" s="254">
        <f t="shared" ca="1" si="1322"/>
        <v>0</v>
      </c>
      <c r="U1482" s="254">
        <f t="shared" ca="1" si="1322"/>
        <v>0</v>
      </c>
      <c r="V1482" s="254">
        <f t="shared" ca="1" si="1322"/>
        <v>0</v>
      </c>
      <c r="W1482" s="254">
        <f t="shared" ca="1" si="1322"/>
        <v>0</v>
      </c>
      <c r="X1482" s="254">
        <f t="shared" ca="1" si="1322"/>
        <v>0</v>
      </c>
    </row>
    <row r="1483" spans="1:24" hidden="1">
      <c r="A1483" s="328"/>
      <c r="B1483" s="21"/>
      <c r="C1483" s="21"/>
      <c r="D1483" s="21"/>
      <c r="E1483" s="21"/>
      <c r="F1483" s="21"/>
      <c r="G1483" s="21"/>
      <c r="H1483" s="404">
        <f>H1476+1</f>
        <v>7</v>
      </c>
      <c r="I1483" s="483" cm="1">
        <f t="array" aca="1" ref="I1483" ca="1">OFFSET('Środki trwałe'!$C$353,H1483,,)</f>
        <v>0</v>
      </c>
      <c r="J1483" s="404" t="s">
        <v>427</v>
      </c>
      <c r="K1483" s="405">
        <f t="shared" ref="K1483:X1483" ca="1" si="1323">IF(AND(OFFSET($F$269,$D1477,0)="tak",OFFSET($G$269,$D1477,0)="tak",OFFSET($J$269,$D1477,0)="ok",LataProjekcji&lt;=Koniec_Projekt),ROUND(K1480*OFFSET($K$374,$H1483,(COLUMN()-11)),0),0)</f>
        <v>0</v>
      </c>
      <c r="L1483" s="405">
        <f t="shared" ca="1" si="1323"/>
        <v>0</v>
      </c>
      <c r="M1483" s="405">
        <f t="shared" ca="1" si="1323"/>
        <v>0</v>
      </c>
      <c r="N1483" s="405">
        <f t="shared" ca="1" si="1323"/>
        <v>0</v>
      </c>
      <c r="O1483" s="405">
        <f t="shared" ca="1" si="1323"/>
        <v>0</v>
      </c>
      <c r="P1483" s="405">
        <f t="shared" ca="1" si="1323"/>
        <v>0</v>
      </c>
      <c r="Q1483" s="405">
        <f t="shared" ca="1" si="1323"/>
        <v>0</v>
      </c>
      <c r="R1483" s="405">
        <f t="shared" ca="1" si="1323"/>
        <v>0</v>
      </c>
      <c r="S1483" s="405">
        <f t="shared" ca="1" si="1323"/>
        <v>0</v>
      </c>
      <c r="T1483" s="405">
        <f t="shared" ca="1" si="1323"/>
        <v>0</v>
      </c>
      <c r="U1483" s="405">
        <f t="shared" ca="1" si="1323"/>
        <v>0</v>
      </c>
      <c r="V1483" s="405">
        <f t="shared" ca="1" si="1323"/>
        <v>0</v>
      </c>
      <c r="W1483" s="405">
        <f t="shared" ca="1" si="1323"/>
        <v>0</v>
      </c>
      <c r="X1483" s="405">
        <f t="shared" ca="1" si="1323"/>
        <v>0</v>
      </c>
    </row>
    <row r="1484" spans="1:24" hidden="1">
      <c r="A1484" s="328"/>
      <c r="B1484" s="20">
        <f ca="1">OFFSET($B$269,D1484,0)</f>
        <v>0</v>
      </c>
      <c r="C1484" s="20"/>
      <c r="D1484" s="21">
        <f>D1477+1</f>
        <v>92</v>
      </c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</row>
    <row r="1485" spans="1:24" hidden="1">
      <c r="A1485" s="328"/>
      <c r="B1485" s="21" t="s">
        <v>414</v>
      </c>
      <c r="C1485" s="21"/>
      <c r="D1485" s="165">
        <f ca="1">YEAR(OFFSET($E$269,D1484,0))</f>
        <v>1900</v>
      </c>
      <c r="E1485" s="165">
        <f ca="1">MONTH(OFFSET($E$269,D1484,0))</f>
        <v>1</v>
      </c>
      <c r="F1485" s="21">
        <f ca="1">12-$E1485</f>
        <v>11</v>
      </c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</row>
    <row r="1486" spans="1:24" hidden="1">
      <c r="A1486" s="328"/>
      <c r="B1486" s="21" t="s">
        <v>406</v>
      </c>
      <c r="C1486" s="21"/>
      <c r="D1486" s="388">
        <f ca="1">IF(E1486&lt;0,0,ROUND(E1486,0))</f>
        <v>0</v>
      </c>
      <c r="E1486" s="249">
        <f ca="1">OFFSET($D$269,D1484,0)</f>
        <v>0</v>
      </c>
      <c r="F1486" s="388">
        <f ca="1">IF(E1486&gt;10,ROUND(($D1487/12)*$F1485,0),$D1486)</f>
        <v>0</v>
      </c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</row>
    <row r="1487" spans="1:24" hidden="1">
      <c r="A1487" s="328"/>
      <c r="B1487" s="21" t="s">
        <v>415</v>
      </c>
      <c r="C1487" s="21"/>
      <c r="D1487" s="388">
        <f ca="1">IF(ISBLANK(OFFSET($E$269,D1484,0)),0,IF(E1486&gt;10,ROUND(D1486*am_budynki,0),IF(D1486&lt;0,0,D1486)))</f>
        <v>0</v>
      </c>
      <c r="E1487" s="21"/>
      <c r="F1487" s="21"/>
      <c r="G1487" s="21"/>
      <c r="H1487" s="21"/>
      <c r="I1487" s="21"/>
      <c r="J1487" s="21"/>
      <c r="K1487" s="75">
        <f ca="1">ROUND(IF($D1485=LataProjekcji,$F1486,IF($D1485=LataProjekcji,$D1487,0)),0)</f>
        <v>0</v>
      </c>
      <c r="L1487" s="248">
        <f ca="1">ROUND(IF(OR(AND($D1485=LataProjekcji,$F1485&gt;0),AND($D1485=LataProjekcji,$F1485=0,$E1486&lt;=10)),$F1486,IF($D1485&lt;LataProjekcji,IF((SUM($K1487:K1487)+$D1487)&lt;$D1486,$D1487,$D1486-SUM($K1487:K1487)),0)),0)</f>
        <v>0</v>
      </c>
      <c r="M1487" s="248">
        <f ca="1">ROUND(IF(OR(AND($D1485=LataProjekcji,$F1485&gt;0),AND($D1485=LataProjekcji,$F1485=0,$E1486&lt;=10)),$F1486,IF($D1485&lt;LataProjekcji,IF((SUM($K1487:L1487)+$D1487)&lt;$D1486,$D1487,$D1486-SUM($K1487:L1487)),0)),0)</f>
        <v>0</v>
      </c>
      <c r="N1487" s="248">
        <f ca="1">ROUND(IF(OR(AND($D1485=LataProjekcji,$F1485&gt;0),AND($D1485=LataProjekcji,$F1485=0,$E1486&lt;=10)),$F1486,IF($D1485&lt;LataProjekcji,IF((SUM($K1487:M1487)+$D1487)&lt;$D1486,$D1487,$D1486-SUM($K1487:M1487)),0)),0)</f>
        <v>0</v>
      </c>
      <c r="O1487" s="248">
        <f ca="1">ROUND(IF(OR(AND($D1485=LataProjekcji,$F1485&gt;0),AND($D1485=LataProjekcji,$F1485=0,$E1486&lt;=10)),$F1486,IF($D1485&lt;LataProjekcji,IF((SUM($K1487:N1487)+$D1487)&lt;$D1486,$D1487,$D1486-SUM($K1487:N1487)),0)),0)</f>
        <v>0</v>
      </c>
      <c r="P1487" s="248">
        <f ca="1">ROUND(IF(OR(AND($D1485=LataProjekcji,$F1485&gt;0),AND($D1485=LataProjekcji,$F1485=0,$E1486&lt;=10)),$F1486,IF($D1485&lt;LataProjekcji,IF((SUM($K1487:O1487)+$D1487)&lt;$D1486,$D1487,$D1486-SUM($K1487:O1487)),0)),0)</f>
        <v>0</v>
      </c>
      <c r="Q1487" s="248">
        <f ca="1">ROUND(IF(OR(AND($D1485=LataProjekcji,$F1485&gt;0),AND($D1485=LataProjekcji,$F1485=0,$E1486&lt;=10)),$F1486,IF($D1485&lt;LataProjekcji,IF((SUM($K1487:P1487)+$D1487)&lt;$D1486,$D1487,$D1486-SUM($K1487:P1487)),0)),0)</f>
        <v>0</v>
      </c>
      <c r="R1487" s="248">
        <f ca="1">ROUND(IF(OR(AND($D1485=LataProjekcji,$F1485&gt;0),AND($D1485=LataProjekcji,$F1485=0,$E1486&lt;=10)),$F1486,IF($D1485&lt;LataProjekcji,IF((SUM($K1487:Q1487)+$D1487)&lt;$D1486,$D1487,$D1486-SUM($K1487:Q1487)),0)),0)</f>
        <v>0</v>
      </c>
      <c r="S1487" s="248">
        <f ca="1">ROUND(IF(OR(AND($D1485=LataProjekcji,$F1485&gt;0),AND($D1485=LataProjekcji,$F1485=0,$E1486&lt;=10)),$F1486,IF($D1485&lt;LataProjekcji,IF((SUM($K1487:R1487)+$D1487)&lt;$D1486,$D1487,$D1486-SUM($K1487:R1487)),0)),0)</f>
        <v>0</v>
      </c>
      <c r="T1487" s="248">
        <f ca="1">ROUND(IF(OR(AND($D1485=LataProjekcji,$F1485&gt;0),AND($D1485=LataProjekcji,$F1485=0,$E1486&lt;=10)),$F1486,IF($D1485&lt;LataProjekcji,IF((SUM($K1487:S1487)+$D1487)&lt;$D1486,$D1487,$D1486-SUM($K1487:S1487)),0)),0)</f>
        <v>0</v>
      </c>
      <c r="U1487" s="248">
        <f ca="1">ROUND(IF(OR(AND($D1485=LataProjekcji,$F1485&gt;0),AND($D1485=LataProjekcji,$F1485=0,$E1486&lt;=10)),$F1486,IF($D1485&lt;LataProjekcji,IF((SUM($K1487:T1487)+$D1487)&lt;$D1486,$D1487,$D1486-SUM($K1487:T1487)),0)),0)</f>
        <v>0</v>
      </c>
      <c r="V1487" s="248">
        <f ca="1">ROUND(IF(OR(AND($D1485=LataProjekcji,$F1485&gt;0),AND($D1485=LataProjekcji,$F1485=0,$E1486&lt;=10)),$F1486,IF($D1485&lt;LataProjekcji,IF((SUM($K1487:U1487)+$D1487)&lt;$D1486,$D1487,$D1486-SUM($K1487:U1487)),0)),0)</f>
        <v>0</v>
      </c>
      <c r="W1487" s="248">
        <f ca="1">ROUND(IF(OR(AND($D1485=LataProjekcji,$F1485&gt;0),AND($D1485=LataProjekcji,$F1485=0,$E1486&lt;=10)),$F1486,IF($D1485&lt;LataProjekcji,IF((SUM($K1487:V1487)+$D1487)&lt;$D1486,$D1487,$D1486-SUM($K1487:V1487)),0)),0)</f>
        <v>0</v>
      </c>
      <c r="X1487" s="248">
        <f ca="1">ROUND(IF(OR(AND($D1485=LataProjekcji,$F1485&gt;0),AND($D1485=LataProjekcji,$F1485=0,$E1486&lt;=10)),$F1486,IF($D1485&lt;LataProjekcji,IF((SUM($K1487:W1487)+$D1487)&lt;$D1486,$D1487,$D1486-SUM($K1487:W1487)),0)),0)</f>
        <v>0</v>
      </c>
    </row>
    <row r="1488" spans="1:24" hidden="1">
      <c r="A1488" s="328"/>
      <c r="B1488" s="21" t="s">
        <v>416</v>
      </c>
      <c r="C1488" s="21"/>
      <c r="D1488" s="22"/>
      <c r="E1488" s="21"/>
      <c r="F1488" s="21"/>
      <c r="G1488" s="21"/>
      <c r="H1488" s="21"/>
      <c r="I1488" s="21"/>
      <c r="J1488" s="21"/>
      <c r="K1488" s="22">
        <f ca="1">ROUND(K1487,0)</f>
        <v>0</v>
      </c>
      <c r="L1488" s="22">
        <f t="shared" ref="L1488:X1488" ca="1" si="1324">ROUND(K1488+L1487,0)</f>
        <v>0</v>
      </c>
      <c r="M1488" s="22">
        <f t="shared" ca="1" si="1324"/>
        <v>0</v>
      </c>
      <c r="N1488" s="22">
        <f t="shared" ca="1" si="1324"/>
        <v>0</v>
      </c>
      <c r="O1488" s="22">
        <f t="shared" ca="1" si="1324"/>
        <v>0</v>
      </c>
      <c r="P1488" s="22">
        <f t="shared" ca="1" si="1324"/>
        <v>0</v>
      </c>
      <c r="Q1488" s="22">
        <f t="shared" ca="1" si="1324"/>
        <v>0</v>
      </c>
      <c r="R1488" s="22">
        <f t="shared" ca="1" si="1324"/>
        <v>0</v>
      </c>
      <c r="S1488" s="22">
        <f t="shared" ca="1" si="1324"/>
        <v>0</v>
      </c>
      <c r="T1488" s="22">
        <f t="shared" ca="1" si="1324"/>
        <v>0</v>
      </c>
      <c r="U1488" s="22">
        <f t="shared" ca="1" si="1324"/>
        <v>0</v>
      </c>
      <c r="V1488" s="22">
        <f t="shared" ca="1" si="1324"/>
        <v>0</v>
      </c>
      <c r="W1488" s="22">
        <f t="shared" ca="1" si="1324"/>
        <v>0</v>
      </c>
      <c r="X1488" s="22">
        <f t="shared" ca="1" si="1324"/>
        <v>0</v>
      </c>
    </row>
    <row r="1489" spans="1:24" hidden="1">
      <c r="A1489" s="328"/>
      <c r="B1489" s="21" t="s">
        <v>406</v>
      </c>
      <c r="C1489" s="21"/>
      <c r="D1489" s="22"/>
      <c r="E1489" s="21"/>
      <c r="F1489" s="21"/>
      <c r="G1489" s="21"/>
      <c r="H1489" s="21"/>
      <c r="I1489" s="21"/>
      <c r="J1489" s="21"/>
      <c r="K1489" s="77">
        <f ca="1">IF($D1485=LataProjekcji,ROUND($D1486-K1488,0),ROUND(IF(K1487=0,0,$D1486-K1488),0))</f>
        <v>0</v>
      </c>
      <c r="L1489" s="254">
        <f t="shared" ref="L1489:X1489" ca="1" si="1325">IF($D1485=LataProjekcji,ROUND($D1486-L1488,0),ROUND(IF(AND(L1487=0,K1489&gt;0),$D1486-L1488,IF(L1487=0,0,$D1486-L1488)),0))</f>
        <v>0</v>
      </c>
      <c r="M1489" s="254">
        <f t="shared" ca="1" si="1325"/>
        <v>0</v>
      </c>
      <c r="N1489" s="254">
        <f t="shared" ca="1" si="1325"/>
        <v>0</v>
      </c>
      <c r="O1489" s="254">
        <f t="shared" ca="1" si="1325"/>
        <v>0</v>
      </c>
      <c r="P1489" s="254">
        <f t="shared" ca="1" si="1325"/>
        <v>0</v>
      </c>
      <c r="Q1489" s="254">
        <f t="shared" ca="1" si="1325"/>
        <v>0</v>
      </c>
      <c r="R1489" s="254">
        <f t="shared" ca="1" si="1325"/>
        <v>0</v>
      </c>
      <c r="S1489" s="254">
        <f t="shared" ca="1" si="1325"/>
        <v>0</v>
      </c>
      <c r="T1489" s="254">
        <f t="shared" ca="1" si="1325"/>
        <v>0</v>
      </c>
      <c r="U1489" s="254">
        <f t="shared" ca="1" si="1325"/>
        <v>0</v>
      </c>
      <c r="V1489" s="254">
        <f t="shared" ca="1" si="1325"/>
        <v>0</v>
      </c>
      <c r="W1489" s="254">
        <f t="shared" ca="1" si="1325"/>
        <v>0</v>
      </c>
      <c r="X1489" s="254">
        <f t="shared" ca="1" si="1325"/>
        <v>0</v>
      </c>
    </row>
    <row r="1490" spans="1:24" hidden="1">
      <c r="A1490" s="328"/>
      <c r="B1490" s="21"/>
      <c r="C1490" s="21"/>
      <c r="D1490" s="21"/>
      <c r="E1490" s="21"/>
      <c r="F1490" s="21"/>
      <c r="G1490" s="21"/>
      <c r="H1490" s="404">
        <f>H1483+1</f>
        <v>8</v>
      </c>
      <c r="I1490" s="483" cm="1">
        <f t="array" aca="1" ref="I1490" ca="1">OFFSET('Środki trwałe'!$C$353,H1490,,)</f>
        <v>0</v>
      </c>
      <c r="J1490" s="404" t="s">
        <v>427</v>
      </c>
      <c r="K1490" s="405">
        <f t="shared" ref="K1490:X1490" ca="1" si="1326">IF(AND(OFFSET($F$269,$D1484,0)="tak",OFFSET($G$269,$D1484,0)="tak",OFFSET($J$269,$D1484,0)="ok",LataProjekcji&lt;=Koniec_Projekt),ROUND(K1487*OFFSET($K$374,$H1490,(COLUMN()-11)),0),0)</f>
        <v>0</v>
      </c>
      <c r="L1490" s="405">
        <f t="shared" ca="1" si="1326"/>
        <v>0</v>
      </c>
      <c r="M1490" s="405">
        <f t="shared" ca="1" si="1326"/>
        <v>0</v>
      </c>
      <c r="N1490" s="405">
        <f t="shared" ca="1" si="1326"/>
        <v>0</v>
      </c>
      <c r="O1490" s="405">
        <f t="shared" ca="1" si="1326"/>
        <v>0</v>
      </c>
      <c r="P1490" s="405">
        <f t="shared" ca="1" si="1326"/>
        <v>0</v>
      </c>
      <c r="Q1490" s="405">
        <f t="shared" ca="1" si="1326"/>
        <v>0</v>
      </c>
      <c r="R1490" s="405">
        <f t="shared" ca="1" si="1326"/>
        <v>0</v>
      </c>
      <c r="S1490" s="405">
        <f t="shared" ca="1" si="1326"/>
        <v>0</v>
      </c>
      <c r="T1490" s="405">
        <f t="shared" ca="1" si="1326"/>
        <v>0</v>
      </c>
      <c r="U1490" s="405">
        <f t="shared" ca="1" si="1326"/>
        <v>0</v>
      </c>
      <c r="V1490" s="405">
        <f t="shared" ca="1" si="1326"/>
        <v>0</v>
      </c>
      <c r="W1490" s="405">
        <f t="shared" ca="1" si="1326"/>
        <v>0</v>
      </c>
      <c r="X1490" s="405">
        <f t="shared" ca="1" si="1326"/>
        <v>0</v>
      </c>
    </row>
    <row r="1491" spans="1:24" hidden="1">
      <c r="A1491" s="328"/>
      <c r="B1491" s="20">
        <f ca="1">OFFSET($B$269,D1491,0)</f>
        <v>0</v>
      </c>
      <c r="C1491" s="20"/>
      <c r="D1491" s="21">
        <f>D1484+1</f>
        <v>93</v>
      </c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</row>
    <row r="1492" spans="1:24" hidden="1">
      <c r="A1492" s="328"/>
      <c r="B1492" s="21" t="s">
        <v>414</v>
      </c>
      <c r="C1492" s="21"/>
      <c r="D1492" s="165">
        <f ca="1">YEAR(OFFSET($E$269,D1491,0))</f>
        <v>1900</v>
      </c>
      <c r="E1492" s="165">
        <f ca="1">MONTH(OFFSET($E$269,D1491,0))</f>
        <v>1</v>
      </c>
      <c r="F1492" s="21">
        <f ca="1">12-$E1492</f>
        <v>11</v>
      </c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</row>
    <row r="1493" spans="1:24" hidden="1">
      <c r="A1493" s="328"/>
      <c r="B1493" s="21" t="s">
        <v>406</v>
      </c>
      <c r="C1493" s="21"/>
      <c r="D1493" s="388">
        <f ca="1">IF(E1493&lt;0,0,ROUND(E1493,0))</f>
        <v>0</v>
      </c>
      <c r="E1493" s="249">
        <f ca="1">OFFSET($D$269,D1491,0)</f>
        <v>0</v>
      </c>
      <c r="F1493" s="388">
        <f ca="1">IF(E1493&gt;10,ROUND(($D1494/12)*$F1492,0),$D1493)</f>
        <v>0</v>
      </c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</row>
    <row r="1494" spans="1:24" hidden="1">
      <c r="A1494" s="328"/>
      <c r="B1494" s="21" t="s">
        <v>415</v>
      </c>
      <c r="C1494" s="21"/>
      <c r="D1494" s="388">
        <f ca="1">IF(ISBLANK(OFFSET($E$269,D1491,0)),0,IF(E1493&gt;10,ROUND(D1493*am_budynki,0),IF(D1493&lt;0,0,D1493)))</f>
        <v>0</v>
      </c>
      <c r="E1494" s="21"/>
      <c r="F1494" s="21"/>
      <c r="G1494" s="21"/>
      <c r="H1494" s="21"/>
      <c r="I1494" s="21"/>
      <c r="J1494" s="21"/>
      <c r="K1494" s="75">
        <f ca="1">ROUND(IF($D1492=LataProjekcji,$F1493,IF($D1492=LataProjekcji,$D1494,0)),0)</f>
        <v>0</v>
      </c>
      <c r="L1494" s="248">
        <f ca="1">ROUND(IF(OR(AND($D1492=LataProjekcji,$F1492&gt;0),AND($D1492=LataProjekcji,$F1492=0,$E1493&lt;=10)),$F1493,IF($D1492&lt;LataProjekcji,IF((SUM($K1494:K1494)+$D1494)&lt;$D1493,$D1494,$D1493-SUM($K1494:K1494)),0)),0)</f>
        <v>0</v>
      </c>
      <c r="M1494" s="248">
        <f ca="1">ROUND(IF(OR(AND($D1492=LataProjekcji,$F1492&gt;0),AND($D1492=LataProjekcji,$F1492=0,$E1493&lt;=10)),$F1493,IF($D1492&lt;LataProjekcji,IF((SUM($K1494:L1494)+$D1494)&lt;$D1493,$D1494,$D1493-SUM($K1494:L1494)),0)),0)</f>
        <v>0</v>
      </c>
      <c r="N1494" s="248">
        <f ca="1">ROUND(IF(OR(AND($D1492=LataProjekcji,$F1492&gt;0),AND($D1492=LataProjekcji,$F1492=0,$E1493&lt;=10)),$F1493,IF($D1492&lt;LataProjekcji,IF((SUM($K1494:M1494)+$D1494)&lt;$D1493,$D1494,$D1493-SUM($K1494:M1494)),0)),0)</f>
        <v>0</v>
      </c>
      <c r="O1494" s="248">
        <f ca="1">ROUND(IF(OR(AND($D1492=LataProjekcji,$F1492&gt;0),AND($D1492=LataProjekcji,$F1492=0,$E1493&lt;=10)),$F1493,IF($D1492&lt;LataProjekcji,IF((SUM($K1494:N1494)+$D1494)&lt;$D1493,$D1494,$D1493-SUM($K1494:N1494)),0)),0)</f>
        <v>0</v>
      </c>
      <c r="P1494" s="248">
        <f ca="1">ROUND(IF(OR(AND($D1492=LataProjekcji,$F1492&gt;0),AND($D1492=LataProjekcji,$F1492=0,$E1493&lt;=10)),$F1493,IF($D1492&lt;LataProjekcji,IF((SUM($K1494:O1494)+$D1494)&lt;$D1493,$D1494,$D1493-SUM($K1494:O1494)),0)),0)</f>
        <v>0</v>
      </c>
      <c r="Q1494" s="248">
        <f ca="1">ROUND(IF(OR(AND($D1492=LataProjekcji,$F1492&gt;0),AND($D1492=LataProjekcji,$F1492=0,$E1493&lt;=10)),$F1493,IF($D1492&lt;LataProjekcji,IF((SUM($K1494:P1494)+$D1494)&lt;$D1493,$D1494,$D1493-SUM($K1494:P1494)),0)),0)</f>
        <v>0</v>
      </c>
      <c r="R1494" s="248">
        <f ca="1">ROUND(IF(OR(AND($D1492=LataProjekcji,$F1492&gt;0),AND($D1492=LataProjekcji,$F1492=0,$E1493&lt;=10)),$F1493,IF($D1492&lt;LataProjekcji,IF((SUM($K1494:Q1494)+$D1494)&lt;$D1493,$D1494,$D1493-SUM($K1494:Q1494)),0)),0)</f>
        <v>0</v>
      </c>
      <c r="S1494" s="248">
        <f ca="1">ROUND(IF(OR(AND($D1492=LataProjekcji,$F1492&gt;0),AND($D1492=LataProjekcji,$F1492=0,$E1493&lt;=10)),$F1493,IF($D1492&lt;LataProjekcji,IF((SUM($K1494:R1494)+$D1494)&lt;$D1493,$D1494,$D1493-SUM($K1494:R1494)),0)),0)</f>
        <v>0</v>
      </c>
      <c r="T1494" s="248">
        <f ca="1">ROUND(IF(OR(AND($D1492=LataProjekcji,$F1492&gt;0),AND($D1492=LataProjekcji,$F1492=0,$E1493&lt;=10)),$F1493,IF($D1492&lt;LataProjekcji,IF((SUM($K1494:S1494)+$D1494)&lt;$D1493,$D1494,$D1493-SUM($K1494:S1494)),0)),0)</f>
        <v>0</v>
      </c>
      <c r="U1494" s="248">
        <f ca="1">ROUND(IF(OR(AND($D1492=LataProjekcji,$F1492&gt;0),AND($D1492=LataProjekcji,$F1492=0,$E1493&lt;=10)),$F1493,IF($D1492&lt;LataProjekcji,IF((SUM($K1494:T1494)+$D1494)&lt;$D1493,$D1494,$D1493-SUM($K1494:T1494)),0)),0)</f>
        <v>0</v>
      </c>
      <c r="V1494" s="248">
        <f ca="1">ROUND(IF(OR(AND($D1492=LataProjekcji,$F1492&gt;0),AND($D1492=LataProjekcji,$F1492=0,$E1493&lt;=10)),$F1493,IF($D1492&lt;LataProjekcji,IF((SUM($K1494:U1494)+$D1494)&lt;$D1493,$D1494,$D1493-SUM($K1494:U1494)),0)),0)</f>
        <v>0</v>
      </c>
      <c r="W1494" s="248">
        <f ca="1">ROUND(IF(OR(AND($D1492=LataProjekcji,$F1492&gt;0),AND($D1492=LataProjekcji,$F1492=0,$E1493&lt;=10)),$F1493,IF($D1492&lt;LataProjekcji,IF((SUM($K1494:V1494)+$D1494)&lt;$D1493,$D1494,$D1493-SUM($K1494:V1494)),0)),0)</f>
        <v>0</v>
      </c>
      <c r="X1494" s="248">
        <f ca="1">ROUND(IF(OR(AND($D1492=LataProjekcji,$F1492&gt;0),AND($D1492=LataProjekcji,$F1492=0,$E1493&lt;=10)),$F1493,IF($D1492&lt;LataProjekcji,IF((SUM($K1494:W1494)+$D1494)&lt;$D1493,$D1494,$D1493-SUM($K1494:W1494)),0)),0)</f>
        <v>0</v>
      </c>
    </row>
    <row r="1495" spans="1:24" hidden="1">
      <c r="A1495" s="328"/>
      <c r="B1495" s="21" t="s">
        <v>416</v>
      </c>
      <c r="C1495" s="21"/>
      <c r="D1495" s="22"/>
      <c r="E1495" s="21"/>
      <c r="F1495" s="21"/>
      <c r="G1495" s="21"/>
      <c r="H1495" s="21"/>
      <c r="I1495" s="21"/>
      <c r="J1495" s="21"/>
      <c r="K1495" s="22">
        <f ca="1">ROUND(K1494,0)</f>
        <v>0</v>
      </c>
      <c r="L1495" s="22">
        <f t="shared" ref="L1495:X1495" ca="1" si="1327">ROUND(K1495+L1494,0)</f>
        <v>0</v>
      </c>
      <c r="M1495" s="22">
        <f t="shared" ca="1" si="1327"/>
        <v>0</v>
      </c>
      <c r="N1495" s="22">
        <f t="shared" ca="1" si="1327"/>
        <v>0</v>
      </c>
      <c r="O1495" s="22">
        <f t="shared" ca="1" si="1327"/>
        <v>0</v>
      </c>
      <c r="P1495" s="22">
        <f t="shared" ca="1" si="1327"/>
        <v>0</v>
      </c>
      <c r="Q1495" s="22">
        <f t="shared" ca="1" si="1327"/>
        <v>0</v>
      </c>
      <c r="R1495" s="22">
        <f t="shared" ca="1" si="1327"/>
        <v>0</v>
      </c>
      <c r="S1495" s="22">
        <f t="shared" ca="1" si="1327"/>
        <v>0</v>
      </c>
      <c r="T1495" s="22">
        <f t="shared" ca="1" si="1327"/>
        <v>0</v>
      </c>
      <c r="U1495" s="22">
        <f t="shared" ca="1" si="1327"/>
        <v>0</v>
      </c>
      <c r="V1495" s="22">
        <f t="shared" ca="1" si="1327"/>
        <v>0</v>
      </c>
      <c r="W1495" s="22">
        <f t="shared" ca="1" si="1327"/>
        <v>0</v>
      </c>
      <c r="X1495" s="22">
        <f t="shared" ca="1" si="1327"/>
        <v>0</v>
      </c>
    </row>
    <row r="1496" spans="1:24" hidden="1">
      <c r="A1496" s="328"/>
      <c r="B1496" s="21" t="s">
        <v>406</v>
      </c>
      <c r="C1496" s="21"/>
      <c r="D1496" s="22"/>
      <c r="E1496" s="21"/>
      <c r="F1496" s="21"/>
      <c r="G1496" s="21"/>
      <c r="H1496" s="21"/>
      <c r="I1496" s="21"/>
      <c r="J1496" s="21"/>
      <c r="K1496" s="77">
        <f ca="1">IF($D1492=LataProjekcji,ROUND($D1493-K1495,0),ROUND(IF(K1494=0,0,$D1493-K1495),0))</f>
        <v>0</v>
      </c>
      <c r="L1496" s="254">
        <f t="shared" ref="L1496:X1496" ca="1" si="1328">IF($D1492=LataProjekcji,ROUND($D1493-L1495,0),ROUND(IF(AND(L1494=0,K1496&gt;0),$D1493-L1495,IF(L1494=0,0,$D1493-L1495)),0))</f>
        <v>0</v>
      </c>
      <c r="M1496" s="254">
        <f t="shared" ca="1" si="1328"/>
        <v>0</v>
      </c>
      <c r="N1496" s="254">
        <f t="shared" ca="1" si="1328"/>
        <v>0</v>
      </c>
      <c r="O1496" s="254">
        <f t="shared" ca="1" si="1328"/>
        <v>0</v>
      </c>
      <c r="P1496" s="254">
        <f t="shared" ca="1" si="1328"/>
        <v>0</v>
      </c>
      <c r="Q1496" s="254">
        <f t="shared" ca="1" si="1328"/>
        <v>0</v>
      </c>
      <c r="R1496" s="254">
        <f t="shared" ca="1" si="1328"/>
        <v>0</v>
      </c>
      <c r="S1496" s="254">
        <f t="shared" ca="1" si="1328"/>
        <v>0</v>
      </c>
      <c r="T1496" s="254">
        <f t="shared" ca="1" si="1328"/>
        <v>0</v>
      </c>
      <c r="U1496" s="254">
        <f t="shared" ca="1" si="1328"/>
        <v>0</v>
      </c>
      <c r="V1496" s="254">
        <f t="shared" ca="1" si="1328"/>
        <v>0</v>
      </c>
      <c r="W1496" s="254">
        <f t="shared" ca="1" si="1328"/>
        <v>0</v>
      </c>
      <c r="X1496" s="254">
        <f t="shared" ca="1" si="1328"/>
        <v>0</v>
      </c>
    </row>
    <row r="1497" spans="1:24" hidden="1">
      <c r="A1497" s="328"/>
      <c r="H1497" s="404">
        <f>H1490+1</f>
        <v>9</v>
      </c>
      <c r="I1497" s="483" cm="1">
        <f t="array" aca="1" ref="I1497" ca="1">OFFSET('Środki trwałe'!$C$353,H1497,,)</f>
        <v>0</v>
      </c>
      <c r="J1497" s="404" t="s">
        <v>427</v>
      </c>
      <c r="K1497" s="405">
        <f t="shared" ref="K1497:X1497" ca="1" si="1329">IF(AND(OFFSET($F$269,$D1491,0)="tak",OFFSET($G$269,$D1491,0)="tak",OFFSET($J$269,$D1491,0)="ok",LataProjekcji&lt;=Koniec_Projekt),ROUND(K1494*OFFSET($K$374,$H1497,(COLUMN()-11)),0),0)</f>
        <v>0</v>
      </c>
      <c r="L1497" s="405">
        <f t="shared" ca="1" si="1329"/>
        <v>0</v>
      </c>
      <c r="M1497" s="405">
        <f t="shared" ca="1" si="1329"/>
        <v>0</v>
      </c>
      <c r="N1497" s="405">
        <f t="shared" ca="1" si="1329"/>
        <v>0</v>
      </c>
      <c r="O1497" s="405">
        <f t="shared" ca="1" si="1329"/>
        <v>0</v>
      </c>
      <c r="P1497" s="405">
        <f t="shared" ca="1" si="1329"/>
        <v>0</v>
      </c>
      <c r="Q1497" s="405">
        <f t="shared" ca="1" si="1329"/>
        <v>0</v>
      </c>
      <c r="R1497" s="405">
        <f t="shared" ca="1" si="1329"/>
        <v>0</v>
      </c>
      <c r="S1497" s="405">
        <f t="shared" ca="1" si="1329"/>
        <v>0</v>
      </c>
      <c r="T1497" s="405">
        <f t="shared" ca="1" si="1329"/>
        <v>0</v>
      </c>
      <c r="U1497" s="405">
        <f t="shared" ca="1" si="1329"/>
        <v>0</v>
      </c>
      <c r="V1497" s="405">
        <f t="shared" ca="1" si="1329"/>
        <v>0</v>
      </c>
      <c r="W1497" s="405">
        <f t="shared" ca="1" si="1329"/>
        <v>0</v>
      </c>
      <c r="X1497" s="405">
        <f t="shared" ca="1" si="1329"/>
        <v>0</v>
      </c>
    </row>
    <row r="1498" spans="1:24" hidden="1">
      <c r="A1498" s="328"/>
      <c r="B1498" s="379" t="s">
        <v>432</v>
      </c>
      <c r="C1498" s="379"/>
    </row>
    <row r="1499" spans="1:24" ht="20.399999999999999" hidden="1">
      <c r="A1499" s="328"/>
      <c r="B1499" s="7" t="s">
        <v>433</v>
      </c>
      <c r="C1499" s="7"/>
      <c r="D1499" s="375" t="s">
        <v>406</v>
      </c>
      <c r="E1499" s="375" t="s">
        <v>421</v>
      </c>
      <c r="F1499" s="393" t="s">
        <v>336</v>
      </c>
      <c r="G1499" s="393" t="s">
        <v>422</v>
      </c>
      <c r="J1499" s="393" t="s">
        <v>423</v>
      </c>
    </row>
    <row r="1500" spans="1:24" hidden="1">
      <c r="A1500" s="328"/>
      <c r="B1500" s="37" t="str">
        <f>IF(ISBLANK(B409),"",B409)</f>
        <v/>
      </c>
      <c r="C1500" s="37"/>
      <c r="D1500" s="33">
        <f ca="1">IFERROR(SUM(INDIRECT(ADDRESS(ROW(K409),(MATCH(D409,LataProjekcji,0)+6))):INDIRECT(ADDRESS(ROW(K409),(MATCH(YEAR(E409),LataProjekcji,0)+6)))),0)</f>
        <v>0</v>
      </c>
      <c r="E1500" s="384" t="str">
        <f>IF(ISBLANK(E409),"",E409)</f>
        <v/>
      </c>
      <c r="F1500" s="74">
        <f t="shared" ref="F1500:G1504" si="1330">F409</f>
        <v>0</v>
      </c>
      <c r="G1500" s="74">
        <f t="shared" si="1330"/>
        <v>0</v>
      </c>
      <c r="J1500" s="74" t="str">
        <f>J409</f>
        <v>wstaw dane</v>
      </c>
      <c r="K1500" s="33">
        <f t="shared" ref="K1500:X1504" si="1331">IFERROR(ROUND(IF(YEAR($E1500)=LataProjekcji,$D1500,0),0),0)</f>
        <v>0</v>
      </c>
      <c r="L1500" s="33">
        <f t="shared" si="1331"/>
        <v>0</v>
      </c>
      <c r="M1500" s="33">
        <f t="shared" si="1331"/>
        <v>0</v>
      </c>
      <c r="N1500" s="33">
        <f t="shared" si="1331"/>
        <v>0</v>
      </c>
      <c r="O1500" s="33">
        <f t="shared" si="1331"/>
        <v>0</v>
      </c>
      <c r="P1500" s="33">
        <f t="shared" si="1331"/>
        <v>0</v>
      </c>
      <c r="Q1500" s="33">
        <f t="shared" si="1331"/>
        <v>0</v>
      </c>
      <c r="R1500" s="33">
        <f t="shared" si="1331"/>
        <v>0</v>
      </c>
      <c r="S1500" s="33">
        <f t="shared" si="1331"/>
        <v>0</v>
      </c>
      <c r="T1500" s="33">
        <f t="shared" si="1331"/>
        <v>0</v>
      </c>
      <c r="U1500" s="33">
        <f t="shared" si="1331"/>
        <v>0</v>
      </c>
      <c r="V1500" s="33">
        <f t="shared" si="1331"/>
        <v>0</v>
      </c>
      <c r="W1500" s="33">
        <f t="shared" si="1331"/>
        <v>0</v>
      </c>
      <c r="X1500" s="33">
        <f t="shared" si="1331"/>
        <v>0</v>
      </c>
    </row>
    <row r="1501" spans="1:24" hidden="1">
      <c r="A1501" s="328"/>
      <c r="B1501" s="37" t="str">
        <f>IF(ISBLANK(B410),"",B410)</f>
        <v/>
      </c>
      <c r="C1501" s="37"/>
      <c r="D1501" s="33">
        <f ca="1">IFERROR(SUM(INDIRECT(ADDRESS(ROW(K410),(MATCH(D410,LataProjekcji,0)+6))):INDIRECT(ADDRESS(ROW(K410),(MATCH(YEAR(E410),LataProjekcji,0)+6)))),0)</f>
        <v>0</v>
      </c>
      <c r="E1501" s="384" t="str">
        <f>IF(ISBLANK(E410),"",E410)</f>
        <v/>
      </c>
      <c r="F1501" s="74">
        <f t="shared" si="1330"/>
        <v>0</v>
      </c>
      <c r="G1501" s="74">
        <f t="shared" si="1330"/>
        <v>0</v>
      </c>
      <c r="J1501" s="74" t="str">
        <f>J410</f>
        <v>wstaw dane</v>
      </c>
      <c r="K1501" s="33">
        <f t="shared" si="1331"/>
        <v>0</v>
      </c>
      <c r="L1501" s="33">
        <f t="shared" si="1331"/>
        <v>0</v>
      </c>
      <c r="M1501" s="33">
        <f t="shared" si="1331"/>
        <v>0</v>
      </c>
      <c r="N1501" s="33">
        <f t="shared" si="1331"/>
        <v>0</v>
      </c>
      <c r="O1501" s="33">
        <f t="shared" si="1331"/>
        <v>0</v>
      </c>
      <c r="P1501" s="33">
        <f t="shared" si="1331"/>
        <v>0</v>
      </c>
      <c r="Q1501" s="33">
        <f t="shared" si="1331"/>
        <v>0</v>
      </c>
      <c r="R1501" s="33">
        <f t="shared" si="1331"/>
        <v>0</v>
      </c>
      <c r="S1501" s="33">
        <f t="shared" si="1331"/>
        <v>0</v>
      </c>
      <c r="T1501" s="33">
        <f t="shared" si="1331"/>
        <v>0</v>
      </c>
      <c r="U1501" s="33">
        <f t="shared" si="1331"/>
        <v>0</v>
      </c>
      <c r="V1501" s="33">
        <f t="shared" si="1331"/>
        <v>0</v>
      </c>
      <c r="W1501" s="33">
        <f t="shared" si="1331"/>
        <v>0</v>
      </c>
      <c r="X1501" s="33">
        <f t="shared" si="1331"/>
        <v>0</v>
      </c>
    </row>
    <row r="1502" spans="1:24" hidden="1">
      <c r="A1502" s="328"/>
      <c r="B1502" s="37" t="str">
        <f>IF(ISBLANK(B411),"",B411)</f>
        <v/>
      </c>
      <c r="C1502" s="37"/>
      <c r="D1502" s="33">
        <f ca="1">IFERROR(SUM(INDIRECT(ADDRESS(ROW(K411),(MATCH(D411,LataProjekcji,0)+6))):INDIRECT(ADDRESS(ROW(K411),(MATCH(YEAR(E411),LataProjekcji,0)+6)))),0)</f>
        <v>0</v>
      </c>
      <c r="E1502" s="384" t="str">
        <f>IF(ISBLANK(E411),"",E411)</f>
        <v/>
      </c>
      <c r="F1502" s="74">
        <f t="shared" si="1330"/>
        <v>0</v>
      </c>
      <c r="G1502" s="74">
        <f t="shared" si="1330"/>
        <v>0</v>
      </c>
      <c r="J1502" s="74" t="str">
        <f>J411</f>
        <v>wstaw dane</v>
      </c>
      <c r="K1502" s="33">
        <f t="shared" si="1331"/>
        <v>0</v>
      </c>
      <c r="L1502" s="33">
        <f t="shared" si="1331"/>
        <v>0</v>
      </c>
      <c r="M1502" s="33">
        <f t="shared" si="1331"/>
        <v>0</v>
      </c>
      <c r="N1502" s="33">
        <f t="shared" si="1331"/>
        <v>0</v>
      </c>
      <c r="O1502" s="33">
        <f t="shared" si="1331"/>
        <v>0</v>
      </c>
      <c r="P1502" s="33">
        <f t="shared" si="1331"/>
        <v>0</v>
      </c>
      <c r="Q1502" s="33">
        <f t="shared" si="1331"/>
        <v>0</v>
      </c>
      <c r="R1502" s="33">
        <f t="shared" si="1331"/>
        <v>0</v>
      </c>
      <c r="S1502" s="33">
        <f t="shared" si="1331"/>
        <v>0</v>
      </c>
      <c r="T1502" s="33">
        <f t="shared" si="1331"/>
        <v>0</v>
      </c>
      <c r="U1502" s="33">
        <f t="shared" si="1331"/>
        <v>0</v>
      </c>
      <c r="V1502" s="33">
        <f t="shared" si="1331"/>
        <v>0</v>
      </c>
      <c r="W1502" s="33">
        <f t="shared" si="1331"/>
        <v>0</v>
      </c>
      <c r="X1502" s="33">
        <f t="shared" si="1331"/>
        <v>0</v>
      </c>
    </row>
    <row r="1503" spans="1:24" hidden="1">
      <c r="A1503" s="328"/>
      <c r="B1503" s="37" t="str">
        <f>IF(ISBLANK(B412),"",B412)</f>
        <v/>
      </c>
      <c r="C1503" s="37"/>
      <c r="D1503" s="33">
        <f ca="1">IFERROR(SUM(INDIRECT(ADDRESS(ROW(K412),(MATCH(D412,LataProjekcji,0)+6))):INDIRECT(ADDRESS(ROW(K412),(MATCH(YEAR(E412),LataProjekcji,0)+6)))),0)</f>
        <v>0</v>
      </c>
      <c r="E1503" s="384" t="str">
        <f>IF(ISBLANK(E412),"",E412)</f>
        <v/>
      </c>
      <c r="F1503" s="74">
        <f t="shared" si="1330"/>
        <v>0</v>
      </c>
      <c r="G1503" s="74">
        <f t="shared" si="1330"/>
        <v>0</v>
      </c>
      <c r="J1503" s="74" t="str">
        <f>J412</f>
        <v>wstaw dane</v>
      </c>
      <c r="K1503" s="33">
        <f t="shared" si="1331"/>
        <v>0</v>
      </c>
      <c r="L1503" s="33">
        <f t="shared" si="1331"/>
        <v>0</v>
      </c>
      <c r="M1503" s="33">
        <f t="shared" si="1331"/>
        <v>0</v>
      </c>
      <c r="N1503" s="33">
        <f t="shared" si="1331"/>
        <v>0</v>
      </c>
      <c r="O1503" s="33">
        <f t="shared" si="1331"/>
        <v>0</v>
      </c>
      <c r="P1503" s="33">
        <f t="shared" si="1331"/>
        <v>0</v>
      </c>
      <c r="Q1503" s="33">
        <f t="shared" si="1331"/>
        <v>0</v>
      </c>
      <c r="R1503" s="33">
        <f t="shared" si="1331"/>
        <v>0</v>
      </c>
      <c r="S1503" s="33">
        <f t="shared" si="1331"/>
        <v>0</v>
      </c>
      <c r="T1503" s="33">
        <f t="shared" si="1331"/>
        <v>0</v>
      </c>
      <c r="U1503" s="33">
        <f t="shared" si="1331"/>
        <v>0</v>
      </c>
      <c r="V1503" s="33">
        <f t="shared" si="1331"/>
        <v>0</v>
      </c>
      <c r="W1503" s="33">
        <f t="shared" si="1331"/>
        <v>0</v>
      </c>
      <c r="X1503" s="33">
        <f t="shared" si="1331"/>
        <v>0</v>
      </c>
    </row>
    <row r="1504" spans="1:24" hidden="1">
      <c r="A1504" s="328"/>
      <c r="B1504" s="37" t="str">
        <f>IF(ISBLANK(B413),"",B413)</f>
        <v/>
      </c>
      <c r="C1504" s="37"/>
      <c r="D1504" s="33">
        <f ca="1">IFERROR(SUM(INDIRECT(ADDRESS(ROW(K413),(MATCH(D413,LataProjekcji,0)+6))):INDIRECT(ADDRESS(ROW(K413),(MATCH(YEAR(E413),LataProjekcji,0)+6)))),0)</f>
        <v>0</v>
      </c>
      <c r="E1504" s="384" t="str">
        <f>IF(ISBLANK(E413),"",E413)</f>
        <v/>
      </c>
      <c r="F1504" s="74">
        <f t="shared" si="1330"/>
        <v>0</v>
      </c>
      <c r="G1504" s="74">
        <f t="shared" si="1330"/>
        <v>0</v>
      </c>
      <c r="J1504" s="74" t="str">
        <f>J413</f>
        <v>wstaw dane</v>
      </c>
      <c r="K1504" s="33">
        <f t="shared" si="1331"/>
        <v>0</v>
      </c>
      <c r="L1504" s="33">
        <f t="shared" si="1331"/>
        <v>0</v>
      </c>
      <c r="M1504" s="33">
        <f t="shared" si="1331"/>
        <v>0</v>
      </c>
      <c r="N1504" s="33">
        <f t="shared" si="1331"/>
        <v>0</v>
      </c>
      <c r="O1504" s="33">
        <f t="shared" si="1331"/>
        <v>0</v>
      </c>
      <c r="P1504" s="33">
        <f t="shared" si="1331"/>
        <v>0</v>
      </c>
      <c r="Q1504" s="33">
        <f t="shared" si="1331"/>
        <v>0</v>
      </c>
      <c r="R1504" s="33">
        <f t="shared" si="1331"/>
        <v>0</v>
      </c>
      <c r="S1504" s="33">
        <f t="shared" si="1331"/>
        <v>0</v>
      </c>
      <c r="T1504" s="33">
        <f t="shared" si="1331"/>
        <v>0</v>
      </c>
      <c r="U1504" s="33">
        <f t="shared" si="1331"/>
        <v>0</v>
      </c>
      <c r="V1504" s="33">
        <f t="shared" si="1331"/>
        <v>0</v>
      </c>
      <c r="W1504" s="33">
        <f t="shared" si="1331"/>
        <v>0</v>
      </c>
      <c r="X1504" s="33">
        <f t="shared" si="1331"/>
        <v>0</v>
      </c>
    </row>
    <row r="1505" spans="1:24" hidden="1">
      <c r="A1505" s="328"/>
      <c r="B1505" s="17" t="s">
        <v>335</v>
      </c>
      <c r="C1505" s="17"/>
      <c r="D1505" s="18">
        <f ca="1">SUM(D1500:D1504)</f>
        <v>0</v>
      </c>
      <c r="E1505" s="377"/>
      <c r="F1505" s="19"/>
      <c r="G1505" s="18">
        <f>SUM(G1500:G1504)</f>
        <v>0</v>
      </c>
      <c r="H1505" s="19"/>
      <c r="I1505" s="19"/>
      <c r="J1505" s="19"/>
      <c r="K1505" s="18">
        <f t="shared" ref="K1505:X1505" si="1332">SUM(K1500:K1504)</f>
        <v>0</v>
      </c>
      <c r="L1505" s="18">
        <f t="shared" si="1332"/>
        <v>0</v>
      </c>
      <c r="M1505" s="18">
        <f t="shared" si="1332"/>
        <v>0</v>
      </c>
      <c r="N1505" s="18">
        <f t="shared" si="1332"/>
        <v>0</v>
      </c>
      <c r="O1505" s="18">
        <f t="shared" si="1332"/>
        <v>0</v>
      </c>
      <c r="P1505" s="18">
        <f t="shared" si="1332"/>
        <v>0</v>
      </c>
      <c r="Q1505" s="18">
        <f t="shared" si="1332"/>
        <v>0</v>
      </c>
      <c r="R1505" s="18">
        <f t="shared" si="1332"/>
        <v>0</v>
      </c>
      <c r="S1505" s="18">
        <f t="shared" si="1332"/>
        <v>0</v>
      </c>
      <c r="T1505" s="18">
        <f t="shared" si="1332"/>
        <v>0</v>
      </c>
      <c r="U1505" s="18">
        <f t="shared" si="1332"/>
        <v>0</v>
      </c>
      <c r="V1505" s="18">
        <f t="shared" si="1332"/>
        <v>0</v>
      </c>
      <c r="W1505" s="18">
        <f t="shared" si="1332"/>
        <v>0</v>
      </c>
      <c r="X1505" s="18">
        <f t="shared" si="1332"/>
        <v>0</v>
      </c>
    </row>
    <row r="1506" spans="1:24" hidden="1">
      <c r="A1506" s="328"/>
      <c r="B1506" s="8" t="s">
        <v>384</v>
      </c>
      <c r="C1506" s="8"/>
      <c r="K1506" s="5">
        <f ca="1">K1513+K1520+K1527+K1534+K1541</f>
        <v>0</v>
      </c>
      <c r="L1506" s="5">
        <f t="shared" ref="L1506:X1506" ca="1" si="1333">L1513+L1520+L1527+L1534+L1541</f>
        <v>0</v>
      </c>
      <c r="M1506" s="5">
        <f t="shared" ca="1" si="1333"/>
        <v>0</v>
      </c>
      <c r="N1506" s="5">
        <f t="shared" ca="1" si="1333"/>
        <v>0</v>
      </c>
      <c r="O1506" s="5">
        <f t="shared" ca="1" si="1333"/>
        <v>0</v>
      </c>
      <c r="P1506" s="5">
        <f t="shared" ca="1" si="1333"/>
        <v>0</v>
      </c>
      <c r="Q1506" s="5">
        <f t="shared" ca="1" si="1333"/>
        <v>0</v>
      </c>
      <c r="R1506" s="5">
        <f t="shared" ca="1" si="1333"/>
        <v>0</v>
      </c>
      <c r="S1506" s="5">
        <f t="shared" ca="1" si="1333"/>
        <v>0</v>
      </c>
      <c r="T1506" s="5">
        <f t="shared" ca="1" si="1333"/>
        <v>0</v>
      </c>
      <c r="U1506" s="5">
        <f t="shared" ca="1" si="1333"/>
        <v>0</v>
      </c>
      <c r="V1506" s="5">
        <f t="shared" ca="1" si="1333"/>
        <v>0</v>
      </c>
      <c r="W1506" s="5">
        <f t="shared" ca="1" si="1333"/>
        <v>0</v>
      </c>
      <c r="X1506" s="5">
        <f t="shared" ca="1" si="1333"/>
        <v>0</v>
      </c>
    </row>
    <row r="1507" spans="1:24" hidden="1">
      <c r="A1507" s="328"/>
      <c r="B1507" s="8" t="s">
        <v>385</v>
      </c>
      <c r="C1507" s="8"/>
      <c r="K1507" s="5">
        <f ca="1">K1514+K1521+K1528+K1535+K1542</f>
        <v>0</v>
      </c>
      <c r="L1507" s="5">
        <f t="shared" ref="L1507:X1507" ca="1" si="1334">L1514+L1521+L1528+L1535+L1542</f>
        <v>0</v>
      </c>
      <c r="M1507" s="5">
        <f t="shared" ca="1" si="1334"/>
        <v>0</v>
      </c>
      <c r="N1507" s="5">
        <f t="shared" ca="1" si="1334"/>
        <v>0</v>
      </c>
      <c r="O1507" s="5">
        <f t="shared" ca="1" si="1334"/>
        <v>0</v>
      </c>
      <c r="P1507" s="5">
        <f t="shared" ca="1" si="1334"/>
        <v>0</v>
      </c>
      <c r="Q1507" s="5">
        <f t="shared" ca="1" si="1334"/>
        <v>0</v>
      </c>
      <c r="R1507" s="5">
        <f t="shared" ca="1" si="1334"/>
        <v>0</v>
      </c>
      <c r="S1507" s="5">
        <f t="shared" ca="1" si="1334"/>
        <v>0</v>
      </c>
      <c r="T1507" s="5">
        <f t="shared" ca="1" si="1334"/>
        <v>0</v>
      </c>
      <c r="U1507" s="5">
        <f t="shared" ca="1" si="1334"/>
        <v>0</v>
      </c>
      <c r="V1507" s="5">
        <f t="shared" ca="1" si="1334"/>
        <v>0</v>
      </c>
      <c r="W1507" s="5">
        <f t="shared" ca="1" si="1334"/>
        <v>0</v>
      </c>
      <c r="X1507" s="5">
        <f t="shared" ca="1" si="1334"/>
        <v>0</v>
      </c>
    </row>
    <row r="1508" spans="1:24" hidden="1">
      <c r="A1508" s="328"/>
      <c r="B1508" s="376" t="s">
        <v>386</v>
      </c>
      <c r="C1508" s="376"/>
      <c r="K1508" s="13">
        <f ca="1">K1515+K1522+K1529+K1536+K1543</f>
        <v>0</v>
      </c>
      <c r="L1508" s="13">
        <f t="shared" ref="L1508:X1508" ca="1" si="1335">L1515+L1522+L1529+L1536+L1543</f>
        <v>0</v>
      </c>
      <c r="M1508" s="13">
        <f t="shared" ca="1" si="1335"/>
        <v>0</v>
      </c>
      <c r="N1508" s="13">
        <f t="shared" ca="1" si="1335"/>
        <v>0</v>
      </c>
      <c r="O1508" s="13">
        <f t="shared" ca="1" si="1335"/>
        <v>0</v>
      </c>
      <c r="P1508" s="13">
        <f t="shared" ca="1" si="1335"/>
        <v>0</v>
      </c>
      <c r="Q1508" s="13">
        <f t="shared" ca="1" si="1335"/>
        <v>0</v>
      </c>
      <c r="R1508" s="13">
        <f t="shared" ca="1" si="1335"/>
        <v>0</v>
      </c>
      <c r="S1508" s="13">
        <f t="shared" ca="1" si="1335"/>
        <v>0</v>
      </c>
      <c r="T1508" s="13">
        <f t="shared" ca="1" si="1335"/>
        <v>0</v>
      </c>
      <c r="U1508" s="13">
        <f t="shared" ca="1" si="1335"/>
        <v>0</v>
      </c>
      <c r="V1508" s="13">
        <f t="shared" ca="1" si="1335"/>
        <v>0</v>
      </c>
      <c r="W1508" s="13">
        <f t="shared" ca="1" si="1335"/>
        <v>0</v>
      </c>
      <c r="X1508" s="13">
        <f t="shared" ca="1" si="1335"/>
        <v>0</v>
      </c>
    </row>
    <row r="1509" spans="1:24" ht="12.6" hidden="1" thickBot="1">
      <c r="A1509" s="328"/>
    </row>
    <row r="1510" spans="1:24" ht="12.6" hidden="1" thickBot="1">
      <c r="A1510" s="328"/>
      <c r="B1510" s="20" t="str">
        <f ca="1">OFFSET($B$269,D1510,0)</f>
        <v/>
      </c>
      <c r="C1510" s="20"/>
      <c r="D1510" s="250">
        <v>1231</v>
      </c>
      <c r="E1510" s="21"/>
      <c r="F1510" s="21" t="s">
        <v>411</v>
      </c>
      <c r="G1510" s="48"/>
      <c r="H1510" s="50" t="s">
        <v>412</v>
      </c>
      <c r="I1510" s="21" t="s">
        <v>413</v>
      </c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</row>
    <row r="1511" spans="1:24" hidden="1">
      <c r="A1511" s="328"/>
      <c r="B1511" s="21" t="s">
        <v>414</v>
      </c>
      <c r="C1511" s="21"/>
      <c r="D1511" s="165">
        <f ca="1">IFERROR(YEAR(OFFSET($E$269,D1510,0)),0)</f>
        <v>0</v>
      </c>
      <c r="E1511" s="165">
        <f ca="1">IFERROR(MONTH(OFFSET($E$269,D1510,0)),0)</f>
        <v>0</v>
      </c>
      <c r="F1511" s="21">
        <f ca="1">12-$E1511</f>
        <v>12</v>
      </c>
      <c r="G1511" s="49"/>
      <c r="H1511" s="51">
        <f ca="1">D1505-G1511</f>
        <v>0</v>
      </c>
      <c r="I1511" s="22">
        <f ca="1">D1505-G1511-H1511</f>
        <v>0</v>
      </c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</row>
    <row r="1512" spans="1:24" hidden="1">
      <c r="A1512" s="328"/>
      <c r="B1512" s="21" t="s">
        <v>406</v>
      </c>
      <c r="C1512" s="21"/>
      <c r="D1512" s="247">
        <f ca="1">IF(E1512&lt;0,0,ROUND(E1512,0))</f>
        <v>0</v>
      </c>
      <c r="E1512" s="249">
        <f ca="1">OFFSET($D$269,D1510,0)</f>
        <v>0</v>
      </c>
      <c r="F1512" s="247">
        <f ca="1">IF(E1512&gt;10,ROUND(($D1513/12)*$F1511,0),$D1512)</f>
        <v>0</v>
      </c>
      <c r="G1512" s="21" t="s">
        <v>426</v>
      </c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</row>
    <row r="1513" spans="1:24" hidden="1">
      <c r="A1513" s="328"/>
      <c r="B1513" s="21" t="s">
        <v>415</v>
      </c>
      <c r="C1513" s="21"/>
      <c r="D1513" s="247">
        <f ca="1">IF(ISBLANK(OFFSET($E$269,D1510,0)),0,IF(E1512&gt;10,ROUND(D1512*am_budynki,0),IF(D1512&lt;0,0,D1512)))</f>
        <v>0</v>
      </c>
      <c r="E1513" s="21"/>
      <c r="F1513" s="21"/>
      <c r="G1513" s="21"/>
      <c r="H1513" s="21"/>
      <c r="I1513" s="21"/>
      <c r="J1513" s="21"/>
      <c r="K1513" s="75">
        <f ca="1">ROUND(IF($D1511=LataProjekcji,$F1512,IF($D1511=LataProjekcji,$D1513,0)),0)</f>
        <v>0</v>
      </c>
      <c r="L1513" s="248">
        <f ca="1">ROUND(IF(OR(AND($D1511=LataProjekcji,$F1511&gt;0),AND($D1511=LataProjekcji,$F1511=0,$E1512&lt;=10)),$F1512,IF($D1511&lt;LataProjekcji,IF((SUM($K1513:K1513)+$D1513)&lt;$D1512,$D1513,$D1512-SUM($K1513:K1513)),0)),0)</f>
        <v>0</v>
      </c>
      <c r="M1513" s="248">
        <f ca="1">ROUND(IF(OR(AND($D1511=LataProjekcji,$F1511&gt;0),AND($D1511=LataProjekcji,$F1511=0,$E1512&lt;=10)),$F1512,IF($D1511&lt;LataProjekcji,IF((SUM($K1513:L1513)+$D1513)&lt;$D1512,$D1513,$D1512-SUM($K1513:L1513)),0)),0)</f>
        <v>0</v>
      </c>
      <c r="N1513" s="248">
        <f ca="1">ROUND(IF(OR(AND($D1511=LataProjekcji,$F1511&gt;0),AND($D1511=LataProjekcji,$F1511=0,$E1512&lt;=10)),$F1512,IF($D1511&lt;LataProjekcji,IF((SUM($K1513:M1513)+$D1513)&lt;$D1512,$D1513,$D1512-SUM($K1513:M1513)),0)),0)</f>
        <v>0</v>
      </c>
      <c r="O1513" s="248">
        <f ca="1">ROUND(IF(OR(AND($D1511=LataProjekcji,$F1511&gt;0),AND($D1511=LataProjekcji,$F1511=0,$E1512&lt;=10)),$F1512,IF($D1511&lt;LataProjekcji,IF((SUM($K1513:N1513)+$D1513)&lt;$D1512,$D1513,$D1512-SUM($K1513:N1513)),0)),0)</f>
        <v>0</v>
      </c>
      <c r="P1513" s="248">
        <f ca="1">ROUND(IF(OR(AND($D1511=LataProjekcji,$F1511&gt;0),AND($D1511=LataProjekcji,$F1511=0,$E1512&lt;=10)),$F1512,IF($D1511&lt;LataProjekcji,IF((SUM($K1513:O1513)+$D1513)&lt;$D1512,$D1513,$D1512-SUM($K1513:O1513)),0)),0)</f>
        <v>0</v>
      </c>
      <c r="Q1513" s="248">
        <f ca="1">ROUND(IF(OR(AND($D1511=LataProjekcji,$F1511&gt;0),AND($D1511=LataProjekcji,$F1511=0,$E1512&lt;=10)),$F1512,IF($D1511&lt;LataProjekcji,IF((SUM($K1513:P1513)+$D1513)&lt;$D1512,$D1513,$D1512-SUM($K1513:P1513)),0)),0)</f>
        <v>0</v>
      </c>
      <c r="R1513" s="248">
        <f ca="1">ROUND(IF(OR(AND($D1511=LataProjekcji,$F1511&gt;0),AND($D1511=LataProjekcji,$F1511=0,$E1512&lt;=10)),$F1512,IF($D1511&lt;LataProjekcji,IF((SUM($K1513:Q1513)+$D1513)&lt;$D1512,$D1513,$D1512-SUM($K1513:Q1513)),0)),0)</f>
        <v>0</v>
      </c>
      <c r="S1513" s="248">
        <f ca="1">ROUND(IF(OR(AND($D1511=LataProjekcji,$F1511&gt;0),AND($D1511=LataProjekcji,$F1511=0,$E1512&lt;=10)),$F1512,IF($D1511&lt;LataProjekcji,IF((SUM($K1513:R1513)+$D1513)&lt;$D1512,$D1513,$D1512-SUM($K1513:R1513)),0)),0)</f>
        <v>0</v>
      </c>
      <c r="T1513" s="248">
        <f ca="1">ROUND(IF(OR(AND($D1511=LataProjekcji,$F1511&gt;0),AND($D1511=LataProjekcji,$F1511=0,$E1512&lt;=10)),$F1512,IF($D1511&lt;LataProjekcji,IF((SUM($K1513:S1513)+$D1513)&lt;$D1512,$D1513,$D1512-SUM($K1513:S1513)),0)),0)</f>
        <v>0</v>
      </c>
      <c r="U1513" s="248">
        <f ca="1">ROUND(IF(OR(AND($D1511=LataProjekcji,$F1511&gt;0),AND($D1511=LataProjekcji,$F1511=0,$E1512&lt;=10)),$F1512,IF($D1511&lt;LataProjekcji,IF((SUM($K1513:T1513)+$D1513)&lt;$D1512,$D1513,$D1512-SUM($K1513:T1513)),0)),0)</f>
        <v>0</v>
      </c>
      <c r="V1513" s="248">
        <f ca="1">ROUND(IF(OR(AND($D1511=LataProjekcji,$F1511&gt;0),AND($D1511=LataProjekcji,$F1511=0,$E1512&lt;=10)),$F1512,IF($D1511&lt;LataProjekcji,IF((SUM($K1513:U1513)+$D1513)&lt;$D1512,$D1513,$D1512-SUM($K1513:U1513)),0)),0)</f>
        <v>0</v>
      </c>
      <c r="W1513" s="248">
        <f ca="1">ROUND(IF(OR(AND($D1511=LataProjekcji,$F1511&gt;0),AND($D1511=LataProjekcji,$F1511=0,$E1512&lt;=10)),$F1512,IF($D1511&lt;LataProjekcji,IF((SUM($K1513:V1513)+$D1513)&lt;$D1512,$D1513,$D1512-SUM($K1513:V1513)),0)),0)</f>
        <v>0</v>
      </c>
      <c r="X1513" s="248">
        <f ca="1">ROUND(IF(OR(AND($D1511=LataProjekcji,$F1511&gt;0),AND($D1511=LataProjekcji,$F1511=0,$E1512&lt;=10)),$F1512,IF($D1511&lt;LataProjekcji,IF((SUM($K1513:W1513)+$D1513)&lt;$D1512,$D1513,$D1512-SUM($K1513:W1513)),0)),0)</f>
        <v>0</v>
      </c>
    </row>
    <row r="1514" spans="1:24" hidden="1">
      <c r="A1514" s="328"/>
      <c r="B1514" s="21" t="s">
        <v>416</v>
      </c>
      <c r="C1514" s="21"/>
      <c r="D1514" s="22"/>
      <c r="E1514" s="21"/>
      <c r="F1514" s="21"/>
      <c r="G1514" s="21"/>
      <c r="H1514" s="21"/>
      <c r="I1514" s="21"/>
      <c r="J1514" s="21"/>
      <c r="K1514" s="22">
        <f ca="1">ROUND(K1513,0)</f>
        <v>0</v>
      </c>
      <c r="L1514" s="22">
        <f t="shared" ref="L1514:X1514" ca="1" si="1336">ROUND(K1514+L1513,0)</f>
        <v>0</v>
      </c>
      <c r="M1514" s="22">
        <f t="shared" ca="1" si="1336"/>
        <v>0</v>
      </c>
      <c r="N1514" s="22">
        <f t="shared" ca="1" si="1336"/>
        <v>0</v>
      </c>
      <c r="O1514" s="22">
        <f t="shared" ca="1" si="1336"/>
        <v>0</v>
      </c>
      <c r="P1514" s="22">
        <f t="shared" ca="1" si="1336"/>
        <v>0</v>
      </c>
      <c r="Q1514" s="22">
        <f t="shared" ca="1" si="1336"/>
        <v>0</v>
      </c>
      <c r="R1514" s="22">
        <f t="shared" ca="1" si="1336"/>
        <v>0</v>
      </c>
      <c r="S1514" s="22">
        <f t="shared" ca="1" si="1336"/>
        <v>0</v>
      </c>
      <c r="T1514" s="22">
        <f t="shared" ca="1" si="1336"/>
        <v>0</v>
      </c>
      <c r="U1514" s="22">
        <f t="shared" ca="1" si="1336"/>
        <v>0</v>
      </c>
      <c r="V1514" s="22">
        <f t="shared" ca="1" si="1336"/>
        <v>0</v>
      </c>
      <c r="W1514" s="22">
        <f t="shared" ca="1" si="1336"/>
        <v>0</v>
      </c>
      <c r="X1514" s="22">
        <f t="shared" ca="1" si="1336"/>
        <v>0</v>
      </c>
    </row>
    <row r="1515" spans="1:24" hidden="1">
      <c r="A1515" s="328"/>
      <c r="B1515" s="21" t="s">
        <v>406</v>
      </c>
      <c r="C1515" s="21"/>
      <c r="D1515" s="22"/>
      <c r="E1515" s="21"/>
      <c r="F1515" s="21"/>
      <c r="G1515" s="21">
        <f>10*2.5%</f>
        <v>0.25</v>
      </c>
      <c r="H1515" s="21"/>
      <c r="I1515" s="21"/>
      <c r="J1515" s="21"/>
      <c r="K1515" s="77">
        <f ca="1">IF($D1511=LataProjekcji,ROUND($D1512-K1514,0),ROUND(IF(K1513=0,0,$D1512-K1514),0))</f>
        <v>0</v>
      </c>
      <c r="L1515" s="254">
        <f t="shared" ref="L1515:X1515" ca="1" si="1337">IF($D1511=LataProjekcji,ROUND($D1512-L1514,0),ROUND(IF(AND(L1513=0,K1515&gt;0),$D1512-L1514,IF(L1513=0,0,$D1512-L1514)),0))</f>
        <v>0</v>
      </c>
      <c r="M1515" s="254">
        <f t="shared" ca="1" si="1337"/>
        <v>0</v>
      </c>
      <c r="N1515" s="254">
        <f t="shared" ca="1" si="1337"/>
        <v>0</v>
      </c>
      <c r="O1515" s="254">
        <f t="shared" ca="1" si="1337"/>
        <v>0</v>
      </c>
      <c r="P1515" s="254">
        <f t="shared" ca="1" si="1337"/>
        <v>0</v>
      </c>
      <c r="Q1515" s="254">
        <f t="shared" ca="1" si="1337"/>
        <v>0</v>
      </c>
      <c r="R1515" s="254">
        <f t="shared" ca="1" si="1337"/>
        <v>0</v>
      </c>
      <c r="S1515" s="254">
        <f t="shared" ca="1" si="1337"/>
        <v>0</v>
      </c>
      <c r="T1515" s="254">
        <f t="shared" ca="1" si="1337"/>
        <v>0</v>
      </c>
      <c r="U1515" s="254">
        <f t="shared" ca="1" si="1337"/>
        <v>0</v>
      </c>
      <c r="V1515" s="254">
        <f t="shared" ca="1" si="1337"/>
        <v>0</v>
      </c>
      <c r="W1515" s="254">
        <f t="shared" ca="1" si="1337"/>
        <v>0</v>
      </c>
      <c r="X1515" s="254">
        <f t="shared" ca="1" si="1337"/>
        <v>0</v>
      </c>
    </row>
    <row r="1516" spans="1:24" hidden="1">
      <c r="A1516" s="328"/>
      <c r="B1516" s="21"/>
      <c r="C1516" s="21"/>
      <c r="D1516" s="22"/>
      <c r="E1516" s="21"/>
      <c r="F1516" s="21"/>
      <c r="G1516" s="21">
        <f>ROUND(G1515,0)</f>
        <v>0</v>
      </c>
      <c r="H1516" s="404">
        <f>H1497+1</f>
        <v>10</v>
      </c>
      <c r="I1516" s="483" t="str" cm="1">
        <f t="array" aca="1" ref="I1516" ca="1">OFFSET('Środki trwałe'!$C$353,H1516,,)</f>
        <v/>
      </c>
      <c r="J1516" s="404" t="s">
        <v>427</v>
      </c>
      <c r="K1516" s="405">
        <f t="shared" ref="K1516:X1516" ca="1" si="1338">IF(AND(OFFSET($F$269,$D1510,0)="tak",OFFSET($G$269,$D1510,0)="tak",OFFSET($J$269,$D1510,0)="ok",LataProjekcji&lt;=Koniec_Projekt),ROUND(K1513*OFFSET($K$374,$H1516,(COLUMN()-11)),0),0)</f>
        <v>0</v>
      </c>
      <c r="L1516" s="405">
        <f t="shared" ca="1" si="1338"/>
        <v>0</v>
      </c>
      <c r="M1516" s="405">
        <f t="shared" ca="1" si="1338"/>
        <v>0</v>
      </c>
      <c r="N1516" s="405">
        <f t="shared" ca="1" si="1338"/>
        <v>0</v>
      </c>
      <c r="O1516" s="405">
        <f t="shared" ca="1" si="1338"/>
        <v>0</v>
      </c>
      <c r="P1516" s="405">
        <f t="shared" ca="1" si="1338"/>
        <v>0</v>
      </c>
      <c r="Q1516" s="405">
        <f t="shared" ca="1" si="1338"/>
        <v>0</v>
      </c>
      <c r="R1516" s="405">
        <f t="shared" ca="1" si="1338"/>
        <v>0</v>
      </c>
      <c r="S1516" s="405">
        <f t="shared" ca="1" si="1338"/>
        <v>0</v>
      </c>
      <c r="T1516" s="405">
        <f t="shared" ca="1" si="1338"/>
        <v>0</v>
      </c>
      <c r="U1516" s="405">
        <f t="shared" ca="1" si="1338"/>
        <v>0</v>
      </c>
      <c r="V1516" s="405">
        <f t="shared" ca="1" si="1338"/>
        <v>0</v>
      </c>
      <c r="W1516" s="405">
        <f t="shared" ca="1" si="1338"/>
        <v>0</v>
      </c>
      <c r="X1516" s="405">
        <f t="shared" ca="1" si="1338"/>
        <v>0</v>
      </c>
    </row>
    <row r="1517" spans="1:24" hidden="1">
      <c r="A1517" s="328"/>
      <c r="B1517" s="20" t="str">
        <f ca="1">OFFSET($B$269,D1517,0)</f>
        <v/>
      </c>
      <c r="C1517" s="20"/>
      <c r="D1517" s="21">
        <f>D1510+1</f>
        <v>1232</v>
      </c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</row>
    <row r="1518" spans="1:24" hidden="1">
      <c r="A1518" s="328"/>
      <c r="B1518" s="21" t="s">
        <v>414</v>
      </c>
      <c r="C1518" s="21"/>
      <c r="D1518" s="165">
        <f ca="1">IFERROR(YEAR(OFFSET($E$269,D1517,0)),0)</f>
        <v>0</v>
      </c>
      <c r="E1518" s="165">
        <f ca="1">IFERROR(MONTH(OFFSET($E$269,D1517,0)),0)</f>
        <v>0</v>
      </c>
      <c r="F1518" s="21">
        <f ca="1">12-$E1518</f>
        <v>12</v>
      </c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</row>
    <row r="1519" spans="1:24" hidden="1">
      <c r="A1519" s="328"/>
      <c r="B1519" s="21" t="s">
        <v>406</v>
      </c>
      <c r="C1519" s="21"/>
      <c r="D1519" s="385">
        <f ca="1">IF(E1519&lt;0,0,ROUND(E1519,0))</f>
        <v>0</v>
      </c>
      <c r="E1519" s="249">
        <f ca="1">OFFSET($D$269,D1517,0)</f>
        <v>0</v>
      </c>
      <c r="F1519" s="385">
        <f ca="1">IF(E1519&gt;10,ROUND(($D1520/12)*$F1518,0),$D1519)</f>
        <v>0</v>
      </c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</row>
    <row r="1520" spans="1:24" hidden="1">
      <c r="A1520" s="328"/>
      <c r="B1520" s="21" t="s">
        <v>415</v>
      </c>
      <c r="C1520" s="21"/>
      <c r="D1520" s="385">
        <f ca="1">IF(ISBLANK(OFFSET($E$269,D1517,0)),0,IF(E1519&gt;10,ROUND(D1519*am_budynki,0),IF(D1519&lt;0,0,D1519)))</f>
        <v>0</v>
      </c>
      <c r="E1520" s="21"/>
      <c r="F1520" s="21"/>
      <c r="G1520" s="21"/>
      <c r="H1520" s="21"/>
      <c r="I1520" s="21"/>
      <c r="J1520" s="21"/>
      <c r="K1520" s="75">
        <f ca="1">ROUND(IF($D1518=LataProjekcji,$F1519,IF($D1518=LataProjekcji,$D1520,0)),0)</f>
        <v>0</v>
      </c>
      <c r="L1520" s="248">
        <f ca="1">ROUND(IF(OR(AND($D1518=LataProjekcji,$F1518&gt;0),AND($D1518=LataProjekcji,$F1518=0,$E1519&lt;=10)),$F1519,IF($D1518&lt;LataProjekcji,IF((SUM($K1520:K1520)+$D1520)&lt;$D1519,$D1520,$D1519-SUM($K1520:K1520)),0)),0)</f>
        <v>0</v>
      </c>
      <c r="M1520" s="248">
        <f ca="1">ROUND(IF(OR(AND($D1518=LataProjekcji,$F1518&gt;0),AND($D1518=LataProjekcji,$F1518=0,$E1519&lt;=10)),$F1519,IF($D1518&lt;LataProjekcji,IF((SUM($K1520:L1520)+$D1520)&lt;$D1519,$D1520,$D1519-SUM($K1520:L1520)),0)),0)</f>
        <v>0</v>
      </c>
      <c r="N1520" s="248">
        <f ca="1">ROUND(IF(OR(AND($D1518=LataProjekcji,$F1518&gt;0),AND($D1518=LataProjekcji,$F1518=0,$E1519&lt;=10)),$F1519,IF($D1518&lt;LataProjekcji,IF((SUM($K1520:M1520)+$D1520)&lt;$D1519,$D1520,$D1519-SUM($K1520:M1520)),0)),0)</f>
        <v>0</v>
      </c>
      <c r="O1520" s="248">
        <f ca="1">ROUND(IF(OR(AND($D1518=LataProjekcji,$F1518&gt;0),AND($D1518=LataProjekcji,$F1518=0,$E1519&lt;=10)),$F1519,IF($D1518&lt;LataProjekcji,IF((SUM($K1520:N1520)+$D1520)&lt;$D1519,$D1520,$D1519-SUM($K1520:N1520)),0)),0)</f>
        <v>0</v>
      </c>
      <c r="P1520" s="248">
        <f ca="1">ROUND(IF(OR(AND($D1518=LataProjekcji,$F1518&gt;0),AND($D1518=LataProjekcji,$F1518=0,$E1519&lt;=10)),$F1519,IF($D1518&lt;LataProjekcji,IF((SUM($K1520:O1520)+$D1520)&lt;$D1519,$D1520,$D1519-SUM($K1520:O1520)),0)),0)</f>
        <v>0</v>
      </c>
      <c r="Q1520" s="248">
        <f ca="1">ROUND(IF(OR(AND($D1518=LataProjekcji,$F1518&gt;0),AND($D1518=LataProjekcji,$F1518=0,$E1519&lt;=10)),$F1519,IF($D1518&lt;LataProjekcji,IF((SUM($K1520:P1520)+$D1520)&lt;$D1519,$D1520,$D1519-SUM($K1520:P1520)),0)),0)</f>
        <v>0</v>
      </c>
      <c r="R1520" s="248">
        <f ca="1">ROUND(IF(OR(AND($D1518=LataProjekcji,$F1518&gt;0),AND($D1518=LataProjekcji,$F1518=0,$E1519&lt;=10)),$F1519,IF($D1518&lt;LataProjekcji,IF((SUM($K1520:Q1520)+$D1520)&lt;$D1519,$D1520,$D1519-SUM($K1520:Q1520)),0)),0)</f>
        <v>0</v>
      </c>
      <c r="S1520" s="248">
        <f ca="1">ROUND(IF(OR(AND($D1518=LataProjekcji,$F1518&gt;0),AND($D1518=LataProjekcji,$F1518=0,$E1519&lt;=10)),$F1519,IF($D1518&lt;LataProjekcji,IF((SUM($K1520:R1520)+$D1520)&lt;$D1519,$D1520,$D1519-SUM($K1520:R1520)),0)),0)</f>
        <v>0</v>
      </c>
      <c r="T1520" s="248">
        <f ca="1">ROUND(IF(OR(AND($D1518=LataProjekcji,$F1518&gt;0),AND($D1518=LataProjekcji,$F1518=0,$E1519&lt;=10)),$F1519,IF($D1518&lt;LataProjekcji,IF((SUM($K1520:S1520)+$D1520)&lt;$D1519,$D1520,$D1519-SUM($K1520:S1520)),0)),0)</f>
        <v>0</v>
      </c>
      <c r="U1520" s="248">
        <f ca="1">ROUND(IF(OR(AND($D1518=LataProjekcji,$F1518&gt;0),AND($D1518=LataProjekcji,$F1518=0,$E1519&lt;=10)),$F1519,IF($D1518&lt;LataProjekcji,IF((SUM($K1520:T1520)+$D1520)&lt;$D1519,$D1520,$D1519-SUM($K1520:T1520)),0)),0)</f>
        <v>0</v>
      </c>
      <c r="V1520" s="248">
        <f ca="1">ROUND(IF(OR(AND($D1518=LataProjekcji,$F1518&gt;0),AND($D1518=LataProjekcji,$F1518=0,$E1519&lt;=10)),$F1519,IF($D1518&lt;LataProjekcji,IF((SUM($K1520:U1520)+$D1520)&lt;$D1519,$D1520,$D1519-SUM($K1520:U1520)),0)),0)</f>
        <v>0</v>
      </c>
      <c r="W1520" s="248">
        <f ca="1">ROUND(IF(OR(AND($D1518=LataProjekcji,$F1518&gt;0),AND($D1518=LataProjekcji,$F1518=0,$E1519&lt;=10)),$F1519,IF($D1518&lt;LataProjekcji,IF((SUM($K1520:V1520)+$D1520)&lt;$D1519,$D1520,$D1519-SUM($K1520:V1520)),0)),0)</f>
        <v>0</v>
      </c>
      <c r="X1520" s="248">
        <f ca="1">ROUND(IF(OR(AND($D1518=LataProjekcji,$F1518&gt;0),AND($D1518=LataProjekcji,$F1518=0,$E1519&lt;=10)),$F1519,IF($D1518&lt;LataProjekcji,IF((SUM($K1520:W1520)+$D1520)&lt;$D1519,$D1520,$D1519-SUM($K1520:W1520)),0)),0)</f>
        <v>0</v>
      </c>
    </row>
    <row r="1521" spans="1:24" hidden="1">
      <c r="A1521" s="328"/>
      <c r="B1521" s="21" t="s">
        <v>416</v>
      </c>
      <c r="C1521" s="21"/>
      <c r="D1521" s="22"/>
      <c r="E1521" s="21"/>
      <c r="F1521" s="21"/>
      <c r="G1521" s="21"/>
      <c r="H1521" s="21"/>
      <c r="I1521" s="21"/>
      <c r="J1521" s="21"/>
      <c r="K1521" s="22">
        <f ca="1">ROUND(K1520,0)</f>
        <v>0</v>
      </c>
      <c r="L1521" s="22">
        <f t="shared" ref="L1521:X1521" ca="1" si="1339">ROUND(K1521+L1520,0)</f>
        <v>0</v>
      </c>
      <c r="M1521" s="22">
        <f t="shared" ca="1" si="1339"/>
        <v>0</v>
      </c>
      <c r="N1521" s="22">
        <f t="shared" ca="1" si="1339"/>
        <v>0</v>
      </c>
      <c r="O1521" s="22">
        <f t="shared" ca="1" si="1339"/>
        <v>0</v>
      </c>
      <c r="P1521" s="22">
        <f t="shared" ca="1" si="1339"/>
        <v>0</v>
      </c>
      <c r="Q1521" s="22">
        <f t="shared" ca="1" si="1339"/>
        <v>0</v>
      </c>
      <c r="R1521" s="22">
        <f t="shared" ca="1" si="1339"/>
        <v>0</v>
      </c>
      <c r="S1521" s="22">
        <f t="shared" ca="1" si="1339"/>
        <v>0</v>
      </c>
      <c r="T1521" s="22">
        <f t="shared" ca="1" si="1339"/>
        <v>0</v>
      </c>
      <c r="U1521" s="22">
        <f t="shared" ca="1" si="1339"/>
        <v>0</v>
      </c>
      <c r="V1521" s="22">
        <f t="shared" ca="1" si="1339"/>
        <v>0</v>
      </c>
      <c r="W1521" s="22">
        <f t="shared" ca="1" si="1339"/>
        <v>0</v>
      </c>
      <c r="X1521" s="22">
        <f t="shared" ca="1" si="1339"/>
        <v>0</v>
      </c>
    </row>
    <row r="1522" spans="1:24" hidden="1">
      <c r="A1522" s="328"/>
      <c r="B1522" s="21" t="s">
        <v>406</v>
      </c>
      <c r="C1522" s="21"/>
      <c r="D1522" s="22"/>
      <c r="E1522" s="21"/>
      <c r="F1522" s="21"/>
      <c r="G1522" s="21"/>
      <c r="H1522" s="21"/>
      <c r="I1522" s="21"/>
      <c r="J1522" s="21"/>
      <c r="K1522" s="77">
        <f ca="1">IF($D1518=LataProjekcji,ROUND($D1519-K1521,0),ROUND(IF(K1520=0,0,$D1519-K1521),0))</f>
        <v>0</v>
      </c>
      <c r="L1522" s="254">
        <f t="shared" ref="L1522:X1522" ca="1" si="1340">IF($D1518=LataProjekcji,ROUND($D1519-L1521,0),ROUND(IF(AND(L1520=0,K1522&gt;0),$D1519-L1521,IF(L1520=0,0,$D1519-L1521)),0))</f>
        <v>0</v>
      </c>
      <c r="M1522" s="254">
        <f t="shared" ca="1" si="1340"/>
        <v>0</v>
      </c>
      <c r="N1522" s="254">
        <f t="shared" ca="1" si="1340"/>
        <v>0</v>
      </c>
      <c r="O1522" s="254">
        <f t="shared" ca="1" si="1340"/>
        <v>0</v>
      </c>
      <c r="P1522" s="254">
        <f t="shared" ca="1" si="1340"/>
        <v>0</v>
      </c>
      <c r="Q1522" s="254">
        <f t="shared" ca="1" si="1340"/>
        <v>0</v>
      </c>
      <c r="R1522" s="254">
        <f t="shared" ca="1" si="1340"/>
        <v>0</v>
      </c>
      <c r="S1522" s="254">
        <f t="shared" ca="1" si="1340"/>
        <v>0</v>
      </c>
      <c r="T1522" s="254">
        <f t="shared" ca="1" si="1340"/>
        <v>0</v>
      </c>
      <c r="U1522" s="254">
        <f t="shared" ca="1" si="1340"/>
        <v>0</v>
      </c>
      <c r="V1522" s="254">
        <f t="shared" ca="1" si="1340"/>
        <v>0</v>
      </c>
      <c r="W1522" s="254">
        <f t="shared" ca="1" si="1340"/>
        <v>0</v>
      </c>
      <c r="X1522" s="254">
        <f t="shared" ca="1" si="1340"/>
        <v>0</v>
      </c>
    </row>
    <row r="1523" spans="1:24" hidden="1">
      <c r="A1523" s="328"/>
      <c r="B1523" s="20"/>
      <c r="C1523" s="20"/>
      <c r="D1523" s="21"/>
      <c r="E1523" s="21"/>
      <c r="F1523" s="21"/>
      <c r="G1523" s="21"/>
      <c r="H1523" s="404">
        <f>H1516+1</f>
        <v>11</v>
      </c>
      <c r="I1523" s="483" t="str" cm="1">
        <f t="array" aca="1" ref="I1523" ca="1">OFFSET('Środki trwałe'!$C$353,H1523,,)</f>
        <v/>
      </c>
      <c r="J1523" s="404" t="s">
        <v>427</v>
      </c>
      <c r="K1523" s="405">
        <f t="shared" ref="K1523:X1523" ca="1" si="1341">IF(AND(OFFSET($F$269,$D1517,0)="tak",OFFSET($G$269,$D1517,0)="tak",OFFSET($J$269,$D1517,0)="ok",LataProjekcji&lt;=Koniec_Projekt),ROUND(K1520*OFFSET($K$374,$H1523,(COLUMN()-11)),0),0)</f>
        <v>0</v>
      </c>
      <c r="L1523" s="405">
        <f t="shared" ca="1" si="1341"/>
        <v>0</v>
      </c>
      <c r="M1523" s="405">
        <f t="shared" ca="1" si="1341"/>
        <v>0</v>
      </c>
      <c r="N1523" s="405">
        <f t="shared" ca="1" si="1341"/>
        <v>0</v>
      </c>
      <c r="O1523" s="405">
        <f t="shared" ca="1" si="1341"/>
        <v>0</v>
      </c>
      <c r="P1523" s="405">
        <f t="shared" ca="1" si="1341"/>
        <v>0</v>
      </c>
      <c r="Q1523" s="405">
        <f t="shared" ca="1" si="1341"/>
        <v>0</v>
      </c>
      <c r="R1523" s="405">
        <f t="shared" ca="1" si="1341"/>
        <v>0</v>
      </c>
      <c r="S1523" s="405">
        <f t="shared" ca="1" si="1341"/>
        <v>0</v>
      </c>
      <c r="T1523" s="405">
        <f t="shared" ca="1" si="1341"/>
        <v>0</v>
      </c>
      <c r="U1523" s="405">
        <f t="shared" ca="1" si="1341"/>
        <v>0</v>
      </c>
      <c r="V1523" s="405">
        <f t="shared" ca="1" si="1341"/>
        <v>0</v>
      </c>
      <c r="W1523" s="405">
        <f t="shared" ca="1" si="1341"/>
        <v>0</v>
      </c>
      <c r="X1523" s="405">
        <f t="shared" ca="1" si="1341"/>
        <v>0</v>
      </c>
    </row>
    <row r="1524" spans="1:24" hidden="1">
      <c r="A1524" s="328"/>
      <c r="B1524" s="20" t="str">
        <f ca="1">OFFSET($B$269,D1524,0)</f>
        <v/>
      </c>
      <c r="C1524" s="20"/>
      <c r="D1524" s="21">
        <f>D1517+1</f>
        <v>1233</v>
      </c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</row>
    <row r="1525" spans="1:24" hidden="1">
      <c r="A1525" s="328"/>
      <c r="B1525" s="21" t="s">
        <v>414</v>
      </c>
      <c r="C1525" s="21"/>
      <c r="D1525" s="165">
        <f ca="1">IFERROR(YEAR(OFFSET($E$269,D1524,0)),0)</f>
        <v>0</v>
      </c>
      <c r="E1525" s="165">
        <f ca="1">IFERROR(MONTH(OFFSET($E$269,D1524,0)),0)</f>
        <v>0</v>
      </c>
      <c r="F1525" s="21">
        <f ca="1">12-$E1525</f>
        <v>12</v>
      </c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</row>
    <row r="1526" spans="1:24" hidden="1">
      <c r="A1526" s="328"/>
      <c r="B1526" s="21" t="s">
        <v>406</v>
      </c>
      <c r="C1526" s="21"/>
      <c r="D1526" s="386">
        <f ca="1">IF(E1526&lt;0,0,ROUND(E1526,0))</f>
        <v>0</v>
      </c>
      <c r="E1526" s="249">
        <f ca="1">OFFSET($D$269,D1524,0)</f>
        <v>0</v>
      </c>
      <c r="F1526" s="386">
        <f ca="1">IF(E1526&gt;10,ROUND(($D1527/12)*$F1525,0),$D1526)</f>
        <v>0</v>
      </c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</row>
    <row r="1527" spans="1:24" hidden="1">
      <c r="A1527" s="328"/>
      <c r="B1527" s="21" t="s">
        <v>415</v>
      </c>
      <c r="C1527" s="21"/>
      <c r="D1527" s="386">
        <f ca="1">IF(ISBLANK(OFFSET($E$269,D1524,0)),0,IF(E1526&gt;10,ROUND(D1526*am_budynki,0),IF(D1526&lt;0,0,D1526)))</f>
        <v>0</v>
      </c>
      <c r="E1527" s="21"/>
      <c r="F1527" s="21"/>
      <c r="G1527" s="21"/>
      <c r="H1527" s="21"/>
      <c r="I1527" s="21"/>
      <c r="J1527" s="21"/>
      <c r="K1527" s="75">
        <f ca="1">ROUND(IF($D1525=LataProjekcji,$F1526,IF($D1525=LataProjekcji,$D1527,0)),0)</f>
        <v>0</v>
      </c>
      <c r="L1527" s="248">
        <f ca="1">ROUND(IF(OR(AND($D1525=LataProjekcji,$F1525&gt;0),AND($D1525=LataProjekcji,$F1525=0,$E1526&lt;=10)),$F1526,IF($D1525&lt;LataProjekcji,IF((SUM($K1527:K1527)+$D1527)&lt;$D1526,$D1527,$D1526-SUM($K1527:K1527)),0)),0)</f>
        <v>0</v>
      </c>
      <c r="M1527" s="248">
        <f ca="1">ROUND(IF(OR(AND($D1525=LataProjekcji,$F1525&gt;0),AND($D1525=LataProjekcji,$F1525=0,$E1526&lt;=10)),$F1526,IF($D1525&lt;LataProjekcji,IF((SUM($K1527:L1527)+$D1527)&lt;$D1526,$D1527,$D1526-SUM($K1527:L1527)),0)),0)</f>
        <v>0</v>
      </c>
      <c r="N1527" s="248">
        <f ca="1">ROUND(IF(OR(AND($D1525=LataProjekcji,$F1525&gt;0),AND($D1525=LataProjekcji,$F1525=0,$E1526&lt;=10)),$F1526,IF($D1525&lt;LataProjekcji,IF((SUM($K1527:M1527)+$D1527)&lt;$D1526,$D1527,$D1526-SUM($K1527:M1527)),0)),0)</f>
        <v>0</v>
      </c>
      <c r="O1527" s="248">
        <f ca="1">ROUND(IF(OR(AND($D1525=LataProjekcji,$F1525&gt;0),AND($D1525=LataProjekcji,$F1525=0,$E1526&lt;=10)),$F1526,IF($D1525&lt;LataProjekcji,IF((SUM($K1527:N1527)+$D1527)&lt;$D1526,$D1527,$D1526-SUM($K1527:N1527)),0)),0)</f>
        <v>0</v>
      </c>
      <c r="P1527" s="248">
        <f ca="1">ROUND(IF(OR(AND($D1525=LataProjekcji,$F1525&gt;0),AND($D1525=LataProjekcji,$F1525=0,$E1526&lt;=10)),$F1526,IF($D1525&lt;LataProjekcji,IF((SUM($K1527:O1527)+$D1527)&lt;$D1526,$D1527,$D1526-SUM($K1527:O1527)),0)),0)</f>
        <v>0</v>
      </c>
      <c r="Q1527" s="248">
        <f ca="1">ROUND(IF(OR(AND($D1525=LataProjekcji,$F1525&gt;0),AND($D1525=LataProjekcji,$F1525=0,$E1526&lt;=10)),$F1526,IF($D1525&lt;LataProjekcji,IF((SUM($K1527:P1527)+$D1527)&lt;$D1526,$D1527,$D1526-SUM($K1527:P1527)),0)),0)</f>
        <v>0</v>
      </c>
      <c r="R1527" s="248">
        <f ca="1">ROUND(IF(OR(AND($D1525=LataProjekcji,$F1525&gt;0),AND($D1525=LataProjekcji,$F1525=0,$E1526&lt;=10)),$F1526,IF($D1525&lt;LataProjekcji,IF((SUM($K1527:Q1527)+$D1527)&lt;$D1526,$D1527,$D1526-SUM($K1527:Q1527)),0)),0)</f>
        <v>0</v>
      </c>
      <c r="S1527" s="248">
        <f ca="1">ROUND(IF(OR(AND($D1525=LataProjekcji,$F1525&gt;0),AND($D1525=LataProjekcji,$F1525=0,$E1526&lt;=10)),$F1526,IF($D1525&lt;LataProjekcji,IF((SUM($K1527:R1527)+$D1527)&lt;$D1526,$D1527,$D1526-SUM($K1527:R1527)),0)),0)</f>
        <v>0</v>
      </c>
      <c r="T1527" s="248">
        <f ca="1">ROUND(IF(OR(AND($D1525=LataProjekcji,$F1525&gt;0),AND($D1525=LataProjekcji,$F1525=0,$E1526&lt;=10)),$F1526,IF($D1525&lt;LataProjekcji,IF((SUM($K1527:S1527)+$D1527)&lt;$D1526,$D1527,$D1526-SUM($K1527:S1527)),0)),0)</f>
        <v>0</v>
      </c>
      <c r="U1527" s="248">
        <f ca="1">ROUND(IF(OR(AND($D1525=LataProjekcji,$F1525&gt;0),AND($D1525=LataProjekcji,$F1525=0,$E1526&lt;=10)),$F1526,IF($D1525&lt;LataProjekcji,IF((SUM($K1527:T1527)+$D1527)&lt;$D1526,$D1527,$D1526-SUM($K1527:T1527)),0)),0)</f>
        <v>0</v>
      </c>
      <c r="V1527" s="248">
        <f ca="1">ROUND(IF(OR(AND($D1525=LataProjekcji,$F1525&gt;0),AND($D1525=LataProjekcji,$F1525=0,$E1526&lt;=10)),$F1526,IF($D1525&lt;LataProjekcji,IF((SUM($K1527:U1527)+$D1527)&lt;$D1526,$D1527,$D1526-SUM($K1527:U1527)),0)),0)</f>
        <v>0</v>
      </c>
      <c r="W1527" s="248">
        <f ca="1">ROUND(IF(OR(AND($D1525=LataProjekcji,$F1525&gt;0),AND($D1525=LataProjekcji,$F1525=0,$E1526&lt;=10)),$F1526,IF($D1525&lt;LataProjekcji,IF((SUM($K1527:V1527)+$D1527)&lt;$D1526,$D1527,$D1526-SUM($K1527:V1527)),0)),0)</f>
        <v>0</v>
      </c>
      <c r="X1527" s="248">
        <f ca="1">ROUND(IF(OR(AND($D1525=LataProjekcji,$F1525&gt;0),AND($D1525=LataProjekcji,$F1525=0,$E1526&lt;=10)),$F1526,IF($D1525&lt;LataProjekcji,IF((SUM($K1527:W1527)+$D1527)&lt;$D1526,$D1527,$D1526-SUM($K1527:W1527)),0)),0)</f>
        <v>0</v>
      </c>
    </row>
    <row r="1528" spans="1:24" hidden="1">
      <c r="A1528" s="328"/>
      <c r="B1528" s="21" t="s">
        <v>416</v>
      </c>
      <c r="C1528" s="21"/>
      <c r="D1528" s="22"/>
      <c r="E1528" s="21"/>
      <c r="F1528" s="21"/>
      <c r="G1528" s="21"/>
      <c r="H1528" s="21"/>
      <c r="I1528" s="21"/>
      <c r="J1528" s="21"/>
      <c r="K1528" s="22">
        <f ca="1">ROUND(K1527,0)</f>
        <v>0</v>
      </c>
      <c r="L1528" s="22">
        <f t="shared" ref="L1528:X1528" ca="1" si="1342">ROUND(K1528+L1527,0)</f>
        <v>0</v>
      </c>
      <c r="M1528" s="22">
        <f t="shared" ca="1" si="1342"/>
        <v>0</v>
      </c>
      <c r="N1528" s="22">
        <f t="shared" ca="1" si="1342"/>
        <v>0</v>
      </c>
      <c r="O1528" s="22">
        <f t="shared" ca="1" si="1342"/>
        <v>0</v>
      </c>
      <c r="P1528" s="22">
        <f t="shared" ca="1" si="1342"/>
        <v>0</v>
      </c>
      <c r="Q1528" s="22">
        <f t="shared" ca="1" si="1342"/>
        <v>0</v>
      </c>
      <c r="R1528" s="22">
        <f t="shared" ca="1" si="1342"/>
        <v>0</v>
      </c>
      <c r="S1528" s="22">
        <f t="shared" ca="1" si="1342"/>
        <v>0</v>
      </c>
      <c r="T1528" s="22">
        <f t="shared" ca="1" si="1342"/>
        <v>0</v>
      </c>
      <c r="U1528" s="22">
        <f t="shared" ca="1" si="1342"/>
        <v>0</v>
      </c>
      <c r="V1528" s="22">
        <f t="shared" ca="1" si="1342"/>
        <v>0</v>
      </c>
      <c r="W1528" s="22">
        <f t="shared" ca="1" si="1342"/>
        <v>0</v>
      </c>
      <c r="X1528" s="22">
        <f t="shared" ca="1" si="1342"/>
        <v>0</v>
      </c>
    </row>
    <row r="1529" spans="1:24" hidden="1">
      <c r="A1529" s="328"/>
      <c r="B1529" s="21" t="s">
        <v>406</v>
      </c>
      <c r="C1529" s="21"/>
      <c r="D1529" s="22"/>
      <c r="E1529" s="21"/>
      <c r="F1529" s="21"/>
      <c r="G1529" s="21"/>
      <c r="H1529" s="21"/>
      <c r="I1529" s="21"/>
      <c r="J1529" s="21"/>
      <c r="K1529" s="77">
        <f ca="1">IF($D1525=LataProjekcji,ROUND($D1526-K1528,0),ROUND(IF(K1527=0,0,$D1526-K1528),0))</f>
        <v>0</v>
      </c>
      <c r="L1529" s="254">
        <f t="shared" ref="L1529:X1529" ca="1" si="1343">IF($D1525=LataProjekcji,ROUND($D1526-L1528,0),ROUND(IF(AND(L1527=0,K1529&gt;0),$D1526-L1528,IF(L1527=0,0,$D1526-L1528)),0))</f>
        <v>0</v>
      </c>
      <c r="M1529" s="254">
        <f t="shared" ca="1" si="1343"/>
        <v>0</v>
      </c>
      <c r="N1529" s="254">
        <f t="shared" ca="1" si="1343"/>
        <v>0</v>
      </c>
      <c r="O1529" s="254">
        <f t="shared" ca="1" si="1343"/>
        <v>0</v>
      </c>
      <c r="P1529" s="254">
        <f t="shared" ca="1" si="1343"/>
        <v>0</v>
      </c>
      <c r="Q1529" s="254">
        <f t="shared" ca="1" si="1343"/>
        <v>0</v>
      </c>
      <c r="R1529" s="254">
        <f t="shared" ca="1" si="1343"/>
        <v>0</v>
      </c>
      <c r="S1529" s="254">
        <f t="shared" ca="1" si="1343"/>
        <v>0</v>
      </c>
      <c r="T1529" s="254">
        <f t="shared" ca="1" si="1343"/>
        <v>0</v>
      </c>
      <c r="U1529" s="254">
        <f t="shared" ca="1" si="1343"/>
        <v>0</v>
      </c>
      <c r="V1529" s="254">
        <f t="shared" ca="1" si="1343"/>
        <v>0</v>
      </c>
      <c r="W1529" s="254">
        <f t="shared" ca="1" si="1343"/>
        <v>0</v>
      </c>
      <c r="X1529" s="254">
        <f t="shared" ca="1" si="1343"/>
        <v>0</v>
      </c>
    </row>
    <row r="1530" spans="1:24" hidden="1">
      <c r="A1530" s="328"/>
      <c r="B1530" s="21"/>
      <c r="C1530" s="21"/>
      <c r="D1530" s="22"/>
      <c r="E1530" s="21"/>
      <c r="F1530" s="21"/>
      <c r="G1530" s="21"/>
      <c r="H1530" s="404">
        <f>H1523+1</f>
        <v>12</v>
      </c>
      <c r="I1530" s="483" t="str" cm="1">
        <f t="array" aca="1" ref="I1530" ca="1">OFFSET('Środki trwałe'!$C$353,H1530,,)</f>
        <v/>
      </c>
      <c r="J1530" s="404" t="s">
        <v>427</v>
      </c>
      <c r="K1530" s="405">
        <f t="shared" ref="K1530:X1530" ca="1" si="1344">IF(AND(OFFSET($F$269,$D1524,0)="tak",OFFSET($G$269,$D1524,0)="tak",OFFSET($J$269,$D1524,0)="ok",LataProjekcji&lt;=Koniec_Projekt),ROUND(K1527*OFFSET($K$374,$H1530,(COLUMN()-11)),0),0)</f>
        <v>0</v>
      </c>
      <c r="L1530" s="405">
        <f t="shared" ca="1" si="1344"/>
        <v>0</v>
      </c>
      <c r="M1530" s="405">
        <f t="shared" ca="1" si="1344"/>
        <v>0</v>
      </c>
      <c r="N1530" s="405">
        <f t="shared" ca="1" si="1344"/>
        <v>0</v>
      </c>
      <c r="O1530" s="405">
        <f t="shared" ca="1" si="1344"/>
        <v>0</v>
      </c>
      <c r="P1530" s="405">
        <f t="shared" ca="1" si="1344"/>
        <v>0</v>
      </c>
      <c r="Q1530" s="405">
        <f t="shared" ca="1" si="1344"/>
        <v>0</v>
      </c>
      <c r="R1530" s="405">
        <f t="shared" ca="1" si="1344"/>
        <v>0</v>
      </c>
      <c r="S1530" s="405">
        <f t="shared" ca="1" si="1344"/>
        <v>0</v>
      </c>
      <c r="T1530" s="405">
        <f t="shared" ca="1" si="1344"/>
        <v>0</v>
      </c>
      <c r="U1530" s="405">
        <f t="shared" ca="1" si="1344"/>
        <v>0</v>
      </c>
      <c r="V1530" s="405">
        <f t="shared" ca="1" si="1344"/>
        <v>0</v>
      </c>
      <c r="W1530" s="405">
        <f t="shared" ca="1" si="1344"/>
        <v>0</v>
      </c>
      <c r="X1530" s="405">
        <f t="shared" ca="1" si="1344"/>
        <v>0</v>
      </c>
    </row>
    <row r="1531" spans="1:24" hidden="1">
      <c r="A1531" s="328"/>
      <c r="B1531" s="20" t="str">
        <f ca="1">OFFSET($B$269,D1531,0)</f>
        <v/>
      </c>
      <c r="C1531" s="20"/>
      <c r="D1531" s="21">
        <f>D1524+1</f>
        <v>1234</v>
      </c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</row>
    <row r="1532" spans="1:24" hidden="1">
      <c r="A1532" s="328"/>
      <c r="B1532" s="21" t="s">
        <v>414</v>
      </c>
      <c r="C1532" s="21"/>
      <c r="D1532" s="165">
        <f ca="1">IFERROR(YEAR(OFFSET($E$269,D1531,0)),0)</f>
        <v>0</v>
      </c>
      <c r="E1532" s="165">
        <f ca="1">IFERROR(MONTH(OFFSET($E$269,D1531,0)),0)</f>
        <v>0</v>
      </c>
      <c r="F1532" s="21">
        <f ca="1">12-$E1532</f>
        <v>12</v>
      </c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</row>
    <row r="1533" spans="1:24" hidden="1">
      <c r="A1533" s="328"/>
      <c r="B1533" s="21" t="s">
        <v>406</v>
      </c>
      <c r="C1533" s="21"/>
      <c r="D1533" s="387">
        <f ca="1">IF(E1533&lt;0,0,ROUND(E1533,0))</f>
        <v>0</v>
      </c>
      <c r="E1533" s="249">
        <f ca="1">OFFSET($D$269,D1531,0)</f>
        <v>0</v>
      </c>
      <c r="F1533" s="387">
        <f ca="1">IF(E1533&gt;10,ROUND(($D1534/12)*$F1532,0),$D1533)</f>
        <v>0</v>
      </c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</row>
    <row r="1534" spans="1:24" hidden="1">
      <c r="A1534" s="328"/>
      <c r="B1534" s="21" t="s">
        <v>415</v>
      </c>
      <c r="C1534" s="21"/>
      <c r="D1534" s="387">
        <f ca="1">IF(ISBLANK(OFFSET($E$269,D1531,0)),0,IF(E1533&gt;10,ROUND(D1533*am_budynki,0),IF(D1533&lt;0,0,D1533)))</f>
        <v>0</v>
      </c>
      <c r="E1534" s="21"/>
      <c r="F1534" s="21"/>
      <c r="G1534" s="21"/>
      <c r="H1534" s="21"/>
      <c r="I1534" s="21"/>
      <c r="J1534" s="21"/>
      <c r="K1534" s="75">
        <f ca="1">ROUND(IF($D1532=LataProjekcji,$F1533,IF($D1532=LataProjekcji,$D1534,0)),0)</f>
        <v>0</v>
      </c>
      <c r="L1534" s="248">
        <f ca="1">ROUND(IF(OR(AND($D1532=LataProjekcji,$F1532&gt;0),AND($D1532=LataProjekcji,$F1532=0,$E1533&lt;=10)),$F1533,IF($D1532&lt;LataProjekcji,IF((SUM($K1534:K1534)+$D1534)&lt;$D1533,$D1534,$D1533-SUM($K1534:K1534)),0)),0)</f>
        <v>0</v>
      </c>
      <c r="M1534" s="248">
        <f ca="1">ROUND(IF(OR(AND($D1532=LataProjekcji,$F1532&gt;0),AND($D1532=LataProjekcji,$F1532=0,$E1533&lt;=10)),$F1533,IF($D1532&lt;LataProjekcji,IF((SUM($K1534:L1534)+$D1534)&lt;$D1533,$D1534,$D1533-SUM($K1534:L1534)),0)),0)</f>
        <v>0</v>
      </c>
      <c r="N1534" s="248">
        <f ca="1">ROUND(IF(OR(AND($D1532=LataProjekcji,$F1532&gt;0),AND($D1532=LataProjekcji,$F1532=0,$E1533&lt;=10)),$F1533,IF($D1532&lt;LataProjekcji,IF((SUM($K1534:M1534)+$D1534)&lt;$D1533,$D1534,$D1533-SUM($K1534:M1534)),0)),0)</f>
        <v>0</v>
      </c>
      <c r="O1534" s="248">
        <f ca="1">ROUND(IF(OR(AND($D1532=LataProjekcji,$F1532&gt;0),AND($D1532=LataProjekcji,$F1532=0,$E1533&lt;=10)),$F1533,IF($D1532&lt;LataProjekcji,IF((SUM($K1534:N1534)+$D1534)&lt;$D1533,$D1534,$D1533-SUM($K1534:N1534)),0)),0)</f>
        <v>0</v>
      </c>
      <c r="P1534" s="248">
        <f ca="1">ROUND(IF(OR(AND($D1532=LataProjekcji,$F1532&gt;0),AND($D1532=LataProjekcji,$F1532=0,$E1533&lt;=10)),$F1533,IF($D1532&lt;LataProjekcji,IF((SUM($K1534:O1534)+$D1534)&lt;$D1533,$D1534,$D1533-SUM($K1534:O1534)),0)),0)</f>
        <v>0</v>
      </c>
      <c r="Q1534" s="248">
        <f ca="1">ROUND(IF(OR(AND($D1532=LataProjekcji,$F1532&gt;0),AND($D1532=LataProjekcji,$F1532=0,$E1533&lt;=10)),$F1533,IF($D1532&lt;LataProjekcji,IF((SUM($K1534:P1534)+$D1534)&lt;$D1533,$D1534,$D1533-SUM($K1534:P1534)),0)),0)</f>
        <v>0</v>
      </c>
      <c r="R1534" s="248">
        <f ca="1">ROUND(IF(OR(AND($D1532=LataProjekcji,$F1532&gt;0),AND($D1532=LataProjekcji,$F1532=0,$E1533&lt;=10)),$F1533,IF($D1532&lt;LataProjekcji,IF((SUM($K1534:Q1534)+$D1534)&lt;$D1533,$D1534,$D1533-SUM($K1534:Q1534)),0)),0)</f>
        <v>0</v>
      </c>
      <c r="S1534" s="248">
        <f ca="1">ROUND(IF(OR(AND($D1532=LataProjekcji,$F1532&gt;0),AND($D1532=LataProjekcji,$F1532=0,$E1533&lt;=10)),$F1533,IF($D1532&lt;LataProjekcji,IF((SUM($K1534:R1534)+$D1534)&lt;$D1533,$D1534,$D1533-SUM($K1534:R1534)),0)),0)</f>
        <v>0</v>
      </c>
      <c r="T1534" s="248">
        <f ca="1">ROUND(IF(OR(AND($D1532=LataProjekcji,$F1532&gt;0),AND($D1532=LataProjekcji,$F1532=0,$E1533&lt;=10)),$F1533,IF($D1532&lt;LataProjekcji,IF((SUM($K1534:S1534)+$D1534)&lt;$D1533,$D1534,$D1533-SUM($K1534:S1534)),0)),0)</f>
        <v>0</v>
      </c>
      <c r="U1534" s="248">
        <f ca="1">ROUND(IF(OR(AND($D1532=LataProjekcji,$F1532&gt;0),AND($D1532=LataProjekcji,$F1532=0,$E1533&lt;=10)),$F1533,IF($D1532&lt;LataProjekcji,IF((SUM($K1534:T1534)+$D1534)&lt;$D1533,$D1534,$D1533-SUM($K1534:T1534)),0)),0)</f>
        <v>0</v>
      </c>
      <c r="V1534" s="248">
        <f ca="1">ROUND(IF(OR(AND($D1532=LataProjekcji,$F1532&gt;0),AND($D1532=LataProjekcji,$F1532=0,$E1533&lt;=10)),$F1533,IF($D1532&lt;LataProjekcji,IF((SUM($K1534:U1534)+$D1534)&lt;$D1533,$D1534,$D1533-SUM($K1534:U1534)),0)),0)</f>
        <v>0</v>
      </c>
      <c r="W1534" s="248">
        <f ca="1">ROUND(IF(OR(AND($D1532=LataProjekcji,$F1532&gt;0),AND($D1532=LataProjekcji,$F1532=0,$E1533&lt;=10)),$F1533,IF($D1532&lt;LataProjekcji,IF((SUM($K1534:V1534)+$D1534)&lt;$D1533,$D1534,$D1533-SUM($K1534:V1534)),0)),0)</f>
        <v>0</v>
      </c>
      <c r="X1534" s="248">
        <f ca="1">ROUND(IF(OR(AND($D1532=LataProjekcji,$F1532&gt;0),AND($D1532=LataProjekcji,$F1532=0,$E1533&lt;=10)),$F1533,IF($D1532&lt;LataProjekcji,IF((SUM($K1534:W1534)+$D1534)&lt;$D1533,$D1534,$D1533-SUM($K1534:W1534)),0)),0)</f>
        <v>0</v>
      </c>
    </row>
    <row r="1535" spans="1:24" hidden="1">
      <c r="A1535" s="328"/>
      <c r="B1535" s="21" t="s">
        <v>416</v>
      </c>
      <c r="C1535" s="21"/>
      <c r="D1535" s="22"/>
      <c r="E1535" s="21"/>
      <c r="F1535" s="21"/>
      <c r="G1535" s="21"/>
      <c r="H1535" s="21"/>
      <c r="I1535" s="21"/>
      <c r="J1535" s="21"/>
      <c r="K1535" s="22">
        <f ca="1">ROUND(K1534,0)</f>
        <v>0</v>
      </c>
      <c r="L1535" s="22">
        <f t="shared" ref="L1535:X1535" ca="1" si="1345">ROUND(K1535+L1534,0)</f>
        <v>0</v>
      </c>
      <c r="M1535" s="22">
        <f t="shared" ca="1" si="1345"/>
        <v>0</v>
      </c>
      <c r="N1535" s="22">
        <f t="shared" ca="1" si="1345"/>
        <v>0</v>
      </c>
      <c r="O1535" s="22">
        <f t="shared" ca="1" si="1345"/>
        <v>0</v>
      </c>
      <c r="P1535" s="22">
        <f t="shared" ca="1" si="1345"/>
        <v>0</v>
      </c>
      <c r="Q1535" s="22">
        <f t="shared" ca="1" si="1345"/>
        <v>0</v>
      </c>
      <c r="R1535" s="22">
        <f t="shared" ca="1" si="1345"/>
        <v>0</v>
      </c>
      <c r="S1535" s="22">
        <f t="shared" ca="1" si="1345"/>
        <v>0</v>
      </c>
      <c r="T1535" s="22">
        <f t="shared" ca="1" si="1345"/>
        <v>0</v>
      </c>
      <c r="U1535" s="22">
        <f t="shared" ca="1" si="1345"/>
        <v>0</v>
      </c>
      <c r="V1535" s="22">
        <f t="shared" ca="1" si="1345"/>
        <v>0</v>
      </c>
      <c r="W1535" s="22">
        <f t="shared" ca="1" si="1345"/>
        <v>0</v>
      </c>
      <c r="X1535" s="22">
        <f t="shared" ca="1" si="1345"/>
        <v>0</v>
      </c>
    </row>
    <row r="1536" spans="1:24" hidden="1">
      <c r="A1536" s="328"/>
      <c r="B1536" s="21" t="s">
        <v>406</v>
      </c>
      <c r="C1536" s="21"/>
      <c r="D1536" s="22"/>
      <c r="E1536" s="21"/>
      <c r="F1536" s="21"/>
      <c r="G1536" s="21"/>
      <c r="H1536" s="21"/>
      <c r="I1536" s="21"/>
      <c r="J1536" s="21"/>
      <c r="K1536" s="77">
        <f ca="1">IF($D1532=LataProjekcji,ROUND($D1533-K1535,0),ROUND(IF(K1534=0,0,$D1533-K1535),0))</f>
        <v>0</v>
      </c>
      <c r="L1536" s="254">
        <f t="shared" ref="L1536:X1536" ca="1" si="1346">IF($D1532=LataProjekcji,ROUND($D1533-L1535,0),ROUND(IF(AND(L1534=0,K1536&gt;0),$D1533-L1535,IF(L1534=0,0,$D1533-L1535)),0))</f>
        <v>0</v>
      </c>
      <c r="M1536" s="254">
        <f t="shared" ca="1" si="1346"/>
        <v>0</v>
      </c>
      <c r="N1536" s="254">
        <f t="shared" ca="1" si="1346"/>
        <v>0</v>
      </c>
      <c r="O1536" s="254">
        <f t="shared" ca="1" si="1346"/>
        <v>0</v>
      </c>
      <c r="P1536" s="254">
        <f t="shared" ca="1" si="1346"/>
        <v>0</v>
      </c>
      <c r="Q1536" s="254">
        <f t="shared" ca="1" si="1346"/>
        <v>0</v>
      </c>
      <c r="R1536" s="254">
        <f t="shared" ca="1" si="1346"/>
        <v>0</v>
      </c>
      <c r="S1536" s="254">
        <f t="shared" ca="1" si="1346"/>
        <v>0</v>
      </c>
      <c r="T1536" s="254">
        <f t="shared" ca="1" si="1346"/>
        <v>0</v>
      </c>
      <c r="U1536" s="254">
        <f t="shared" ca="1" si="1346"/>
        <v>0</v>
      </c>
      <c r="V1536" s="254">
        <f t="shared" ca="1" si="1346"/>
        <v>0</v>
      </c>
      <c r="W1536" s="254">
        <f t="shared" ca="1" si="1346"/>
        <v>0</v>
      </c>
      <c r="X1536" s="254">
        <f t="shared" ca="1" si="1346"/>
        <v>0</v>
      </c>
    </row>
    <row r="1537" spans="1:24" hidden="1">
      <c r="A1537" s="328"/>
      <c r="B1537" s="21"/>
      <c r="C1537" s="21"/>
      <c r="D1537" s="21"/>
      <c r="E1537" s="21"/>
      <c r="F1537" s="21"/>
      <c r="G1537" s="21"/>
      <c r="H1537" s="404">
        <f>H1530+1</f>
        <v>13</v>
      </c>
      <c r="I1537" s="483" t="str" cm="1">
        <f t="array" aca="1" ref="I1537" ca="1">OFFSET('Środki trwałe'!$C$353,H1537,,)</f>
        <v/>
      </c>
      <c r="J1537" s="404" t="s">
        <v>427</v>
      </c>
      <c r="K1537" s="405">
        <f t="shared" ref="K1537:X1537" ca="1" si="1347">IF(AND(OFFSET($F$269,$D1531,0)="tak",OFFSET($G$269,$D1531,0)="tak",OFFSET($J$269,$D1531,0)="ok",LataProjekcji&lt;=Koniec_Projekt),ROUND(K1534*OFFSET($K$374,$H1537,(COLUMN()-11)),0),0)</f>
        <v>0</v>
      </c>
      <c r="L1537" s="405">
        <f t="shared" ca="1" si="1347"/>
        <v>0</v>
      </c>
      <c r="M1537" s="405">
        <f t="shared" ca="1" si="1347"/>
        <v>0</v>
      </c>
      <c r="N1537" s="405">
        <f t="shared" ca="1" si="1347"/>
        <v>0</v>
      </c>
      <c r="O1537" s="405">
        <f t="shared" ca="1" si="1347"/>
        <v>0</v>
      </c>
      <c r="P1537" s="405">
        <f t="shared" ca="1" si="1347"/>
        <v>0</v>
      </c>
      <c r="Q1537" s="405">
        <f t="shared" ca="1" si="1347"/>
        <v>0</v>
      </c>
      <c r="R1537" s="405">
        <f t="shared" ca="1" si="1347"/>
        <v>0</v>
      </c>
      <c r="S1537" s="405">
        <f t="shared" ca="1" si="1347"/>
        <v>0</v>
      </c>
      <c r="T1537" s="405">
        <f t="shared" ca="1" si="1347"/>
        <v>0</v>
      </c>
      <c r="U1537" s="405">
        <f t="shared" ca="1" si="1347"/>
        <v>0</v>
      </c>
      <c r="V1537" s="405">
        <f t="shared" ca="1" si="1347"/>
        <v>0</v>
      </c>
      <c r="W1537" s="405">
        <f t="shared" ca="1" si="1347"/>
        <v>0</v>
      </c>
      <c r="X1537" s="405">
        <f t="shared" ca="1" si="1347"/>
        <v>0</v>
      </c>
    </row>
    <row r="1538" spans="1:24" hidden="1">
      <c r="A1538" s="328"/>
      <c r="B1538" s="20" t="str">
        <f ca="1">OFFSET($B$269,D1538,0)</f>
        <v/>
      </c>
      <c r="C1538" s="20"/>
      <c r="D1538" s="21">
        <f>D1531+1</f>
        <v>1235</v>
      </c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</row>
    <row r="1539" spans="1:24" hidden="1">
      <c r="A1539" s="328"/>
      <c r="B1539" s="21" t="s">
        <v>414</v>
      </c>
      <c r="C1539" s="21"/>
      <c r="D1539" s="165">
        <f ca="1">IFERROR(YEAR(OFFSET($E$269,D1538,0)),0)</f>
        <v>0</v>
      </c>
      <c r="E1539" s="165">
        <f ca="1">IFERROR(MONTH(OFFSET($E$269,D1538,0)),0)</f>
        <v>0</v>
      </c>
      <c r="F1539" s="21">
        <f ca="1">12-$E1539</f>
        <v>12</v>
      </c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</row>
    <row r="1540" spans="1:24" hidden="1">
      <c r="A1540" s="328"/>
      <c r="B1540" s="21" t="s">
        <v>406</v>
      </c>
      <c r="C1540" s="21"/>
      <c r="D1540" s="388">
        <f ca="1">IF(E1540&lt;0,0,ROUND(E1540,0))</f>
        <v>0</v>
      </c>
      <c r="E1540" s="249">
        <f ca="1">OFFSET($D$269,D1538,0)</f>
        <v>0</v>
      </c>
      <c r="F1540" s="388">
        <f ca="1">IF(E1540&gt;10,ROUND(($D1541/12)*$F1539,0),$D1540)</f>
        <v>0</v>
      </c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</row>
    <row r="1541" spans="1:24" hidden="1">
      <c r="A1541" s="328"/>
      <c r="B1541" s="21" t="s">
        <v>415</v>
      </c>
      <c r="C1541" s="21"/>
      <c r="D1541" s="388">
        <f ca="1">IF(ISBLANK(OFFSET($E$269,D1538,0)),0,IF(E1540&gt;10,ROUND(D1540*am_budynki,0),IF(D1540&lt;0,0,D1540)))</f>
        <v>0</v>
      </c>
      <c r="E1541" s="21"/>
      <c r="F1541" s="21"/>
      <c r="G1541" s="21"/>
      <c r="H1541" s="21"/>
      <c r="I1541" s="21"/>
      <c r="J1541" s="21"/>
      <c r="K1541" s="75">
        <f ca="1">ROUND(IF($D1539=LataProjekcji,$F1540,IF($D1539=LataProjekcji,$D1541,0)),0)</f>
        <v>0</v>
      </c>
      <c r="L1541" s="248">
        <f ca="1">ROUND(IF(OR(AND($D1539=LataProjekcji,$F1539&gt;0),AND($D1539=LataProjekcji,$F1539=0,$E1540&lt;=10)),$F1540,IF($D1539&lt;LataProjekcji,IF((SUM($K1541:K1541)+$D1541)&lt;$D1540,$D1541,$D1540-SUM($K1541:K1541)),0)),0)</f>
        <v>0</v>
      </c>
      <c r="M1541" s="248">
        <f ca="1">ROUND(IF(OR(AND($D1539=LataProjekcji,$F1539&gt;0),AND($D1539=LataProjekcji,$F1539=0,$E1540&lt;=10)),$F1540,IF($D1539&lt;LataProjekcji,IF((SUM($K1541:L1541)+$D1541)&lt;$D1540,$D1541,$D1540-SUM($K1541:L1541)),0)),0)</f>
        <v>0</v>
      </c>
      <c r="N1541" s="248">
        <f ca="1">ROUND(IF(OR(AND($D1539=LataProjekcji,$F1539&gt;0),AND($D1539=LataProjekcji,$F1539=0,$E1540&lt;=10)),$F1540,IF($D1539&lt;LataProjekcji,IF((SUM($K1541:M1541)+$D1541)&lt;$D1540,$D1541,$D1540-SUM($K1541:M1541)),0)),0)</f>
        <v>0</v>
      </c>
      <c r="O1541" s="248">
        <f ca="1">ROUND(IF(OR(AND($D1539=LataProjekcji,$F1539&gt;0),AND($D1539=LataProjekcji,$F1539=0,$E1540&lt;=10)),$F1540,IF($D1539&lt;LataProjekcji,IF((SUM($K1541:N1541)+$D1541)&lt;$D1540,$D1541,$D1540-SUM($K1541:N1541)),0)),0)</f>
        <v>0</v>
      </c>
      <c r="P1541" s="248">
        <f ca="1">ROUND(IF(OR(AND($D1539=LataProjekcji,$F1539&gt;0),AND($D1539=LataProjekcji,$F1539=0,$E1540&lt;=10)),$F1540,IF($D1539&lt;LataProjekcji,IF((SUM($K1541:O1541)+$D1541)&lt;$D1540,$D1541,$D1540-SUM($K1541:O1541)),0)),0)</f>
        <v>0</v>
      </c>
      <c r="Q1541" s="248">
        <f ca="1">ROUND(IF(OR(AND($D1539=LataProjekcji,$F1539&gt;0),AND($D1539=LataProjekcji,$F1539=0,$E1540&lt;=10)),$F1540,IF($D1539&lt;LataProjekcji,IF((SUM($K1541:P1541)+$D1541)&lt;$D1540,$D1541,$D1540-SUM($K1541:P1541)),0)),0)</f>
        <v>0</v>
      </c>
      <c r="R1541" s="248">
        <f ca="1">ROUND(IF(OR(AND($D1539=LataProjekcji,$F1539&gt;0),AND($D1539=LataProjekcji,$F1539=0,$E1540&lt;=10)),$F1540,IF($D1539&lt;LataProjekcji,IF((SUM($K1541:Q1541)+$D1541)&lt;$D1540,$D1541,$D1540-SUM($K1541:Q1541)),0)),0)</f>
        <v>0</v>
      </c>
      <c r="S1541" s="248">
        <f ca="1">ROUND(IF(OR(AND($D1539=LataProjekcji,$F1539&gt;0),AND($D1539=LataProjekcji,$F1539=0,$E1540&lt;=10)),$F1540,IF($D1539&lt;LataProjekcji,IF((SUM($K1541:R1541)+$D1541)&lt;$D1540,$D1541,$D1540-SUM($K1541:R1541)),0)),0)</f>
        <v>0</v>
      </c>
      <c r="T1541" s="248">
        <f ca="1">ROUND(IF(OR(AND($D1539=LataProjekcji,$F1539&gt;0),AND($D1539=LataProjekcji,$F1539=0,$E1540&lt;=10)),$F1540,IF($D1539&lt;LataProjekcji,IF((SUM($K1541:S1541)+$D1541)&lt;$D1540,$D1541,$D1540-SUM($K1541:S1541)),0)),0)</f>
        <v>0</v>
      </c>
      <c r="U1541" s="248">
        <f ca="1">ROUND(IF(OR(AND($D1539=LataProjekcji,$F1539&gt;0),AND($D1539=LataProjekcji,$F1539=0,$E1540&lt;=10)),$F1540,IF($D1539&lt;LataProjekcji,IF((SUM($K1541:T1541)+$D1541)&lt;$D1540,$D1541,$D1540-SUM($K1541:T1541)),0)),0)</f>
        <v>0</v>
      </c>
      <c r="V1541" s="248">
        <f ca="1">ROUND(IF(OR(AND($D1539=LataProjekcji,$F1539&gt;0),AND($D1539=LataProjekcji,$F1539=0,$E1540&lt;=10)),$F1540,IF($D1539&lt;LataProjekcji,IF((SUM($K1541:U1541)+$D1541)&lt;$D1540,$D1541,$D1540-SUM($K1541:U1541)),0)),0)</f>
        <v>0</v>
      </c>
      <c r="W1541" s="248">
        <f ca="1">ROUND(IF(OR(AND($D1539=LataProjekcji,$F1539&gt;0),AND($D1539=LataProjekcji,$F1539=0,$E1540&lt;=10)),$F1540,IF($D1539&lt;LataProjekcji,IF((SUM($K1541:V1541)+$D1541)&lt;$D1540,$D1541,$D1540-SUM($K1541:V1541)),0)),0)</f>
        <v>0</v>
      </c>
      <c r="X1541" s="248">
        <f ca="1">ROUND(IF(OR(AND($D1539=LataProjekcji,$F1539&gt;0),AND($D1539=LataProjekcji,$F1539=0,$E1540&lt;=10)),$F1540,IF($D1539&lt;LataProjekcji,IF((SUM($K1541:W1541)+$D1541)&lt;$D1540,$D1541,$D1540-SUM($K1541:W1541)),0)),0)</f>
        <v>0</v>
      </c>
    </row>
    <row r="1542" spans="1:24" hidden="1">
      <c r="A1542" s="328"/>
      <c r="B1542" s="21" t="s">
        <v>416</v>
      </c>
      <c r="C1542" s="21"/>
      <c r="D1542" s="22"/>
      <c r="E1542" s="21"/>
      <c r="F1542" s="21"/>
      <c r="G1542" s="21"/>
      <c r="H1542" s="21"/>
      <c r="I1542" s="21"/>
      <c r="J1542" s="21"/>
      <c r="K1542" s="22">
        <f ca="1">ROUND(K1541,0)</f>
        <v>0</v>
      </c>
      <c r="L1542" s="22">
        <f t="shared" ref="L1542:X1542" ca="1" si="1348">ROUND(K1542+L1541,0)</f>
        <v>0</v>
      </c>
      <c r="M1542" s="22">
        <f t="shared" ca="1" si="1348"/>
        <v>0</v>
      </c>
      <c r="N1542" s="22">
        <f t="shared" ca="1" si="1348"/>
        <v>0</v>
      </c>
      <c r="O1542" s="22">
        <f t="shared" ca="1" si="1348"/>
        <v>0</v>
      </c>
      <c r="P1542" s="22">
        <f t="shared" ca="1" si="1348"/>
        <v>0</v>
      </c>
      <c r="Q1542" s="22">
        <f t="shared" ca="1" si="1348"/>
        <v>0</v>
      </c>
      <c r="R1542" s="22">
        <f t="shared" ca="1" si="1348"/>
        <v>0</v>
      </c>
      <c r="S1542" s="22">
        <f t="shared" ca="1" si="1348"/>
        <v>0</v>
      </c>
      <c r="T1542" s="22">
        <f t="shared" ca="1" si="1348"/>
        <v>0</v>
      </c>
      <c r="U1542" s="22">
        <f t="shared" ca="1" si="1348"/>
        <v>0</v>
      </c>
      <c r="V1542" s="22">
        <f t="shared" ca="1" si="1348"/>
        <v>0</v>
      </c>
      <c r="W1542" s="22">
        <f t="shared" ca="1" si="1348"/>
        <v>0</v>
      </c>
      <c r="X1542" s="22">
        <f t="shared" ca="1" si="1348"/>
        <v>0</v>
      </c>
    </row>
    <row r="1543" spans="1:24" hidden="1">
      <c r="A1543" s="328"/>
      <c r="B1543" s="21" t="s">
        <v>406</v>
      </c>
      <c r="C1543" s="21"/>
      <c r="D1543" s="22"/>
      <c r="E1543" s="21"/>
      <c r="F1543" s="21"/>
      <c r="G1543" s="21"/>
      <c r="H1543" s="21"/>
      <c r="I1543" s="21"/>
      <c r="J1543" s="21"/>
      <c r="K1543" s="77">
        <f ca="1">IF($D1539=LataProjekcji,ROUND($D1540-K1542,0),ROUND(IF(K1541=0,0,$D1540-K1542),0))</f>
        <v>0</v>
      </c>
      <c r="L1543" s="254">
        <f t="shared" ref="L1543:X1543" ca="1" si="1349">IF($D1539=LataProjekcji,ROUND($D1540-L1542,0),ROUND(IF(AND(L1541=0,K1543&gt;0),$D1540-L1542,IF(L1541=0,0,$D1540-L1542)),0))</f>
        <v>0</v>
      </c>
      <c r="M1543" s="254">
        <f t="shared" ca="1" si="1349"/>
        <v>0</v>
      </c>
      <c r="N1543" s="254">
        <f t="shared" ca="1" si="1349"/>
        <v>0</v>
      </c>
      <c r="O1543" s="254">
        <f t="shared" ca="1" si="1349"/>
        <v>0</v>
      </c>
      <c r="P1543" s="254">
        <f t="shared" ca="1" si="1349"/>
        <v>0</v>
      </c>
      <c r="Q1543" s="254">
        <f t="shared" ca="1" si="1349"/>
        <v>0</v>
      </c>
      <c r="R1543" s="254">
        <f t="shared" ca="1" si="1349"/>
        <v>0</v>
      </c>
      <c r="S1543" s="254">
        <f t="shared" ca="1" si="1349"/>
        <v>0</v>
      </c>
      <c r="T1543" s="254">
        <f t="shared" ca="1" si="1349"/>
        <v>0</v>
      </c>
      <c r="U1543" s="254">
        <f t="shared" ca="1" si="1349"/>
        <v>0</v>
      </c>
      <c r="V1543" s="254">
        <f t="shared" ca="1" si="1349"/>
        <v>0</v>
      </c>
      <c r="W1543" s="254">
        <f t="shared" ca="1" si="1349"/>
        <v>0</v>
      </c>
      <c r="X1543" s="254">
        <f t="shared" ca="1" si="1349"/>
        <v>0</v>
      </c>
    </row>
    <row r="1544" spans="1:24" hidden="1">
      <c r="A1544" s="328"/>
      <c r="H1544" s="404">
        <f>H1537+1</f>
        <v>14</v>
      </c>
      <c r="I1544" s="483" t="str" cm="1">
        <f t="array" aca="1" ref="I1544" ca="1">OFFSET('Środki trwałe'!$C$353,H1544,,)</f>
        <v/>
      </c>
      <c r="J1544" s="404" t="s">
        <v>427</v>
      </c>
      <c r="K1544" s="405">
        <f t="shared" ref="K1544:X1544" ca="1" si="1350">IF(AND(OFFSET($F$269,$D1538,0)="tak",OFFSET($G$269,$D1538,0)="tak",OFFSET($J$269,$D1538,0)="ok",LataProjekcji&lt;=Koniec_Projekt),ROUND(K1541*OFFSET($K$374,$H1544,(COLUMN()-11)),0),0)</f>
        <v>0</v>
      </c>
      <c r="L1544" s="405">
        <f t="shared" ca="1" si="1350"/>
        <v>0</v>
      </c>
      <c r="M1544" s="405">
        <f t="shared" ca="1" si="1350"/>
        <v>0</v>
      </c>
      <c r="N1544" s="405">
        <f t="shared" ca="1" si="1350"/>
        <v>0</v>
      </c>
      <c r="O1544" s="405">
        <f t="shared" ca="1" si="1350"/>
        <v>0</v>
      </c>
      <c r="P1544" s="405">
        <f t="shared" ca="1" si="1350"/>
        <v>0</v>
      </c>
      <c r="Q1544" s="405">
        <f t="shared" ca="1" si="1350"/>
        <v>0</v>
      </c>
      <c r="R1544" s="405">
        <f t="shared" ca="1" si="1350"/>
        <v>0</v>
      </c>
      <c r="S1544" s="405">
        <f t="shared" ca="1" si="1350"/>
        <v>0</v>
      </c>
      <c r="T1544" s="405">
        <f t="shared" ca="1" si="1350"/>
        <v>0</v>
      </c>
      <c r="U1544" s="405">
        <f t="shared" ca="1" si="1350"/>
        <v>0</v>
      </c>
      <c r="V1544" s="405">
        <f t="shared" ca="1" si="1350"/>
        <v>0</v>
      </c>
      <c r="W1544" s="405">
        <f t="shared" ca="1" si="1350"/>
        <v>0</v>
      </c>
      <c r="X1544" s="405">
        <f t="shared" ca="1" si="1350"/>
        <v>0</v>
      </c>
    </row>
    <row r="1545" spans="1:24" hidden="1">
      <c r="A1545" s="328"/>
    </row>
    <row r="1546" spans="1:24" hidden="1">
      <c r="A1546" s="328"/>
    </row>
    <row r="1547" spans="1:24" hidden="1">
      <c r="A1547" s="328"/>
    </row>
    <row r="1548" spans="1:24" hidden="1">
      <c r="A1548" s="328"/>
    </row>
    <row r="1549" spans="1:24" hidden="1">
      <c r="A1549" s="328"/>
    </row>
    <row r="1550" spans="1:24" ht="12.6" hidden="1" thickBot="1">
      <c r="A1550" s="328"/>
      <c r="B1550" s="464" t="s">
        <v>750</v>
      </c>
    </row>
    <row r="1551" spans="1:24" ht="12.6" hidden="1" thickBot="1">
      <c r="A1551" s="328"/>
      <c r="B1551" s="20">
        <f ca="1">OFFSET($B$269,D1551,0)</f>
        <v>0</v>
      </c>
      <c r="C1551" s="20"/>
      <c r="D1551" s="250">
        <v>149</v>
      </c>
      <c r="E1551" s="21"/>
      <c r="F1551" s="21" t="s">
        <v>411</v>
      </c>
      <c r="G1551" s="48"/>
      <c r="H1551" s="50" t="s">
        <v>412</v>
      </c>
      <c r="I1551" s="21" t="s">
        <v>413</v>
      </c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</row>
    <row r="1552" spans="1:24" hidden="1">
      <c r="A1552" s="328"/>
      <c r="B1552" s="21" t="s">
        <v>414</v>
      </c>
      <c r="C1552" s="21"/>
      <c r="D1552" s="165">
        <f ca="1">YEAR(OFFSET($E$269,D1551,0))</f>
        <v>1900</v>
      </c>
      <c r="E1552" s="165">
        <f ca="1">MONTH(OFFSET($E$269,D1551,0))</f>
        <v>1</v>
      </c>
      <c r="F1552" s="21">
        <f ca="1">12-$E1552</f>
        <v>11</v>
      </c>
      <c r="G1552" s="49"/>
      <c r="H1552" s="51">
        <f>D568-G1552</f>
        <v>0</v>
      </c>
      <c r="I1552" s="22">
        <f>D568-G1552-H1552</f>
        <v>0</v>
      </c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</row>
    <row r="1553" spans="1:24" hidden="1">
      <c r="A1553" s="328"/>
      <c r="B1553" s="21" t="s">
        <v>406</v>
      </c>
      <c r="C1553" s="21"/>
      <c r="D1553" s="247">
        <f ca="1">IF(E1553&lt;0,0,ROUND(E1553,0))</f>
        <v>0</v>
      </c>
      <c r="E1553" s="249">
        <f ca="1">OFFSET($D$269,D1551,0)</f>
        <v>0</v>
      </c>
      <c r="F1553" s="247">
        <f ca="1">IF(E1553&gt;10,ROUND(($D1554/12)*$F1552,0),$D1553)</f>
        <v>0</v>
      </c>
      <c r="G1553" s="21" t="s">
        <v>426</v>
      </c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</row>
    <row r="1554" spans="1:24" hidden="1">
      <c r="A1554" s="328"/>
      <c r="B1554" s="21" t="s">
        <v>415</v>
      </c>
      <c r="C1554" s="21"/>
      <c r="D1554" s="247">
        <f ca="1">IF(ISBLANK(OFFSET($E$269,D1551,0)),0,IF(E1553&gt;10,ROUND(D1553*am_maszyny,0),IF(D1553&lt;0,0,D1553)))</f>
        <v>0</v>
      </c>
      <c r="E1554" s="21"/>
      <c r="F1554" s="21"/>
      <c r="G1554" s="21"/>
      <c r="H1554" s="21"/>
      <c r="I1554" s="21"/>
      <c r="J1554" s="21"/>
      <c r="K1554" s="75">
        <f ca="1">ROUND(IF($D1552=LataProjekcji,$F1553,IF($D1552=LataProjekcji,$D1554,0)),0)</f>
        <v>0</v>
      </c>
      <c r="L1554" s="248">
        <f ca="1">ROUND(IF(OR(AND($D1552=LataProjekcji,$F1552&gt;0),AND($D1552=LataProjekcji,$F1552=0,$E1553&lt;=10)),$F1553,IF($D1552&lt;LataProjekcji,IF((SUM($K1554:K1554)+$D1554)&lt;$D1553,$D1554,$D1553-SUM($K1554:K1554)),0)),0)</f>
        <v>0</v>
      </c>
      <c r="M1554" s="248">
        <f ca="1">ROUND(IF(OR(AND($D1552=LataProjekcji,$F1552&gt;0),AND($D1552=LataProjekcji,$F1552=0,$E1553&lt;=10)),$F1553,IF($D1552&lt;LataProjekcji,IF((SUM($K1554:L1554)+$D1554)&lt;$D1553,$D1554,$D1553-SUM($K1554:L1554)),0)),0)</f>
        <v>0</v>
      </c>
      <c r="N1554" s="248">
        <f ca="1">ROUND(IF(OR(AND($D1552=LataProjekcji,$F1552&gt;0),AND($D1552=LataProjekcji,$F1552=0,$E1553&lt;=10)),$F1553,IF($D1552&lt;LataProjekcji,IF((SUM($K1554:M1554)+$D1554)&lt;$D1553,$D1554,$D1553-SUM($K1554:M1554)),0)),0)</f>
        <v>0</v>
      </c>
      <c r="O1554" s="248">
        <f ca="1">ROUND(IF(OR(AND($D1552=LataProjekcji,$F1552&gt;0),AND($D1552=LataProjekcji,$F1552=0,$E1553&lt;=10)),$F1553,IF($D1552&lt;LataProjekcji,IF((SUM($K1554:N1554)+$D1554)&lt;$D1553,$D1554,$D1553-SUM($K1554:N1554)),0)),0)</f>
        <v>0</v>
      </c>
      <c r="P1554" s="248">
        <f ca="1">ROUND(IF(OR(AND($D1552=LataProjekcji,$F1552&gt;0),AND($D1552=LataProjekcji,$F1552=0,$E1553&lt;=10)),$F1553,IF($D1552&lt;LataProjekcji,IF((SUM($K1554:O1554)+$D1554)&lt;$D1553,$D1554,$D1553-SUM($K1554:O1554)),0)),0)</f>
        <v>0</v>
      </c>
      <c r="Q1554" s="248">
        <f ca="1">ROUND(IF(OR(AND($D1552=LataProjekcji,$F1552&gt;0),AND($D1552=LataProjekcji,$F1552=0,$E1553&lt;=10)),$F1553,IF($D1552&lt;LataProjekcji,IF((SUM($K1554:P1554)+$D1554)&lt;$D1553,$D1554,$D1553-SUM($K1554:P1554)),0)),0)</f>
        <v>0</v>
      </c>
      <c r="R1554" s="248">
        <f ca="1">ROUND(IF(OR(AND($D1552=LataProjekcji,$F1552&gt;0),AND($D1552=LataProjekcji,$F1552=0,$E1553&lt;=10)),$F1553,IF($D1552&lt;LataProjekcji,IF((SUM($K1554:Q1554)+$D1554)&lt;$D1553,$D1554,$D1553-SUM($K1554:Q1554)),0)),0)</f>
        <v>0</v>
      </c>
      <c r="S1554" s="248">
        <f ca="1">ROUND(IF(OR(AND($D1552=LataProjekcji,$F1552&gt;0),AND($D1552=LataProjekcji,$F1552=0,$E1553&lt;=10)),$F1553,IF($D1552&lt;LataProjekcji,IF((SUM($K1554:R1554)+$D1554)&lt;$D1553,$D1554,$D1553-SUM($K1554:R1554)),0)),0)</f>
        <v>0</v>
      </c>
      <c r="T1554" s="248">
        <f ca="1">ROUND(IF(OR(AND($D1552=LataProjekcji,$F1552&gt;0),AND($D1552=LataProjekcji,$F1552=0,$E1553&lt;=10)),$F1553,IF($D1552&lt;LataProjekcji,IF((SUM($K1554:S1554)+$D1554)&lt;$D1553,$D1554,$D1553-SUM($K1554:S1554)),0)),0)</f>
        <v>0</v>
      </c>
      <c r="U1554" s="248">
        <f ca="1">ROUND(IF(OR(AND($D1552=LataProjekcji,$F1552&gt;0),AND($D1552=LataProjekcji,$F1552=0,$E1553&lt;=10)),$F1553,IF($D1552&lt;LataProjekcji,IF((SUM($K1554:T1554)+$D1554)&lt;$D1553,$D1554,$D1553-SUM($K1554:T1554)),0)),0)</f>
        <v>0</v>
      </c>
      <c r="V1554" s="248">
        <f ca="1">ROUND(IF(OR(AND($D1552=LataProjekcji,$F1552&gt;0),AND($D1552=LataProjekcji,$F1552=0,$E1553&lt;=10)),$F1553,IF($D1552&lt;LataProjekcji,IF((SUM($K1554:U1554)+$D1554)&lt;$D1553,$D1554,$D1553-SUM($K1554:U1554)),0)),0)</f>
        <v>0</v>
      </c>
      <c r="W1554" s="248">
        <f ca="1">ROUND(IF(OR(AND($D1552=LataProjekcji,$F1552&gt;0),AND($D1552=LataProjekcji,$F1552=0,$E1553&lt;=10)),$F1553,IF($D1552&lt;LataProjekcji,IF((SUM($K1554:V1554)+$D1554)&lt;$D1553,$D1554,$D1553-SUM($K1554:V1554)),0)),0)</f>
        <v>0</v>
      </c>
      <c r="X1554" s="248">
        <f ca="1">ROUND(IF(OR(AND($D1552=LataProjekcji,$F1552&gt;0),AND($D1552=LataProjekcji,$F1552=0,$E1553&lt;=10)),$F1553,IF($D1552&lt;LataProjekcji,IF((SUM($K1554:W1554)+$D1554)&lt;$D1553,$D1554,$D1553-SUM($K1554:W1554)),0)),0)</f>
        <v>0</v>
      </c>
    </row>
    <row r="1555" spans="1:24" hidden="1">
      <c r="A1555" s="328"/>
      <c r="B1555" s="21" t="s">
        <v>416</v>
      </c>
      <c r="C1555" s="21"/>
      <c r="D1555" s="22"/>
      <c r="E1555" s="21"/>
      <c r="F1555" s="21"/>
      <c r="G1555" s="21"/>
      <c r="H1555" s="21"/>
      <c r="I1555" s="21"/>
      <c r="J1555" s="21"/>
      <c r="K1555" s="22">
        <f ca="1">ROUND(K1554,0)</f>
        <v>0</v>
      </c>
      <c r="L1555" s="22">
        <f t="shared" ref="L1555:X1555" ca="1" si="1351">ROUND(K1555+L1554,0)</f>
        <v>0</v>
      </c>
      <c r="M1555" s="22">
        <f t="shared" ca="1" si="1351"/>
        <v>0</v>
      </c>
      <c r="N1555" s="22">
        <f t="shared" ca="1" si="1351"/>
        <v>0</v>
      </c>
      <c r="O1555" s="22">
        <f t="shared" ca="1" si="1351"/>
        <v>0</v>
      </c>
      <c r="P1555" s="22">
        <f t="shared" ca="1" si="1351"/>
        <v>0</v>
      </c>
      <c r="Q1555" s="22">
        <f t="shared" ca="1" si="1351"/>
        <v>0</v>
      </c>
      <c r="R1555" s="22">
        <f t="shared" ca="1" si="1351"/>
        <v>0</v>
      </c>
      <c r="S1555" s="22">
        <f t="shared" ca="1" si="1351"/>
        <v>0</v>
      </c>
      <c r="T1555" s="22">
        <f t="shared" ca="1" si="1351"/>
        <v>0</v>
      </c>
      <c r="U1555" s="22">
        <f t="shared" ca="1" si="1351"/>
        <v>0</v>
      </c>
      <c r="V1555" s="22">
        <f t="shared" ca="1" si="1351"/>
        <v>0</v>
      </c>
      <c r="W1555" s="22">
        <f t="shared" ca="1" si="1351"/>
        <v>0</v>
      </c>
      <c r="X1555" s="22">
        <f t="shared" ca="1" si="1351"/>
        <v>0</v>
      </c>
    </row>
    <row r="1556" spans="1:24" hidden="1">
      <c r="A1556" s="328"/>
      <c r="B1556" s="21" t="s">
        <v>406</v>
      </c>
      <c r="C1556" s="21"/>
      <c r="D1556" s="22"/>
      <c r="E1556" s="21"/>
      <c r="F1556" s="21"/>
      <c r="G1556" s="21"/>
      <c r="H1556" s="21"/>
      <c r="I1556" s="21"/>
      <c r="J1556" s="21"/>
      <c r="K1556" s="77">
        <f ca="1">IF($D1552=LataProjekcji,ROUND($D1553-K1555,0),ROUND(IF(K1554=0,0,$D1553-K1555),0))</f>
        <v>0</v>
      </c>
      <c r="L1556" s="254">
        <f t="shared" ref="L1556:X1556" ca="1" si="1352">IF($D1552=LataProjekcji,ROUND($D1553-L1555,0),ROUND(IF(AND(L1554=0,K1556&gt;0),$D1553-L1555,IF(L1554=0,0,$D1553-L1555)),0))</f>
        <v>0</v>
      </c>
      <c r="M1556" s="254">
        <f t="shared" ca="1" si="1352"/>
        <v>0</v>
      </c>
      <c r="N1556" s="254">
        <f t="shared" ca="1" si="1352"/>
        <v>0</v>
      </c>
      <c r="O1556" s="254">
        <f t="shared" ca="1" si="1352"/>
        <v>0</v>
      </c>
      <c r="P1556" s="254">
        <f t="shared" ca="1" si="1352"/>
        <v>0</v>
      </c>
      <c r="Q1556" s="254">
        <f t="shared" ca="1" si="1352"/>
        <v>0</v>
      </c>
      <c r="R1556" s="254">
        <f t="shared" ca="1" si="1352"/>
        <v>0</v>
      </c>
      <c r="S1556" s="254">
        <f t="shared" ca="1" si="1352"/>
        <v>0</v>
      </c>
      <c r="T1556" s="254">
        <f t="shared" ca="1" si="1352"/>
        <v>0</v>
      </c>
      <c r="U1556" s="254">
        <f t="shared" ca="1" si="1352"/>
        <v>0</v>
      </c>
      <c r="V1556" s="254">
        <f t="shared" ca="1" si="1352"/>
        <v>0</v>
      </c>
      <c r="W1556" s="254">
        <f t="shared" ca="1" si="1352"/>
        <v>0</v>
      </c>
      <c r="X1556" s="254">
        <f t="shared" ca="1" si="1352"/>
        <v>0</v>
      </c>
    </row>
    <row r="1557" spans="1:24" hidden="1">
      <c r="A1557" s="328"/>
      <c r="B1557" s="21"/>
      <c r="C1557" s="21"/>
      <c r="D1557" s="22"/>
      <c r="E1557" s="21"/>
      <c r="F1557" s="21"/>
      <c r="G1557" s="21"/>
      <c r="H1557" s="404">
        <v>0</v>
      </c>
      <c r="I1557" s="483" cm="1">
        <f t="array" aca="1" ref="I1557" ca="1">OFFSET('Środki trwałe'!$C$418,H1557,,)</f>
        <v>0</v>
      </c>
      <c r="J1557" s="404" t="s">
        <v>427</v>
      </c>
      <c r="K1557" s="405">
        <f t="shared" ref="K1557:X1557" ca="1" si="1353">IF(AND(OFFSET($F$269,$D1551,0)="tak",OFFSET($G$269,$D1551,0)="tak",OFFSET($J$269,$D1551,0)="ok",LataProjekcji&lt;=Koniec_Projekt),ROUND(K1554*OFFSET($K$469,$H1557,(COLUMN()-11)),0),0)</f>
        <v>0</v>
      </c>
      <c r="L1557" s="405">
        <f t="shared" ca="1" si="1353"/>
        <v>0</v>
      </c>
      <c r="M1557" s="405">
        <f t="shared" ca="1" si="1353"/>
        <v>0</v>
      </c>
      <c r="N1557" s="405">
        <f t="shared" ca="1" si="1353"/>
        <v>0</v>
      </c>
      <c r="O1557" s="405">
        <f t="shared" ca="1" si="1353"/>
        <v>0</v>
      </c>
      <c r="P1557" s="405">
        <f t="shared" ca="1" si="1353"/>
        <v>0</v>
      </c>
      <c r="Q1557" s="405">
        <f t="shared" ca="1" si="1353"/>
        <v>0</v>
      </c>
      <c r="R1557" s="405">
        <f t="shared" ca="1" si="1353"/>
        <v>0</v>
      </c>
      <c r="S1557" s="405">
        <f t="shared" ca="1" si="1353"/>
        <v>0</v>
      </c>
      <c r="T1557" s="405">
        <f t="shared" ca="1" si="1353"/>
        <v>0</v>
      </c>
      <c r="U1557" s="405">
        <f t="shared" ca="1" si="1353"/>
        <v>0</v>
      </c>
      <c r="V1557" s="405">
        <f t="shared" ca="1" si="1353"/>
        <v>0</v>
      </c>
      <c r="W1557" s="405">
        <f t="shared" ca="1" si="1353"/>
        <v>0</v>
      </c>
      <c r="X1557" s="405">
        <f t="shared" ca="1" si="1353"/>
        <v>0</v>
      </c>
    </row>
    <row r="1558" spans="1:24" hidden="1">
      <c r="A1558" s="328"/>
      <c r="B1558" s="20">
        <f ca="1">OFFSET($B$269,D1558,0)</f>
        <v>0</v>
      </c>
      <c r="C1558" s="20"/>
      <c r="D1558" s="21">
        <f>D1551+1</f>
        <v>150</v>
      </c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</row>
    <row r="1559" spans="1:24" hidden="1">
      <c r="A1559" s="328"/>
      <c r="B1559" s="21" t="s">
        <v>414</v>
      </c>
      <c r="C1559" s="21"/>
      <c r="D1559" s="165">
        <f ca="1">YEAR(OFFSET($E$269,D1558,0))</f>
        <v>1900</v>
      </c>
      <c r="E1559" s="165">
        <f ca="1">MONTH(OFFSET($E$269,D1558,0))</f>
        <v>1</v>
      </c>
      <c r="F1559" s="21">
        <f ca="1">12-$E1559</f>
        <v>11</v>
      </c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</row>
    <row r="1560" spans="1:24" hidden="1">
      <c r="A1560" s="328"/>
      <c r="B1560" s="21" t="s">
        <v>406</v>
      </c>
      <c r="C1560" s="21"/>
      <c r="D1560" s="385">
        <f ca="1">IF(E1560&lt;0,0,ROUND(E1560,0))</f>
        <v>0</v>
      </c>
      <c r="E1560" s="249">
        <f ca="1">OFFSET($D$269,D1558,0)</f>
        <v>0</v>
      </c>
      <c r="F1560" s="385">
        <f ca="1">IF(E1560&gt;10,ROUND(($D1561/12)*$F1559,0),$D1560)</f>
        <v>0</v>
      </c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</row>
    <row r="1561" spans="1:24" hidden="1">
      <c r="A1561" s="328"/>
      <c r="B1561" s="21" t="s">
        <v>415</v>
      </c>
      <c r="C1561" s="21"/>
      <c r="D1561" s="385">
        <f ca="1">IF(ISBLANK(OFFSET($E$269,D1558,0)),0,IF(E1560&gt;10,ROUND(D1560*am_maszyny,0),IF(D1560&lt;0,0,D1560)))</f>
        <v>0</v>
      </c>
      <c r="E1561" s="21"/>
      <c r="F1561" s="21"/>
      <c r="G1561" s="21"/>
      <c r="H1561" s="21"/>
      <c r="I1561" s="21"/>
      <c r="J1561" s="21"/>
      <c r="K1561" s="75">
        <f ca="1">ROUND(IF($D1559=LataProjekcji,$F1560,IF($D1559=LataProjekcji,$D1561,0)),0)</f>
        <v>0</v>
      </c>
      <c r="L1561" s="248">
        <f ca="1">ROUND(IF(OR(AND($D1559=LataProjekcji,$F1559&gt;0),AND($D1559=LataProjekcji,$F1559=0,$E1560&lt;=10)),$F1560,IF($D1559&lt;LataProjekcji,IF((SUM($K1561:K1561)+$D1561)&lt;$D1560,$D1561,$D1560-SUM($K1561:K1561)),0)),0)</f>
        <v>0</v>
      </c>
      <c r="M1561" s="248">
        <f ca="1">ROUND(IF(OR(AND($D1559=LataProjekcji,$F1559&gt;0),AND($D1559=LataProjekcji,$F1559=0,$E1560&lt;=10)),$F1560,IF($D1559&lt;LataProjekcji,IF((SUM($K1561:L1561)+$D1561)&lt;$D1560,$D1561,$D1560-SUM($K1561:L1561)),0)),0)</f>
        <v>0</v>
      </c>
      <c r="N1561" s="248">
        <f ca="1">ROUND(IF(OR(AND($D1559=LataProjekcji,$F1559&gt;0),AND($D1559=LataProjekcji,$F1559=0,$E1560&lt;=10)),$F1560,IF($D1559&lt;LataProjekcji,IF((SUM($K1561:M1561)+$D1561)&lt;$D1560,$D1561,$D1560-SUM($K1561:M1561)),0)),0)</f>
        <v>0</v>
      </c>
      <c r="O1561" s="248">
        <f ca="1">ROUND(IF(OR(AND($D1559=LataProjekcji,$F1559&gt;0),AND($D1559=LataProjekcji,$F1559=0,$E1560&lt;=10)),$F1560,IF($D1559&lt;LataProjekcji,IF((SUM($K1561:N1561)+$D1561)&lt;$D1560,$D1561,$D1560-SUM($K1561:N1561)),0)),0)</f>
        <v>0</v>
      </c>
      <c r="P1561" s="248">
        <f ca="1">ROUND(IF(OR(AND($D1559=LataProjekcji,$F1559&gt;0),AND($D1559=LataProjekcji,$F1559=0,$E1560&lt;=10)),$F1560,IF($D1559&lt;LataProjekcji,IF((SUM($K1561:O1561)+$D1561)&lt;$D1560,$D1561,$D1560-SUM($K1561:O1561)),0)),0)</f>
        <v>0</v>
      </c>
      <c r="Q1561" s="248">
        <f ca="1">ROUND(IF(OR(AND($D1559=LataProjekcji,$F1559&gt;0),AND($D1559=LataProjekcji,$F1559=0,$E1560&lt;=10)),$F1560,IF($D1559&lt;LataProjekcji,IF((SUM($K1561:P1561)+$D1561)&lt;$D1560,$D1561,$D1560-SUM($K1561:P1561)),0)),0)</f>
        <v>0</v>
      </c>
      <c r="R1561" s="248">
        <f ca="1">ROUND(IF(OR(AND($D1559=LataProjekcji,$F1559&gt;0),AND($D1559=LataProjekcji,$F1559=0,$E1560&lt;=10)),$F1560,IF($D1559&lt;LataProjekcji,IF((SUM($K1561:Q1561)+$D1561)&lt;$D1560,$D1561,$D1560-SUM($K1561:Q1561)),0)),0)</f>
        <v>0</v>
      </c>
      <c r="S1561" s="248">
        <f ca="1">ROUND(IF(OR(AND($D1559=LataProjekcji,$F1559&gt;0),AND($D1559=LataProjekcji,$F1559=0,$E1560&lt;=10)),$F1560,IF($D1559&lt;LataProjekcji,IF((SUM($K1561:R1561)+$D1561)&lt;$D1560,$D1561,$D1560-SUM($K1561:R1561)),0)),0)</f>
        <v>0</v>
      </c>
      <c r="T1561" s="248">
        <f ca="1">ROUND(IF(OR(AND($D1559=LataProjekcji,$F1559&gt;0),AND($D1559=LataProjekcji,$F1559=0,$E1560&lt;=10)),$F1560,IF($D1559&lt;LataProjekcji,IF((SUM($K1561:S1561)+$D1561)&lt;$D1560,$D1561,$D1560-SUM($K1561:S1561)),0)),0)</f>
        <v>0</v>
      </c>
      <c r="U1561" s="248">
        <f ca="1">ROUND(IF(OR(AND($D1559=LataProjekcji,$F1559&gt;0),AND($D1559=LataProjekcji,$F1559=0,$E1560&lt;=10)),$F1560,IF($D1559&lt;LataProjekcji,IF((SUM($K1561:T1561)+$D1561)&lt;$D1560,$D1561,$D1560-SUM($K1561:T1561)),0)),0)</f>
        <v>0</v>
      </c>
      <c r="V1561" s="248">
        <f ca="1">ROUND(IF(OR(AND($D1559=LataProjekcji,$F1559&gt;0),AND($D1559=LataProjekcji,$F1559=0,$E1560&lt;=10)),$F1560,IF($D1559&lt;LataProjekcji,IF((SUM($K1561:U1561)+$D1561)&lt;$D1560,$D1561,$D1560-SUM($K1561:U1561)),0)),0)</f>
        <v>0</v>
      </c>
      <c r="W1561" s="248">
        <f ca="1">ROUND(IF(OR(AND($D1559=LataProjekcji,$F1559&gt;0),AND($D1559=LataProjekcji,$F1559=0,$E1560&lt;=10)),$F1560,IF($D1559&lt;LataProjekcji,IF((SUM($K1561:V1561)+$D1561)&lt;$D1560,$D1561,$D1560-SUM($K1561:V1561)),0)),0)</f>
        <v>0</v>
      </c>
      <c r="X1561" s="248">
        <f ca="1">ROUND(IF(OR(AND($D1559=LataProjekcji,$F1559&gt;0),AND($D1559=LataProjekcji,$F1559=0,$E1560&lt;=10)),$F1560,IF($D1559&lt;LataProjekcji,IF((SUM($K1561:W1561)+$D1561)&lt;$D1560,$D1561,$D1560-SUM($K1561:W1561)),0)),0)</f>
        <v>0</v>
      </c>
    </row>
    <row r="1562" spans="1:24" hidden="1">
      <c r="A1562" s="328"/>
      <c r="B1562" s="21" t="s">
        <v>416</v>
      </c>
      <c r="C1562" s="21"/>
      <c r="D1562" s="22"/>
      <c r="E1562" s="21"/>
      <c r="F1562" s="21"/>
      <c r="G1562" s="21"/>
      <c r="H1562" s="21"/>
      <c r="I1562" s="21"/>
      <c r="J1562" s="21"/>
      <c r="K1562" s="22">
        <f ca="1">ROUND(K1561,0)</f>
        <v>0</v>
      </c>
      <c r="L1562" s="22">
        <f t="shared" ref="L1562:X1562" ca="1" si="1354">ROUND(K1562+L1561,0)</f>
        <v>0</v>
      </c>
      <c r="M1562" s="22">
        <f t="shared" ca="1" si="1354"/>
        <v>0</v>
      </c>
      <c r="N1562" s="22">
        <f t="shared" ca="1" si="1354"/>
        <v>0</v>
      </c>
      <c r="O1562" s="22">
        <f t="shared" ca="1" si="1354"/>
        <v>0</v>
      </c>
      <c r="P1562" s="22">
        <f t="shared" ca="1" si="1354"/>
        <v>0</v>
      </c>
      <c r="Q1562" s="22">
        <f t="shared" ca="1" si="1354"/>
        <v>0</v>
      </c>
      <c r="R1562" s="22">
        <f t="shared" ca="1" si="1354"/>
        <v>0</v>
      </c>
      <c r="S1562" s="22">
        <f t="shared" ca="1" si="1354"/>
        <v>0</v>
      </c>
      <c r="T1562" s="22">
        <f t="shared" ca="1" si="1354"/>
        <v>0</v>
      </c>
      <c r="U1562" s="22">
        <f t="shared" ca="1" si="1354"/>
        <v>0</v>
      </c>
      <c r="V1562" s="22">
        <f t="shared" ca="1" si="1354"/>
        <v>0</v>
      </c>
      <c r="W1562" s="22">
        <f t="shared" ca="1" si="1354"/>
        <v>0</v>
      </c>
      <c r="X1562" s="22">
        <f t="shared" ca="1" si="1354"/>
        <v>0</v>
      </c>
    </row>
    <row r="1563" spans="1:24" hidden="1">
      <c r="A1563" s="328"/>
      <c r="B1563" s="21" t="s">
        <v>406</v>
      </c>
      <c r="C1563" s="21"/>
      <c r="D1563" s="22"/>
      <c r="E1563" s="21"/>
      <c r="F1563" s="21"/>
      <c r="G1563" s="21"/>
      <c r="H1563" s="21"/>
      <c r="I1563" s="21"/>
      <c r="J1563" s="21"/>
      <c r="K1563" s="77">
        <f ca="1">IF($D1559=LataProjekcji,ROUND($D1560-K1562,0),ROUND(IF(K1561=0,0,$D1560-K1562),0))</f>
        <v>0</v>
      </c>
      <c r="L1563" s="254">
        <f t="shared" ref="L1563:X1563" ca="1" si="1355">IF($D1559=LataProjekcji,ROUND($D1560-L1562,0),ROUND(IF(AND(L1561=0,K1563&gt;0),$D1560-L1562,IF(L1561=0,0,$D1560-L1562)),0))</f>
        <v>0</v>
      </c>
      <c r="M1563" s="254">
        <f t="shared" ca="1" si="1355"/>
        <v>0</v>
      </c>
      <c r="N1563" s="254">
        <f t="shared" ca="1" si="1355"/>
        <v>0</v>
      </c>
      <c r="O1563" s="254">
        <f t="shared" ca="1" si="1355"/>
        <v>0</v>
      </c>
      <c r="P1563" s="254">
        <f t="shared" ca="1" si="1355"/>
        <v>0</v>
      </c>
      <c r="Q1563" s="254">
        <f t="shared" ca="1" si="1355"/>
        <v>0</v>
      </c>
      <c r="R1563" s="254">
        <f t="shared" ca="1" si="1355"/>
        <v>0</v>
      </c>
      <c r="S1563" s="254">
        <f t="shared" ca="1" si="1355"/>
        <v>0</v>
      </c>
      <c r="T1563" s="254">
        <f t="shared" ca="1" si="1355"/>
        <v>0</v>
      </c>
      <c r="U1563" s="254">
        <f t="shared" ca="1" si="1355"/>
        <v>0</v>
      </c>
      <c r="V1563" s="254">
        <f t="shared" ca="1" si="1355"/>
        <v>0</v>
      </c>
      <c r="W1563" s="254">
        <f t="shared" ca="1" si="1355"/>
        <v>0</v>
      </c>
      <c r="X1563" s="254">
        <f t="shared" ca="1" si="1355"/>
        <v>0</v>
      </c>
    </row>
    <row r="1564" spans="1:24" hidden="1">
      <c r="A1564" s="328"/>
      <c r="B1564" s="20"/>
      <c r="C1564" s="20"/>
      <c r="D1564" s="21"/>
      <c r="E1564" s="21"/>
      <c r="F1564" s="21"/>
      <c r="G1564" s="21"/>
      <c r="H1564" s="404">
        <f>H1557+1</f>
        <v>1</v>
      </c>
      <c r="I1564" s="483" cm="1">
        <f t="array" aca="1" ref="I1564" ca="1">OFFSET('Środki trwałe'!$C$418,H1564,,)</f>
        <v>0</v>
      </c>
      <c r="J1564" s="404" t="s">
        <v>427</v>
      </c>
      <c r="K1564" s="405">
        <f t="shared" ref="K1564:X1564" ca="1" si="1356">IF(AND(OFFSET($F$269,$D1558,0)="tak",OFFSET($G$269,$D1558,0)="tak",OFFSET($J$269,$D1558,0)="ok",LataProjekcji&lt;=Koniec_Projekt),ROUND(K1561*OFFSET($K$469,$H1564,(COLUMN()-11)),0),0)</f>
        <v>0</v>
      </c>
      <c r="L1564" s="405">
        <f t="shared" ca="1" si="1356"/>
        <v>0</v>
      </c>
      <c r="M1564" s="405">
        <f t="shared" ca="1" si="1356"/>
        <v>0</v>
      </c>
      <c r="N1564" s="405">
        <f t="shared" ca="1" si="1356"/>
        <v>0</v>
      </c>
      <c r="O1564" s="405">
        <f t="shared" ca="1" si="1356"/>
        <v>0</v>
      </c>
      <c r="P1564" s="405">
        <f t="shared" ca="1" si="1356"/>
        <v>0</v>
      </c>
      <c r="Q1564" s="405">
        <f t="shared" ca="1" si="1356"/>
        <v>0</v>
      </c>
      <c r="R1564" s="405">
        <f t="shared" ca="1" si="1356"/>
        <v>0</v>
      </c>
      <c r="S1564" s="405">
        <f t="shared" ca="1" si="1356"/>
        <v>0</v>
      </c>
      <c r="T1564" s="405">
        <f t="shared" ca="1" si="1356"/>
        <v>0</v>
      </c>
      <c r="U1564" s="405">
        <f t="shared" ca="1" si="1356"/>
        <v>0</v>
      </c>
      <c r="V1564" s="405">
        <f t="shared" ca="1" si="1356"/>
        <v>0</v>
      </c>
      <c r="W1564" s="405">
        <f t="shared" ca="1" si="1356"/>
        <v>0</v>
      </c>
      <c r="X1564" s="405">
        <f t="shared" ca="1" si="1356"/>
        <v>0</v>
      </c>
    </row>
    <row r="1565" spans="1:24" hidden="1">
      <c r="A1565" s="328"/>
      <c r="B1565" s="20">
        <f ca="1">OFFSET($B$269,D1565,0)</f>
        <v>0</v>
      </c>
      <c r="C1565" s="20"/>
      <c r="D1565" s="21">
        <f>D1558+1</f>
        <v>151</v>
      </c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</row>
    <row r="1566" spans="1:24" hidden="1">
      <c r="A1566" s="328"/>
      <c r="B1566" s="21" t="s">
        <v>414</v>
      </c>
      <c r="C1566" s="21"/>
      <c r="D1566" s="165">
        <f ca="1">YEAR(OFFSET($E$269,D1565,0))</f>
        <v>1900</v>
      </c>
      <c r="E1566" s="165">
        <f ca="1">MONTH(OFFSET($E$269,D1565,0))</f>
        <v>1</v>
      </c>
      <c r="F1566" s="21">
        <f ca="1">12-$E1566</f>
        <v>11</v>
      </c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</row>
    <row r="1567" spans="1:24" hidden="1">
      <c r="A1567" s="328"/>
      <c r="B1567" s="21" t="s">
        <v>406</v>
      </c>
      <c r="C1567" s="21"/>
      <c r="D1567" s="386">
        <f ca="1">IF(E1567&lt;0,0,ROUND(E1567,0))</f>
        <v>0</v>
      </c>
      <c r="E1567" s="249">
        <f ca="1">OFFSET($D$269,D1565,0)</f>
        <v>0</v>
      </c>
      <c r="F1567" s="386">
        <f ca="1">IF(E1567&gt;10,ROUND(($D1568/12)*$F1566,0),$D1567)</f>
        <v>0</v>
      </c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</row>
    <row r="1568" spans="1:24" hidden="1">
      <c r="A1568" s="328"/>
      <c r="B1568" s="21" t="s">
        <v>415</v>
      </c>
      <c r="C1568" s="21"/>
      <c r="D1568" s="386">
        <f ca="1">IF(ISBLANK(OFFSET($E$269,D1565,0)),0,IF(E1567&gt;10,ROUND(D1567*am_maszyny,0),IF(D1567&lt;0,0,D1567)))</f>
        <v>0</v>
      </c>
      <c r="E1568" s="21"/>
      <c r="F1568" s="21"/>
      <c r="G1568" s="21"/>
      <c r="H1568" s="21"/>
      <c r="I1568" s="21"/>
      <c r="J1568" s="21"/>
      <c r="K1568" s="75">
        <f ca="1">ROUND(IF($D1566=LataProjekcji,$F1567,IF($D1566=LataProjekcji,$D1568,0)),0)</f>
        <v>0</v>
      </c>
      <c r="L1568" s="248">
        <f ca="1">ROUND(IF(OR(AND($D1566=LataProjekcji,$F1566&gt;0),AND($D1566=LataProjekcji,$F1566=0,$E1567&lt;=10)),$F1567,IF($D1566&lt;LataProjekcji,IF((SUM($K1568:K1568)+$D1568)&lt;$D1567,$D1568,$D1567-SUM($K1568:K1568)),0)),0)</f>
        <v>0</v>
      </c>
      <c r="M1568" s="248">
        <f ca="1">ROUND(IF(OR(AND($D1566=LataProjekcji,$F1566&gt;0),AND($D1566=LataProjekcji,$F1566=0,$E1567&lt;=10)),$F1567,IF($D1566&lt;LataProjekcji,IF((SUM($K1568:L1568)+$D1568)&lt;$D1567,$D1568,$D1567-SUM($K1568:L1568)),0)),0)</f>
        <v>0</v>
      </c>
      <c r="N1568" s="248">
        <f ca="1">ROUND(IF(OR(AND($D1566=LataProjekcji,$F1566&gt;0),AND($D1566=LataProjekcji,$F1566=0,$E1567&lt;=10)),$F1567,IF($D1566&lt;LataProjekcji,IF((SUM($K1568:M1568)+$D1568)&lt;$D1567,$D1568,$D1567-SUM($K1568:M1568)),0)),0)</f>
        <v>0</v>
      </c>
      <c r="O1568" s="248">
        <f ca="1">ROUND(IF(OR(AND($D1566=LataProjekcji,$F1566&gt;0),AND($D1566=LataProjekcji,$F1566=0,$E1567&lt;=10)),$F1567,IF($D1566&lt;LataProjekcji,IF((SUM($K1568:N1568)+$D1568)&lt;$D1567,$D1568,$D1567-SUM($K1568:N1568)),0)),0)</f>
        <v>0</v>
      </c>
      <c r="P1568" s="248">
        <f ca="1">ROUND(IF(OR(AND($D1566=LataProjekcji,$F1566&gt;0),AND($D1566=LataProjekcji,$F1566=0,$E1567&lt;=10)),$F1567,IF($D1566&lt;LataProjekcji,IF((SUM($K1568:O1568)+$D1568)&lt;$D1567,$D1568,$D1567-SUM($K1568:O1568)),0)),0)</f>
        <v>0</v>
      </c>
      <c r="Q1568" s="248">
        <f ca="1">ROUND(IF(OR(AND($D1566=LataProjekcji,$F1566&gt;0),AND($D1566=LataProjekcji,$F1566=0,$E1567&lt;=10)),$F1567,IF($D1566&lt;LataProjekcji,IF((SUM($K1568:P1568)+$D1568)&lt;$D1567,$D1568,$D1567-SUM($K1568:P1568)),0)),0)</f>
        <v>0</v>
      </c>
      <c r="R1568" s="248">
        <f ca="1">ROUND(IF(OR(AND($D1566=LataProjekcji,$F1566&gt;0),AND($D1566=LataProjekcji,$F1566=0,$E1567&lt;=10)),$F1567,IF($D1566&lt;LataProjekcji,IF((SUM($K1568:Q1568)+$D1568)&lt;$D1567,$D1568,$D1567-SUM($K1568:Q1568)),0)),0)</f>
        <v>0</v>
      </c>
      <c r="S1568" s="248">
        <f ca="1">ROUND(IF(OR(AND($D1566=LataProjekcji,$F1566&gt;0),AND($D1566=LataProjekcji,$F1566=0,$E1567&lt;=10)),$F1567,IF($D1566&lt;LataProjekcji,IF((SUM($K1568:R1568)+$D1568)&lt;$D1567,$D1568,$D1567-SUM($K1568:R1568)),0)),0)</f>
        <v>0</v>
      </c>
      <c r="T1568" s="248">
        <f ca="1">ROUND(IF(OR(AND($D1566=LataProjekcji,$F1566&gt;0),AND($D1566=LataProjekcji,$F1566=0,$E1567&lt;=10)),$F1567,IF($D1566&lt;LataProjekcji,IF((SUM($K1568:S1568)+$D1568)&lt;$D1567,$D1568,$D1567-SUM($K1568:S1568)),0)),0)</f>
        <v>0</v>
      </c>
      <c r="U1568" s="248">
        <f ca="1">ROUND(IF(OR(AND($D1566=LataProjekcji,$F1566&gt;0),AND($D1566=LataProjekcji,$F1566=0,$E1567&lt;=10)),$F1567,IF($D1566&lt;LataProjekcji,IF((SUM($K1568:T1568)+$D1568)&lt;$D1567,$D1568,$D1567-SUM($K1568:T1568)),0)),0)</f>
        <v>0</v>
      </c>
      <c r="V1568" s="248">
        <f ca="1">ROUND(IF(OR(AND($D1566=LataProjekcji,$F1566&gt;0),AND($D1566=LataProjekcji,$F1566=0,$E1567&lt;=10)),$F1567,IF($D1566&lt;LataProjekcji,IF((SUM($K1568:U1568)+$D1568)&lt;$D1567,$D1568,$D1567-SUM($K1568:U1568)),0)),0)</f>
        <v>0</v>
      </c>
      <c r="W1568" s="248">
        <f ca="1">ROUND(IF(OR(AND($D1566=LataProjekcji,$F1566&gt;0),AND($D1566=LataProjekcji,$F1566=0,$E1567&lt;=10)),$F1567,IF($D1566&lt;LataProjekcji,IF((SUM($K1568:V1568)+$D1568)&lt;$D1567,$D1568,$D1567-SUM($K1568:V1568)),0)),0)</f>
        <v>0</v>
      </c>
      <c r="X1568" s="248">
        <f ca="1">ROUND(IF(OR(AND($D1566=LataProjekcji,$F1566&gt;0),AND($D1566=LataProjekcji,$F1566=0,$E1567&lt;=10)),$F1567,IF($D1566&lt;LataProjekcji,IF((SUM($K1568:W1568)+$D1568)&lt;$D1567,$D1568,$D1567-SUM($K1568:W1568)),0)),0)</f>
        <v>0</v>
      </c>
    </row>
    <row r="1569" spans="1:24" hidden="1">
      <c r="A1569" s="328"/>
      <c r="B1569" s="21" t="s">
        <v>416</v>
      </c>
      <c r="C1569" s="21"/>
      <c r="D1569" s="22"/>
      <c r="E1569" s="21"/>
      <c r="F1569" s="21"/>
      <c r="G1569" s="21"/>
      <c r="H1569" s="21"/>
      <c r="I1569" s="21"/>
      <c r="J1569" s="21"/>
      <c r="K1569" s="22">
        <f ca="1">ROUND(K1568,0)</f>
        <v>0</v>
      </c>
      <c r="L1569" s="22">
        <f t="shared" ref="L1569:X1569" ca="1" si="1357">ROUND(K1569+L1568,0)</f>
        <v>0</v>
      </c>
      <c r="M1569" s="22">
        <f t="shared" ca="1" si="1357"/>
        <v>0</v>
      </c>
      <c r="N1569" s="22">
        <f t="shared" ca="1" si="1357"/>
        <v>0</v>
      </c>
      <c r="O1569" s="22">
        <f t="shared" ca="1" si="1357"/>
        <v>0</v>
      </c>
      <c r="P1569" s="22">
        <f t="shared" ca="1" si="1357"/>
        <v>0</v>
      </c>
      <c r="Q1569" s="22">
        <f t="shared" ca="1" si="1357"/>
        <v>0</v>
      </c>
      <c r="R1569" s="22">
        <f t="shared" ca="1" si="1357"/>
        <v>0</v>
      </c>
      <c r="S1569" s="22">
        <f t="shared" ca="1" si="1357"/>
        <v>0</v>
      </c>
      <c r="T1569" s="22">
        <f t="shared" ca="1" si="1357"/>
        <v>0</v>
      </c>
      <c r="U1569" s="22">
        <f t="shared" ca="1" si="1357"/>
        <v>0</v>
      </c>
      <c r="V1569" s="22">
        <f t="shared" ca="1" si="1357"/>
        <v>0</v>
      </c>
      <c r="W1569" s="22">
        <f t="shared" ca="1" si="1357"/>
        <v>0</v>
      </c>
      <c r="X1569" s="22">
        <f t="shared" ca="1" si="1357"/>
        <v>0</v>
      </c>
    </row>
    <row r="1570" spans="1:24" hidden="1">
      <c r="A1570" s="328"/>
      <c r="B1570" s="21" t="s">
        <v>406</v>
      </c>
      <c r="C1570" s="21"/>
      <c r="D1570" s="22"/>
      <c r="E1570" s="21"/>
      <c r="F1570" s="21"/>
      <c r="G1570" s="21"/>
      <c r="H1570" s="21"/>
      <c r="I1570" s="21"/>
      <c r="J1570" s="21"/>
      <c r="K1570" s="77">
        <f ca="1">IF($D1566=LataProjekcji,ROUND($D1567-K1569,0),ROUND(IF(K1568=0,0,$D1567-K1569),0))</f>
        <v>0</v>
      </c>
      <c r="L1570" s="254">
        <f t="shared" ref="L1570:X1570" ca="1" si="1358">IF($D1566=LataProjekcji,ROUND($D1567-L1569,0),ROUND(IF(AND(L1568=0,K1570&gt;0),$D1567-L1569,IF(L1568=0,0,$D1567-L1569)),0))</f>
        <v>0</v>
      </c>
      <c r="M1570" s="254">
        <f t="shared" ca="1" si="1358"/>
        <v>0</v>
      </c>
      <c r="N1570" s="254">
        <f t="shared" ca="1" si="1358"/>
        <v>0</v>
      </c>
      <c r="O1570" s="254">
        <f t="shared" ca="1" si="1358"/>
        <v>0</v>
      </c>
      <c r="P1570" s="254">
        <f t="shared" ca="1" si="1358"/>
        <v>0</v>
      </c>
      <c r="Q1570" s="254">
        <f t="shared" ca="1" si="1358"/>
        <v>0</v>
      </c>
      <c r="R1570" s="254">
        <f t="shared" ca="1" si="1358"/>
        <v>0</v>
      </c>
      <c r="S1570" s="254">
        <f t="shared" ca="1" si="1358"/>
        <v>0</v>
      </c>
      <c r="T1570" s="254">
        <f t="shared" ca="1" si="1358"/>
        <v>0</v>
      </c>
      <c r="U1570" s="254">
        <f t="shared" ca="1" si="1358"/>
        <v>0</v>
      </c>
      <c r="V1570" s="254">
        <f t="shared" ca="1" si="1358"/>
        <v>0</v>
      </c>
      <c r="W1570" s="254">
        <f t="shared" ca="1" si="1358"/>
        <v>0</v>
      </c>
      <c r="X1570" s="254">
        <f t="shared" ca="1" si="1358"/>
        <v>0</v>
      </c>
    </row>
    <row r="1571" spans="1:24" hidden="1">
      <c r="A1571" s="328"/>
      <c r="B1571" s="21"/>
      <c r="C1571" s="21"/>
      <c r="D1571" s="22"/>
      <c r="E1571" s="21"/>
      <c r="F1571" s="21"/>
      <c r="G1571" s="21"/>
      <c r="H1571" s="404">
        <f>H1564+1</f>
        <v>2</v>
      </c>
      <c r="I1571" s="483" cm="1">
        <f t="array" aca="1" ref="I1571" ca="1">OFFSET('Środki trwałe'!$C$418,H1571,,)</f>
        <v>0</v>
      </c>
      <c r="J1571" s="404" t="s">
        <v>427</v>
      </c>
      <c r="K1571" s="405">
        <f t="shared" ref="K1571:X1571" ca="1" si="1359">IF(AND(OFFSET($F$269,$D1565,0)="tak",OFFSET($G$269,$D1565,0)="tak",OFFSET($J$269,$D1565,0)="ok",LataProjekcji&lt;=Koniec_Projekt),ROUND(K1568*OFFSET($K$469,$H1571,(COLUMN()-11)),0),0)</f>
        <v>0</v>
      </c>
      <c r="L1571" s="405">
        <f t="shared" ca="1" si="1359"/>
        <v>0</v>
      </c>
      <c r="M1571" s="405">
        <f t="shared" ca="1" si="1359"/>
        <v>0</v>
      </c>
      <c r="N1571" s="405">
        <f t="shared" ca="1" si="1359"/>
        <v>0</v>
      </c>
      <c r="O1571" s="405">
        <f t="shared" ca="1" si="1359"/>
        <v>0</v>
      </c>
      <c r="P1571" s="405">
        <f t="shared" ca="1" si="1359"/>
        <v>0</v>
      </c>
      <c r="Q1571" s="405">
        <f t="shared" ca="1" si="1359"/>
        <v>0</v>
      </c>
      <c r="R1571" s="405">
        <f t="shared" ca="1" si="1359"/>
        <v>0</v>
      </c>
      <c r="S1571" s="405">
        <f t="shared" ca="1" si="1359"/>
        <v>0</v>
      </c>
      <c r="T1571" s="405">
        <f t="shared" ca="1" si="1359"/>
        <v>0</v>
      </c>
      <c r="U1571" s="405">
        <f t="shared" ca="1" si="1359"/>
        <v>0</v>
      </c>
      <c r="V1571" s="405">
        <f t="shared" ca="1" si="1359"/>
        <v>0</v>
      </c>
      <c r="W1571" s="405">
        <f t="shared" ca="1" si="1359"/>
        <v>0</v>
      </c>
      <c r="X1571" s="405">
        <f t="shared" ca="1" si="1359"/>
        <v>0</v>
      </c>
    </row>
    <row r="1572" spans="1:24" hidden="1">
      <c r="A1572" s="328"/>
      <c r="B1572" s="20">
        <f ca="1">OFFSET($B$269,D1572,0)</f>
        <v>0</v>
      </c>
      <c r="C1572" s="20"/>
      <c r="D1572" s="21">
        <f>D1565+1</f>
        <v>152</v>
      </c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</row>
    <row r="1573" spans="1:24" hidden="1">
      <c r="A1573" s="328"/>
      <c r="B1573" s="21" t="s">
        <v>414</v>
      </c>
      <c r="C1573" s="21"/>
      <c r="D1573" s="165">
        <f ca="1">YEAR(OFFSET($E$269,D1572,0))</f>
        <v>1900</v>
      </c>
      <c r="E1573" s="165">
        <f ca="1">MONTH(OFFSET($E$269,D1572,0))</f>
        <v>1</v>
      </c>
      <c r="F1573" s="21">
        <f ca="1">12-$E1573</f>
        <v>11</v>
      </c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</row>
    <row r="1574" spans="1:24" hidden="1">
      <c r="A1574" s="328"/>
      <c r="B1574" s="21" t="s">
        <v>406</v>
      </c>
      <c r="C1574" s="21"/>
      <c r="D1574" s="387">
        <f ca="1">IF(E1574&lt;0,0,ROUND(E1574,0))</f>
        <v>0</v>
      </c>
      <c r="E1574" s="249">
        <f ca="1">OFFSET($D$269,D1572,0)</f>
        <v>0</v>
      </c>
      <c r="F1574" s="387">
        <f ca="1">IF(E1574&gt;10,ROUND(($D1575/12)*$F1573,0),$D1574)</f>
        <v>0</v>
      </c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</row>
    <row r="1575" spans="1:24" hidden="1">
      <c r="A1575" s="328"/>
      <c r="B1575" s="21" t="s">
        <v>415</v>
      </c>
      <c r="C1575" s="21"/>
      <c r="D1575" s="387">
        <f ca="1">IF(ISBLANK(OFFSET($E$269,D1572,0)),0,IF(E1574&gt;10,ROUND(D1574*am_maszyny,0),IF(D1574&lt;0,0,D1574)))</f>
        <v>0</v>
      </c>
      <c r="E1575" s="21"/>
      <c r="F1575" s="21"/>
      <c r="G1575" s="21"/>
      <c r="H1575" s="21"/>
      <c r="I1575" s="21"/>
      <c r="J1575" s="21"/>
      <c r="K1575" s="75">
        <f ca="1">ROUND(IF($D1573=LataProjekcji,$F1574,IF($D1573=LataProjekcji,$D1575,0)),0)</f>
        <v>0</v>
      </c>
      <c r="L1575" s="248">
        <f ca="1">ROUND(IF(OR(AND($D1573=LataProjekcji,$F1573&gt;0),AND($D1573=LataProjekcji,$F1573=0,$E1574&lt;=10)),$F1574,IF($D1573&lt;LataProjekcji,IF((SUM($K1575:K1575)+$D1575)&lt;$D1574,$D1575,$D1574-SUM($K1575:K1575)),0)),0)</f>
        <v>0</v>
      </c>
      <c r="M1575" s="248">
        <f ca="1">ROUND(IF(OR(AND($D1573=LataProjekcji,$F1573&gt;0),AND($D1573=LataProjekcji,$F1573=0,$E1574&lt;=10)),$F1574,IF($D1573&lt;LataProjekcji,IF((SUM($K1575:L1575)+$D1575)&lt;$D1574,$D1575,$D1574-SUM($K1575:L1575)),0)),0)</f>
        <v>0</v>
      </c>
      <c r="N1575" s="248">
        <f ca="1">ROUND(IF(OR(AND($D1573=LataProjekcji,$F1573&gt;0),AND($D1573=LataProjekcji,$F1573=0,$E1574&lt;=10)),$F1574,IF($D1573&lt;LataProjekcji,IF((SUM($K1575:M1575)+$D1575)&lt;$D1574,$D1575,$D1574-SUM($K1575:M1575)),0)),0)</f>
        <v>0</v>
      </c>
      <c r="O1575" s="248">
        <f ca="1">ROUND(IF(OR(AND($D1573=LataProjekcji,$F1573&gt;0),AND($D1573=LataProjekcji,$F1573=0,$E1574&lt;=10)),$F1574,IF($D1573&lt;LataProjekcji,IF((SUM($K1575:N1575)+$D1575)&lt;$D1574,$D1575,$D1574-SUM($K1575:N1575)),0)),0)</f>
        <v>0</v>
      </c>
      <c r="P1575" s="248">
        <f ca="1">ROUND(IF(OR(AND($D1573=LataProjekcji,$F1573&gt;0),AND($D1573=LataProjekcji,$F1573=0,$E1574&lt;=10)),$F1574,IF($D1573&lt;LataProjekcji,IF((SUM($K1575:O1575)+$D1575)&lt;$D1574,$D1575,$D1574-SUM($K1575:O1575)),0)),0)</f>
        <v>0</v>
      </c>
      <c r="Q1575" s="248">
        <f ca="1">ROUND(IF(OR(AND($D1573=LataProjekcji,$F1573&gt;0),AND($D1573=LataProjekcji,$F1573=0,$E1574&lt;=10)),$F1574,IF($D1573&lt;LataProjekcji,IF((SUM($K1575:P1575)+$D1575)&lt;$D1574,$D1575,$D1574-SUM($K1575:P1575)),0)),0)</f>
        <v>0</v>
      </c>
      <c r="R1575" s="248">
        <f ca="1">ROUND(IF(OR(AND($D1573=LataProjekcji,$F1573&gt;0),AND($D1573=LataProjekcji,$F1573=0,$E1574&lt;=10)),$F1574,IF($D1573&lt;LataProjekcji,IF((SUM($K1575:Q1575)+$D1575)&lt;$D1574,$D1575,$D1574-SUM($K1575:Q1575)),0)),0)</f>
        <v>0</v>
      </c>
      <c r="S1575" s="248">
        <f ca="1">ROUND(IF(OR(AND($D1573=LataProjekcji,$F1573&gt;0),AND($D1573=LataProjekcji,$F1573=0,$E1574&lt;=10)),$F1574,IF($D1573&lt;LataProjekcji,IF((SUM($K1575:R1575)+$D1575)&lt;$D1574,$D1575,$D1574-SUM($K1575:R1575)),0)),0)</f>
        <v>0</v>
      </c>
      <c r="T1575" s="248">
        <f ca="1">ROUND(IF(OR(AND($D1573=LataProjekcji,$F1573&gt;0),AND($D1573=LataProjekcji,$F1573=0,$E1574&lt;=10)),$F1574,IF($D1573&lt;LataProjekcji,IF((SUM($K1575:S1575)+$D1575)&lt;$D1574,$D1575,$D1574-SUM($K1575:S1575)),0)),0)</f>
        <v>0</v>
      </c>
      <c r="U1575" s="248">
        <f ca="1">ROUND(IF(OR(AND($D1573=LataProjekcji,$F1573&gt;0),AND($D1573=LataProjekcji,$F1573=0,$E1574&lt;=10)),$F1574,IF($D1573&lt;LataProjekcji,IF((SUM($K1575:T1575)+$D1575)&lt;$D1574,$D1575,$D1574-SUM($K1575:T1575)),0)),0)</f>
        <v>0</v>
      </c>
      <c r="V1575" s="248">
        <f ca="1">ROUND(IF(OR(AND($D1573=LataProjekcji,$F1573&gt;0),AND($D1573=LataProjekcji,$F1573=0,$E1574&lt;=10)),$F1574,IF($D1573&lt;LataProjekcji,IF((SUM($K1575:U1575)+$D1575)&lt;$D1574,$D1575,$D1574-SUM($K1575:U1575)),0)),0)</f>
        <v>0</v>
      </c>
      <c r="W1575" s="248">
        <f ca="1">ROUND(IF(OR(AND($D1573=LataProjekcji,$F1573&gt;0),AND($D1573=LataProjekcji,$F1573=0,$E1574&lt;=10)),$F1574,IF($D1573&lt;LataProjekcji,IF((SUM($K1575:V1575)+$D1575)&lt;$D1574,$D1575,$D1574-SUM($K1575:V1575)),0)),0)</f>
        <v>0</v>
      </c>
      <c r="X1575" s="248">
        <f ca="1">ROUND(IF(OR(AND($D1573=LataProjekcji,$F1573&gt;0),AND($D1573=LataProjekcji,$F1573=0,$E1574&lt;=10)),$F1574,IF($D1573&lt;LataProjekcji,IF((SUM($K1575:W1575)+$D1575)&lt;$D1574,$D1575,$D1574-SUM($K1575:W1575)),0)),0)</f>
        <v>0</v>
      </c>
    </row>
    <row r="1576" spans="1:24" hidden="1">
      <c r="A1576" s="328"/>
      <c r="B1576" s="21" t="s">
        <v>416</v>
      </c>
      <c r="C1576" s="21"/>
      <c r="D1576" s="22"/>
      <c r="E1576" s="21"/>
      <c r="F1576" s="21"/>
      <c r="G1576" s="21"/>
      <c r="H1576" s="21"/>
      <c r="I1576" s="21"/>
      <c r="J1576" s="21"/>
      <c r="K1576" s="22">
        <f ca="1">ROUND(K1575,0)</f>
        <v>0</v>
      </c>
      <c r="L1576" s="22">
        <f t="shared" ref="L1576:X1576" ca="1" si="1360">ROUND(K1576+L1575,0)</f>
        <v>0</v>
      </c>
      <c r="M1576" s="22">
        <f t="shared" ca="1" si="1360"/>
        <v>0</v>
      </c>
      <c r="N1576" s="22">
        <f t="shared" ca="1" si="1360"/>
        <v>0</v>
      </c>
      <c r="O1576" s="22">
        <f t="shared" ca="1" si="1360"/>
        <v>0</v>
      </c>
      <c r="P1576" s="22">
        <f t="shared" ca="1" si="1360"/>
        <v>0</v>
      </c>
      <c r="Q1576" s="22">
        <f t="shared" ca="1" si="1360"/>
        <v>0</v>
      </c>
      <c r="R1576" s="22">
        <f t="shared" ca="1" si="1360"/>
        <v>0</v>
      </c>
      <c r="S1576" s="22">
        <f t="shared" ca="1" si="1360"/>
        <v>0</v>
      </c>
      <c r="T1576" s="22">
        <f t="shared" ca="1" si="1360"/>
        <v>0</v>
      </c>
      <c r="U1576" s="22">
        <f t="shared" ca="1" si="1360"/>
        <v>0</v>
      </c>
      <c r="V1576" s="22">
        <f t="shared" ca="1" si="1360"/>
        <v>0</v>
      </c>
      <c r="W1576" s="22">
        <f t="shared" ca="1" si="1360"/>
        <v>0</v>
      </c>
      <c r="X1576" s="22">
        <f t="shared" ca="1" si="1360"/>
        <v>0</v>
      </c>
    </row>
    <row r="1577" spans="1:24" hidden="1">
      <c r="A1577" s="328"/>
      <c r="B1577" s="21" t="s">
        <v>406</v>
      </c>
      <c r="C1577" s="21"/>
      <c r="D1577" s="22"/>
      <c r="E1577" s="21"/>
      <c r="F1577" s="21"/>
      <c r="G1577" s="21"/>
      <c r="H1577" s="21"/>
      <c r="I1577" s="21"/>
      <c r="J1577" s="21"/>
      <c r="K1577" s="77">
        <f ca="1">IF($D1573=LataProjekcji,ROUND($D1574-K1576,0),ROUND(IF(K1575=0,0,$D1574-K1576),0))</f>
        <v>0</v>
      </c>
      <c r="L1577" s="254">
        <f t="shared" ref="L1577:X1577" ca="1" si="1361">IF($D1573=LataProjekcji,ROUND($D1574-L1576,0),ROUND(IF(AND(L1575=0,K1577&gt;0),$D1574-L1576,IF(L1575=0,0,$D1574-L1576)),0))</f>
        <v>0</v>
      </c>
      <c r="M1577" s="254">
        <f t="shared" ca="1" si="1361"/>
        <v>0</v>
      </c>
      <c r="N1577" s="254">
        <f t="shared" ca="1" si="1361"/>
        <v>0</v>
      </c>
      <c r="O1577" s="254">
        <f t="shared" ca="1" si="1361"/>
        <v>0</v>
      </c>
      <c r="P1577" s="254">
        <f t="shared" ca="1" si="1361"/>
        <v>0</v>
      </c>
      <c r="Q1577" s="254">
        <f t="shared" ca="1" si="1361"/>
        <v>0</v>
      </c>
      <c r="R1577" s="254">
        <f t="shared" ca="1" si="1361"/>
        <v>0</v>
      </c>
      <c r="S1577" s="254">
        <f t="shared" ca="1" si="1361"/>
        <v>0</v>
      </c>
      <c r="T1577" s="254">
        <f t="shared" ca="1" si="1361"/>
        <v>0</v>
      </c>
      <c r="U1577" s="254">
        <f t="shared" ca="1" si="1361"/>
        <v>0</v>
      </c>
      <c r="V1577" s="254">
        <f t="shared" ca="1" si="1361"/>
        <v>0</v>
      </c>
      <c r="W1577" s="254">
        <f t="shared" ca="1" si="1361"/>
        <v>0</v>
      </c>
      <c r="X1577" s="254">
        <f t="shared" ca="1" si="1361"/>
        <v>0</v>
      </c>
    </row>
    <row r="1578" spans="1:24" hidden="1">
      <c r="A1578" s="328"/>
      <c r="B1578" s="21"/>
      <c r="C1578" s="21"/>
      <c r="D1578" s="21"/>
      <c r="E1578" s="21"/>
      <c r="F1578" s="21"/>
      <c r="G1578" s="21"/>
      <c r="H1578" s="404">
        <f>H1571+1</f>
        <v>3</v>
      </c>
      <c r="I1578" s="483" cm="1">
        <f t="array" aca="1" ref="I1578" ca="1">OFFSET('Środki trwałe'!$C$418,H1578,,)</f>
        <v>0</v>
      </c>
      <c r="J1578" s="404" t="s">
        <v>427</v>
      </c>
      <c r="K1578" s="405">
        <f t="shared" ref="K1578:X1578" ca="1" si="1362">IF(AND(OFFSET($F$269,$D1572,0)="tak",OFFSET($G$269,$D1572,0)="tak",OFFSET($J$269,$D1572,0)="ok",LataProjekcji&lt;=Koniec_Projekt),ROUND(K1575*OFFSET($K$469,$H1578,(COLUMN()-11)),0),0)</f>
        <v>0</v>
      </c>
      <c r="L1578" s="405">
        <f t="shared" ca="1" si="1362"/>
        <v>0</v>
      </c>
      <c r="M1578" s="405">
        <f t="shared" ca="1" si="1362"/>
        <v>0</v>
      </c>
      <c r="N1578" s="405">
        <f t="shared" ca="1" si="1362"/>
        <v>0</v>
      </c>
      <c r="O1578" s="405">
        <f t="shared" ca="1" si="1362"/>
        <v>0</v>
      </c>
      <c r="P1578" s="405">
        <f t="shared" ca="1" si="1362"/>
        <v>0</v>
      </c>
      <c r="Q1578" s="405">
        <f t="shared" ca="1" si="1362"/>
        <v>0</v>
      </c>
      <c r="R1578" s="405">
        <f t="shared" ca="1" si="1362"/>
        <v>0</v>
      </c>
      <c r="S1578" s="405">
        <f t="shared" ca="1" si="1362"/>
        <v>0</v>
      </c>
      <c r="T1578" s="405">
        <f t="shared" ca="1" si="1362"/>
        <v>0</v>
      </c>
      <c r="U1578" s="405">
        <f t="shared" ca="1" si="1362"/>
        <v>0</v>
      </c>
      <c r="V1578" s="405">
        <f t="shared" ca="1" si="1362"/>
        <v>0</v>
      </c>
      <c r="W1578" s="405">
        <f t="shared" ca="1" si="1362"/>
        <v>0</v>
      </c>
      <c r="X1578" s="405">
        <f t="shared" ca="1" si="1362"/>
        <v>0</v>
      </c>
    </row>
    <row r="1579" spans="1:24" hidden="1">
      <c r="A1579" s="328"/>
      <c r="B1579" s="20">
        <f ca="1">OFFSET($B$269,D1579,0)</f>
        <v>0</v>
      </c>
      <c r="C1579" s="20"/>
      <c r="D1579" s="21">
        <f>D1572+1</f>
        <v>153</v>
      </c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</row>
    <row r="1580" spans="1:24" hidden="1">
      <c r="A1580" s="328"/>
      <c r="B1580" s="21" t="s">
        <v>414</v>
      </c>
      <c r="C1580" s="21"/>
      <c r="D1580" s="165">
        <f ca="1">YEAR(OFFSET($E$269,D1579,0))</f>
        <v>1900</v>
      </c>
      <c r="E1580" s="165">
        <f ca="1">MONTH(OFFSET($E$269,D1579,0))</f>
        <v>1</v>
      </c>
      <c r="F1580" s="21">
        <f ca="1">12-$E1580</f>
        <v>11</v>
      </c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</row>
    <row r="1581" spans="1:24" hidden="1">
      <c r="A1581" s="328"/>
      <c r="B1581" s="21" t="s">
        <v>406</v>
      </c>
      <c r="C1581" s="21"/>
      <c r="D1581" s="388">
        <f ca="1">IF(E1581&lt;0,0,ROUND(E1581,0))</f>
        <v>0</v>
      </c>
      <c r="E1581" s="249">
        <f ca="1">OFFSET($D$269,D1579,0)</f>
        <v>0</v>
      </c>
      <c r="F1581" s="388">
        <f ca="1">IF(E1581&gt;10,ROUND(($D1582/12)*$F1580,0),$D1581)</f>
        <v>0</v>
      </c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</row>
    <row r="1582" spans="1:24" hidden="1">
      <c r="A1582" s="328"/>
      <c r="B1582" s="21" t="s">
        <v>415</v>
      </c>
      <c r="C1582" s="21"/>
      <c r="D1582" s="388">
        <f ca="1">IF(ISBLANK(OFFSET($E$269,D1579,0)),0,IF(E1581&gt;10,ROUND(D1581*am_maszyny,0),IF(D1581&lt;0,0,D1581)))</f>
        <v>0</v>
      </c>
      <c r="E1582" s="21"/>
      <c r="F1582" s="21"/>
      <c r="G1582" s="21"/>
      <c r="H1582" s="21"/>
      <c r="I1582" s="21"/>
      <c r="J1582" s="21"/>
      <c r="K1582" s="75">
        <f ca="1">ROUND(IF($D1580=LataProjekcji,$F1581,IF($D1580=LataProjekcji,$D1582,0)),0)</f>
        <v>0</v>
      </c>
      <c r="L1582" s="248">
        <f ca="1">ROUND(IF(OR(AND($D1580=LataProjekcji,$F1580&gt;0),AND($D1580=LataProjekcji,$F1580=0,$E1581&lt;=10)),$F1581,IF($D1580&lt;LataProjekcji,IF((SUM($K1582:K1582)+$D1582)&lt;$D1581,$D1582,$D1581-SUM($K1582:K1582)),0)),0)</f>
        <v>0</v>
      </c>
      <c r="M1582" s="248">
        <f ca="1">ROUND(IF(OR(AND($D1580=LataProjekcji,$F1580&gt;0),AND($D1580=LataProjekcji,$F1580=0,$E1581&lt;=10)),$F1581,IF($D1580&lt;LataProjekcji,IF((SUM($K1582:L1582)+$D1582)&lt;$D1581,$D1582,$D1581-SUM($K1582:L1582)),0)),0)</f>
        <v>0</v>
      </c>
      <c r="N1582" s="248">
        <f ca="1">ROUND(IF(OR(AND($D1580=LataProjekcji,$F1580&gt;0),AND($D1580=LataProjekcji,$F1580=0,$E1581&lt;=10)),$F1581,IF($D1580&lt;LataProjekcji,IF((SUM($K1582:M1582)+$D1582)&lt;$D1581,$D1582,$D1581-SUM($K1582:M1582)),0)),0)</f>
        <v>0</v>
      </c>
      <c r="O1582" s="248">
        <f ca="1">ROUND(IF(OR(AND($D1580=LataProjekcji,$F1580&gt;0),AND($D1580=LataProjekcji,$F1580=0,$E1581&lt;=10)),$F1581,IF($D1580&lt;LataProjekcji,IF((SUM($K1582:N1582)+$D1582)&lt;$D1581,$D1582,$D1581-SUM($K1582:N1582)),0)),0)</f>
        <v>0</v>
      </c>
      <c r="P1582" s="248">
        <f ca="1">ROUND(IF(OR(AND($D1580=LataProjekcji,$F1580&gt;0),AND($D1580=LataProjekcji,$F1580=0,$E1581&lt;=10)),$F1581,IF($D1580&lt;LataProjekcji,IF((SUM($K1582:O1582)+$D1582)&lt;$D1581,$D1582,$D1581-SUM($K1582:O1582)),0)),0)</f>
        <v>0</v>
      </c>
      <c r="Q1582" s="248">
        <f ca="1">ROUND(IF(OR(AND($D1580=LataProjekcji,$F1580&gt;0),AND($D1580=LataProjekcji,$F1580=0,$E1581&lt;=10)),$F1581,IF($D1580&lt;LataProjekcji,IF((SUM($K1582:P1582)+$D1582)&lt;$D1581,$D1582,$D1581-SUM($K1582:P1582)),0)),0)</f>
        <v>0</v>
      </c>
      <c r="R1582" s="248">
        <f ca="1">ROUND(IF(OR(AND($D1580=LataProjekcji,$F1580&gt;0),AND($D1580=LataProjekcji,$F1580=0,$E1581&lt;=10)),$F1581,IF($D1580&lt;LataProjekcji,IF((SUM($K1582:Q1582)+$D1582)&lt;$D1581,$D1582,$D1581-SUM($K1582:Q1582)),0)),0)</f>
        <v>0</v>
      </c>
      <c r="S1582" s="248">
        <f ca="1">ROUND(IF(OR(AND($D1580=LataProjekcji,$F1580&gt;0),AND($D1580=LataProjekcji,$F1580=0,$E1581&lt;=10)),$F1581,IF($D1580&lt;LataProjekcji,IF((SUM($K1582:R1582)+$D1582)&lt;$D1581,$D1582,$D1581-SUM($K1582:R1582)),0)),0)</f>
        <v>0</v>
      </c>
      <c r="T1582" s="248">
        <f ca="1">ROUND(IF(OR(AND($D1580=LataProjekcji,$F1580&gt;0),AND($D1580=LataProjekcji,$F1580=0,$E1581&lt;=10)),$F1581,IF($D1580&lt;LataProjekcji,IF((SUM($K1582:S1582)+$D1582)&lt;$D1581,$D1582,$D1581-SUM($K1582:S1582)),0)),0)</f>
        <v>0</v>
      </c>
      <c r="U1582" s="248">
        <f ca="1">ROUND(IF(OR(AND($D1580=LataProjekcji,$F1580&gt;0),AND($D1580=LataProjekcji,$F1580=0,$E1581&lt;=10)),$F1581,IF($D1580&lt;LataProjekcji,IF((SUM($K1582:T1582)+$D1582)&lt;$D1581,$D1582,$D1581-SUM($K1582:T1582)),0)),0)</f>
        <v>0</v>
      </c>
      <c r="V1582" s="248">
        <f ca="1">ROUND(IF(OR(AND($D1580=LataProjekcji,$F1580&gt;0),AND($D1580=LataProjekcji,$F1580=0,$E1581&lt;=10)),$F1581,IF($D1580&lt;LataProjekcji,IF((SUM($K1582:U1582)+$D1582)&lt;$D1581,$D1582,$D1581-SUM($K1582:U1582)),0)),0)</f>
        <v>0</v>
      </c>
      <c r="W1582" s="248">
        <f ca="1">ROUND(IF(OR(AND($D1580=LataProjekcji,$F1580&gt;0),AND($D1580=LataProjekcji,$F1580=0,$E1581&lt;=10)),$F1581,IF($D1580&lt;LataProjekcji,IF((SUM($K1582:V1582)+$D1582)&lt;$D1581,$D1582,$D1581-SUM($K1582:V1582)),0)),0)</f>
        <v>0</v>
      </c>
      <c r="X1582" s="248">
        <f ca="1">ROUND(IF(OR(AND($D1580=LataProjekcji,$F1580&gt;0),AND($D1580=LataProjekcji,$F1580=0,$E1581&lt;=10)),$F1581,IF($D1580&lt;LataProjekcji,IF((SUM($K1582:W1582)+$D1582)&lt;$D1581,$D1582,$D1581-SUM($K1582:W1582)),0)),0)</f>
        <v>0</v>
      </c>
    </row>
    <row r="1583" spans="1:24" hidden="1">
      <c r="A1583" s="328"/>
      <c r="B1583" s="21" t="s">
        <v>416</v>
      </c>
      <c r="C1583" s="21"/>
      <c r="D1583" s="22"/>
      <c r="E1583" s="21"/>
      <c r="F1583" s="21"/>
      <c r="G1583" s="21"/>
      <c r="H1583" s="21"/>
      <c r="I1583" s="21"/>
      <c r="J1583" s="21"/>
      <c r="K1583" s="22">
        <f ca="1">ROUND(K1582,0)</f>
        <v>0</v>
      </c>
      <c r="L1583" s="22">
        <f t="shared" ref="L1583:X1583" ca="1" si="1363">ROUND(K1583+L1582,0)</f>
        <v>0</v>
      </c>
      <c r="M1583" s="22">
        <f t="shared" ca="1" si="1363"/>
        <v>0</v>
      </c>
      <c r="N1583" s="22">
        <f t="shared" ca="1" si="1363"/>
        <v>0</v>
      </c>
      <c r="O1583" s="22">
        <f t="shared" ca="1" si="1363"/>
        <v>0</v>
      </c>
      <c r="P1583" s="22">
        <f t="shared" ca="1" si="1363"/>
        <v>0</v>
      </c>
      <c r="Q1583" s="22">
        <f t="shared" ca="1" si="1363"/>
        <v>0</v>
      </c>
      <c r="R1583" s="22">
        <f t="shared" ca="1" si="1363"/>
        <v>0</v>
      </c>
      <c r="S1583" s="22">
        <f t="shared" ca="1" si="1363"/>
        <v>0</v>
      </c>
      <c r="T1583" s="22">
        <f t="shared" ca="1" si="1363"/>
        <v>0</v>
      </c>
      <c r="U1583" s="22">
        <f t="shared" ca="1" si="1363"/>
        <v>0</v>
      </c>
      <c r="V1583" s="22">
        <f t="shared" ca="1" si="1363"/>
        <v>0</v>
      </c>
      <c r="W1583" s="22">
        <f t="shared" ca="1" si="1363"/>
        <v>0</v>
      </c>
      <c r="X1583" s="22">
        <f t="shared" ca="1" si="1363"/>
        <v>0</v>
      </c>
    </row>
    <row r="1584" spans="1:24" hidden="1">
      <c r="A1584" s="328"/>
      <c r="B1584" s="21" t="s">
        <v>406</v>
      </c>
      <c r="C1584" s="21"/>
      <c r="D1584" s="22"/>
      <c r="E1584" s="21"/>
      <c r="F1584" s="21"/>
      <c r="G1584" s="21"/>
      <c r="H1584" s="21"/>
      <c r="I1584" s="21"/>
      <c r="J1584" s="21"/>
      <c r="K1584" s="77">
        <f ca="1">IF($D1580=LataProjekcji,ROUND($D1581-K1583,0),ROUND(IF(K1582=0,0,$D1581-K1583),0))</f>
        <v>0</v>
      </c>
      <c r="L1584" s="254">
        <f t="shared" ref="L1584:X1584" ca="1" si="1364">IF($D1580=LataProjekcji,ROUND($D1581-L1583,0),ROUND(IF(AND(L1582=0,K1584&gt;0),$D1581-L1583,IF(L1582=0,0,$D1581-L1583)),0))</f>
        <v>0</v>
      </c>
      <c r="M1584" s="254">
        <f t="shared" ca="1" si="1364"/>
        <v>0</v>
      </c>
      <c r="N1584" s="254">
        <f t="shared" ca="1" si="1364"/>
        <v>0</v>
      </c>
      <c r="O1584" s="254">
        <f t="shared" ca="1" si="1364"/>
        <v>0</v>
      </c>
      <c r="P1584" s="254">
        <f t="shared" ca="1" si="1364"/>
        <v>0</v>
      </c>
      <c r="Q1584" s="254">
        <f t="shared" ca="1" si="1364"/>
        <v>0</v>
      </c>
      <c r="R1584" s="254">
        <f t="shared" ca="1" si="1364"/>
        <v>0</v>
      </c>
      <c r="S1584" s="254">
        <f t="shared" ca="1" si="1364"/>
        <v>0</v>
      </c>
      <c r="T1584" s="254">
        <f t="shared" ca="1" si="1364"/>
        <v>0</v>
      </c>
      <c r="U1584" s="254">
        <f t="shared" ca="1" si="1364"/>
        <v>0</v>
      </c>
      <c r="V1584" s="254">
        <f t="shared" ca="1" si="1364"/>
        <v>0</v>
      </c>
      <c r="W1584" s="254">
        <f t="shared" ca="1" si="1364"/>
        <v>0</v>
      </c>
      <c r="X1584" s="254">
        <f t="shared" ca="1" si="1364"/>
        <v>0</v>
      </c>
    </row>
    <row r="1585" spans="1:24" hidden="1">
      <c r="A1585" s="328"/>
      <c r="B1585" s="21"/>
      <c r="C1585" s="21"/>
      <c r="D1585" s="22"/>
      <c r="E1585" s="21"/>
      <c r="F1585" s="21"/>
      <c r="G1585" s="21"/>
      <c r="H1585" s="404">
        <f>H1578+1</f>
        <v>4</v>
      </c>
      <c r="I1585" s="483" cm="1">
        <f t="array" aca="1" ref="I1585" ca="1">OFFSET('Środki trwałe'!$C$418,H1585,,)</f>
        <v>0</v>
      </c>
      <c r="J1585" s="404" t="s">
        <v>427</v>
      </c>
      <c r="K1585" s="405">
        <f t="shared" ref="K1585:X1585" ca="1" si="1365">IF(AND(OFFSET($F$269,$D1579,0)="tak",OFFSET($G$269,$D1579,0)="tak",OFFSET($J$269,$D1579,0)="ok",LataProjekcji&lt;=Koniec_Projekt),ROUND(K1582*OFFSET($K$469,$H1585,(COLUMN()-11)),0),0)</f>
        <v>0</v>
      </c>
      <c r="L1585" s="405">
        <f t="shared" ca="1" si="1365"/>
        <v>0</v>
      </c>
      <c r="M1585" s="405">
        <f t="shared" ca="1" si="1365"/>
        <v>0</v>
      </c>
      <c r="N1585" s="405">
        <f t="shared" ca="1" si="1365"/>
        <v>0</v>
      </c>
      <c r="O1585" s="405">
        <f t="shared" ca="1" si="1365"/>
        <v>0</v>
      </c>
      <c r="P1585" s="405">
        <f t="shared" ca="1" si="1365"/>
        <v>0</v>
      </c>
      <c r="Q1585" s="405">
        <f t="shared" ca="1" si="1365"/>
        <v>0</v>
      </c>
      <c r="R1585" s="405">
        <f t="shared" ca="1" si="1365"/>
        <v>0</v>
      </c>
      <c r="S1585" s="405">
        <f t="shared" ca="1" si="1365"/>
        <v>0</v>
      </c>
      <c r="T1585" s="405">
        <f t="shared" ca="1" si="1365"/>
        <v>0</v>
      </c>
      <c r="U1585" s="405">
        <f t="shared" ca="1" si="1365"/>
        <v>0</v>
      </c>
      <c r="V1585" s="405">
        <f t="shared" ca="1" si="1365"/>
        <v>0</v>
      </c>
      <c r="W1585" s="405">
        <f t="shared" ca="1" si="1365"/>
        <v>0</v>
      </c>
      <c r="X1585" s="405">
        <f t="shared" ca="1" si="1365"/>
        <v>0</v>
      </c>
    </row>
    <row r="1586" spans="1:24" hidden="1">
      <c r="A1586" s="328"/>
      <c r="B1586" s="20">
        <f ca="1">OFFSET($B$269,D1586,0)</f>
        <v>0</v>
      </c>
      <c r="C1586" s="20"/>
      <c r="D1586" s="21">
        <f>D1579+1</f>
        <v>154</v>
      </c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</row>
    <row r="1587" spans="1:24" hidden="1">
      <c r="A1587" s="328"/>
      <c r="B1587" s="21" t="s">
        <v>414</v>
      </c>
      <c r="C1587" s="21"/>
      <c r="D1587" s="165">
        <f ca="1">YEAR(OFFSET($E$269,D1586,0))</f>
        <v>1900</v>
      </c>
      <c r="E1587" s="165">
        <f ca="1">MONTH(OFFSET($E$269,D1586,0))</f>
        <v>1</v>
      </c>
      <c r="F1587" s="21">
        <f ca="1">12-$E1587</f>
        <v>11</v>
      </c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</row>
    <row r="1588" spans="1:24" hidden="1">
      <c r="A1588" s="328"/>
      <c r="B1588" s="21" t="s">
        <v>406</v>
      </c>
      <c r="C1588" s="21"/>
      <c r="D1588" s="385">
        <f ca="1">IF(E1588&lt;0,0,ROUND(E1588,0))</f>
        <v>0</v>
      </c>
      <c r="E1588" s="249">
        <f ca="1">OFFSET($D$269,D1586,0)</f>
        <v>0</v>
      </c>
      <c r="F1588" s="385">
        <f ca="1">IF(E1588&gt;10,ROUND(($D1589/12)*$F1587,0),$D1588)</f>
        <v>0</v>
      </c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</row>
    <row r="1589" spans="1:24" hidden="1">
      <c r="A1589" s="328"/>
      <c r="B1589" s="21" t="s">
        <v>415</v>
      </c>
      <c r="C1589" s="21"/>
      <c r="D1589" s="385">
        <f ca="1">IF(ISBLANK(OFFSET($E$269,D1586,0)),0,IF(E1588&gt;10,ROUND(D1588*am_maszyny,0),IF(D1588&lt;0,0,D1588)))</f>
        <v>0</v>
      </c>
      <c r="E1589" s="21"/>
      <c r="F1589" s="21"/>
      <c r="G1589" s="21"/>
      <c r="H1589" s="21"/>
      <c r="I1589" s="21"/>
      <c r="J1589" s="21"/>
      <c r="K1589" s="75">
        <f ca="1">ROUND(IF($D1587=LataProjekcji,$F1588,IF($D1587=LataProjekcji,$D1589,0)),0)</f>
        <v>0</v>
      </c>
      <c r="L1589" s="248">
        <f ca="1">ROUND(IF(OR(AND($D1587=LataProjekcji,$F1587&gt;0),AND($D1587=LataProjekcji,$F1587=0,$E1588&lt;=10)),$F1588,IF($D1587&lt;LataProjekcji,IF((SUM($K1589:K1589)+$D1589)&lt;$D1588,$D1589,$D1588-SUM($K1589:K1589)),0)),0)</f>
        <v>0</v>
      </c>
      <c r="M1589" s="248">
        <f ca="1">ROUND(IF(OR(AND($D1587=LataProjekcji,$F1587&gt;0),AND($D1587=LataProjekcji,$F1587=0,$E1588&lt;=10)),$F1588,IF($D1587&lt;LataProjekcji,IF((SUM($K1589:L1589)+$D1589)&lt;$D1588,$D1589,$D1588-SUM($K1589:L1589)),0)),0)</f>
        <v>0</v>
      </c>
      <c r="N1589" s="248">
        <f ca="1">ROUND(IF(OR(AND($D1587=LataProjekcji,$F1587&gt;0),AND($D1587=LataProjekcji,$F1587=0,$E1588&lt;=10)),$F1588,IF($D1587&lt;LataProjekcji,IF((SUM($K1589:M1589)+$D1589)&lt;$D1588,$D1589,$D1588-SUM($K1589:M1589)),0)),0)</f>
        <v>0</v>
      </c>
      <c r="O1589" s="248">
        <f ca="1">ROUND(IF(OR(AND($D1587=LataProjekcji,$F1587&gt;0),AND($D1587=LataProjekcji,$F1587=0,$E1588&lt;=10)),$F1588,IF($D1587&lt;LataProjekcji,IF((SUM($K1589:N1589)+$D1589)&lt;$D1588,$D1589,$D1588-SUM($K1589:N1589)),0)),0)</f>
        <v>0</v>
      </c>
      <c r="P1589" s="248">
        <f ca="1">ROUND(IF(OR(AND($D1587=LataProjekcji,$F1587&gt;0),AND($D1587=LataProjekcji,$F1587=0,$E1588&lt;=10)),$F1588,IF($D1587&lt;LataProjekcji,IF((SUM($K1589:O1589)+$D1589)&lt;$D1588,$D1589,$D1588-SUM($K1589:O1589)),0)),0)</f>
        <v>0</v>
      </c>
      <c r="Q1589" s="248">
        <f ca="1">ROUND(IF(OR(AND($D1587=LataProjekcji,$F1587&gt;0),AND($D1587=LataProjekcji,$F1587=0,$E1588&lt;=10)),$F1588,IF($D1587&lt;LataProjekcji,IF((SUM($K1589:P1589)+$D1589)&lt;$D1588,$D1589,$D1588-SUM($K1589:P1589)),0)),0)</f>
        <v>0</v>
      </c>
      <c r="R1589" s="248">
        <f ca="1">ROUND(IF(OR(AND($D1587=LataProjekcji,$F1587&gt;0),AND($D1587=LataProjekcji,$F1587=0,$E1588&lt;=10)),$F1588,IF($D1587&lt;LataProjekcji,IF((SUM($K1589:Q1589)+$D1589)&lt;$D1588,$D1589,$D1588-SUM($K1589:Q1589)),0)),0)</f>
        <v>0</v>
      </c>
      <c r="S1589" s="248">
        <f ca="1">ROUND(IF(OR(AND($D1587=LataProjekcji,$F1587&gt;0),AND($D1587=LataProjekcji,$F1587=0,$E1588&lt;=10)),$F1588,IF($D1587&lt;LataProjekcji,IF((SUM($K1589:R1589)+$D1589)&lt;$D1588,$D1589,$D1588-SUM($K1589:R1589)),0)),0)</f>
        <v>0</v>
      </c>
      <c r="T1589" s="248">
        <f ca="1">ROUND(IF(OR(AND($D1587=LataProjekcji,$F1587&gt;0),AND($D1587=LataProjekcji,$F1587=0,$E1588&lt;=10)),$F1588,IF($D1587&lt;LataProjekcji,IF((SUM($K1589:S1589)+$D1589)&lt;$D1588,$D1589,$D1588-SUM($K1589:S1589)),0)),0)</f>
        <v>0</v>
      </c>
      <c r="U1589" s="248">
        <f ca="1">ROUND(IF(OR(AND($D1587=LataProjekcji,$F1587&gt;0),AND($D1587=LataProjekcji,$F1587=0,$E1588&lt;=10)),$F1588,IF($D1587&lt;LataProjekcji,IF((SUM($K1589:T1589)+$D1589)&lt;$D1588,$D1589,$D1588-SUM($K1589:T1589)),0)),0)</f>
        <v>0</v>
      </c>
      <c r="V1589" s="248">
        <f ca="1">ROUND(IF(OR(AND($D1587=LataProjekcji,$F1587&gt;0),AND($D1587=LataProjekcji,$F1587=0,$E1588&lt;=10)),$F1588,IF($D1587&lt;LataProjekcji,IF((SUM($K1589:U1589)+$D1589)&lt;$D1588,$D1589,$D1588-SUM($K1589:U1589)),0)),0)</f>
        <v>0</v>
      </c>
      <c r="W1589" s="248">
        <f ca="1">ROUND(IF(OR(AND($D1587=LataProjekcji,$F1587&gt;0),AND($D1587=LataProjekcji,$F1587=0,$E1588&lt;=10)),$F1588,IF($D1587&lt;LataProjekcji,IF((SUM($K1589:V1589)+$D1589)&lt;$D1588,$D1589,$D1588-SUM($K1589:V1589)),0)),0)</f>
        <v>0</v>
      </c>
      <c r="X1589" s="248">
        <f ca="1">ROUND(IF(OR(AND($D1587=LataProjekcji,$F1587&gt;0),AND($D1587=LataProjekcji,$F1587=0,$E1588&lt;=10)),$F1588,IF($D1587&lt;LataProjekcji,IF((SUM($K1589:W1589)+$D1589)&lt;$D1588,$D1589,$D1588-SUM($K1589:W1589)),0)),0)</f>
        <v>0</v>
      </c>
    </row>
    <row r="1590" spans="1:24" hidden="1">
      <c r="A1590" s="328"/>
      <c r="B1590" s="21" t="s">
        <v>416</v>
      </c>
      <c r="C1590" s="21"/>
      <c r="D1590" s="22"/>
      <c r="E1590" s="21"/>
      <c r="F1590" s="21"/>
      <c r="G1590" s="21"/>
      <c r="H1590" s="21"/>
      <c r="I1590" s="21"/>
      <c r="J1590" s="21"/>
      <c r="K1590" s="22">
        <f ca="1">ROUND(K1589,0)</f>
        <v>0</v>
      </c>
      <c r="L1590" s="22">
        <f t="shared" ref="L1590:X1590" ca="1" si="1366">ROUND(K1590+L1589,0)</f>
        <v>0</v>
      </c>
      <c r="M1590" s="22">
        <f t="shared" ca="1" si="1366"/>
        <v>0</v>
      </c>
      <c r="N1590" s="22">
        <f t="shared" ca="1" si="1366"/>
        <v>0</v>
      </c>
      <c r="O1590" s="22">
        <f t="shared" ca="1" si="1366"/>
        <v>0</v>
      </c>
      <c r="P1590" s="22">
        <f t="shared" ca="1" si="1366"/>
        <v>0</v>
      </c>
      <c r="Q1590" s="22">
        <f t="shared" ca="1" si="1366"/>
        <v>0</v>
      </c>
      <c r="R1590" s="22">
        <f t="shared" ca="1" si="1366"/>
        <v>0</v>
      </c>
      <c r="S1590" s="22">
        <f t="shared" ca="1" si="1366"/>
        <v>0</v>
      </c>
      <c r="T1590" s="22">
        <f t="shared" ca="1" si="1366"/>
        <v>0</v>
      </c>
      <c r="U1590" s="22">
        <f t="shared" ca="1" si="1366"/>
        <v>0</v>
      </c>
      <c r="V1590" s="22">
        <f t="shared" ca="1" si="1366"/>
        <v>0</v>
      </c>
      <c r="W1590" s="22">
        <f t="shared" ca="1" si="1366"/>
        <v>0</v>
      </c>
      <c r="X1590" s="22">
        <f t="shared" ca="1" si="1366"/>
        <v>0</v>
      </c>
    </row>
    <row r="1591" spans="1:24" hidden="1">
      <c r="A1591" s="328"/>
      <c r="B1591" s="21" t="s">
        <v>406</v>
      </c>
      <c r="C1591" s="21"/>
      <c r="D1591" s="22"/>
      <c r="E1591" s="21"/>
      <c r="F1591" s="21"/>
      <c r="G1591" s="21"/>
      <c r="H1591" s="21"/>
      <c r="I1591" s="21"/>
      <c r="J1591" s="21"/>
      <c r="K1591" s="77">
        <f ca="1">IF($D1587=LataProjekcji,ROUND($D1588-K1590,0),ROUND(IF(K1589=0,0,$D1588-K1590),0))</f>
        <v>0</v>
      </c>
      <c r="L1591" s="254">
        <f t="shared" ref="L1591:X1591" ca="1" si="1367">IF($D1587=LataProjekcji,ROUND($D1588-L1590,0),ROUND(IF(AND(L1589=0,K1591&gt;0),$D1588-L1590,IF(L1589=0,0,$D1588-L1590)),0))</f>
        <v>0</v>
      </c>
      <c r="M1591" s="254">
        <f t="shared" ca="1" si="1367"/>
        <v>0</v>
      </c>
      <c r="N1591" s="254">
        <f t="shared" ca="1" si="1367"/>
        <v>0</v>
      </c>
      <c r="O1591" s="254">
        <f t="shared" ca="1" si="1367"/>
        <v>0</v>
      </c>
      <c r="P1591" s="254">
        <f t="shared" ca="1" si="1367"/>
        <v>0</v>
      </c>
      <c r="Q1591" s="254">
        <f t="shared" ca="1" si="1367"/>
        <v>0</v>
      </c>
      <c r="R1591" s="254">
        <f t="shared" ca="1" si="1367"/>
        <v>0</v>
      </c>
      <c r="S1591" s="254">
        <f t="shared" ca="1" si="1367"/>
        <v>0</v>
      </c>
      <c r="T1591" s="254">
        <f t="shared" ca="1" si="1367"/>
        <v>0</v>
      </c>
      <c r="U1591" s="254">
        <f t="shared" ca="1" si="1367"/>
        <v>0</v>
      </c>
      <c r="V1591" s="254">
        <f t="shared" ca="1" si="1367"/>
        <v>0</v>
      </c>
      <c r="W1591" s="254">
        <f t="shared" ca="1" si="1367"/>
        <v>0</v>
      </c>
      <c r="X1591" s="254">
        <f t="shared" ca="1" si="1367"/>
        <v>0</v>
      </c>
    </row>
    <row r="1592" spans="1:24" hidden="1">
      <c r="A1592" s="328"/>
      <c r="B1592" s="20"/>
      <c r="C1592" s="20"/>
      <c r="D1592" s="21"/>
      <c r="E1592" s="21"/>
      <c r="F1592" s="21"/>
      <c r="G1592" s="21"/>
      <c r="H1592" s="404">
        <f>H1585+1</f>
        <v>5</v>
      </c>
      <c r="I1592" s="483" cm="1">
        <f t="array" aca="1" ref="I1592" ca="1">OFFSET('Środki trwałe'!$C$418,H1592,,)</f>
        <v>0</v>
      </c>
      <c r="J1592" s="404" t="s">
        <v>427</v>
      </c>
      <c r="K1592" s="405">
        <f t="shared" ref="K1592:X1592" ca="1" si="1368">IF(AND(OFFSET($F$269,$D1586,0)="tak",OFFSET($G$269,$D1586,0)="tak",OFFSET($J$269,$D1586,0)="ok",LataProjekcji&lt;=Koniec_Projekt),ROUND(K1589*OFFSET($K$469,$H1592,(COLUMN()-11)),0),0)</f>
        <v>0</v>
      </c>
      <c r="L1592" s="405">
        <f t="shared" ca="1" si="1368"/>
        <v>0</v>
      </c>
      <c r="M1592" s="405">
        <f t="shared" ca="1" si="1368"/>
        <v>0</v>
      </c>
      <c r="N1592" s="405">
        <f t="shared" ca="1" si="1368"/>
        <v>0</v>
      </c>
      <c r="O1592" s="405">
        <f t="shared" ca="1" si="1368"/>
        <v>0</v>
      </c>
      <c r="P1592" s="405">
        <f t="shared" ca="1" si="1368"/>
        <v>0</v>
      </c>
      <c r="Q1592" s="405">
        <f t="shared" ca="1" si="1368"/>
        <v>0</v>
      </c>
      <c r="R1592" s="405">
        <f t="shared" ca="1" si="1368"/>
        <v>0</v>
      </c>
      <c r="S1592" s="405">
        <f t="shared" ca="1" si="1368"/>
        <v>0</v>
      </c>
      <c r="T1592" s="405">
        <f t="shared" ca="1" si="1368"/>
        <v>0</v>
      </c>
      <c r="U1592" s="405">
        <f t="shared" ca="1" si="1368"/>
        <v>0</v>
      </c>
      <c r="V1592" s="405">
        <f t="shared" ca="1" si="1368"/>
        <v>0</v>
      </c>
      <c r="W1592" s="405">
        <f t="shared" ca="1" si="1368"/>
        <v>0</v>
      </c>
      <c r="X1592" s="405">
        <f t="shared" ca="1" si="1368"/>
        <v>0</v>
      </c>
    </row>
    <row r="1593" spans="1:24" hidden="1">
      <c r="A1593" s="328"/>
      <c r="B1593" s="20">
        <f ca="1">OFFSET($B$269,D1593,0)</f>
        <v>0</v>
      </c>
      <c r="C1593" s="20"/>
      <c r="D1593" s="21">
        <f>D1586+1</f>
        <v>155</v>
      </c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</row>
    <row r="1594" spans="1:24" hidden="1">
      <c r="A1594" s="328"/>
      <c r="B1594" s="21" t="s">
        <v>414</v>
      </c>
      <c r="C1594" s="21"/>
      <c r="D1594" s="165">
        <f ca="1">YEAR(OFFSET($E$269,D1593,0))</f>
        <v>1900</v>
      </c>
      <c r="E1594" s="165">
        <f ca="1">MONTH(OFFSET($E$269,D1593,0))</f>
        <v>1</v>
      </c>
      <c r="F1594" s="21">
        <f ca="1">12-$E1594</f>
        <v>11</v>
      </c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</row>
    <row r="1595" spans="1:24" hidden="1">
      <c r="A1595" s="328"/>
      <c r="B1595" s="21" t="s">
        <v>406</v>
      </c>
      <c r="C1595" s="21"/>
      <c r="D1595" s="386">
        <f ca="1">IF(E1595&lt;0,0,ROUND(E1595,0))</f>
        <v>0</v>
      </c>
      <c r="E1595" s="249">
        <f ca="1">OFFSET($D$269,D1593,0)</f>
        <v>0</v>
      </c>
      <c r="F1595" s="386">
        <f ca="1">IF(E1595&gt;10,ROUND(($D1596/12)*$F1594,0),$D1595)</f>
        <v>0</v>
      </c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</row>
    <row r="1596" spans="1:24" hidden="1">
      <c r="A1596" s="328"/>
      <c r="B1596" s="21" t="s">
        <v>415</v>
      </c>
      <c r="C1596" s="21"/>
      <c r="D1596" s="386">
        <f ca="1">IF(ISBLANK(OFFSET($E$269,D1593,0)),0,IF(E1595&gt;10,ROUND(D1595*am_maszyny,0),IF(D1595&lt;0,0,D1595)))</f>
        <v>0</v>
      </c>
      <c r="E1596" s="21"/>
      <c r="F1596" s="21"/>
      <c r="G1596" s="21"/>
      <c r="H1596" s="21"/>
      <c r="I1596" s="21"/>
      <c r="J1596" s="21"/>
      <c r="K1596" s="75">
        <f ca="1">ROUND(IF($D1594=LataProjekcji,$F1595,IF($D1594=LataProjekcji,$D1596,0)),0)</f>
        <v>0</v>
      </c>
      <c r="L1596" s="248">
        <f ca="1">ROUND(IF(OR(AND($D1594=LataProjekcji,$F1594&gt;0),AND($D1594=LataProjekcji,$F1594=0,$E1595&lt;=10)),$F1595,IF($D1594&lt;LataProjekcji,IF((SUM($K1596:K1596)+$D1596)&lt;$D1595,$D1596,$D1595-SUM($K1596:K1596)),0)),0)</f>
        <v>0</v>
      </c>
      <c r="M1596" s="248">
        <f ca="1">ROUND(IF(OR(AND($D1594=LataProjekcji,$F1594&gt;0),AND($D1594=LataProjekcji,$F1594=0,$E1595&lt;=10)),$F1595,IF($D1594&lt;LataProjekcji,IF((SUM($K1596:L1596)+$D1596)&lt;$D1595,$D1596,$D1595-SUM($K1596:L1596)),0)),0)</f>
        <v>0</v>
      </c>
      <c r="N1596" s="248">
        <f ca="1">ROUND(IF(OR(AND($D1594=LataProjekcji,$F1594&gt;0),AND($D1594=LataProjekcji,$F1594=0,$E1595&lt;=10)),$F1595,IF($D1594&lt;LataProjekcji,IF((SUM($K1596:M1596)+$D1596)&lt;$D1595,$D1596,$D1595-SUM($K1596:M1596)),0)),0)</f>
        <v>0</v>
      </c>
      <c r="O1596" s="248">
        <f ca="1">ROUND(IF(OR(AND($D1594=LataProjekcji,$F1594&gt;0),AND($D1594=LataProjekcji,$F1594=0,$E1595&lt;=10)),$F1595,IF($D1594&lt;LataProjekcji,IF((SUM($K1596:N1596)+$D1596)&lt;$D1595,$D1596,$D1595-SUM($K1596:N1596)),0)),0)</f>
        <v>0</v>
      </c>
      <c r="P1596" s="248">
        <f ca="1">ROUND(IF(OR(AND($D1594=LataProjekcji,$F1594&gt;0),AND($D1594=LataProjekcji,$F1594=0,$E1595&lt;=10)),$F1595,IF($D1594&lt;LataProjekcji,IF((SUM($K1596:O1596)+$D1596)&lt;$D1595,$D1596,$D1595-SUM($K1596:O1596)),0)),0)</f>
        <v>0</v>
      </c>
      <c r="Q1596" s="248">
        <f ca="1">ROUND(IF(OR(AND($D1594=LataProjekcji,$F1594&gt;0),AND($D1594=LataProjekcji,$F1594=0,$E1595&lt;=10)),$F1595,IF($D1594&lt;LataProjekcji,IF((SUM($K1596:P1596)+$D1596)&lt;$D1595,$D1596,$D1595-SUM($K1596:P1596)),0)),0)</f>
        <v>0</v>
      </c>
      <c r="R1596" s="248">
        <f ca="1">ROUND(IF(OR(AND($D1594=LataProjekcji,$F1594&gt;0),AND($D1594=LataProjekcji,$F1594=0,$E1595&lt;=10)),$F1595,IF($D1594&lt;LataProjekcji,IF((SUM($K1596:Q1596)+$D1596)&lt;$D1595,$D1596,$D1595-SUM($K1596:Q1596)),0)),0)</f>
        <v>0</v>
      </c>
      <c r="S1596" s="248">
        <f ca="1">ROUND(IF(OR(AND($D1594=LataProjekcji,$F1594&gt;0),AND($D1594=LataProjekcji,$F1594=0,$E1595&lt;=10)),$F1595,IF($D1594&lt;LataProjekcji,IF((SUM($K1596:R1596)+$D1596)&lt;$D1595,$D1596,$D1595-SUM($K1596:R1596)),0)),0)</f>
        <v>0</v>
      </c>
      <c r="T1596" s="248">
        <f ca="1">ROUND(IF(OR(AND($D1594=LataProjekcji,$F1594&gt;0),AND($D1594=LataProjekcji,$F1594=0,$E1595&lt;=10)),$F1595,IF($D1594&lt;LataProjekcji,IF((SUM($K1596:S1596)+$D1596)&lt;$D1595,$D1596,$D1595-SUM($K1596:S1596)),0)),0)</f>
        <v>0</v>
      </c>
      <c r="U1596" s="248">
        <f ca="1">ROUND(IF(OR(AND($D1594=LataProjekcji,$F1594&gt;0),AND($D1594=LataProjekcji,$F1594=0,$E1595&lt;=10)),$F1595,IF($D1594&lt;LataProjekcji,IF((SUM($K1596:T1596)+$D1596)&lt;$D1595,$D1596,$D1595-SUM($K1596:T1596)),0)),0)</f>
        <v>0</v>
      </c>
      <c r="V1596" s="248">
        <f ca="1">ROUND(IF(OR(AND($D1594=LataProjekcji,$F1594&gt;0),AND($D1594=LataProjekcji,$F1594=0,$E1595&lt;=10)),$F1595,IF($D1594&lt;LataProjekcji,IF((SUM($K1596:U1596)+$D1596)&lt;$D1595,$D1596,$D1595-SUM($K1596:U1596)),0)),0)</f>
        <v>0</v>
      </c>
      <c r="W1596" s="248">
        <f ca="1">ROUND(IF(OR(AND($D1594=LataProjekcji,$F1594&gt;0),AND($D1594=LataProjekcji,$F1594=0,$E1595&lt;=10)),$F1595,IF($D1594&lt;LataProjekcji,IF((SUM($K1596:V1596)+$D1596)&lt;$D1595,$D1596,$D1595-SUM($K1596:V1596)),0)),0)</f>
        <v>0</v>
      </c>
      <c r="X1596" s="248">
        <f ca="1">ROUND(IF(OR(AND($D1594=LataProjekcji,$F1594&gt;0),AND($D1594=LataProjekcji,$F1594=0,$E1595&lt;=10)),$F1595,IF($D1594&lt;LataProjekcji,IF((SUM($K1596:W1596)+$D1596)&lt;$D1595,$D1596,$D1595-SUM($K1596:W1596)),0)),0)</f>
        <v>0</v>
      </c>
    </row>
    <row r="1597" spans="1:24" hidden="1">
      <c r="A1597" s="328"/>
      <c r="B1597" s="21" t="s">
        <v>416</v>
      </c>
      <c r="C1597" s="21"/>
      <c r="D1597" s="22"/>
      <c r="E1597" s="21"/>
      <c r="F1597" s="21"/>
      <c r="G1597" s="21"/>
      <c r="H1597" s="21"/>
      <c r="I1597" s="21"/>
      <c r="J1597" s="21"/>
      <c r="K1597" s="22">
        <f ca="1">ROUND(K1596,0)</f>
        <v>0</v>
      </c>
      <c r="L1597" s="22">
        <f t="shared" ref="L1597:X1597" ca="1" si="1369">ROUND(K1597+L1596,0)</f>
        <v>0</v>
      </c>
      <c r="M1597" s="22">
        <f t="shared" ca="1" si="1369"/>
        <v>0</v>
      </c>
      <c r="N1597" s="22">
        <f t="shared" ca="1" si="1369"/>
        <v>0</v>
      </c>
      <c r="O1597" s="22">
        <f t="shared" ca="1" si="1369"/>
        <v>0</v>
      </c>
      <c r="P1597" s="22">
        <f t="shared" ca="1" si="1369"/>
        <v>0</v>
      </c>
      <c r="Q1597" s="22">
        <f t="shared" ca="1" si="1369"/>
        <v>0</v>
      </c>
      <c r="R1597" s="22">
        <f t="shared" ca="1" si="1369"/>
        <v>0</v>
      </c>
      <c r="S1597" s="22">
        <f t="shared" ca="1" si="1369"/>
        <v>0</v>
      </c>
      <c r="T1597" s="22">
        <f t="shared" ca="1" si="1369"/>
        <v>0</v>
      </c>
      <c r="U1597" s="22">
        <f t="shared" ca="1" si="1369"/>
        <v>0</v>
      </c>
      <c r="V1597" s="22">
        <f t="shared" ca="1" si="1369"/>
        <v>0</v>
      </c>
      <c r="W1597" s="22">
        <f t="shared" ca="1" si="1369"/>
        <v>0</v>
      </c>
      <c r="X1597" s="22">
        <f t="shared" ca="1" si="1369"/>
        <v>0</v>
      </c>
    </row>
    <row r="1598" spans="1:24" hidden="1">
      <c r="A1598" s="328"/>
      <c r="B1598" s="21" t="s">
        <v>406</v>
      </c>
      <c r="C1598" s="21"/>
      <c r="D1598" s="22"/>
      <c r="E1598" s="21"/>
      <c r="F1598" s="21"/>
      <c r="G1598" s="21"/>
      <c r="H1598" s="21"/>
      <c r="I1598" s="21"/>
      <c r="J1598" s="21"/>
      <c r="K1598" s="77">
        <f ca="1">IF($D1594=LataProjekcji,ROUND($D1595-K1597,0),ROUND(IF(K1596=0,0,$D1595-K1597),0))</f>
        <v>0</v>
      </c>
      <c r="L1598" s="254">
        <f t="shared" ref="L1598:X1598" ca="1" si="1370">IF($D1594=LataProjekcji,ROUND($D1595-L1597,0),ROUND(IF(AND(L1596=0,K1598&gt;0),$D1595-L1597,IF(L1596=0,0,$D1595-L1597)),0))</f>
        <v>0</v>
      </c>
      <c r="M1598" s="254">
        <f t="shared" ca="1" si="1370"/>
        <v>0</v>
      </c>
      <c r="N1598" s="254">
        <f t="shared" ca="1" si="1370"/>
        <v>0</v>
      </c>
      <c r="O1598" s="254">
        <f t="shared" ca="1" si="1370"/>
        <v>0</v>
      </c>
      <c r="P1598" s="254">
        <f t="shared" ca="1" si="1370"/>
        <v>0</v>
      </c>
      <c r="Q1598" s="254">
        <f t="shared" ca="1" si="1370"/>
        <v>0</v>
      </c>
      <c r="R1598" s="254">
        <f t="shared" ca="1" si="1370"/>
        <v>0</v>
      </c>
      <c r="S1598" s="254">
        <f t="shared" ca="1" si="1370"/>
        <v>0</v>
      </c>
      <c r="T1598" s="254">
        <f t="shared" ca="1" si="1370"/>
        <v>0</v>
      </c>
      <c r="U1598" s="254">
        <f t="shared" ca="1" si="1370"/>
        <v>0</v>
      </c>
      <c r="V1598" s="254">
        <f t="shared" ca="1" si="1370"/>
        <v>0</v>
      </c>
      <c r="W1598" s="254">
        <f t="shared" ca="1" si="1370"/>
        <v>0</v>
      </c>
      <c r="X1598" s="254">
        <f t="shared" ca="1" si="1370"/>
        <v>0</v>
      </c>
    </row>
    <row r="1599" spans="1:24" hidden="1">
      <c r="A1599" s="328"/>
      <c r="B1599" s="21"/>
      <c r="C1599" s="21"/>
      <c r="D1599" s="22"/>
      <c r="E1599" s="21"/>
      <c r="F1599" s="21"/>
      <c r="G1599" s="21"/>
      <c r="H1599" s="404">
        <f>H1592+1</f>
        <v>6</v>
      </c>
      <c r="I1599" s="483" cm="1">
        <f t="array" aca="1" ref="I1599" ca="1">OFFSET('Środki trwałe'!$C$418,H1599,,)</f>
        <v>0</v>
      </c>
      <c r="J1599" s="404" t="s">
        <v>427</v>
      </c>
      <c r="K1599" s="405">
        <f t="shared" ref="K1599:X1599" ca="1" si="1371">IF(AND(OFFSET($F$269,$D1593,0)="tak",OFFSET($G$269,$D1593,0)="tak",OFFSET($J$269,$D1593,0)="ok",LataProjekcji&lt;=Koniec_Projekt),ROUND(K1596*OFFSET($K$469,$H1599,(COLUMN()-11)),0),0)</f>
        <v>0</v>
      </c>
      <c r="L1599" s="405">
        <f t="shared" ca="1" si="1371"/>
        <v>0</v>
      </c>
      <c r="M1599" s="405">
        <f t="shared" ca="1" si="1371"/>
        <v>0</v>
      </c>
      <c r="N1599" s="405">
        <f t="shared" ca="1" si="1371"/>
        <v>0</v>
      </c>
      <c r="O1599" s="405">
        <f t="shared" ca="1" si="1371"/>
        <v>0</v>
      </c>
      <c r="P1599" s="405">
        <f t="shared" ca="1" si="1371"/>
        <v>0</v>
      </c>
      <c r="Q1599" s="405">
        <f t="shared" ca="1" si="1371"/>
        <v>0</v>
      </c>
      <c r="R1599" s="405">
        <f t="shared" ca="1" si="1371"/>
        <v>0</v>
      </c>
      <c r="S1599" s="405">
        <f t="shared" ca="1" si="1371"/>
        <v>0</v>
      </c>
      <c r="T1599" s="405">
        <f t="shared" ca="1" si="1371"/>
        <v>0</v>
      </c>
      <c r="U1599" s="405">
        <f t="shared" ca="1" si="1371"/>
        <v>0</v>
      </c>
      <c r="V1599" s="405">
        <f t="shared" ca="1" si="1371"/>
        <v>0</v>
      </c>
      <c r="W1599" s="405">
        <f t="shared" ca="1" si="1371"/>
        <v>0</v>
      </c>
      <c r="X1599" s="405">
        <f t="shared" ca="1" si="1371"/>
        <v>0</v>
      </c>
    </row>
    <row r="1600" spans="1:24" hidden="1">
      <c r="A1600" s="328"/>
      <c r="B1600" s="20">
        <f ca="1">OFFSET($B$269,D1600,0)</f>
        <v>0</v>
      </c>
      <c r="C1600" s="20"/>
      <c r="D1600" s="21">
        <f>D1593+1</f>
        <v>156</v>
      </c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</row>
    <row r="1601" spans="1:24" hidden="1">
      <c r="A1601" s="328"/>
      <c r="B1601" s="21" t="s">
        <v>414</v>
      </c>
      <c r="C1601" s="21"/>
      <c r="D1601" s="165">
        <f ca="1">YEAR(OFFSET($E$269,D1600,0))</f>
        <v>1900</v>
      </c>
      <c r="E1601" s="165">
        <f ca="1">MONTH(OFFSET($E$269,D1600,0))</f>
        <v>1</v>
      </c>
      <c r="F1601" s="21">
        <f ca="1">12-$E1601</f>
        <v>11</v>
      </c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</row>
    <row r="1602" spans="1:24" hidden="1">
      <c r="A1602" s="328"/>
      <c r="B1602" s="21" t="s">
        <v>406</v>
      </c>
      <c r="C1602" s="21"/>
      <c r="D1602" s="387">
        <f ca="1">IF(E1602&lt;0,0,ROUND(E1602,0))</f>
        <v>0</v>
      </c>
      <c r="E1602" s="249">
        <f ca="1">OFFSET($D$269,D1600,0)</f>
        <v>0</v>
      </c>
      <c r="F1602" s="387">
        <f ca="1">IF(E1602&gt;10,ROUND(($D1603/12)*$F1601,0),$D1602)</f>
        <v>0</v>
      </c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</row>
    <row r="1603" spans="1:24" hidden="1">
      <c r="A1603" s="328"/>
      <c r="B1603" s="21" t="s">
        <v>415</v>
      </c>
      <c r="C1603" s="21"/>
      <c r="D1603" s="387">
        <f ca="1">IF(ISBLANK(OFFSET($E$269,D1600,0)),0,IF(E1602&gt;10,ROUND(D1602*am_maszyny,0),IF(D1602&lt;0,0,D1602)))</f>
        <v>0</v>
      </c>
      <c r="E1603" s="21"/>
      <c r="F1603" s="21"/>
      <c r="G1603" s="21"/>
      <c r="H1603" s="21"/>
      <c r="I1603" s="21"/>
      <c r="J1603" s="21"/>
      <c r="K1603" s="75">
        <f ca="1">ROUND(IF($D1601=LataProjekcji,$F1602,IF($D1601=LataProjekcji,$D1603,0)),0)</f>
        <v>0</v>
      </c>
      <c r="L1603" s="248">
        <f ca="1">ROUND(IF(OR(AND($D1601=LataProjekcji,$F1601&gt;0),AND($D1601=LataProjekcji,$F1601=0,$E1602&lt;=10)),$F1602,IF($D1601&lt;LataProjekcji,IF((SUM($K1603:K1603)+$D1603)&lt;$D1602,$D1603,$D1602-SUM($K1603:K1603)),0)),0)</f>
        <v>0</v>
      </c>
      <c r="M1603" s="248">
        <f ca="1">ROUND(IF(OR(AND($D1601=LataProjekcji,$F1601&gt;0),AND($D1601=LataProjekcji,$F1601=0,$E1602&lt;=10)),$F1602,IF($D1601&lt;LataProjekcji,IF((SUM($K1603:L1603)+$D1603)&lt;$D1602,$D1603,$D1602-SUM($K1603:L1603)),0)),0)</f>
        <v>0</v>
      </c>
      <c r="N1603" s="248">
        <f ca="1">ROUND(IF(OR(AND($D1601=LataProjekcji,$F1601&gt;0),AND($D1601=LataProjekcji,$F1601=0,$E1602&lt;=10)),$F1602,IF($D1601&lt;LataProjekcji,IF((SUM($K1603:M1603)+$D1603)&lt;$D1602,$D1603,$D1602-SUM($K1603:M1603)),0)),0)</f>
        <v>0</v>
      </c>
      <c r="O1603" s="248">
        <f ca="1">ROUND(IF(OR(AND($D1601=LataProjekcji,$F1601&gt;0),AND($D1601=LataProjekcji,$F1601=0,$E1602&lt;=10)),$F1602,IF($D1601&lt;LataProjekcji,IF((SUM($K1603:N1603)+$D1603)&lt;$D1602,$D1603,$D1602-SUM($K1603:N1603)),0)),0)</f>
        <v>0</v>
      </c>
      <c r="P1603" s="248">
        <f ca="1">ROUND(IF(OR(AND($D1601=LataProjekcji,$F1601&gt;0),AND($D1601=LataProjekcji,$F1601=0,$E1602&lt;=10)),$F1602,IF($D1601&lt;LataProjekcji,IF((SUM($K1603:O1603)+$D1603)&lt;$D1602,$D1603,$D1602-SUM($K1603:O1603)),0)),0)</f>
        <v>0</v>
      </c>
      <c r="Q1603" s="248">
        <f ca="1">ROUND(IF(OR(AND($D1601=LataProjekcji,$F1601&gt;0),AND($D1601=LataProjekcji,$F1601=0,$E1602&lt;=10)),$F1602,IF($D1601&lt;LataProjekcji,IF((SUM($K1603:P1603)+$D1603)&lt;$D1602,$D1603,$D1602-SUM($K1603:P1603)),0)),0)</f>
        <v>0</v>
      </c>
      <c r="R1603" s="248">
        <f ca="1">ROUND(IF(OR(AND($D1601=LataProjekcji,$F1601&gt;0),AND($D1601=LataProjekcji,$F1601=0,$E1602&lt;=10)),$F1602,IF($D1601&lt;LataProjekcji,IF((SUM($K1603:Q1603)+$D1603)&lt;$D1602,$D1603,$D1602-SUM($K1603:Q1603)),0)),0)</f>
        <v>0</v>
      </c>
      <c r="S1603" s="248">
        <f ca="1">ROUND(IF(OR(AND($D1601=LataProjekcji,$F1601&gt;0),AND($D1601=LataProjekcji,$F1601=0,$E1602&lt;=10)),$F1602,IF($D1601&lt;LataProjekcji,IF((SUM($K1603:R1603)+$D1603)&lt;$D1602,$D1603,$D1602-SUM($K1603:R1603)),0)),0)</f>
        <v>0</v>
      </c>
      <c r="T1603" s="248">
        <f ca="1">ROUND(IF(OR(AND($D1601=LataProjekcji,$F1601&gt;0),AND($D1601=LataProjekcji,$F1601=0,$E1602&lt;=10)),$F1602,IF($D1601&lt;LataProjekcji,IF((SUM($K1603:S1603)+$D1603)&lt;$D1602,$D1603,$D1602-SUM($K1603:S1603)),0)),0)</f>
        <v>0</v>
      </c>
      <c r="U1603" s="248">
        <f ca="1">ROUND(IF(OR(AND($D1601=LataProjekcji,$F1601&gt;0),AND($D1601=LataProjekcji,$F1601=0,$E1602&lt;=10)),$F1602,IF($D1601&lt;LataProjekcji,IF((SUM($K1603:T1603)+$D1603)&lt;$D1602,$D1603,$D1602-SUM($K1603:T1603)),0)),0)</f>
        <v>0</v>
      </c>
      <c r="V1603" s="248">
        <f ca="1">ROUND(IF(OR(AND($D1601=LataProjekcji,$F1601&gt;0),AND($D1601=LataProjekcji,$F1601=0,$E1602&lt;=10)),$F1602,IF($D1601&lt;LataProjekcji,IF((SUM($K1603:U1603)+$D1603)&lt;$D1602,$D1603,$D1602-SUM($K1603:U1603)),0)),0)</f>
        <v>0</v>
      </c>
      <c r="W1603" s="248">
        <f ca="1">ROUND(IF(OR(AND($D1601=LataProjekcji,$F1601&gt;0),AND($D1601=LataProjekcji,$F1601=0,$E1602&lt;=10)),$F1602,IF($D1601&lt;LataProjekcji,IF((SUM($K1603:V1603)+$D1603)&lt;$D1602,$D1603,$D1602-SUM($K1603:V1603)),0)),0)</f>
        <v>0</v>
      </c>
      <c r="X1603" s="248">
        <f ca="1">ROUND(IF(OR(AND($D1601=LataProjekcji,$F1601&gt;0),AND($D1601=LataProjekcji,$F1601=0,$E1602&lt;=10)),$F1602,IF($D1601&lt;LataProjekcji,IF((SUM($K1603:W1603)+$D1603)&lt;$D1602,$D1603,$D1602-SUM($K1603:W1603)),0)),0)</f>
        <v>0</v>
      </c>
    </row>
    <row r="1604" spans="1:24" hidden="1">
      <c r="A1604" s="328"/>
      <c r="B1604" s="21" t="s">
        <v>416</v>
      </c>
      <c r="C1604" s="21"/>
      <c r="D1604" s="22"/>
      <c r="E1604" s="21"/>
      <c r="F1604" s="21"/>
      <c r="G1604" s="21"/>
      <c r="H1604" s="21"/>
      <c r="I1604" s="21"/>
      <c r="J1604" s="21"/>
      <c r="K1604" s="22">
        <f ca="1">ROUND(K1603,0)</f>
        <v>0</v>
      </c>
      <c r="L1604" s="22">
        <f t="shared" ref="L1604:X1604" ca="1" si="1372">ROUND(K1604+L1603,0)</f>
        <v>0</v>
      </c>
      <c r="M1604" s="22">
        <f t="shared" ca="1" si="1372"/>
        <v>0</v>
      </c>
      <c r="N1604" s="22">
        <f t="shared" ca="1" si="1372"/>
        <v>0</v>
      </c>
      <c r="O1604" s="22">
        <f t="shared" ca="1" si="1372"/>
        <v>0</v>
      </c>
      <c r="P1604" s="22">
        <f t="shared" ca="1" si="1372"/>
        <v>0</v>
      </c>
      <c r="Q1604" s="22">
        <f t="shared" ca="1" si="1372"/>
        <v>0</v>
      </c>
      <c r="R1604" s="22">
        <f t="shared" ca="1" si="1372"/>
        <v>0</v>
      </c>
      <c r="S1604" s="22">
        <f t="shared" ca="1" si="1372"/>
        <v>0</v>
      </c>
      <c r="T1604" s="22">
        <f t="shared" ca="1" si="1372"/>
        <v>0</v>
      </c>
      <c r="U1604" s="22">
        <f t="shared" ca="1" si="1372"/>
        <v>0</v>
      </c>
      <c r="V1604" s="22">
        <f t="shared" ca="1" si="1372"/>
        <v>0</v>
      </c>
      <c r="W1604" s="22">
        <f t="shared" ca="1" si="1372"/>
        <v>0</v>
      </c>
      <c r="X1604" s="22">
        <f t="shared" ca="1" si="1372"/>
        <v>0</v>
      </c>
    </row>
    <row r="1605" spans="1:24" hidden="1">
      <c r="A1605" s="328"/>
      <c r="B1605" s="21" t="s">
        <v>406</v>
      </c>
      <c r="C1605" s="21"/>
      <c r="D1605" s="22"/>
      <c r="E1605" s="21"/>
      <c r="F1605" s="21"/>
      <c r="G1605" s="21"/>
      <c r="H1605" s="21"/>
      <c r="I1605" s="21"/>
      <c r="J1605" s="21"/>
      <c r="K1605" s="77">
        <f ca="1">IF($D1601=LataProjekcji,ROUND($D1602-K1604,0),ROUND(IF(K1603=0,0,$D1602-K1604),0))</f>
        <v>0</v>
      </c>
      <c r="L1605" s="254">
        <f t="shared" ref="L1605:X1605" ca="1" si="1373">IF($D1601=LataProjekcji,ROUND($D1602-L1604,0),ROUND(IF(AND(L1603=0,K1605&gt;0),$D1602-L1604,IF(L1603=0,0,$D1602-L1604)),0))</f>
        <v>0</v>
      </c>
      <c r="M1605" s="254">
        <f t="shared" ca="1" si="1373"/>
        <v>0</v>
      </c>
      <c r="N1605" s="254">
        <f t="shared" ca="1" si="1373"/>
        <v>0</v>
      </c>
      <c r="O1605" s="254">
        <f t="shared" ca="1" si="1373"/>
        <v>0</v>
      </c>
      <c r="P1605" s="254">
        <f t="shared" ca="1" si="1373"/>
        <v>0</v>
      </c>
      <c r="Q1605" s="254">
        <f t="shared" ca="1" si="1373"/>
        <v>0</v>
      </c>
      <c r="R1605" s="254">
        <f t="shared" ca="1" si="1373"/>
        <v>0</v>
      </c>
      <c r="S1605" s="254">
        <f t="shared" ca="1" si="1373"/>
        <v>0</v>
      </c>
      <c r="T1605" s="254">
        <f t="shared" ca="1" si="1373"/>
        <v>0</v>
      </c>
      <c r="U1605" s="254">
        <f t="shared" ca="1" si="1373"/>
        <v>0</v>
      </c>
      <c r="V1605" s="254">
        <f t="shared" ca="1" si="1373"/>
        <v>0</v>
      </c>
      <c r="W1605" s="254">
        <f t="shared" ca="1" si="1373"/>
        <v>0</v>
      </c>
      <c r="X1605" s="254">
        <f t="shared" ca="1" si="1373"/>
        <v>0</v>
      </c>
    </row>
    <row r="1606" spans="1:24" hidden="1">
      <c r="A1606" s="328"/>
      <c r="B1606" s="21"/>
      <c r="C1606" s="21"/>
      <c r="D1606" s="21"/>
      <c r="E1606" s="21"/>
      <c r="F1606" s="21"/>
      <c r="G1606" s="21"/>
      <c r="H1606" s="404">
        <f>H1599+1</f>
        <v>7</v>
      </c>
      <c r="I1606" s="483" cm="1">
        <f t="array" aca="1" ref="I1606" ca="1">OFFSET('Środki trwałe'!$C$418,H1606,,)</f>
        <v>0</v>
      </c>
      <c r="J1606" s="404" t="s">
        <v>427</v>
      </c>
      <c r="K1606" s="405">
        <f t="shared" ref="K1606:X1606" ca="1" si="1374">IF(AND(OFFSET($F$269,$D1600,0)="tak",OFFSET($G$269,$D1600,0)="tak",OFFSET($J$269,$D1600,0)="ok",LataProjekcji&lt;=Koniec_Projekt),ROUND(K1603*OFFSET($K$469,$H1606,(COLUMN()-11)),0),0)</f>
        <v>0</v>
      </c>
      <c r="L1606" s="405">
        <f t="shared" ca="1" si="1374"/>
        <v>0</v>
      </c>
      <c r="M1606" s="405">
        <f t="shared" ca="1" si="1374"/>
        <v>0</v>
      </c>
      <c r="N1606" s="405">
        <f t="shared" ca="1" si="1374"/>
        <v>0</v>
      </c>
      <c r="O1606" s="405">
        <f t="shared" ca="1" si="1374"/>
        <v>0</v>
      </c>
      <c r="P1606" s="405">
        <f t="shared" ca="1" si="1374"/>
        <v>0</v>
      </c>
      <c r="Q1606" s="405">
        <f t="shared" ca="1" si="1374"/>
        <v>0</v>
      </c>
      <c r="R1606" s="405">
        <f t="shared" ca="1" si="1374"/>
        <v>0</v>
      </c>
      <c r="S1606" s="405">
        <f t="shared" ca="1" si="1374"/>
        <v>0</v>
      </c>
      <c r="T1606" s="405">
        <f t="shared" ca="1" si="1374"/>
        <v>0</v>
      </c>
      <c r="U1606" s="405">
        <f t="shared" ca="1" si="1374"/>
        <v>0</v>
      </c>
      <c r="V1606" s="405">
        <f t="shared" ca="1" si="1374"/>
        <v>0</v>
      </c>
      <c r="W1606" s="405">
        <f t="shared" ca="1" si="1374"/>
        <v>0</v>
      </c>
      <c r="X1606" s="405">
        <f t="shared" ca="1" si="1374"/>
        <v>0</v>
      </c>
    </row>
    <row r="1607" spans="1:24" hidden="1">
      <c r="A1607" s="328"/>
      <c r="B1607" s="20">
        <f ca="1">OFFSET($B$269,D1607,0)</f>
        <v>0</v>
      </c>
      <c r="C1607" s="20"/>
      <c r="D1607" s="21">
        <f>D1600+1</f>
        <v>157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</row>
    <row r="1608" spans="1:24" hidden="1">
      <c r="A1608" s="328"/>
      <c r="B1608" s="21" t="s">
        <v>414</v>
      </c>
      <c r="C1608" s="21"/>
      <c r="D1608" s="165">
        <f ca="1">YEAR(OFFSET($E$269,D1607,0))</f>
        <v>1900</v>
      </c>
      <c r="E1608" s="165">
        <f ca="1">MONTH(OFFSET($E$269,D1607,0))</f>
        <v>1</v>
      </c>
      <c r="F1608" s="21">
        <f ca="1">12-$E1608</f>
        <v>11</v>
      </c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</row>
    <row r="1609" spans="1:24" hidden="1">
      <c r="A1609" s="328"/>
      <c r="B1609" s="21" t="s">
        <v>406</v>
      </c>
      <c r="C1609" s="21"/>
      <c r="D1609" s="388">
        <f ca="1">IF(E1609&lt;0,0,ROUND(E1609,0))</f>
        <v>0</v>
      </c>
      <c r="E1609" s="249">
        <f ca="1">OFFSET($D$269,D1607,0)</f>
        <v>0</v>
      </c>
      <c r="F1609" s="388">
        <f ca="1">IF(E1609&gt;10,ROUND(($D1610/12)*$F1608,0),$D1609)</f>
        <v>0</v>
      </c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</row>
    <row r="1610" spans="1:24" hidden="1">
      <c r="A1610" s="328"/>
      <c r="B1610" s="21" t="s">
        <v>415</v>
      </c>
      <c r="C1610" s="21"/>
      <c r="D1610" s="388">
        <f ca="1">IF(ISBLANK(OFFSET($E$269,D1607,0)),0,IF(E1609&gt;10,ROUND(D1609*am_maszyny,0),IF(D1609&lt;0,0,D1609)))</f>
        <v>0</v>
      </c>
      <c r="E1610" s="21"/>
      <c r="F1610" s="21"/>
      <c r="G1610" s="21"/>
      <c r="H1610" s="21"/>
      <c r="I1610" s="21"/>
      <c r="J1610" s="21"/>
      <c r="K1610" s="75">
        <f ca="1">ROUND(IF($D1608=LataProjekcji,$F1609,IF($D1608=LataProjekcji,$D1610,0)),0)</f>
        <v>0</v>
      </c>
      <c r="L1610" s="248">
        <f ca="1">ROUND(IF(OR(AND($D1608=LataProjekcji,$F1608&gt;0),AND($D1608=LataProjekcji,$F1608=0,$E1609&lt;=10)),$F1609,IF($D1608&lt;LataProjekcji,IF((SUM($K1610:K1610)+$D1610)&lt;$D1609,$D1610,$D1609-SUM($K1610:K1610)),0)),0)</f>
        <v>0</v>
      </c>
      <c r="M1610" s="248">
        <f ca="1">ROUND(IF(OR(AND($D1608=LataProjekcji,$F1608&gt;0),AND($D1608=LataProjekcji,$F1608=0,$E1609&lt;=10)),$F1609,IF($D1608&lt;LataProjekcji,IF((SUM($K1610:L1610)+$D1610)&lt;$D1609,$D1610,$D1609-SUM($K1610:L1610)),0)),0)</f>
        <v>0</v>
      </c>
      <c r="N1610" s="248">
        <f ca="1">ROUND(IF(OR(AND($D1608=LataProjekcji,$F1608&gt;0),AND($D1608=LataProjekcji,$F1608=0,$E1609&lt;=10)),$F1609,IF($D1608&lt;LataProjekcji,IF((SUM($K1610:M1610)+$D1610)&lt;$D1609,$D1610,$D1609-SUM($K1610:M1610)),0)),0)</f>
        <v>0</v>
      </c>
      <c r="O1610" s="248">
        <f ca="1">ROUND(IF(OR(AND($D1608=LataProjekcji,$F1608&gt;0),AND($D1608=LataProjekcji,$F1608=0,$E1609&lt;=10)),$F1609,IF($D1608&lt;LataProjekcji,IF((SUM($K1610:N1610)+$D1610)&lt;$D1609,$D1610,$D1609-SUM($K1610:N1610)),0)),0)</f>
        <v>0</v>
      </c>
      <c r="P1610" s="248">
        <f ca="1">ROUND(IF(OR(AND($D1608=LataProjekcji,$F1608&gt;0),AND($D1608=LataProjekcji,$F1608=0,$E1609&lt;=10)),$F1609,IF($D1608&lt;LataProjekcji,IF((SUM($K1610:O1610)+$D1610)&lt;$D1609,$D1610,$D1609-SUM($K1610:O1610)),0)),0)</f>
        <v>0</v>
      </c>
      <c r="Q1610" s="248">
        <f ca="1">ROUND(IF(OR(AND($D1608=LataProjekcji,$F1608&gt;0),AND($D1608=LataProjekcji,$F1608=0,$E1609&lt;=10)),$F1609,IF($D1608&lt;LataProjekcji,IF((SUM($K1610:P1610)+$D1610)&lt;$D1609,$D1610,$D1609-SUM($K1610:P1610)),0)),0)</f>
        <v>0</v>
      </c>
      <c r="R1610" s="248">
        <f ca="1">ROUND(IF(OR(AND($D1608=LataProjekcji,$F1608&gt;0),AND($D1608=LataProjekcji,$F1608=0,$E1609&lt;=10)),$F1609,IF($D1608&lt;LataProjekcji,IF((SUM($K1610:Q1610)+$D1610)&lt;$D1609,$D1610,$D1609-SUM($K1610:Q1610)),0)),0)</f>
        <v>0</v>
      </c>
      <c r="S1610" s="248">
        <f ca="1">ROUND(IF(OR(AND($D1608=LataProjekcji,$F1608&gt;0),AND($D1608=LataProjekcji,$F1608=0,$E1609&lt;=10)),$F1609,IF($D1608&lt;LataProjekcji,IF((SUM($K1610:R1610)+$D1610)&lt;$D1609,$D1610,$D1609-SUM($K1610:R1610)),0)),0)</f>
        <v>0</v>
      </c>
      <c r="T1610" s="248">
        <f ca="1">ROUND(IF(OR(AND($D1608=LataProjekcji,$F1608&gt;0),AND($D1608=LataProjekcji,$F1608=0,$E1609&lt;=10)),$F1609,IF($D1608&lt;LataProjekcji,IF((SUM($K1610:S1610)+$D1610)&lt;$D1609,$D1610,$D1609-SUM($K1610:S1610)),0)),0)</f>
        <v>0</v>
      </c>
      <c r="U1610" s="248">
        <f ca="1">ROUND(IF(OR(AND($D1608=LataProjekcji,$F1608&gt;0),AND($D1608=LataProjekcji,$F1608=0,$E1609&lt;=10)),$F1609,IF($D1608&lt;LataProjekcji,IF((SUM($K1610:T1610)+$D1610)&lt;$D1609,$D1610,$D1609-SUM($K1610:T1610)),0)),0)</f>
        <v>0</v>
      </c>
      <c r="V1610" s="248">
        <f ca="1">ROUND(IF(OR(AND($D1608=LataProjekcji,$F1608&gt;0),AND($D1608=LataProjekcji,$F1608=0,$E1609&lt;=10)),$F1609,IF($D1608&lt;LataProjekcji,IF((SUM($K1610:U1610)+$D1610)&lt;$D1609,$D1610,$D1609-SUM($K1610:U1610)),0)),0)</f>
        <v>0</v>
      </c>
      <c r="W1610" s="248">
        <f ca="1">ROUND(IF(OR(AND($D1608=LataProjekcji,$F1608&gt;0),AND($D1608=LataProjekcji,$F1608=0,$E1609&lt;=10)),$F1609,IF($D1608&lt;LataProjekcji,IF((SUM($K1610:V1610)+$D1610)&lt;$D1609,$D1610,$D1609-SUM($K1610:V1610)),0)),0)</f>
        <v>0</v>
      </c>
      <c r="X1610" s="248">
        <f ca="1">ROUND(IF(OR(AND($D1608=LataProjekcji,$F1608&gt;0),AND($D1608=LataProjekcji,$F1608=0,$E1609&lt;=10)),$F1609,IF($D1608&lt;LataProjekcji,IF((SUM($K1610:W1610)+$D1610)&lt;$D1609,$D1610,$D1609-SUM($K1610:W1610)),0)),0)</f>
        <v>0</v>
      </c>
    </row>
    <row r="1611" spans="1:24" hidden="1">
      <c r="A1611" s="328"/>
      <c r="B1611" s="21" t="s">
        <v>416</v>
      </c>
      <c r="C1611" s="21"/>
      <c r="D1611" s="22"/>
      <c r="E1611" s="21"/>
      <c r="F1611" s="21"/>
      <c r="G1611" s="21"/>
      <c r="H1611" s="21"/>
      <c r="I1611" s="21"/>
      <c r="J1611" s="21"/>
      <c r="K1611" s="22">
        <f ca="1">ROUND(K1610,0)</f>
        <v>0</v>
      </c>
      <c r="L1611" s="22">
        <f t="shared" ref="L1611:X1611" ca="1" si="1375">ROUND(K1611+L1610,0)</f>
        <v>0</v>
      </c>
      <c r="M1611" s="22">
        <f t="shared" ca="1" si="1375"/>
        <v>0</v>
      </c>
      <c r="N1611" s="22">
        <f t="shared" ca="1" si="1375"/>
        <v>0</v>
      </c>
      <c r="O1611" s="22">
        <f t="shared" ca="1" si="1375"/>
        <v>0</v>
      </c>
      <c r="P1611" s="22">
        <f t="shared" ca="1" si="1375"/>
        <v>0</v>
      </c>
      <c r="Q1611" s="22">
        <f t="shared" ca="1" si="1375"/>
        <v>0</v>
      </c>
      <c r="R1611" s="22">
        <f t="shared" ca="1" si="1375"/>
        <v>0</v>
      </c>
      <c r="S1611" s="22">
        <f t="shared" ca="1" si="1375"/>
        <v>0</v>
      </c>
      <c r="T1611" s="22">
        <f t="shared" ca="1" si="1375"/>
        <v>0</v>
      </c>
      <c r="U1611" s="22">
        <f t="shared" ca="1" si="1375"/>
        <v>0</v>
      </c>
      <c r="V1611" s="22">
        <f t="shared" ca="1" si="1375"/>
        <v>0</v>
      </c>
      <c r="W1611" s="22">
        <f t="shared" ca="1" si="1375"/>
        <v>0</v>
      </c>
      <c r="X1611" s="22">
        <f t="shared" ca="1" si="1375"/>
        <v>0</v>
      </c>
    </row>
    <row r="1612" spans="1:24" hidden="1">
      <c r="A1612" s="328"/>
      <c r="B1612" s="21" t="s">
        <v>406</v>
      </c>
      <c r="C1612" s="21"/>
      <c r="D1612" s="22"/>
      <c r="E1612" s="21"/>
      <c r="F1612" s="21"/>
      <c r="G1612" s="21"/>
      <c r="H1612" s="21"/>
      <c r="I1612" s="21"/>
      <c r="J1612" s="21"/>
      <c r="K1612" s="77">
        <f ca="1">IF($D1608=LataProjekcji,ROUND($D1609-K1611,0),ROUND(IF(K1610=0,0,$D1609-K1611),0))</f>
        <v>0</v>
      </c>
      <c r="L1612" s="254">
        <f t="shared" ref="L1612:X1612" ca="1" si="1376">IF($D1608=LataProjekcji,ROUND($D1609-L1611,0),ROUND(IF(AND(L1610=0,K1612&gt;0),$D1609-L1611,IF(L1610=0,0,$D1609-L1611)),0))</f>
        <v>0</v>
      </c>
      <c r="M1612" s="254">
        <f t="shared" ca="1" si="1376"/>
        <v>0</v>
      </c>
      <c r="N1612" s="254">
        <f t="shared" ca="1" si="1376"/>
        <v>0</v>
      </c>
      <c r="O1612" s="254">
        <f t="shared" ca="1" si="1376"/>
        <v>0</v>
      </c>
      <c r="P1612" s="254">
        <f t="shared" ca="1" si="1376"/>
        <v>0</v>
      </c>
      <c r="Q1612" s="254">
        <f t="shared" ca="1" si="1376"/>
        <v>0</v>
      </c>
      <c r="R1612" s="254">
        <f t="shared" ca="1" si="1376"/>
        <v>0</v>
      </c>
      <c r="S1612" s="254">
        <f t="shared" ca="1" si="1376"/>
        <v>0</v>
      </c>
      <c r="T1612" s="254">
        <f t="shared" ca="1" si="1376"/>
        <v>0</v>
      </c>
      <c r="U1612" s="254">
        <f t="shared" ca="1" si="1376"/>
        <v>0</v>
      </c>
      <c r="V1612" s="254">
        <f t="shared" ca="1" si="1376"/>
        <v>0</v>
      </c>
      <c r="W1612" s="254">
        <f t="shared" ca="1" si="1376"/>
        <v>0</v>
      </c>
      <c r="X1612" s="254">
        <f t="shared" ca="1" si="1376"/>
        <v>0</v>
      </c>
    </row>
    <row r="1613" spans="1:24" hidden="1">
      <c r="A1613" s="328"/>
      <c r="B1613" s="21"/>
      <c r="C1613" s="21"/>
      <c r="D1613" s="22"/>
      <c r="E1613" s="21"/>
      <c r="F1613" s="21"/>
      <c r="G1613" s="21"/>
      <c r="H1613" s="404">
        <f>H1606+1</f>
        <v>8</v>
      </c>
      <c r="I1613" s="483" cm="1">
        <f t="array" aca="1" ref="I1613" ca="1">OFFSET('Środki trwałe'!$C$418,H1613,,)</f>
        <v>0</v>
      </c>
      <c r="J1613" s="404" t="s">
        <v>427</v>
      </c>
      <c r="K1613" s="405">
        <f t="shared" ref="K1613:X1613" ca="1" si="1377">IF(AND(OFFSET($F$269,$D1607,0)="tak",OFFSET($G$269,$D1607,0)="tak",OFFSET($J$269,$D1607,0)="ok",LataProjekcji&lt;=Koniec_Projekt),ROUND(K1610*OFFSET($K$469,$H1613,(COLUMN()-11)),0),0)</f>
        <v>0</v>
      </c>
      <c r="L1613" s="405">
        <f t="shared" ca="1" si="1377"/>
        <v>0</v>
      </c>
      <c r="M1613" s="405">
        <f t="shared" ca="1" si="1377"/>
        <v>0</v>
      </c>
      <c r="N1613" s="405">
        <f t="shared" ca="1" si="1377"/>
        <v>0</v>
      </c>
      <c r="O1613" s="405">
        <f t="shared" ca="1" si="1377"/>
        <v>0</v>
      </c>
      <c r="P1613" s="405">
        <f t="shared" ca="1" si="1377"/>
        <v>0</v>
      </c>
      <c r="Q1613" s="405">
        <f t="shared" ca="1" si="1377"/>
        <v>0</v>
      </c>
      <c r="R1613" s="405">
        <f t="shared" ca="1" si="1377"/>
        <v>0</v>
      </c>
      <c r="S1613" s="405">
        <f t="shared" ca="1" si="1377"/>
        <v>0</v>
      </c>
      <c r="T1613" s="405">
        <f t="shared" ca="1" si="1377"/>
        <v>0</v>
      </c>
      <c r="U1613" s="405">
        <f t="shared" ca="1" si="1377"/>
        <v>0</v>
      </c>
      <c r="V1613" s="405">
        <f t="shared" ca="1" si="1377"/>
        <v>0</v>
      </c>
      <c r="W1613" s="405">
        <f t="shared" ca="1" si="1377"/>
        <v>0</v>
      </c>
      <c r="X1613" s="405">
        <f t="shared" ca="1" si="1377"/>
        <v>0</v>
      </c>
    </row>
    <row r="1614" spans="1:24" hidden="1">
      <c r="A1614" s="328"/>
      <c r="B1614" s="20">
        <f ca="1">OFFSET($B$269,D1614,0)</f>
        <v>0</v>
      </c>
      <c r="C1614" s="20"/>
      <c r="D1614" s="21">
        <f>D1607+1</f>
        <v>158</v>
      </c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</row>
    <row r="1615" spans="1:24" hidden="1">
      <c r="A1615" s="328"/>
      <c r="B1615" s="21" t="s">
        <v>414</v>
      </c>
      <c r="C1615" s="21"/>
      <c r="D1615" s="165">
        <f ca="1">YEAR(OFFSET($E$269,D1614,0))</f>
        <v>1900</v>
      </c>
      <c r="E1615" s="165">
        <f ca="1">MONTH(OFFSET($E$269,D1614,0))</f>
        <v>1</v>
      </c>
      <c r="F1615" s="21">
        <f ca="1">12-$E1615</f>
        <v>11</v>
      </c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</row>
    <row r="1616" spans="1:24" hidden="1">
      <c r="A1616" s="328"/>
      <c r="B1616" s="21" t="s">
        <v>406</v>
      </c>
      <c r="C1616" s="21"/>
      <c r="D1616" s="385">
        <f ca="1">IF(E1616&lt;0,0,ROUND(E1616,0))</f>
        <v>0</v>
      </c>
      <c r="E1616" s="249">
        <f ca="1">OFFSET($D$269,D1614,0)</f>
        <v>0</v>
      </c>
      <c r="F1616" s="385">
        <f ca="1">IF(E1616&gt;10,ROUND(($D1617/12)*$F1615,0),$D1616)</f>
        <v>0</v>
      </c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</row>
    <row r="1617" spans="1:24" hidden="1">
      <c r="A1617" s="328"/>
      <c r="B1617" s="21" t="s">
        <v>415</v>
      </c>
      <c r="C1617" s="21"/>
      <c r="D1617" s="385">
        <f ca="1">IF(ISBLANK(OFFSET($E$269,D1614,0)),0,IF(E1616&gt;10,ROUND(D1616*am_maszyny,0),IF(D1616&lt;0,0,D1616)))</f>
        <v>0</v>
      </c>
      <c r="E1617" s="21"/>
      <c r="F1617" s="21"/>
      <c r="G1617" s="21"/>
      <c r="H1617" s="21"/>
      <c r="I1617" s="21"/>
      <c r="J1617" s="21"/>
      <c r="K1617" s="75">
        <f ca="1">ROUND(IF($D1615=LataProjekcji,$F1616,IF($D1615=LataProjekcji,$D1617,0)),0)</f>
        <v>0</v>
      </c>
      <c r="L1617" s="248">
        <f ca="1">ROUND(IF(OR(AND($D1615=LataProjekcji,$F1615&gt;0),AND($D1615=LataProjekcji,$F1615=0,$E1616&lt;=10)),$F1616,IF($D1615&lt;LataProjekcji,IF((SUM($K1617:K1617)+$D1617)&lt;$D1616,$D1617,$D1616-SUM($K1617:K1617)),0)),0)</f>
        <v>0</v>
      </c>
      <c r="M1617" s="248">
        <f ca="1">ROUND(IF(OR(AND($D1615=LataProjekcji,$F1615&gt;0),AND($D1615=LataProjekcji,$F1615=0,$E1616&lt;=10)),$F1616,IF($D1615&lt;LataProjekcji,IF((SUM($K1617:L1617)+$D1617)&lt;$D1616,$D1617,$D1616-SUM($K1617:L1617)),0)),0)</f>
        <v>0</v>
      </c>
      <c r="N1617" s="248">
        <f ca="1">ROUND(IF(OR(AND($D1615=LataProjekcji,$F1615&gt;0),AND($D1615=LataProjekcji,$F1615=0,$E1616&lt;=10)),$F1616,IF($D1615&lt;LataProjekcji,IF((SUM($K1617:M1617)+$D1617)&lt;$D1616,$D1617,$D1616-SUM($K1617:M1617)),0)),0)</f>
        <v>0</v>
      </c>
      <c r="O1617" s="248">
        <f ca="1">ROUND(IF(OR(AND($D1615=LataProjekcji,$F1615&gt;0),AND($D1615=LataProjekcji,$F1615=0,$E1616&lt;=10)),$F1616,IF($D1615&lt;LataProjekcji,IF((SUM($K1617:N1617)+$D1617)&lt;$D1616,$D1617,$D1616-SUM($K1617:N1617)),0)),0)</f>
        <v>0</v>
      </c>
      <c r="P1617" s="248">
        <f ca="1">ROUND(IF(OR(AND($D1615=LataProjekcji,$F1615&gt;0),AND($D1615=LataProjekcji,$F1615=0,$E1616&lt;=10)),$F1616,IF($D1615&lt;LataProjekcji,IF((SUM($K1617:O1617)+$D1617)&lt;$D1616,$D1617,$D1616-SUM($K1617:O1617)),0)),0)</f>
        <v>0</v>
      </c>
      <c r="Q1617" s="248">
        <f ca="1">ROUND(IF(OR(AND($D1615=LataProjekcji,$F1615&gt;0),AND($D1615=LataProjekcji,$F1615=0,$E1616&lt;=10)),$F1616,IF($D1615&lt;LataProjekcji,IF((SUM($K1617:P1617)+$D1617)&lt;$D1616,$D1617,$D1616-SUM($K1617:P1617)),0)),0)</f>
        <v>0</v>
      </c>
      <c r="R1617" s="248">
        <f ca="1">ROUND(IF(OR(AND($D1615=LataProjekcji,$F1615&gt;0),AND($D1615=LataProjekcji,$F1615=0,$E1616&lt;=10)),$F1616,IF($D1615&lt;LataProjekcji,IF((SUM($K1617:Q1617)+$D1617)&lt;$D1616,$D1617,$D1616-SUM($K1617:Q1617)),0)),0)</f>
        <v>0</v>
      </c>
      <c r="S1617" s="248">
        <f ca="1">ROUND(IF(OR(AND($D1615=LataProjekcji,$F1615&gt;0),AND($D1615=LataProjekcji,$F1615=0,$E1616&lt;=10)),$F1616,IF($D1615&lt;LataProjekcji,IF((SUM($K1617:R1617)+$D1617)&lt;$D1616,$D1617,$D1616-SUM($K1617:R1617)),0)),0)</f>
        <v>0</v>
      </c>
      <c r="T1617" s="248">
        <f ca="1">ROUND(IF(OR(AND($D1615=LataProjekcji,$F1615&gt;0),AND($D1615=LataProjekcji,$F1615=0,$E1616&lt;=10)),$F1616,IF($D1615&lt;LataProjekcji,IF((SUM($K1617:S1617)+$D1617)&lt;$D1616,$D1617,$D1616-SUM($K1617:S1617)),0)),0)</f>
        <v>0</v>
      </c>
      <c r="U1617" s="248">
        <f ca="1">ROUND(IF(OR(AND($D1615=LataProjekcji,$F1615&gt;0),AND($D1615=LataProjekcji,$F1615=0,$E1616&lt;=10)),$F1616,IF($D1615&lt;LataProjekcji,IF((SUM($K1617:T1617)+$D1617)&lt;$D1616,$D1617,$D1616-SUM($K1617:T1617)),0)),0)</f>
        <v>0</v>
      </c>
      <c r="V1617" s="248">
        <f ca="1">ROUND(IF(OR(AND($D1615=LataProjekcji,$F1615&gt;0),AND($D1615=LataProjekcji,$F1615=0,$E1616&lt;=10)),$F1616,IF($D1615&lt;LataProjekcji,IF((SUM($K1617:U1617)+$D1617)&lt;$D1616,$D1617,$D1616-SUM($K1617:U1617)),0)),0)</f>
        <v>0</v>
      </c>
      <c r="W1617" s="248">
        <f ca="1">ROUND(IF(OR(AND($D1615=LataProjekcji,$F1615&gt;0),AND($D1615=LataProjekcji,$F1615=0,$E1616&lt;=10)),$F1616,IF($D1615&lt;LataProjekcji,IF((SUM($K1617:V1617)+$D1617)&lt;$D1616,$D1617,$D1616-SUM($K1617:V1617)),0)),0)</f>
        <v>0</v>
      </c>
      <c r="X1617" s="248">
        <f ca="1">ROUND(IF(OR(AND($D1615=LataProjekcji,$F1615&gt;0),AND($D1615=LataProjekcji,$F1615=0,$E1616&lt;=10)),$F1616,IF($D1615&lt;LataProjekcji,IF((SUM($K1617:W1617)+$D1617)&lt;$D1616,$D1617,$D1616-SUM($K1617:W1617)),0)),0)</f>
        <v>0</v>
      </c>
    </row>
    <row r="1618" spans="1:24" hidden="1">
      <c r="A1618" s="328"/>
      <c r="B1618" s="21" t="s">
        <v>416</v>
      </c>
      <c r="C1618" s="21"/>
      <c r="D1618" s="22"/>
      <c r="E1618" s="21"/>
      <c r="F1618" s="21"/>
      <c r="G1618" s="21"/>
      <c r="H1618" s="21"/>
      <c r="I1618" s="21"/>
      <c r="J1618" s="21"/>
      <c r="K1618" s="22">
        <f ca="1">ROUND(K1617,0)</f>
        <v>0</v>
      </c>
      <c r="L1618" s="22">
        <f t="shared" ref="L1618:X1618" ca="1" si="1378">ROUND(K1618+L1617,0)</f>
        <v>0</v>
      </c>
      <c r="M1618" s="22">
        <f t="shared" ca="1" si="1378"/>
        <v>0</v>
      </c>
      <c r="N1618" s="22">
        <f t="shared" ca="1" si="1378"/>
        <v>0</v>
      </c>
      <c r="O1618" s="22">
        <f t="shared" ca="1" si="1378"/>
        <v>0</v>
      </c>
      <c r="P1618" s="22">
        <f t="shared" ca="1" si="1378"/>
        <v>0</v>
      </c>
      <c r="Q1618" s="22">
        <f t="shared" ca="1" si="1378"/>
        <v>0</v>
      </c>
      <c r="R1618" s="22">
        <f t="shared" ca="1" si="1378"/>
        <v>0</v>
      </c>
      <c r="S1618" s="22">
        <f t="shared" ca="1" si="1378"/>
        <v>0</v>
      </c>
      <c r="T1618" s="22">
        <f t="shared" ca="1" si="1378"/>
        <v>0</v>
      </c>
      <c r="U1618" s="22">
        <f t="shared" ca="1" si="1378"/>
        <v>0</v>
      </c>
      <c r="V1618" s="22">
        <f t="shared" ca="1" si="1378"/>
        <v>0</v>
      </c>
      <c r="W1618" s="22">
        <f t="shared" ca="1" si="1378"/>
        <v>0</v>
      </c>
      <c r="X1618" s="22">
        <f t="shared" ca="1" si="1378"/>
        <v>0</v>
      </c>
    </row>
    <row r="1619" spans="1:24" hidden="1">
      <c r="A1619" s="328"/>
      <c r="B1619" s="21" t="s">
        <v>406</v>
      </c>
      <c r="C1619" s="21"/>
      <c r="D1619" s="22"/>
      <c r="E1619" s="21"/>
      <c r="F1619" s="21"/>
      <c r="G1619" s="21"/>
      <c r="H1619" s="21"/>
      <c r="I1619" s="21"/>
      <c r="J1619" s="21"/>
      <c r="K1619" s="77">
        <f ca="1">IF($D1615=LataProjekcji,ROUND($D1616-K1618,0),ROUND(IF(K1617=0,0,$D1616-K1618),0))</f>
        <v>0</v>
      </c>
      <c r="L1619" s="254">
        <f t="shared" ref="L1619:X1619" ca="1" si="1379">IF($D1615=LataProjekcji,ROUND($D1616-L1618,0),ROUND(IF(AND(L1617=0,K1619&gt;0),$D1616-L1618,IF(L1617=0,0,$D1616-L1618)),0))</f>
        <v>0</v>
      </c>
      <c r="M1619" s="254">
        <f t="shared" ca="1" si="1379"/>
        <v>0</v>
      </c>
      <c r="N1619" s="254">
        <f t="shared" ca="1" si="1379"/>
        <v>0</v>
      </c>
      <c r="O1619" s="254">
        <f t="shared" ca="1" si="1379"/>
        <v>0</v>
      </c>
      <c r="P1619" s="254">
        <f t="shared" ca="1" si="1379"/>
        <v>0</v>
      </c>
      <c r="Q1619" s="254">
        <f t="shared" ca="1" si="1379"/>
        <v>0</v>
      </c>
      <c r="R1619" s="254">
        <f t="shared" ca="1" si="1379"/>
        <v>0</v>
      </c>
      <c r="S1619" s="254">
        <f t="shared" ca="1" si="1379"/>
        <v>0</v>
      </c>
      <c r="T1619" s="254">
        <f t="shared" ca="1" si="1379"/>
        <v>0</v>
      </c>
      <c r="U1619" s="254">
        <f t="shared" ca="1" si="1379"/>
        <v>0</v>
      </c>
      <c r="V1619" s="254">
        <f t="shared" ca="1" si="1379"/>
        <v>0</v>
      </c>
      <c r="W1619" s="254">
        <f t="shared" ca="1" si="1379"/>
        <v>0</v>
      </c>
      <c r="X1619" s="254">
        <f t="shared" ca="1" si="1379"/>
        <v>0</v>
      </c>
    </row>
    <row r="1620" spans="1:24" hidden="1">
      <c r="A1620" s="328"/>
      <c r="B1620" s="20"/>
      <c r="C1620" s="20"/>
      <c r="D1620" s="21"/>
      <c r="E1620" s="21"/>
      <c r="F1620" s="21"/>
      <c r="G1620" s="21"/>
      <c r="H1620" s="404">
        <f>H1613+1</f>
        <v>9</v>
      </c>
      <c r="I1620" s="483" cm="1">
        <f t="array" aca="1" ref="I1620" ca="1">OFFSET('Środki trwałe'!$C$418,H1620,,)</f>
        <v>0</v>
      </c>
      <c r="J1620" s="404" t="s">
        <v>427</v>
      </c>
      <c r="K1620" s="405">
        <f t="shared" ref="K1620:X1620" ca="1" si="1380">IF(AND(OFFSET($F$269,$D1614,0)="tak",OFFSET($G$269,$D1614,0)="tak",OFFSET($J$269,$D1614,0)="ok",LataProjekcji&lt;=Koniec_Projekt),ROUND(K1617*OFFSET($K$469,$H1620,(COLUMN()-11)),0),0)</f>
        <v>0</v>
      </c>
      <c r="L1620" s="405">
        <f t="shared" ca="1" si="1380"/>
        <v>0</v>
      </c>
      <c r="M1620" s="405">
        <f t="shared" ca="1" si="1380"/>
        <v>0</v>
      </c>
      <c r="N1620" s="405">
        <f t="shared" ca="1" si="1380"/>
        <v>0</v>
      </c>
      <c r="O1620" s="405">
        <f t="shared" ca="1" si="1380"/>
        <v>0</v>
      </c>
      <c r="P1620" s="405">
        <f t="shared" ca="1" si="1380"/>
        <v>0</v>
      </c>
      <c r="Q1620" s="405">
        <f t="shared" ca="1" si="1380"/>
        <v>0</v>
      </c>
      <c r="R1620" s="405">
        <f t="shared" ca="1" si="1380"/>
        <v>0</v>
      </c>
      <c r="S1620" s="405">
        <f t="shared" ca="1" si="1380"/>
        <v>0</v>
      </c>
      <c r="T1620" s="405">
        <f t="shared" ca="1" si="1380"/>
        <v>0</v>
      </c>
      <c r="U1620" s="405">
        <f t="shared" ca="1" si="1380"/>
        <v>0</v>
      </c>
      <c r="V1620" s="405">
        <f t="shared" ca="1" si="1380"/>
        <v>0</v>
      </c>
      <c r="W1620" s="405">
        <f t="shared" ca="1" si="1380"/>
        <v>0</v>
      </c>
      <c r="X1620" s="405">
        <f t="shared" ca="1" si="1380"/>
        <v>0</v>
      </c>
    </row>
    <row r="1621" spans="1:24" hidden="1">
      <c r="A1621" s="328"/>
      <c r="B1621" s="20">
        <f ca="1">OFFSET($B$269,D1621,0)</f>
        <v>0</v>
      </c>
      <c r="C1621" s="20"/>
      <c r="D1621" s="21">
        <f>D1614+1</f>
        <v>159</v>
      </c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</row>
    <row r="1622" spans="1:24" hidden="1">
      <c r="A1622" s="328"/>
      <c r="B1622" s="21" t="s">
        <v>414</v>
      </c>
      <c r="C1622" s="21"/>
      <c r="D1622" s="165">
        <f ca="1">YEAR(OFFSET($E$269,D1621,0))</f>
        <v>1900</v>
      </c>
      <c r="E1622" s="165">
        <f ca="1">MONTH(OFFSET($E$269,D1621,0))</f>
        <v>1</v>
      </c>
      <c r="F1622" s="21">
        <f ca="1">12-$E1622</f>
        <v>11</v>
      </c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</row>
    <row r="1623" spans="1:24" hidden="1">
      <c r="A1623" s="328"/>
      <c r="B1623" s="21" t="s">
        <v>406</v>
      </c>
      <c r="C1623" s="21"/>
      <c r="D1623" s="386">
        <f ca="1">IF(E1623&lt;0,0,ROUND(E1623,0))</f>
        <v>0</v>
      </c>
      <c r="E1623" s="249">
        <f ca="1">OFFSET($D$269,D1621,0)</f>
        <v>0</v>
      </c>
      <c r="F1623" s="386">
        <f ca="1">IF(E1623&gt;10,ROUND(($D1624/12)*$F1622,0),$D1623)</f>
        <v>0</v>
      </c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</row>
    <row r="1624" spans="1:24" hidden="1">
      <c r="A1624" s="328"/>
      <c r="B1624" s="21" t="s">
        <v>415</v>
      </c>
      <c r="C1624" s="21"/>
      <c r="D1624" s="386">
        <f ca="1">IF(ISBLANK(OFFSET($E$269,D1621,0)),0,IF(E1623&gt;10,ROUND(D1623*am_maszyny,0),IF(D1623&lt;0,0,D1623)))</f>
        <v>0</v>
      </c>
      <c r="E1624" s="21"/>
      <c r="F1624" s="21"/>
      <c r="G1624" s="21"/>
      <c r="H1624" s="21"/>
      <c r="I1624" s="21"/>
      <c r="J1624" s="21"/>
      <c r="K1624" s="75">
        <f ca="1">ROUND(IF($D1622=LataProjekcji,$F1623,IF($D1622=LataProjekcji,$D1624,0)),0)</f>
        <v>0</v>
      </c>
      <c r="L1624" s="248">
        <f ca="1">ROUND(IF(OR(AND($D1622=LataProjekcji,$F1622&gt;0),AND($D1622=LataProjekcji,$F1622=0,$E1623&lt;=10)),$F1623,IF($D1622&lt;LataProjekcji,IF((SUM($K1624:K1624)+$D1624)&lt;$D1623,$D1624,$D1623-SUM($K1624:K1624)),0)),0)</f>
        <v>0</v>
      </c>
      <c r="M1624" s="248">
        <f ca="1">ROUND(IF(OR(AND($D1622=LataProjekcji,$F1622&gt;0),AND($D1622=LataProjekcji,$F1622=0,$E1623&lt;=10)),$F1623,IF($D1622&lt;LataProjekcji,IF((SUM($K1624:L1624)+$D1624)&lt;$D1623,$D1624,$D1623-SUM($K1624:L1624)),0)),0)</f>
        <v>0</v>
      </c>
      <c r="N1624" s="248">
        <f ca="1">ROUND(IF(OR(AND($D1622=LataProjekcji,$F1622&gt;0),AND($D1622=LataProjekcji,$F1622=0,$E1623&lt;=10)),$F1623,IF($D1622&lt;LataProjekcji,IF((SUM($K1624:M1624)+$D1624)&lt;$D1623,$D1624,$D1623-SUM($K1624:M1624)),0)),0)</f>
        <v>0</v>
      </c>
      <c r="O1624" s="248">
        <f ca="1">ROUND(IF(OR(AND($D1622=LataProjekcji,$F1622&gt;0),AND($D1622=LataProjekcji,$F1622=0,$E1623&lt;=10)),$F1623,IF($D1622&lt;LataProjekcji,IF((SUM($K1624:N1624)+$D1624)&lt;$D1623,$D1624,$D1623-SUM($K1624:N1624)),0)),0)</f>
        <v>0</v>
      </c>
      <c r="P1624" s="248">
        <f ca="1">ROUND(IF(OR(AND($D1622=LataProjekcji,$F1622&gt;0),AND($D1622=LataProjekcji,$F1622=0,$E1623&lt;=10)),$F1623,IF($D1622&lt;LataProjekcji,IF((SUM($K1624:O1624)+$D1624)&lt;$D1623,$D1624,$D1623-SUM($K1624:O1624)),0)),0)</f>
        <v>0</v>
      </c>
      <c r="Q1624" s="248">
        <f ca="1">ROUND(IF(OR(AND($D1622=LataProjekcji,$F1622&gt;0),AND($D1622=LataProjekcji,$F1622=0,$E1623&lt;=10)),$F1623,IF($D1622&lt;LataProjekcji,IF((SUM($K1624:P1624)+$D1624)&lt;$D1623,$D1624,$D1623-SUM($K1624:P1624)),0)),0)</f>
        <v>0</v>
      </c>
      <c r="R1624" s="248">
        <f ca="1">ROUND(IF(OR(AND($D1622=LataProjekcji,$F1622&gt;0),AND($D1622=LataProjekcji,$F1622=0,$E1623&lt;=10)),$F1623,IF($D1622&lt;LataProjekcji,IF((SUM($K1624:Q1624)+$D1624)&lt;$D1623,$D1624,$D1623-SUM($K1624:Q1624)),0)),0)</f>
        <v>0</v>
      </c>
      <c r="S1624" s="248">
        <f ca="1">ROUND(IF(OR(AND($D1622=LataProjekcji,$F1622&gt;0),AND($D1622=LataProjekcji,$F1622=0,$E1623&lt;=10)),$F1623,IF($D1622&lt;LataProjekcji,IF((SUM($K1624:R1624)+$D1624)&lt;$D1623,$D1624,$D1623-SUM($K1624:R1624)),0)),0)</f>
        <v>0</v>
      </c>
      <c r="T1624" s="248">
        <f ca="1">ROUND(IF(OR(AND($D1622=LataProjekcji,$F1622&gt;0),AND($D1622=LataProjekcji,$F1622=0,$E1623&lt;=10)),$F1623,IF($D1622&lt;LataProjekcji,IF((SUM($K1624:S1624)+$D1624)&lt;$D1623,$D1624,$D1623-SUM($K1624:S1624)),0)),0)</f>
        <v>0</v>
      </c>
      <c r="U1624" s="248">
        <f ca="1">ROUND(IF(OR(AND($D1622=LataProjekcji,$F1622&gt;0),AND($D1622=LataProjekcji,$F1622=0,$E1623&lt;=10)),$F1623,IF($D1622&lt;LataProjekcji,IF((SUM($K1624:T1624)+$D1624)&lt;$D1623,$D1624,$D1623-SUM($K1624:T1624)),0)),0)</f>
        <v>0</v>
      </c>
      <c r="V1624" s="248">
        <f ca="1">ROUND(IF(OR(AND($D1622=LataProjekcji,$F1622&gt;0),AND($D1622=LataProjekcji,$F1622=0,$E1623&lt;=10)),$F1623,IF($D1622&lt;LataProjekcji,IF((SUM($K1624:U1624)+$D1624)&lt;$D1623,$D1624,$D1623-SUM($K1624:U1624)),0)),0)</f>
        <v>0</v>
      </c>
      <c r="W1624" s="248">
        <f ca="1">ROUND(IF(OR(AND($D1622=LataProjekcji,$F1622&gt;0),AND($D1622=LataProjekcji,$F1622=0,$E1623&lt;=10)),$F1623,IF($D1622&lt;LataProjekcji,IF((SUM($K1624:V1624)+$D1624)&lt;$D1623,$D1624,$D1623-SUM($K1624:V1624)),0)),0)</f>
        <v>0</v>
      </c>
      <c r="X1624" s="248">
        <f ca="1">ROUND(IF(OR(AND($D1622=LataProjekcji,$F1622&gt;0),AND($D1622=LataProjekcji,$F1622=0,$E1623&lt;=10)),$F1623,IF($D1622&lt;LataProjekcji,IF((SUM($K1624:W1624)+$D1624)&lt;$D1623,$D1624,$D1623-SUM($K1624:W1624)),0)),0)</f>
        <v>0</v>
      </c>
    </row>
    <row r="1625" spans="1:24" hidden="1">
      <c r="A1625" s="328"/>
      <c r="B1625" s="21" t="s">
        <v>416</v>
      </c>
      <c r="C1625" s="21"/>
      <c r="D1625" s="22"/>
      <c r="E1625" s="21"/>
      <c r="F1625" s="21"/>
      <c r="G1625" s="21"/>
      <c r="H1625" s="21"/>
      <c r="I1625" s="21"/>
      <c r="J1625" s="21"/>
      <c r="K1625" s="22">
        <f ca="1">ROUND(K1624,0)</f>
        <v>0</v>
      </c>
      <c r="L1625" s="22">
        <f t="shared" ref="L1625:X1625" ca="1" si="1381">ROUND(K1625+L1624,0)</f>
        <v>0</v>
      </c>
      <c r="M1625" s="22">
        <f t="shared" ca="1" si="1381"/>
        <v>0</v>
      </c>
      <c r="N1625" s="22">
        <f t="shared" ca="1" si="1381"/>
        <v>0</v>
      </c>
      <c r="O1625" s="22">
        <f t="shared" ca="1" si="1381"/>
        <v>0</v>
      </c>
      <c r="P1625" s="22">
        <f t="shared" ca="1" si="1381"/>
        <v>0</v>
      </c>
      <c r="Q1625" s="22">
        <f t="shared" ca="1" si="1381"/>
        <v>0</v>
      </c>
      <c r="R1625" s="22">
        <f t="shared" ca="1" si="1381"/>
        <v>0</v>
      </c>
      <c r="S1625" s="22">
        <f t="shared" ca="1" si="1381"/>
        <v>0</v>
      </c>
      <c r="T1625" s="22">
        <f t="shared" ca="1" si="1381"/>
        <v>0</v>
      </c>
      <c r="U1625" s="22">
        <f t="shared" ca="1" si="1381"/>
        <v>0</v>
      </c>
      <c r="V1625" s="22">
        <f t="shared" ca="1" si="1381"/>
        <v>0</v>
      </c>
      <c r="W1625" s="22">
        <f t="shared" ca="1" si="1381"/>
        <v>0</v>
      </c>
      <c r="X1625" s="22">
        <f t="shared" ca="1" si="1381"/>
        <v>0</v>
      </c>
    </row>
    <row r="1626" spans="1:24" hidden="1">
      <c r="A1626" s="328"/>
      <c r="B1626" s="21" t="s">
        <v>406</v>
      </c>
      <c r="C1626" s="21"/>
      <c r="D1626" s="22"/>
      <c r="E1626" s="21"/>
      <c r="F1626" s="21"/>
      <c r="G1626" s="21"/>
      <c r="H1626" s="21"/>
      <c r="I1626" s="21"/>
      <c r="J1626" s="21"/>
      <c r="K1626" s="77">
        <f ca="1">IF($D1622=LataProjekcji,ROUND($D1623-K1625,0),ROUND(IF(K1624=0,0,$D1623-K1625),0))</f>
        <v>0</v>
      </c>
      <c r="L1626" s="254">
        <f t="shared" ref="L1626:X1626" ca="1" si="1382">IF($D1622=LataProjekcji,ROUND($D1623-L1625,0),ROUND(IF(AND(L1624=0,K1626&gt;0),$D1623-L1625,IF(L1624=0,0,$D1623-L1625)),0))</f>
        <v>0</v>
      </c>
      <c r="M1626" s="254">
        <f t="shared" ca="1" si="1382"/>
        <v>0</v>
      </c>
      <c r="N1626" s="254">
        <f t="shared" ca="1" si="1382"/>
        <v>0</v>
      </c>
      <c r="O1626" s="254">
        <f t="shared" ca="1" si="1382"/>
        <v>0</v>
      </c>
      <c r="P1626" s="254">
        <f t="shared" ca="1" si="1382"/>
        <v>0</v>
      </c>
      <c r="Q1626" s="254">
        <f t="shared" ca="1" si="1382"/>
        <v>0</v>
      </c>
      <c r="R1626" s="254">
        <f t="shared" ca="1" si="1382"/>
        <v>0</v>
      </c>
      <c r="S1626" s="254">
        <f t="shared" ca="1" si="1382"/>
        <v>0</v>
      </c>
      <c r="T1626" s="254">
        <f t="shared" ca="1" si="1382"/>
        <v>0</v>
      </c>
      <c r="U1626" s="254">
        <f t="shared" ca="1" si="1382"/>
        <v>0</v>
      </c>
      <c r="V1626" s="254">
        <f t="shared" ca="1" si="1382"/>
        <v>0</v>
      </c>
      <c r="W1626" s="254">
        <f t="shared" ca="1" si="1382"/>
        <v>0</v>
      </c>
      <c r="X1626" s="254">
        <f t="shared" ca="1" si="1382"/>
        <v>0</v>
      </c>
    </row>
    <row r="1627" spans="1:24" hidden="1">
      <c r="A1627" s="328"/>
      <c r="B1627" s="21"/>
      <c r="C1627" s="21"/>
      <c r="D1627" s="22"/>
      <c r="E1627" s="21"/>
      <c r="F1627" s="21"/>
      <c r="G1627" s="21"/>
      <c r="H1627" s="404">
        <f>H1620+1</f>
        <v>10</v>
      </c>
      <c r="I1627" s="483" cm="1">
        <f t="array" aca="1" ref="I1627" ca="1">OFFSET('Środki trwałe'!$C$418,H1627,,)</f>
        <v>0</v>
      </c>
      <c r="J1627" s="404" t="s">
        <v>427</v>
      </c>
      <c r="K1627" s="405">
        <f t="shared" ref="K1627:X1627" ca="1" si="1383">IF(AND(OFFSET($F$269,$D1621,0)="tak",OFFSET($G$269,$D1621,0)="tak",OFFSET($J$269,$D1621,0)="ok",LataProjekcji&lt;=Koniec_Projekt),ROUND(K1624*OFFSET($K$469,$H1627,(COLUMN()-11)),0),0)</f>
        <v>0</v>
      </c>
      <c r="L1627" s="405">
        <f t="shared" ca="1" si="1383"/>
        <v>0</v>
      </c>
      <c r="M1627" s="405">
        <f t="shared" ca="1" si="1383"/>
        <v>0</v>
      </c>
      <c r="N1627" s="405">
        <f t="shared" ca="1" si="1383"/>
        <v>0</v>
      </c>
      <c r="O1627" s="405">
        <f t="shared" ca="1" si="1383"/>
        <v>0</v>
      </c>
      <c r="P1627" s="405">
        <f t="shared" ca="1" si="1383"/>
        <v>0</v>
      </c>
      <c r="Q1627" s="405">
        <f t="shared" ca="1" si="1383"/>
        <v>0</v>
      </c>
      <c r="R1627" s="405">
        <f t="shared" ca="1" si="1383"/>
        <v>0</v>
      </c>
      <c r="S1627" s="405">
        <f t="shared" ca="1" si="1383"/>
        <v>0</v>
      </c>
      <c r="T1627" s="405">
        <f t="shared" ca="1" si="1383"/>
        <v>0</v>
      </c>
      <c r="U1627" s="405">
        <f t="shared" ca="1" si="1383"/>
        <v>0</v>
      </c>
      <c r="V1627" s="405">
        <f t="shared" ca="1" si="1383"/>
        <v>0</v>
      </c>
      <c r="W1627" s="405">
        <f t="shared" ca="1" si="1383"/>
        <v>0</v>
      </c>
      <c r="X1627" s="405">
        <f t="shared" ca="1" si="1383"/>
        <v>0</v>
      </c>
    </row>
    <row r="1628" spans="1:24" hidden="1">
      <c r="A1628" s="328"/>
      <c r="B1628" s="20">
        <f ca="1">OFFSET($B$269,D1628,0)</f>
        <v>0</v>
      </c>
      <c r="C1628" s="20"/>
      <c r="D1628" s="21">
        <f>D1621+1</f>
        <v>160</v>
      </c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</row>
    <row r="1629" spans="1:24" hidden="1">
      <c r="A1629" s="328"/>
      <c r="B1629" s="21" t="s">
        <v>414</v>
      </c>
      <c r="C1629" s="21"/>
      <c r="D1629" s="165">
        <f ca="1">YEAR(OFFSET($E$269,D1628,0))</f>
        <v>1900</v>
      </c>
      <c r="E1629" s="165">
        <f ca="1">MONTH(OFFSET($E$269,D1628,0))</f>
        <v>1</v>
      </c>
      <c r="F1629" s="21">
        <f ca="1">12-$E1629</f>
        <v>11</v>
      </c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</row>
    <row r="1630" spans="1:24" hidden="1">
      <c r="A1630" s="328"/>
      <c r="B1630" s="21" t="s">
        <v>406</v>
      </c>
      <c r="C1630" s="21"/>
      <c r="D1630" s="387">
        <f ca="1">IF(E1630&lt;0,0,ROUND(E1630,0))</f>
        <v>0</v>
      </c>
      <c r="E1630" s="249">
        <f ca="1">OFFSET($D$269,D1628,0)</f>
        <v>0</v>
      </c>
      <c r="F1630" s="387">
        <f ca="1">IF(E1630&gt;10,ROUND(($D1631/12)*$F1629,0),$D1630)</f>
        <v>0</v>
      </c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</row>
    <row r="1631" spans="1:24" hidden="1">
      <c r="A1631" s="328"/>
      <c r="B1631" s="21" t="s">
        <v>415</v>
      </c>
      <c r="C1631" s="21"/>
      <c r="D1631" s="387">
        <f ca="1">IF(ISBLANK(OFFSET($E$269,D1628,0)),0,IF(E1630&gt;10,ROUND(D1630*am_maszyny,0),IF(D1630&lt;0,0,D1630)))</f>
        <v>0</v>
      </c>
      <c r="E1631" s="21"/>
      <c r="F1631" s="21"/>
      <c r="G1631" s="21"/>
      <c r="H1631" s="21"/>
      <c r="I1631" s="21"/>
      <c r="J1631" s="21"/>
      <c r="K1631" s="75">
        <f ca="1">ROUND(IF($D1629=LataProjekcji,$F1630,IF($D1629=LataProjekcji,$D1631,0)),0)</f>
        <v>0</v>
      </c>
      <c r="L1631" s="248">
        <f ca="1">ROUND(IF(OR(AND($D1629=LataProjekcji,$F1629&gt;0),AND($D1629=LataProjekcji,$F1629=0,$E1630&lt;=10)),$F1630,IF($D1629&lt;LataProjekcji,IF((SUM($K1631:K1631)+$D1631)&lt;$D1630,$D1631,$D1630-SUM($K1631:K1631)),0)),0)</f>
        <v>0</v>
      </c>
      <c r="M1631" s="248">
        <f ca="1">ROUND(IF(OR(AND($D1629=LataProjekcji,$F1629&gt;0),AND($D1629=LataProjekcji,$F1629=0,$E1630&lt;=10)),$F1630,IF($D1629&lt;LataProjekcji,IF((SUM($K1631:L1631)+$D1631)&lt;$D1630,$D1631,$D1630-SUM($K1631:L1631)),0)),0)</f>
        <v>0</v>
      </c>
      <c r="N1631" s="248">
        <f ca="1">ROUND(IF(OR(AND($D1629=LataProjekcji,$F1629&gt;0),AND($D1629=LataProjekcji,$F1629=0,$E1630&lt;=10)),$F1630,IF($D1629&lt;LataProjekcji,IF((SUM($K1631:M1631)+$D1631)&lt;$D1630,$D1631,$D1630-SUM($K1631:M1631)),0)),0)</f>
        <v>0</v>
      </c>
      <c r="O1631" s="248">
        <f ca="1">ROUND(IF(OR(AND($D1629=LataProjekcji,$F1629&gt;0),AND($D1629=LataProjekcji,$F1629=0,$E1630&lt;=10)),$F1630,IF($D1629&lt;LataProjekcji,IF((SUM($K1631:N1631)+$D1631)&lt;$D1630,$D1631,$D1630-SUM($K1631:N1631)),0)),0)</f>
        <v>0</v>
      </c>
      <c r="P1631" s="248">
        <f ca="1">ROUND(IF(OR(AND($D1629=LataProjekcji,$F1629&gt;0),AND($D1629=LataProjekcji,$F1629=0,$E1630&lt;=10)),$F1630,IF($D1629&lt;LataProjekcji,IF((SUM($K1631:O1631)+$D1631)&lt;$D1630,$D1631,$D1630-SUM($K1631:O1631)),0)),0)</f>
        <v>0</v>
      </c>
      <c r="Q1631" s="248">
        <f ca="1">ROUND(IF(OR(AND($D1629=LataProjekcji,$F1629&gt;0),AND($D1629=LataProjekcji,$F1629=0,$E1630&lt;=10)),$F1630,IF($D1629&lt;LataProjekcji,IF((SUM($K1631:P1631)+$D1631)&lt;$D1630,$D1631,$D1630-SUM($K1631:P1631)),0)),0)</f>
        <v>0</v>
      </c>
      <c r="R1631" s="248">
        <f ca="1">ROUND(IF(OR(AND($D1629=LataProjekcji,$F1629&gt;0),AND($D1629=LataProjekcji,$F1629=0,$E1630&lt;=10)),$F1630,IF($D1629&lt;LataProjekcji,IF((SUM($K1631:Q1631)+$D1631)&lt;$D1630,$D1631,$D1630-SUM($K1631:Q1631)),0)),0)</f>
        <v>0</v>
      </c>
      <c r="S1631" s="248">
        <f ca="1">ROUND(IF(OR(AND($D1629=LataProjekcji,$F1629&gt;0),AND($D1629=LataProjekcji,$F1629=0,$E1630&lt;=10)),$F1630,IF($D1629&lt;LataProjekcji,IF((SUM($K1631:R1631)+$D1631)&lt;$D1630,$D1631,$D1630-SUM($K1631:R1631)),0)),0)</f>
        <v>0</v>
      </c>
      <c r="T1631" s="248">
        <f ca="1">ROUND(IF(OR(AND($D1629=LataProjekcji,$F1629&gt;0),AND($D1629=LataProjekcji,$F1629=0,$E1630&lt;=10)),$F1630,IF($D1629&lt;LataProjekcji,IF((SUM($K1631:S1631)+$D1631)&lt;$D1630,$D1631,$D1630-SUM($K1631:S1631)),0)),0)</f>
        <v>0</v>
      </c>
      <c r="U1631" s="248">
        <f ca="1">ROUND(IF(OR(AND($D1629=LataProjekcji,$F1629&gt;0),AND($D1629=LataProjekcji,$F1629=0,$E1630&lt;=10)),$F1630,IF($D1629&lt;LataProjekcji,IF((SUM($K1631:T1631)+$D1631)&lt;$D1630,$D1631,$D1630-SUM($K1631:T1631)),0)),0)</f>
        <v>0</v>
      </c>
      <c r="V1631" s="248">
        <f ca="1">ROUND(IF(OR(AND($D1629=LataProjekcji,$F1629&gt;0),AND($D1629=LataProjekcji,$F1629=0,$E1630&lt;=10)),$F1630,IF($D1629&lt;LataProjekcji,IF((SUM($K1631:U1631)+$D1631)&lt;$D1630,$D1631,$D1630-SUM($K1631:U1631)),0)),0)</f>
        <v>0</v>
      </c>
      <c r="W1631" s="248">
        <f ca="1">ROUND(IF(OR(AND($D1629=LataProjekcji,$F1629&gt;0),AND($D1629=LataProjekcji,$F1629=0,$E1630&lt;=10)),$F1630,IF($D1629&lt;LataProjekcji,IF((SUM($K1631:V1631)+$D1631)&lt;$D1630,$D1631,$D1630-SUM($K1631:V1631)),0)),0)</f>
        <v>0</v>
      </c>
      <c r="X1631" s="248">
        <f ca="1">ROUND(IF(OR(AND($D1629=LataProjekcji,$F1629&gt;0),AND($D1629=LataProjekcji,$F1629=0,$E1630&lt;=10)),$F1630,IF($D1629&lt;LataProjekcji,IF((SUM($K1631:W1631)+$D1631)&lt;$D1630,$D1631,$D1630-SUM($K1631:W1631)),0)),0)</f>
        <v>0</v>
      </c>
    </row>
    <row r="1632" spans="1:24" hidden="1">
      <c r="A1632" s="328"/>
      <c r="B1632" s="21" t="s">
        <v>416</v>
      </c>
      <c r="C1632" s="21"/>
      <c r="D1632" s="22"/>
      <c r="E1632" s="21"/>
      <c r="F1632" s="21"/>
      <c r="G1632" s="21"/>
      <c r="H1632" s="21"/>
      <c r="I1632" s="21"/>
      <c r="J1632" s="21"/>
      <c r="K1632" s="22">
        <f ca="1">ROUND(K1631,0)</f>
        <v>0</v>
      </c>
      <c r="L1632" s="22">
        <f t="shared" ref="L1632:X1632" ca="1" si="1384">ROUND(K1632+L1631,0)</f>
        <v>0</v>
      </c>
      <c r="M1632" s="22">
        <f t="shared" ca="1" si="1384"/>
        <v>0</v>
      </c>
      <c r="N1632" s="22">
        <f t="shared" ca="1" si="1384"/>
        <v>0</v>
      </c>
      <c r="O1632" s="22">
        <f t="shared" ca="1" si="1384"/>
        <v>0</v>
      </c>
      <c r="P1632" s="22">
        <f t="shared" ca="1" si="1384"/>
        <v>0</v>
      </c>
      <c r="Q1632" s="22">
        <f t="shared" ca="1" si="1384"/>
        <v>0</v>
      </c>
      <c r="R1632" s="22">
        <f t="shared" ca="1" si="1384"/>
        <v>0</v>
      </c>
      <c r="S1632" s="22">
        <f t="shared" ca="1" si="1384"/>
        <v>0</v>
      </c>
      <c r="T1632" s="22">
        <f t="shared" ca="1" si="1384"/>
        <v>0</v>
      </c>
      <c r="U1632" s="22">
        <f t="shared" ca="1" si="1384"/>
        <v>0</v>
      </c>
      <c r="V1632" s="22">
        <f t="shared" ca="1" si="1384"/>
        <v>0</v>
      </c>
      <c r="W1632" s="22">
        <f t="shared" ca="1" si="1384"/>
        <v>0</v>
      </c>
      <c r="X1632" s="22">
        <f t="shared" ca="1" si="1384"/>
        <v>0</v>
      </c>
    </row>
    <row r="1633" spans="1:24" hidden="1">
      <c r="A1633" s="328"/>
      <c r="B1633" s="21" t="s">
        <v>406</v>
      </c>
      <c r="C1633" s="21"/>
      <c r="D1633" s="22"/>
      <c r="E1633" s="21"/>
      <c r="F1633" s="21"/>
      <c r="G1633" s="21"/>
      <c r="H1633" s="21"/>
      <c r="I1633" s="21"/>
      <c r="J1633" s="21"/>
      <c r="K1633" s="77">
        <f ca="1">IF($D1629=LataProjekcji,ROUND($D1630-K1632,0),ROUND(IF(K1631=0,0,$D1630-K1632),0))</f>
        <v>0</v>
      </c>
      <c r="L1633" s="254">
        <f t="shared" ref="L1633:X1633" ca="1" si="1385">IF($D1629=LataProjekcji,ROUND($D1630-L1632,0),ROUND(IF(AND(L1631=0,K1633&gt;0),$D1630-L1632,IF(L1631=0,0,$D1630-L1632)),0))</f>
        <v>0</v>
      </c>
      <c r="M1633" s="254">
        <f t="shared" ca="1" si="1385"/>
        <v>0</v>
      </c>
      <c r="N1633" s="254">
        <f t="shared" ca="1" si="1385"/>
        <v>0</v>
      </c>
      <c r="O1633" s="254">
        <f t="shared" ca="1" si="1385"/>
        <v>0</v>
      </c>
      <c r="P1633" s="254">
        <f t="shared" ca="1" si="1385"/>
        <v>0</v>
      </c>
      <c r="Q1633" s="254">
        <f t="shared" ca="1" si="1385"/>
        <v>0</v>
      </c>
      <c r="R1633" s="254">
        <f t="shared" ca="1" si="1385"/>
        <v>0</v>
      </c>
      <c r="S1633" s="254">
        <f t="shared" ca="1" si="1385"/>
        <v>0</v>
      </c>
      <c r="T1633" s="254">
        <f t="shared" ca="1" si="1385"/>
        <v>0</v>
      </c>
      <c r="U1633" s="254">
        <f t="shared" ca="1" si="1385"/>
        <v>0</v>
      </c>
      <c r="V1633" s="254">
        <f t="shared" ca="1" si="1385"/>
        <v>0</v>
      </c>
      <c r="W1633" s="254">
        <f t="shared" ca="1" si="1385"/>
        <v>0</v>
      </c>
      <c r="X1633" s="254">
        <f t="shared" ca="1" si="1385"/>
        <v>0</v>
      </c>
    </row>
    <row r="1634" spans="1:24" hidden="1">
      <c r="A1634" s="328"/>
      <c r="B1634" s="21"/>
      <c r="C1634" s="21"/>
      <c r="D1634" s="21"/>
      <c r="E1634" s="21"/>
      <c r="F1634" s="21"/>
      <c r="G1634" s="21"/>
      <c r="H1634" s="404">
        <f>H1627+1</f>
        <v>11</v>
      </c>
      <c r="I1634" s="483" cm="1">
        <f t="array" aca="1" ref="I1634" ca="1">OFFSET('Środki trwałe'!$C$418,H1634,,)</f>
        <v>0</v>
      </c>
      <c r="J1634" s="404" t="s">
        <v>427</v>
      </c>
      <c r="K1634" s="405">
        <f t="shared" ref="K1634:X1634" ca="1" si="1386">IF(AND(OFFSET($F$269,$D1628,0)="tak",OFFSET($G$269,$D1628,0)="tak",OFFSET($J$269,$D1628,0)="ok",LataProjekcji&lt;=Koniec_Projekt),ROUND(K1631*OFFSET($K$469,$H1634,(COLUMN()-11)),0),0)</f>
        <v>0</v>
      </c>
      <c r="L1634" s="405">
        <f t="shared" ca="1" si="1386"/>
        <v>0</v>
      </c>
      <c r="M1634" s="405">
        <f t="shared" ca="1" si="1386"/>
        <v>0</v>
      </c>
      <c r="N1634" s="405">
        <f t="shared" ca="1" si="1386"/>
        <v>0</v>
      </c>
      <c r="O1634" s="405">
        <f t="shared" ca="1" si="1386"/>
        <v>0</v>
      </c>
      <c r="P1634" s="405">
        <f t="shared" ca="1" si="1386"/>
        <v>0</v>
      </c>
      <c r="Q1634" s="405">
        <f t="shared" ca="1" si="1386"/>
        <v>0</v>
      </c>
      <c r="R1634" s="405">
        <f t="shared" ca="1" si="1386"/>
        <v>0</v>
      </c>
      <c r="S1634" s="405">
        <f t="shared" ca="1" si="1386"/>
        <v>0</v>
      </c>
      <c r="T1634" s="405">
        <f t="shared" ca="1" si="1386"/>
        <v>0</v>
      </c>
      <c r="U1634" s="405">
        <f t="shared" ca="1" si="1386"/>
        <v>0</v>
      </c>
      <c r="V1634" s="405">
        <f t="shared" ca="1" si="1386"/>
        <v>0</v>
      </c>
      <c r="W1634" s="405">
        <f t="shared" ca="1" si="1386"/>
        <v>0</v>
      </c>
      <c r="X1634" s="405">
        <f t="shared" ca="1" si="1386"/>
        <v>0</v>
      </c>
    </row>
    <row r="1635" spans="1:24" hidden="1">
      <c r="A1635" s="328"/>
      <c r="B1635" s="20">
        <f ca="1">OFFSET($B$269,D1635,0)</f>
        <v>0</v>
      </c>
      <c r="C1635" s="20"/>
      <c r="D1635" s="21">
        <f>D1628+1</f>
        <v>161</v>
      </c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</row>
    <row r="1636" spans="1:24" hidden="1">
      <c r="A1636" s="328"/>
      <c r="B1636" s="21" t="s">
        <v>414</v>
      </c>
      <c r="C1636" s="21"/>
      <c r="D1636" s="165">
        <f ca="1">YEAR(OFFSET($E$269,D1635,0))</f>
        <v>1900</v>
      </c>
      <c r="E1636" s="165">
        <f ca="1">MONTH(OFFSET($E$269,D1635,0))</f>
        <v>1</v>
      </c>
      <c r="F1636" s="21">
        <f ca="1">12-$E1636</f>
        <v>11</v>
      </c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</row>
    <row r="1637" spans="1:24" hidden="1">
      <c r="A1637" s="328"/>
      <c r="B1637" s="21" t="s">
        <v>406</v>
      </c>
      <c r="C1637" s="21"/>
      <c r="D1637" s="388">
        <f ca="1">IF(E1637&lt;0,0,ROUND(E1637,0))</f>
        <v>0</v>
      </c>
      <c r="E1637" s="249">
        <f ca="1">OFFSET($D$269,D1635,0)</f>
        <v>0</v>
      </c>
      <c r="F1637" s="388">
        <f ca="1">IF(E1637&gt;10,ROUND(($D1638/12)*$F1636,0),$D1637)</f>
        <v>0</v>
      </c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</row>
    <row r="1638" spans="1:24" hidden="1">
      <c r="A1638" s="328"/>
      <c r="B1638" s="21" t="s">
        <v>415</v>
      </c>
      <c r="C1638" s="21"/>
      <c r="D1638" s="388">
        <f ca="1">IF(ISBLANK(OFFSET($E$269,D1635,0)),0,IF(E1637&gt;10,ROUND(D1637*am_maszyny,0),IF(D1637&lt;0,0,D1637)))</f>
        <v>0</v>
      </c>
      <c r="E1638" s="21"/>
      <c r="F1638" s="21"/>
      <c r="G1638" s="21"/>
      <c r="H1638" s="21"/>
      <c r="I1638" s="21"/>
      <c r="J1638" s="21"/>
      <c r="K1638" s="75">
        <f ca="1">ROUND(IF($D1636=LataProjekcji,$F1637,IF($D1636=LataProjekcji,$D1638,0)),0)</f>
        <v>0</v>
      </c>
      <c r="L1638" s="248">
        <f ca="1">ROUND(IF(OR(AND($D1636=LataProjekcji,$F1636&gt;0),AND($D1636=LataProjekcji,$F1636=0,$E1637&lt;=10)),$F1637,IF($D1636&lt;LataProjekcji,IF((SUM($K1638:K1638)+$D1638)&lt;$D1637,$D1638,$D1637-SUM($K1638:K1638)),0)),0)</f>
        <v>0</v>
      </c>
      <c r="M1638" s="248">
        <f ca="1">ROUND(IF(OR(AND($D1636=LataProjekcji,$F1636&gt;0),AND($D1636=LataProjekcji,$F1636=0,$E1637&lt;=10)),$F1637,IF($D1636&lt;LataProjekcji,IF((SUM($K1638:L1638)+$D1638)&lt;$D1637,$D1638,$D1637-SUM($K1638:L1638)),0)),0)</f>
        <v>0</v>
      </c>
      <c r="N1638" s="248">
        <f ca="1">ROUND(IF(OR(AND($D1636=LataProjekcji,$F1636&gt;0),AND($D1636=LataProjekcji,$F1636=0,$E1637&lt;=10)),$F1637,IF($D1636&lt;LataProjekcji,IF((SUM($K1638:M1638)+$D1638)&lt;$D1637,$D1638,$D1637-SUM($K1638:M1638)),0)),0)</f>
        <v>0</v>
      </c>
      <c r="O1638" s="248">
        <f ca="1">ROUND(IF(OR(AND($D1636=LataProjekcji,$F1636&gt;0),AND($D1636=LataProjekcji,$F1636=0,$E1637&lt;=10)),$F1637,IF($D1636&lt;LataProjekcji,IF((SUM($K1638:N1638)+$D1638)&lt;$D1637,$D1638,$D1637-SUM($K1638:N1638)),0)),0)</f>
        <v>0</v>
      </c>
      <c r="P1638" s="248">
        <f ca="1">ROUND(IF(OR(AND($D1636=LataProjekcji,$F1636&gt;0),AND($D1636=LataProjekcji,$F1636=0,$E1637&lt;=10)),$F1637,IF($D1636&lt;LataProjekcji,IF((SUM($K1638:O1638)+$D1638)&lt;$D1637,$D1638,$D1637-SUM($K1638:O1638)),0)),0)</f>
        <v>0</v>
      </c>
      <c r="Q1638" s="248">
        <f ca="1">ROUND(IF(OR(AND($D1636=LataProjekcji,$F1636&gt;0),AND($D1636=LataProjekcji,$F1636=0,$E1637&lt;=10)),$F1637,IF($D1636&lt;LataProjekcji,IF((SUM($K1638:P1638)+$D1638)&lt;$D1637,$D1638,$D1637-SUM($K1638:P1638)),0)),0)</f>
        <v>0</v>
      </c>
      <c r="R1638" s="248">
        <f ca="1">ROUND(IF(OR(AND($D1636=LataProjekcji,$F1636&gt;0),AND($D1636=LataProjekcji,$F1636=0,$E1637&lt;=10)),$F1637,IF($D1636&lt;LataProjekcji,IF((SUM($K1638:Q1638)+$D1638)&lt;$D1637,$D1638,$D1637-SUM($K1638:Q1638)),0)),0)</f>
        <v>0</v>
      </c>
      <c r="S1638" s="248">
        <f ca="1">ROUND(IF(OR(AND($D1636=LataProjekcji,$F1636&gt;0),AND($D1636=LataProjekcji,$F1636=0,$E1637&lt;=10)),$F1637,IF($D1636&lt;LataProjekcji,IF((SUM($K1638:R1638)+$D1638)&lt;$D1637,$D1638,$D1637-SUM($K1638:R1638)),0)),0)</f>
        <v>0</v>
      </c>
      <c r="T1638" s="248">
        <f ca="1">ROUND(IF(OR(AND($D1636=LataProjekcji,$F1636&gt;0),AND($D1636=LataProjekcji,$F1636=0,$E1637&lt;=10)),$F1637,IF($D1636&lt;LataProjekcji,IF((SUM($K1638:S1638)+$D1638)&lt;$D1637,$D1638,$D1637-SUM($K1638:S1638)),0)),0)</f>
        <v>0</v>
      </c>
      <c r="U1638" s="248">
        <f ca="1">ROUND(IF(OR(AND($D1636=LataProjekcji,$F1636&gt;0),AND($D1636=LataProjekcji,$F1636=0,$E1637&lt;=10)),$F1637,IF($D1636&lt;LataProjekcji,IF((SUM($K1638:T1638)+$D1638)&lt;$D1637,$D1638,$D1637-SUM($K1638:T1638)),0)),0)</f>
        <v>0</v>
      </c>
      <c r="V1638" s="248">
        <f ca="1">ROUND(IF(OR(AND($D1636=LataProjekcji,$F1636&gt;0),AND($D1636=LataProjekcji,$F1636=0,$E1637&lt;=10)),$F1637,IF($D1636&lt;LataProjekcji,IF((SUM($K1638:U1638)+$D1638)&lt;$D1637,$D1638,$D1637-SUM($K1638:U1638)),0)),0)</f>
        <v>0</v>
      </c>
      <c r="W1638" s="248">
        <f ca="1">ROUND(IF(OR(AND($D1636=LataProjekcji,$F1636&gt;0),AND($D1636=LataProjekcji,$F1636=0,$E1637&lt;=10)),$F1637,IF($D1636&lt;LataProjekcji,IF((SUM($K1638:V1638)+$D1638)&lt;$D1637,$D1638,$D1637-SUM($K1638:V1638)),0)),0)</f>
        <v>0</v>
      </c>
      <c r="X1638" s="248">
        <f ca="1">ROUND(IF(OR(AND($D1636=LataProjekcji,$F1636&gt;0),AND($D1636=LataProjekcji,$F1636=0,$E1637&lt;=10)),$F1637,IF($D1636&lt;LataProjekcji,IF((SUM($K1638:W1638)+$D1638)&lt;$D1637,$D1638,$D1637-SUM($K1638:W1638)),0)),0)</f>
        <v>0</v>
      </c>
    </row>
    <row r="1639" spans="1:24" hidden="1">
      <c r="A1639" s="328"/>
      <c r="B1639" s="21" t="s">
        <v>416</v>
      </c>
      <c r="C1639" s="21"/>
      <c r="D1639" s="22"/>
      <c r="E1639" s="21"/>
      <c r="F1639" s="21"/>
      <c r="G1639" s="21"/>
      <c r="H1639" s="21"/>
      <c r="I1639" s="21"/>
      <c r="J1639" s="21"/>
      <c r="K1639" s="22">
        <f ca="1">ROUND(K1638,0)</f>
        <v>0</v>
      </c>
      <c r="L1639" s="22">
        <f t="shared" ref="L1639:X1639" ca="1" si="1387">ROUND(K1639+L1638,0)</f>
        <v>0</v>
      </c>
      <c r="M1639" s="22">
        <f t="shared" ca="1" si="1387"/>
        <v>0</v>
      </c>
      <c r="N1639" s="22">
        <f t="shared" ca="1" si="1387"/>
        <v>0</v>
      </c>
      <c r="O1639" s="22">
        <f t="shared" ca="1" si="1387"/>
        <v>0</v>
      </c>
      <c r="P1639" s="22">
        <f t="shared" ca="1" si="1387"/>
        <v>0</v>
      </c>
      <c r="Q1639" s="22">
        <f t="shared" ca="1" si="1387"/>
        <v>0</v>
      </c>
      <c r="R1639" s="22">
        <f t="shared" ca="1" si="1387"/>
        <v>0</v>
      </c>
      <c r="S1639" s="22">
        <f t="shared" ca="1" si="1387"/>
        <v>0</v>
      </c>
      <c r="T1639" s="22">
        <f t="shared" ca="1" si="1387"/>
        <v>0</v>
      </c>
      <c r="U1639" s="22">
        <f t="shared" ca="1" si="1387"/>
        <v>0</v>
      </c>
      <c r="V1639" s="22">
        <f t="shared" ca="1" si="1387"/>
        <v>0</v>
      </c>
      <c r="W1639" s="22">
        <f t="shared" ca="1" si="1387"/>
        <v>0</v>
      </c>
      <c r="X1639" s="22">
        <f t="shared" ca="1" si="1387"/>
        <v>0</v>
      </c>
    </row>
    <row r="1640" spans="1:24" hidden="1">
      <c r="A1640" s="328"/>
      <c r="B1640" s="21" t="s">
        <v>406</v>
      </c>
      <c r="C1640" s="21"/>
      <c r="D1640" s="22"/>
      <c r="E1640" s="21"/>
      <c r="F1640" s="21"/>
      <c r="G1640" s="21"/>
      <c r="H1640" s="21"/>
      <c r="I1640" s="21"/>
      <c r="J1640" s="21"/>
      <c r="K1640" s="77">
        <f ca="1">IF($D1636=LataProjekcji,ROUND($D1637-K1639,0),ROUND(IF(K1638=0,0,$D1637-K1639),0))</f>
        <v>0</v>
      </c>
      <c r="L1640" s="254">
        <f t="shared" ref="L1640:X1640" ca="1" si="1388">IF($D1636=LataProjekcji,ROUND($D1637-L1639,0),ROUND(IF(AND(L1638=0,K1640&gt;0),$D1637-L1639,IF(L1638=0,0,$D1637-L1639)),0))</f>
        <v>0</v>
      </c>
      <c r="M1640" s="254">
        <f t="shared" ca="1" si="1388"/>
        <v>0</v>
      </c>
      <c r="N1640" s="254">
        <f t="shared" ca="1" si="1388"/>
        <v>0</v>
      </c>
      <c r="O1640" s="254">
        <f t="shared" ca="1" si="1388"/>
        <v>0</v>
      </c>
      <c r="P1640" s="254">
        <f t="shared" ca="1" si="1388"/>
        <v>0</v>
      </c>
      <c r="Q1640" s="254">
        <f t="shared" ca="1" si="1388"/>
        <v>0</v>
      </c>
      <c r="R1640" s="254">
        <f t="shared" ca="1" si="1388"/>
        <v>0</v>
      </c>
      <c r="S1640" s="254">
        <f t="shared" ca="1" si="1388"/>
        <v>0</v>
      </c>
      <c r="T1640" s="254">
        <f t="shared" ca="1" si="1388"/>
        <v>0</v>
      </c>
      <c r="U1640" s="254">
        <f t="shared" ca="1" si="1388"/>
        <v>0</v>
      </c>
      <c r="V1640" s="254">
        <f t="shared" ca="1" si="1388"/>
        <v>0</v>
      </c>
      <c r="W1640" s="254">
        <f t="shared" ca="1" si="1388"/>
        <v>0</v>
      </c>
      <c r="X1640" s="254">
        <f t="shared" ca="1" si="1388"/>
        <v>0</v>
      </c>
    </row>
    <row r="1641" spans="1:24" hidden="1">
      <c r="A1641" s="328"/>
      <c r="B1641" s="21"/>
      <c r="C1641" s="21"/>
      <c r="D1641" s="22"/>
      <c r="E1641" s="21"/>
      <c r="F1641" s="21"/>
      <c r="G1641" s="21"/>
      <c r="H1641" s="404">
        <f>H1634+1</f>
        <v>12</v>
      </c>
      <c r="I1641" s="483" cm="1">
        <f t="array" aca="1" ref="I1641" ca="1">OFFSET('Środki trwałe'!$C$418,H1641,,)</f>
        <v>0</v>
      </c>
      <c r="J1641" s="404" t="s">
        <v>427</v>
      </c>
      <c r="K1641" s="405">
        <f t="shared" ref="K1641:X1641" ca="1" si="1389">IF(AND(OFFSET($F$269,$D1635,0)="tak",OFFSET($G$269,$D1635,0)="tak",OFFSET($J$269,$D1635,0)="ok",LataProjekcji&lt;=Koniec_Projekt),ROUND(K1638*OFFSET($K$469,$H1641,(COLUMN()-11)),0),0)</f>
        <v>0</v>
      </c>
      <c r="L1641" s="405">
        <f t="shared" ca="1" si="1389"/>
        <v>0</v>
      </c>
      <c r="M1641" s="405">
        <f t="shared" ca="1" si="1389"/>
        <v>0</v>
      </c>
      <c r="N1641" s="405">
        <f t="shared" ca="1" si="1389"/>
        <v>0</v>
      </c>
      <c r="O1641" s="405">
        <f t="shared" ca="1" si="1389"/>
        <v>0</v>
      </c>
      <c r="P1641" s="405">
        <f t="shared" ca="1" si="1389"/>
        <v>0</v>
      </c>
      <c r="Q1641" s="405">
        <f t="shared" ca="1" si="1389"/>
        <v>0</v>
      </c>
      <c r="R1641" s="405">
        <f t="shared" ca="1" si="1389"/>
        <v>0</v>
      </c>
      <c r="S1641" s="405">
        <f t="shared" ca="1" si="1389"/>
        <v>0</v>
      </c>
      <c r="T1641" s="405">
        <f t="shared" ca="1" si="1389"/>
        <v>0</v>
      </c>
      <c r="U1641" s="405">
        <f t="shared" ca="1" si="1389"/>
        <v>0</v>
      </c>
      <c r="V1641" s="405">
        <f t="shared" ca="1" si="1389"/>
        <v>0</v>
      </c>
      <c r="W1641" s="405">
        <f t="shared" ca="1" si="1389"/>
        <v>0</v>
      </c>
      <c r="X1641" s="405">
        <f t="shared" ca="1" si="1389"/>
        <v>0</v>
      </c>
    </row>
    <row r="1642" spans="1:24" hidden="1">
      <c r="A1642" s="328"/>
      <c r="B1642" s="20">
        <f ca="1">OFFSET($B$269,D1642,0)</f>
        <v>0</v>
      </c>
      <c r="C1642" s="20"/>
      <c r="D1642" s="21">
        <f>D1635+1</f>
        <v>162</v>
      </c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</row>
    <row r="1643" spans="1:24" hidden="1">
      <c r="A1643" s="328"/>
      <c r="B1643" s="21" t="s">
        <v>414</v>
      </c>
      <c r="C1643" s="21"/>
      <c r="D1643" s="165">
        <f ca="1">YEAR(OFFSET($E$269,D1642,0))</f>
        <v>1900</v>
      </c>
      <c r="E1643" s="165">
        <f ca="1">MONTH(OFFSET($E$269,D1642,0))</f>
        <v>1</v>
      </c>
      <c r="F1643" s="21">
        <f ca="1">12-$E1643</f>
        <v>11</v>
      </c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</row>
    <row r="1644" spans="1:24" hidden="1">
      <c r="A1644" s="328"/>
      <c r="B1644" s="21" t="s">
        <v>406</v>
      </c>
      <c r="C1644" s="21"/>
      <c r="D1644" s="385">
        <f ca="1">IF(E1644&lt;0,0,ROUND(E1644,0))</f>
        <v>0</v>
      </c>
      <c r="E1644" s="249">
        <f ca="1">OFFSET($D$269,D1642,0)</f>
        <v>0</v>
      </c>
      <c r="F1644" s="385">
        <f ca="1">IF(E1644&gt;10,ROUND(($D1645/12)*$F1643,0),$D1644)</f>
        <v>0</v>
      </c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</row>
    <row r="1645" spans="1:24" hidden="1">
      <c r="A1645" s="328"/>
      <c r="B1645" s="21" t="s">
        <v>415</v>
      </c>
      <c r="C1645" s="21"/>
      <c r="D1645" s="385">
        <f ca="1">IF(ISBLANK(OFFSET($E$269,D1642,0)),0,IF(E1644&gt;10,ROUND(D1644*am_maszyny,0),IF(D1644&lt;0,0,D1644)))</f>
        <v>0</v>
      </c>
      <c r="E1645" s="21"/>
      <c r="F1645" s="21"/>
      <c r="G1645" s="21"/>
      <c r="H1645" s="21"/>
      <c r="I1645" s="21"/>
      <c r="J1645" s="21"/>
      <c r="K1645" s="75">
        <f ca="1">ROUND(IF($D1643=LataProjekcji,$F1644,IF($D1643=LataProjekcji,$D1645,0)),0)</f>
        <v>0</v>
      </c>
      <c r="L1645" s="248">
        <f ca="1">ROUND(IF(OR(AND($D1643=LataProjekcji,$F1643&gt;0),AND($D1643=LataProjekcji,$F1643=0,$E1644&lt;=10)),$F1644,IF($D1643&lt;LataProjekcji,IF((SUM($K1645:K1645)+$D1645)&lt;$D1644,$D1645,$D1644-SUM($K1645:K1645)),0)),0)</f>
        <v>0</v>
      </c>
      <c r="M1645" s="248">
        <f ca="1">ROUND(IF(OR(AND($D1643=LataProjekcji,$F1643&gt;0),AND($D1643=LataProjekcji,$F1643=0,$E1644&lt;=10)),$F1644,IF($D1643&lt;LataProjekcji,IF((SUM($K1645:L1645)+$D1645)&lt;$D1644,$D1645,$D1644-SUM($K1645:L1645)),0)),0)</f>
        <v>0</v>
      </c>
      <c r="N1645" s="248">
        <f ca="1">ROUND(IF(OR(AND($D1643=LataProjekcji,$F1643&gt;0),AND($D1643=LataProjekcji,$F1643=0,$E1644&lt;=10)),$F1644,IF($D1643&lt;LataProjekcji,IF((SUM($K1645:M1645)+$D1645)&lt;$D1644,$D1645,$D1644-SUM($K1645:M1645)),0)),0)</f>
        <v>0</v>
      </c>
      <c r="O1645" s="248">
        <f ca="1">ROUND(IF(OR(AND($D1643=LataProjekcji,$F1643&gt;0),AND($D1643=LataProjekcji,$F1643=0,$E1644&lt;=10)),$F1644,IF($D1643&lt;LataProjekcji,IF((SUM($K1645:N1645)+$D1645)&lt;$D1644,$D1645,$D1644-SUM($K1645:N1645)),0)),0)</f>
        <v>0</v>
      </c>
      <c r="P1645" s="248">
        <f ca="1">ROUND(IF(OR(AND($D1643=LataProjekcji,$F1643&gt;0),AND($D1643=LataProjekcji,$F1643=0,$E1644&lt;=10)),$F1644,IF($D1643&lt;LataProjekcji,IF((SUM($K1645:O1645)+$D1645)&lt;$D1644,$D1645,$D1644-SUM($K1645:O1645)),0)),0)</f>
        <v>0</v>
      </c>
      <c r="Q1645" s="248">
        <f ca="1">ROUND(IF(OR(AND($D1643=LataProjekcji,$F1643&gt;0),AND($D1643=LataProjekcji,$F1643=0,$E1644&lt;=10)),$F1644,IF($D1643&lt;LataProjekcji,IF((SUM($K1645:P1645)+$D1645)&lt;$D1644,$D1645,$D1644-SUM($K1645:P1645)),0)),0)</f>
        <v>0</v>
      </c>
      <c r="R1645" s="248">
        <f ca="1">ROUND(IF(OR(AND($D1643=LataProjekcji,$F1643&gt;0),AND($D1643=LataProjekcji,$F1643=0,$E1644&lt;=10)),$F1644,IF($D1643&lt;LataProjekcji,IF((SUM($K1645:Q1645)+$D1645)&lt;$D1644,$D1645,$D1644-SUM($K1645:Q1645)),0)),0)</f>
        <v>0</v>
      </c>
      <c r="S1645" s="248">
        <f ca="1">ROUND(IF(OR(AND($D1643=LataProjekcji,$F1643&gt;0),AND($D1643=LataProjekcji,$F1643=0,$E1644&lt;=10)),$F1644,IF($D1643&lt;LataProjekcji,IF((SUM($K1645:R1645)+$D1645)&lt;$D1644,$D1645,$D1644-SUM($K1645:R1645)),0)),0)</f>
        <v>0</v>
      </c>
      <c r="T1645" s="248">
        <f ca="1">ROUND(IF(OR(AND($D1643=LataProjekcji,$F1643&gt;0),AND($D1643=LataProjekcji,$F1643=0,$E1644&lt;=10)),$F1644,IF($D1643&lt;LataProjekcji,IF((SUM($K1645:S1645)+$D1645)&lt;$D1644,$D1645,$D1644-SUM($K1645:S1645)),0)),0)</f>
        <v>0</v>
      </c>
      <c r="U1645" s="248">
        <f ca="1">ROUND(IF(OR(AND($D1643=LataProjekcji,$F1643&gt;0),AND($D1643=LataProjekcji,$F1643=0,$E1644&lt;=10)),$F1644,IF($D1643&lt;LataProjekcji,IF((SUM($K1645:T1645)+$D1645)&lt;$D1644,$D1645,$D1644-SUM($K1645:T1645)),0)),0)</f>
        <v>0</v>
      </c>
      <c r="V1645" s="248">
        <f ca="1">ROUND(IF(OR(AND($D1643=LataProjekcji,$F1643&gt;0),AND($D1643=LataProjekcji,$F1643=0,$E1644&lt;=10)),$F1644,IF($D1643&lt;LataProjekcji,IF((SUM($K1645:U1645)+$D1645)&lt;$D1644,$D1645,$D1644-SUM($K1645:U1645)),0)),0)</f>
        <v>0</v>
      </c>
      <c r="W1645" s="248">
        <f ca="1">ROUND(IF(OR(AND($D1643=LataProjekcji,$F1643&gt;0),AND($D1643=LataProjekcji,$F1643=0,$E1644&lt;=10)),$F1644,IF($D1643&lt;LataProjekcji,IF((SUM($K1645:V1645)+$D1645)&lt;$D1644,$D1645,$D1644-SUM($K1645:V1645)),0)),0)</f>
        <v>0</v>
      </c>
      <c r="X1645" s="248">
        <f ca="1">ROUND(IF(OR(AND($D1643=LataProjekcji,$F1643&gt;0),AND($D1643=LataProjekcji,$F1643=0,$E1644&lt;=10)),$F1644,IF($D1643&lt;LataProjekcji,IF((SUM($K1645:W1645)+$D1645)&lt;$D1644,$D1645,$D1644-SUM($K1645:W1645)),0)),0)</f>
        <v>0</v>
      </c>
    </row>
    <row r="1646" spans="1:24" hidden="1">
      <c r="A1646" s="328"/>
      <c r="B1646" s="21" t="s">
        <v>416</v>
      </c>
      <c r="C1646" s="21"/>
      <c r="D1646" s="22"/>
      <c r="E1646" s="21"/>
      <c r="F1646" s="21"/>
      <c r="G1646" s="21"/>
      <c r="H1646" s="21"/>
      <c r="I1646" s="21"/>
      <c r="J1646" s="21"/>
      <c r="K1646" s="22">
        <f ca="1">ROUND(K1645,0)</f>
        <v>0</v>
      </c>
      <c r="L1646" s="22">
        <f t="shared" ref="L1646:X1646" ca="1" si="1390">ROUND(K1646+L1645,0)</f>
        <v>0</v>
      </c>
      <c r="M1646" s="22">
        <f t="shared" ca="1" si="1390"/>
        <v>0</v>
      </c>
      <c r="N1646" s="22">
        <f t="shared" ca="1" si="1390"/>
        <v>0</v>
      </c>
      <c r="O1646" s="22">
        <f t="shared" ca="1" si="1390"/>
        <v>0</v>
      </c>
      <c r="P1646" s="22">
        <f t="shared" ca="1" si="1390"/>
        <v>0</v>
      </c>
      <c r="Q1646" s="22">
        <f t="shared" ca="1" si="1390"/>
        <v>0</v>
      </c>
      <c r="R1646" s="22">
        <f t="shared" ca="1" si="1390"/>
        <v>0</v>
      </c>
      <c r="S1646" s="22">
        <f t="shared" ca="1" si="1390"/>
        <v>0</v>
      </c>
      <c r="T1646" s="22">
        <f t="shared" ca="1" si="1390"/>
        <v>0</v>
      </c>
      <c r="U1646" s="22">
        <f t="shared" ca="1" si="1390"/>
        <v>0</v>
      </c>
      <c r="V1646" s="22">
        <f t="shared" ca="1" si="1390"/>
        <v>0</v>
      </c>
      <c r="W1646" s="22">
        <f t="shared" ca="1" si="1390"/>
        <v>0</v>
      </c>
      <c r="X1646" s="22">
        <f t="shared" ca="1" si="1390"/>
        <v>0</v>
      </c>
    </row>
    <row r="1647" spans="1:24" hidden="1">
      <c r="A1647" s="328"/>
      <c r="B1647" s="21" t="s">
        <v>406</v>
      </c>
      <c r="C1647" s="21"/>
      <c r="D1647" s="22"/>
      <c r="E1647" s="21"/>
      <c r="F1647" s="21"/>
      <c r="G1647" s="21"/>
      <c r="H1647" s="21"/>
      <c r="I1647" s="21"/>
      <c r="J1647" s="21"/>
      <c r="K1647" s="77">
        <f ca="1">IF($D1643=LataProjekcji,ROUND($D1644-K1646,0),ROUND(IF(K1645=0,0,$D1644-K1646),0))</f>
        <v>0</v>
      </c>
      <c r="L1647" s="254">
        <f t="shared" ref="L1647:X1647" ca="1" si="1391">IF($D1643=LataProjekcji,ROUND($D1644-L1646,0),ROUND(IF(AND(L1645=0,K1647&gt;0),$D1644-L1646,IF(L1645=0,0,$D1644-L1646)),0))</f>
        <v>0</v>
      </c>
      <c r="M1647" s="254">
        <f t="shared" ca="1" si="1391"/>
        <v>0</v>
      </c>
      <c r="N1647" s="254">
        <f t="shared" ca="1" si="1391"/>
        <v>0</v>
      </c>
      <c r="O1647" s="254">
        <f t="shared" ca="1" si="1391"/>
        <v>0</v>
      </c>
      <c r="P1647" s="254">
        <f t="shared" ca="1" si="1391"/>
        <v>0</v>
      </c>
      <c r="Q1647" s="254">
        <f t="shared" ca="1" si="1391"/>
        <v>0</v>
      </c>
      <c r="R1647" s="254">
        <f t="shared" ca="1" si="1391"/>
        <v>0</v>
      </c>
      <c r="S1647" s="254">
        <f t="shared" ca="1" si="1391"/>
        <v>0</v>
      </c>
      <c r="T1647" s="254">
        <f t="shared" ca="1" si="1391"/>
        <v>0</v>
      </c>
      <c r="U1647" s="254">
        <f t="shared" ca="1" si="1391"/>
        <v>0</v>
      </c>
      <c r="V1647" s="254">
        <f t="shared" ca="1" si="1391"/>
        <v>0</v>
      </c>
      <c r="W1647" s="254">
        <f t="shared" ca="1" si="1391"/>
        <v>0</v>
      </c>
      <c r="X1647" s="254">
        <f t="shared" ca="1" si="1391"/>
        <v>0</v>
      </c>
    </row>
    <row r="1648" spans="1:24" hidden="1">
      <c r="A1648" s="328"/>
      <c r="B1648" s="20"/>
      <c r="C1648" s="20"/>
      <c r="D1648" s="21"/>
      <c r="E1648" s="21"/>
      <c r="F1648" s="21"/>
      <c r="G1648" s="21"/>
      <c r="H1648" s="404">
        <f>H1641+1</f>
        <v>13</v>
      </c>
      <c r="I1648" s="483" cm="1">
        <f t="array" aca="1" ref="I1648" ca="1">OFFSET('Środki trwałe'!$C$418,H1648,,)</f>
        <v>0</v>
      </c>
      <c r="J1648" s="404" t="s">
        <v>427</v>
      </c>
      <c r="K1648" s="405">
        <f t="shared" ref="K1648:X1648" ca="1" si="1392">IF(AND(OFFSET($F$269,$D1642,0)="tak",OFFSET($G$269,$D1642,0)="tak",OFFSET($J$269,$D1642,0)="ok",LataProjekcji&lt;=Koniec_Projekt),ROUND(K1645*OFFSET($K$469,$H1648,(COLUMN()-11)),0),0)</f>
        <v>0</v>
      </c>
      <c r="L1648" s="405">
        <f t="shared" ca="1" si="1392"/>
        <v>0</v>
      </c>
      <c r="M1648" s="405">
        <f t="shared" ca="1" si="1392"/>
        <v>0</v>
      </c>
      <c r="N1648" s="405">
        <f t="shared" ca="1" si="1392"/>
        <v>0</v>
      </c>
      <c r="O1648" s="405">
        <f t="shared" ca="1" si="1392"/>
        <v>0</v>
      </c>
      <c r="P1648" s="405">
        <f t="shared" ca="1" si="1392"/>
        <v>0</v>
      </c>
      <c r="Q1648" s="405">
        <f t="shared" ca="1" si="1392"/>
        <v>0</v>
      </c>
      <c r="R1648" s="405">
        <f t="shared" ca="1" si="1392"/>
        <v>0</v>
      </c>
      <c r="S1648" s="405">
        <f t="shared" ca="1" si="1392"/>
        <v>0</v>
      </c>
      <c r="T1648" s="405">
        <f t="shared" ca="1" si="1392"/>
        <v>0</v>
      </c>
      <c r="U1648" s="405">
        <f t="shared" ca="1" si="1392"/>
        <v>0</v>
      </c>
      <c r="V1648" s="405">
        <f t="shared" ca="1" si="1392"/>
        <v>0</v>
      </c>
      <c r="W1648" s="405">
        <f t="shared" ca="1" si="1392"/>
        <v>0</v>
      </c>
      <c r="X1648" s="405">
        <f t="shared" ca="1" si="1392"/>
        <v>0</v>
      </c>
    </row>
    <row r="1649" spans="1:24" hidden="1">
      <c r="A1649" s="328"/>
      <c r="B1649" s="20">
        <f ca="1">OFFSET($B$269,D1649,0)</f>
        <v>0</v>
      </c>
      <c r="C1649" s="20"/>
      <c r="D1649" s="21">
        <f>D1642+1</f>
        <v>163</v>
      </c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</row>
    <row r="1650" spans="1:24" hidden="1">
      <c r="A1650" s="328"/>
      <c r="B1650" s="21" t="s">
        <v>414</v>
      </c>
      <c r="C1650" s="21"/>
      <c r="D1650" s="165">
        <f ca="1">YEAR(OFFSET($E$269,D1649,0))</f>
        <v>1900</v>
      </c>
      <c r="E1650" s="165">
        <f ca="1">MONTH(OFFSET($E$269,D1649,0))</f>
        <v>1</v>
      </c>
      <c r="F1650" s="21">
        <f ca="1">12-$E1650</f>
        <v>11</v>
      </c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</row>
    <row r="1651" spans="1:24" hidden="1">
      <c r="A1651" s="328"/>
      <c r="B1651" s="21" t="s">
        <v>406</v>
      </c>
      <c r="C1651" s="21"/>
      <c r="D1651" s="386">
        <f ca="1">IF(E1651&lt;0,0,ROUND(E1651,0))</f>
        <v>0</v>
      </c>
      <c r="E1651" s="249">
        <f ca="1">OFFSET($D$269,D1649,0)</f>
        <v>0</v>
      </c>
      <c r="F1651" s="386">
        <f ca="1">IF(E1651&gt;10,ROUND(($D1652/12)*$F1650,0),$D1651)</f>
        <v>0</v>
      </c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</row>
    <row r="1652" spans="1:24" hidden="1">
      <c r="A1652" s="328"/>
      <c r="B1652" s="21" t="s">
        <v>415</v>
      </c>
      <c r="C1652" s="21"/>
      <c r="D1652" s="386">
        <f ca="1">IF(ISBLANK(OFFSET($E$269,D1649,0)),0,IF(E1651&gt;10,ROUND(D1651*am_maszyny,0),IF(D1651&lt;0,0,D1651)))</f>
        <v>0</v>
      </c>
      <c r="E1652" s="21"/>
      <c r="F1652" s="21"/>
      <c r="G1652" s="21"/>
      <c r="H1652" s="21"/>
      <c r="I1652" s="21"/>
      <c r="J1652" s="21"/>
      <c r="K1652" s="75">
        <f ca="1">ROUND(IF($D1650=LataProjekcji,$F1651,IF($D1650=LataProjekcji,$D1652,0)),0)</f>
        <v>0</v>
      </c>
      <c r="L1652" s="248">
        <f ca="1">ROUND(IF(OR(AND($D1650=LataProjekcji,$F1650&gt;0),AND($D1650=LataProjekcji,$F1650=0,$E1651&lt;=10)),$F1651,IF($D1650&lt;LataProjekcji,IF((SUM($K1652:K1652)+$D1652)&lt;$D1651,$D1652,$D1651-SUM($K1652:K1652)),0)),0)</f>
        <v>0</v>
      </c>
      <c r="M1652" s="248">
        <f ca="1">ROUND(IF(OR(AND($D1650=LataProjekcji,$F1650&gt;0),AND($D1650=LataProjekcji,$F1650=0,$E1651&lt;=10)),$F1651,IF($D1650&lt;LataProjekcji,IF((SUM($K1652:L1652)+$D1652)&lt;$D1651,$D1652,$D1651-SUM($K1652:L1652)),0)),0)</f>
        <v>0</v>
      </c>
      <c r="N1652" s="248">
        <f ca="1">ROUND(IF(OR(AND($D1650=LataProjekcji,$F1650&gt;0),AND($D1650=LataProjekcji,$F1650=0,$E1651&lt;=10)),$F1651,IF($D1650&lt;LataProjekcji,IF((SUM($K1652:M1652)+$D1652)&lt;$D1651,$D1652,$D1651-SUM($K1652:M1652)),0)),0)</f>
        <v>0</v>
      </c>
      <c r="O1652" s="248">
        <f ca="1">ROUND(IF(OR(AND($D1650=LataProjekcji,$F1650&gt;0),AND($D1650=LataProjekcji,$F1650=0,$E1651&lt;=10)),$F1651,IF($D1650&lt;LataProjekcji,IF((SUM($K1652:N1652)+$D1652)&lt;$D1651,$D1652,$D1651-SUM($K1652:N1652)),0)),0)</f>
        <v>0</v>
      </c>
      <c r="P1652" s="248">
        <f ca="1">ROUND(IF(OR(AND($D1650=LataProjekcji,$F1650&gt;0),AND($D1650=LataProjekcji,$F1650=0,$E1651&lt;=10)),$F1651,IF($D1650&lt;LataProjekcji,IF((SUM($K1652:O1652)+$D1652)&lt;$D1651,$D1652,$D1651-SUM($K1652:O1652)),0)),0)</f>
        <v>0</v>
      </c>
      <c r="Q1652" s="248">
        <f ca="1">ROUND(IF(OR(AND($D1650=LataProjekcji,$F1650&gt;0),AND($D1650=LataProjekcji,$F1650=0,$E1651&lt;=10)),$F1651,IF($D1650&lt;LataProjekcji,IF((SUM($K1652:P1652)+$D1652)&lt;$D1651,$D1652,$D1651-SUM($K1652:P1652)),0)),0)</f>
        <v>0</v>
      </c>
      <c r="R1652" s="248">
        <f ca="1">ROUND(IF(OR(AND($D1650=LataProjekcji,$F1650&gt;0),AND($D1650=LataProjekcji,$F1650=0,$E1651&lt;=10)),$F1651,IF($D1650&lt;LataProjekcji,IF((SUM($K1652:Q1652)+$D1652)&lt;$D1651,$D1652,$D1651-SUM($K1652:Q1652)),0)),0)</f>
        <v>0</v>
      </c>
      <c r="S1652" s="248">
        <f ca="1">ROUND(IF(OR(AND($D1650=LataProjekcji,$F1650&gt;0),AND($D1650=LataProjekcji,$F1650=0,$E1651&lt;=10)),$F1651,IF($D1650&lt;LataProjekcji,IF((SUM($K1652:R1652)+$D1652)&lt;$D1651,$D1652,$D1651-SUM($K1652:R1652)),0)),0)</f>
        <v>0</v>
      </c>
      <c r="T1652" s="248">
        <f ca="1">ROUND(IF(OR(AND($D1650=LataProjekcji,$F1650&gt;0),AND($D1650=LataProjekcji,$F1650=0,$E1651&lt;=10)),$F1651,IF($D1650&lt;LataProjekcji,IF((SUM($K1652:S1652)+$D1652)&lt;$D1651,$D1652,$D1651-SUM($K1652:S1652)),0)),0)</f>
        <v>0</v>
      </c>
      <c r="U1652" s="248">
        <f ca="1">ROUND(IF(OR(AND($D1650=LataProjekcji,$F1650&gt;0),AND($D1650=LataProjekcji,$F1650=0,$E1651&lt;=10)),$F1651,IF($D1650&lt;LataProjekcji,IF((SUM($K1652:T1652)+$D1652)&lt;$D1651,$D1652,$D1651-SUM($K1652:T1652)),0)),0)</f>
        <v>0</v>
      </c>
      <c r="V1652" s="248">
        <f ca="1">ROUND(IF(OR(AND($D1650=LataProjekcji,$F1650&gt;0),AND($D1650=LataProjekcji,$F1650=0,$E1651&lt;=10)),$F1651,IF($D1650&lt;LataProjekcji,IF((SUM($K1652:U1652)+$D1652)&lt;$D1651,$D1652,$D1651-SUM($K1652:U1652)),0)),0)</f>
        <v>0</v>
      </c>
      <c r="W1652" s="248">
        <f ca="1">ROUND(IF(OR(AND($D1650=LataProjekcji,$F1650&gt;0),AND($D1650=LataProjekcji,$F1650=0,$E1651&lt;=10)),$F1651,IF($D1650&lt;LataProjekcji,IF((SUM($K1652:V1652)+$D1652)&lt;$D1651,$D1652,$D1651-SUM($K1652:V1652)),0)),0)</f>
        <v>0</v>
      </c>
      <c r="X1652" s="248">
        <f ca="1">ROUND(IF(OR(AND($D1650=LataProjekcji,$F1650&gt;0),AND($D1650=LataProjekcji,$F1650=0,$E1651&lt;=10)),$F1651,IF($D1650&lt;LataProjekcji,IF((SUM($K1652:W1652)+$D1652)&lt;$D1651,$D1652,$D1651-SUM($K1652:W1652)),0)),0)</f>
        <v>0</v>
      </c>
    </row>
    <row r="1653" spans="1:24" hidden="1">
      <c r="A1653" s="328"/>
      <c r="B1653" s="21" t="s">
        <v>416</v>
      </c>
      <c r="C1653" s="21"/>
      <c r="D1653" s="22"/>
      <c r="E1653" s="21"/>
      <c r="F1653" s="21"/>
      <c r="G1653" s="21"/>
      <c r="H1653" s="21"/>
      <c r="I1653" s="21"/>
      <c r="J1653" s="21"/>
      <c r="K1653" s="22">
        <f ca="1">ROUND(K1652,0)</f>
        <v>0</v>
      </c>
      <c r="L1653" s="22">
        <f t="shared" ref="L1653:X1653" ca="1" si="1393">ROUND(K1653+L1652,0)</f>
        <v>0</v>
      </c>
      <c r="M1653" s="22">
        <f t="shared" ca="1" si="1393"/>
        <v>0</v>
      </c>
      <c r="N1653" s="22">
        <f t="shared" ca="1" si="1393"/>
        <v>0</v>
      </c>
      <c r="O1653" s="22">
        <f t="shared" ca="1" si="1393"/>
        <v>0</v>
      </c>
      <c r="P1653" s="22">
        <f t="shared" ca="1" si="1393"/>
        <v>0</v>
      </c>
      <c r="Q1653" s="22">
        <f t="shared" ca="1" si="1393"/>
        <v>0</v>
      </c>
      <c r="R1653" s="22">
        <f t="shared" ca="1" si="1393"/>
        <v>0</v>
      </c>
      <c r="S1653" s="22">
        <f t="shared" ca="1" si="1393"/>
        <v>0</v>
      </c>
      <c r="T1653" s="22">
        <f t="shared" ca="1" si="1393"/>
        <v>0</v>
      </c>
      <c r="U1653" s="22">
        <f t="shared" ca="1" si="1393"/>
        <v>0</v>
      </c>
      <c r="V1653" s="22">
        <f t="shared" ca="1" si="1393"/>
        <v>0</v>
      </c>
      <c r="W1653" s="22">
        <f t="shared" ca="1" si="1393"/>
        <v>0</v>
      </c>
      <c r="X1653" s="22">
        <f t="shared" ca="1" si="1393"/>
        <v>0</v>
      </c>
    </row>
    <row r="1654" spans="1:24" hidden="1">
      <c r="A1654" s="328"/>
      <c r="B1654" s="21" t="s">
        <v>406</v>
      </c>
      <c r="C1654" s="21"/>
      <c r="D1654" s="22"/>
      <c r="E1654" s="21"/>
      <c r="F1654" s="21"/>
      <c r="G1654" s="21"/>
      <c r="H1654" s="21"/>
      <c r="I1654" s="21"/>
      <c r="J1654" s="21"/>
      <c r="K1654" s="77">
        <f ca="1">IF($D1650=LataProjekcji,ROUND($D1651-K1653,0),ROUND(IF(K1652=0,0,$D1651-K1653),0))</f>
        <v>0</v>
      </c>
      <c r="L1654" s="254">
        <f t="shared" ref="L1654:X1654" ca="1" si="1394">IF($D1650=LataProjekcji,ROUND($D1651-L1653,0),ROUND(IF(AND(L1652=0,K1654&gt;0),$D1651-L1653,IF(L1652=0,0,$D1651-L1653)),0))</f>
        <v>0</v>
      </c>
      <c r="M1654" s="254">
        <f t="shared" ca="1" si="1394"/>
        <v>0</v>
      </c>
      <c r="N1654" s="254">
        <f t="shared" ca="1" si="1394"/>
        <v>0</v>
      </c>
      <c r="O1654" s="254">
        <f t="shared" ca="1" si="1394"/>
        <v>0</v>
      </c>
      <c r="P1654" s="254">
        <f t="shared" ca="1" si="1394"/>
        <v>0</v>
      </c>
      <c r="Q1654" s="254">
        <f t="shared" ca="1" si="1394"/>
        <v>0</v>
      </c>
      <c r="R1654" s="254">
        <f t="shared" ca="1" si="1394"/>
        <v>0</v>
      </c>
      <c r="S1654" s="254">
        <f t="shared" ca="1" si="1394"/>
        <v>0</v>
      </c>
      <c r="T1654" s="254">
        <f t="shared" ca="1" si="1394"/>
        <v>0</v>
      </c>
      <c r="U1654" s="254">
        <f t="shared" ca="1" si="1394"/>
        <v>0</v>
      </c>
      <c r="V1654" s="254">
        <f t="shared" ca="1" si="1394"/>
        <v>0</v>
      </c>
      <c r="W1654" s="254">
        <f t="shared" ca="1" si="1394"/>
        <v>0</v>
      </c>
      <c r="X1654" s="254">
        <f t="shared" ca="1" si="1394"/>
        <v>0</v>
      </c>
    </row>
    <row r="1655" spans="1:24" hidden="1">
      <c r="A1655" s="328"/>
      <c r="B1655" s="21"/>
      <c r="C1655" s="21"/>
      <c r="D1655" s="22"/>
      <c r="E1655" s="21"/>
      <c r="F1655" s="21"/>
      <c r="G1655" s="21"/>
      <c r="H1655" s="404">
        <f>H1648+1</f>
        <v>14</v>
      </c>
      <c r="I1655" s="483" cm="1">
        <f t="array" aca="1" ref="I1655" ca="1">OFFSET('Środki trwałe'!$C$418,H1655,,)</f>
        <v>0</v>
      </c>
      <c r="J1655" s="404" t="s">
        <v>427</v>
      </c>
      <c r="K1655" s="405">
        <f t="shared" ref="K1655:X1655" ca="1" si="1395">IF(AND(OFFSET($F$269,$D1649,0)="tak",OFFSET($G$269,$D1649,0)="tak",OFFSET($J$269,$D1649,0)="ok",LataProjekcji&lt;=Koniec_Projekt),ROUND(K1652*OFFSET($K$469,$H1655,(COLUMN()-11)),0),0)</f>
        <v>0</v>
      </c>
      <c r="L1655" s="405">
        <f t="shared" ca="1" si="1395"/>
        <v>0</v>
      </c>
      <c r="M1655" s="405">
        <f t="shared" ca="1" si="1395"/>
        <v>0</v>
      </c>
      <c r="N1655" s="405">
        <f t="shared" ca="1" si="1395"/>
        <v>0</v>
      </c>
      <c r="O1655" s="405">
        <f t="shared" ca="1" si="1395"/>
        <v>0</v>
      </c>
      <c r="P1655" s="405">
        <f t="shared" ca="1" si="1395"/>
        <v>0</v>
      </c>
      <c r="Q1655" s="405">
        <f t="shared" ca="1" si="1395"/>
        <v>0</v>
      </c>
      <c r="R1655" s="405">
        <f t="shared" ca="1" si="1395"/>
        <v>0</v>
      </c>
      <c r="S1655" s="405">
        <f t="shared" ca="1" si="1395"/>
        <v>0</v>
      </c>
      <c r="T1655" s="405">
        <f t="shared" ca="1" si="1395"/>
        <v>0</v>
      </c>
      <c r="U1655" s="405">
        <f t="shared" ca="1" si="1395"/>
        <v>0</v>
      </c>
      <c r="V1655" s="405">
        <f t="shared" ca="1" si="1395"/>
        <v>0</v>
      </c>
      <c r="W1655" s="405">
        <f t="shared" ca="1" si="1395"/>
        <v>0</v>
      </c>
      <c r="X1655" s="405">
        <f t="shared" ca="1" si="1395"/>
        <v>0</v>
      </c>
    </row>
    <row r="1656" spans="1:24" hidden="1">
      <c r="A1656" s="328"/>
      <c r="B1656" s="20">
        <f ca="1">OFFSET($B$269,D1656,0)</f>
        <v>0</v>
      </c>
      <c r="C1656" s="20"/>
      <c r="D1656" s="21">
        <f>D1649+1</f>
        <v>164</v>
      </c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</row>
    <row r="1657" spans="1:24" hidden="1">
      <c r="A1657" s="328"/>
      <c r="B1657" s="21" t="s">
        <v>414</v>
      </c>
      <c r="C1657" s="21"/>
      <c r="D1657" s="165">
        <f ca="1">YEAR(OFFSET($E$269,D1656,0))</f>
        <v>1900</v>
      </c>
      <c r="E1657" s="165">
        <f ca="1">MONTH(OFFSET($E$269,D1656,0))</f>
        <v>1</v>
      </c>
      <c r="F1657" s="21">
        <f ca="1">12-$E1657</f>
        <v>11</v>
      </c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</row>
    <row r="1658" spans="1:24" hidden="1">
      <c r="A1658" s="328"/>
      <c r="B1658" s="21" t="s">
        <v>406</v>
      </c>
      <c r="C1658" s="21"/>
      <c r="D1658" s="387">
        <f ca="1">IF(E1658&lt;0,0,ROUND(E1658,0))</f>
        <v>0</v>
      </c>
      <c r="E1658" s="249">
        <f ca="1">OFFSET($D$269,D1656,0)</f>
        <v>0</v>
      </c>
      <c r="F1658" s="387">
        <f ca="1">IF(E1658&gt;10,ROUND(($D1659/12)*$F1657,0),$D1658)</f>
        <v>0</v>
      </c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</row>
    <row r="1659" spans="1:24" hidden="1">
      <c r="A1659" s="328"/>
      <c r="B1659" s="21" t="s">
        <v>415</v>
      </c>
      <c r="C1659" s="21"/>
      <c r="D1659" s="387">
        <f ca="1">IF(ISBLANK(OFFSET($E$269,D1656,0)),0,IF(E1658&gt;10,ROUND(D1658*am_maszyny,0),IF(D1658&lt;0,0,D1658)))</f>
        <v>0</v>
      </c>
      <c r="E1659" s="21"/>
      <c r="F1659" s="21"/>
      <c r="G1659" s="21"/>
      <c r="H1659" s="21"/>
      <c r="I1659" s="21"/>
      <c r="J1659" s="21"/>
      <c r="K1659" s="75">
        <f ca="1">ROUND(IF($D1657=LataProjekcji,$F1658,IF($D1657=LataProjekcji,$D1659,0)),0)</f>
        <v>0</v>
      </c>
      <c r="L1659" s="248">
        <f ca="1">ROUND(IF(OR(AND($D1657=LataProjekcji,$F1657&gt;0),AND($D1657=LataProjekcji,$F1657=0,$E1658&lt;=10)),$F1658,IF($D1657&lt;LataProjekcji,IF((SUM($K1659:K1659)+$D1659)&lt;$D1658,$D1659,$D1658-SUM($K1659:K1659)),0)),0)</f>
        <v>0</v>
      </c>
      <c r="M1659" s="248">
        <f ca="1">ROUND(IF(OR(AND($D1657=LataProjekcji,$F1657&gt;0),AND($D1657=LataProjekcji,$F1657=0,$E1658&lt;=10)),$F1658,IF($D1657&lt;LataProjekcji,IF((SUM($K1659:L1659)+$D1659)&lt;$D1658,$D1659,$D1658-SUM($K1659:L1659)),0)),0)</f>
        <v>0</v>
      </c>
      <c r="N1659" s="248">
        <f ca="1">ROUND(IF(OR(AND($D1657=LataProjekcji,$F1657&gt;0),AND($D1657=LataProjekcji,$F1657=0,$E1658&lt;=10)),$F1658,IF($D1657&lt;LataProjekcji,IF((SUM($K1659:M1659)+$D1659)&lt;$D1658,$D1659,$D1658-SUM($K1659:M1659)),0)),0)</f>
        <v>0</v>
      </c>
      <c r="O1659" s="248">
        <f ca="1">ROUND(IF(OR(AND($D1657=LataProjekcji,$F1657&gt;0),AND($D1657=LataProjekcji,$F1657=0,$E1658&lt;=10)),$F1658,IF($D1657&lt;LataProjekcji,IF((SUM($K1659:N1659)+$D1659)&lt;$D1658,$D1659,$D1658-SUM($K1659:N1659)),0)),0)</f>
        <v>0</v>
      </c>
      <c r="P1659" s="248">
        <f ca="1">ROUND(IF(OR(AND($D1657=LataProjekcji,$F1657&gt;0),AND($D1657=LataProjekcji,$F1657=0,$E1658&lt;=10)),$F1658,IF($D1657&lt;LataProjekcji,IF((SUM($K1659:O1659)+$D1659)&lt;$D1658,$D1659,$D1658-SUM($K1659:O1659)),0)),0)</f>
        <v>0</v>
      </c>
      <c r="Q1659" s="248">
        <f ca="1">ROUND(IF(OR(AND($D1657=LataProjekcji,$F1657&gt;0),AND($D1657=LataProjekcji,$F1657=0,$E1658&lt;=10)),$F1658,IF($D1657&lt;LataProjekcji,IF((SUM($K1659:P1659)+$D1659)&lt;$D1658,$D1659,$D1658-SUM($K1659:P1659)),0)),0)</f>
        <v>0</v>
      </c>
      <c r="R1659" s="248">
        <f ca="1">ROUND(IF(OR(AND($D1657=LataProjekcji,$F1657&gt;0),AND($D1657=LataProjekcji,$F1657=0,$E1658&lt;=10)),$F1658,IF($D1657&lt;LataProjekcji,IF((SUM($K1659:Q1659)+$D1659)&lt;$D1658,$D1659,$D1658-SUM($K1659:Q1659)),0)),0)</f>
        <v>0</v>
      </c>
      <c r="S1659" s="248">
        <f ca="1">ROUND(IF(OR(AND($D1657=LataProjekcji,$F1657&gt;0),AND($D1657=LataProjekcji,$F1657=0,$E1658&lt;=10)),$F1658,IF($D1657&lt;LataProjekcji,IF((SUM($K1659:R1659)+$D1659)&lt;$D1658,$D1659,$D1658-SUM($K1659:R1659)),0)),0)</f>
        <v>0</v>
      </c>
      <c r="T1659" s="248">
        <f ca="1">ROUND(IF(OR(AND($D1657=LataProjekcji,$F1657&gt;0),AND($D1657=LataProjekcji,$F1657=0,$E1658&lt;=10)),$F1658,IF($D1657&lt;LataProjekcji,IF((SUM($K1659:S1659)+$D1659)&lt;$D1658,$D1659,$D1658-SUM($K1659:S1659)),0)),0)</f>
        <v>0</v>
      </c>
      <c r="U1659" s="248">
        <f ca="1">ROUND(IF(OR(AND($D1657=LataProjekcji,$F1657&gt;0),AND($D1657=LataProjekcji,$F1657=0,$E1658&lt;=10)),$F1658,IF($D1657&lt;LataProjekcji,IF((SUM($K1659:T1659)+$D1659)&lt;$D1658,$D1659,$D1658-SUM($K1659:T1659)),0)),0)</f>
        <v>0</v>
      </c>
      <c r="V1659" s="248">
        <f ca="1">ROUND(IF(OR(AND($D1657=LataProjekcji,$F1657&gt;0),AND($D1657=LataProjekcji,$F1657=0,$E1658&lt;=10)),$F1658,IF($D1657&lt;LataProjekcji,IF((SUM($K1659:U1659)+$D1659)&lt;$D1658,$D1659,$D1658-SUM($K1659:U1659)),0)),0)</f>
        <v>0</v>
      </c>
      <c r="W1659" s="248">
        <f ca="1">ROUND(IF(OR(AND($D1657=LataProjekcji,$F1657&gt;0),AND($D1657=LataProjekcji,$F1657=0,$E1658&lt;=10)),$F1658,IF($D1657&lt;LataProjekcji,IF((SUM($K1659:V1659)+$D1659)&lt;$D1658,$D1659,$D1658-SUM($K1659:V1659)),0)),0)</f>
        <v>0</v>
      </c>
      <c r="X1659" s="248">
        <f ca="1">ROUND(IF(OR(AND($D1657=LataProjekcji,$F1657&gt;0),AND($D1657=LataProjekcji,$F1657=0,$E1658&lt;=10)),$F1658,IF($D1657&lt;LataProjekcji,IF((SUM($K1659:W1659)+$D1659)&lt;$D1658,$D1659,$D1658-SUM($K1659:W1659)),0)),0)</f>
        <v>0</v>
      </c>
    </row>
    <row r="1660" spans="1:24" hidden="1">
      <c r="A1660" s="328"/>
      <c r="B1660" s="21" t="s">
        <v>416</v>
      </c>
      <c r="C1660" s="21"/>
      <c r="D1660" s="22"/>
      <c r="E1660" s="21"/>
      <c r="F1660" s="21"/>
      <c r="G1660" s="21"/>
      <c r="H1660" s="21"/>
      <c r="I1660" s="21"/>
      <c r="J1660" s="21"/>
      <c r="K1660" s="22">
        <f ca="1">ROUND(K1659,0)</f>
        <v>0</v>
      </c>
      <c r="L1660" s="22">
        <f t="shared" ref="L1660:X1660" ca="1" si="1396">ROUND(K1660+L1659,0)</f>
        <v>0</v>
      </c>
      <c r="M1660" s="22">
        <f t="shared" ca="1" si="1396"/>
        <v>0</v>
      </c>
      <c r="N1660" s="22">
        <f t="shared" ca="1" si="1396"/>
        <v>0</v>
      </c>
      <c r="O1660" s="22">
        <f t="shared" ca="1" si="1396"/>
        <v>0</v>
      </c>
      <c r="P1660" s="22">
        <f t="shared" ca="1" si="1396"/>
        <v>0</v>
      </c>
      <c r="Q1660" s="22">
        <f t="shared" ca="1" si="1396"/>
        <v>0</v>
      </c>
      <c r="R1660" s="22">
        <f t="shared" ca="1" si="1396"/>
        <v>0</v>
      </c>
      <c r="S1660" s="22">
        <f t="shared" ca="1" si="1396"/>
        <v>0</v>
      </c>
      <c r="T1660" s="22">
        <f t="shared" ca="1" si="1396"/>
        <v>0</v>
      </c>
      <c r="U1660" s="22">
        <f t="shared" ca="1" si="1396"/>
        <v>0</v>
      </c>
      <c r="V1660" s="22">
        <f t="shared" ca="1" si="1396"/>
        <v>0</v>
      </c>
      <c r="W1660" s="22">
        <f t="shared" ca="1" si="1396"/>
        <v>0</v>
      </c>
      <c r="X1660" s="22">
        <f t="shared" ca="1" si="1396"/>
        <v>0</v>
      </c>
    </row>
    <row r="1661" spans="1:24" hidden="1">
      <c r="A1661" s="328"/>
      <c r="B1661" s="21" t="s">
        <v>406</v>
      </c>
      <c r="C1661" s="21"/>
      <c r="D1661" s="22"/>
      <c r="E1661" s="21"/>
      <c r="F1661" s="21"/>
      <c r="G1661" s="21"/>
      <c r="H1661" s="21"/>
      <c r="I1661" s="21"/>
      <c r="J1661" s="21"/>
      <c r="K1661" s="77">
        <f ca="1">IF($D1657=LataProjekcji,ROUND($D1658-K1660,0),ROUND(IF(K1659=0,0,$D1658-K1660),0))</f>
        <v>0</v>
      </c>
      <c r="L1661" s="254">
        <f t="shared" ref="L1661:X1661" ca="1" si="1397">IF($D1657=LataProjekcji,ROUND($D1658-L1660,0),ROUND(IF(AND(L1659=0,K1661&gt;0),$D1658-L1660,IF(L1659=0,0,$D1658-L1660)),0))</f>
        <v>0</v>
      </c>
      <c r="M1661" s="254">
        <f t="shared" ca="1" si="1397"/>
        <v>0</v>
      </c>
      <c r="N1661" s="254">
        <f t="shared" ca="1" si="1397"/>
        <v>0</v>
      </c>
      <c r="O1661" s="254">
        <f t="shared" ca="1" si="1397"/>
        <v>0</v>
      </c>
      <c r="P1661" s="254">
        <f t="shared" ca="1" si="1397"/>
        <v>0</v>
      </c>
      <c r="Q1661" s="254">
        <f t="shared" ca="1" si="1397"/>
        <v>0</v>
      </c>
      <c r="R1661" s="254">
        <f t="shared" ca="1" si="1397"/>
        <v>0</v>
      </c>
      <c r="S1661" s="254">
        <f t="shared" ca="1" si="1397"/>
        <v>0</v>
      </c>
      <c r="T1661" s="254">
        <f t="shared" ca="1" si="1397"/>
        <v>0</v>
      </c>
      <c r="U1661" s="254">
        <f t="shared" ca="1" si="1397"/>
        <v>0</v>
      </c>
      <c r="V1661" s="254">
        <f t="shared" ca="1" si="1397"/>
        <v>0</v>
      </c>
      <c r="W1661" s="254">
        <f t="shared" ca="1" si="1397"/>
        <v>0</v>
      </c>
      <c r="X1661" s="254">
        <f t="shared" ca="1" si="1397"/>
        <v>0</v>
      </c>
    </row>
    <row r="1662" spans="1:24" hidden="1">
      <c r="A1662" s="328"/>
      <c r="B1662" s="21"/>
      <c r="C1662" s="21"/>
      <c r="D1662" s="21"/>
      <c r="E1662" s="21"/>
      <c r="F1662" s="21"/>
      <c r="G1662" s="21"/>
      <c r="H1662" s="404">
        <f>H1655+1</f>
        <v>15</v>
      </c>
      <c r="I1662" s="483" cm="1">
        <f t="array" aca="1" ref="I1662" ca="1">OFFSET('Środki trwałe'!$C$418,H1662,,)</f>
        <v>0</v>
      </c>
      <c r="J1662" s="404" t="s">
        <v>427</v>
      </c>
      <c r="K1662" s="405">
        <f t="shared" ref="K1662:X1662" ca="1" si="1398">IF(AND(OFFSET($F$269,$D1656,0)="tak",OFFSET($G$269,$D1656,0)="tak",OFFSET($J$269,$D1656,0)="ok",LataProjekcji&lt;=Koniec_Projekt),ROUND(K1659*OFFSET($K$469,$H1662,(COLUMN()-11)),0),0)</f>
        <v>0</v>
      </c>
      <c r="L1662" s="405">
        <f t="shared" ca="1" si="1398"/>
        <v>0</v>
      </c>
      <c r="M1662" s="405">
        <f t="shared" ca="1" si="1398"/>
        <v>0</v>
      </c>
      <c r="N1662" s="405">
        <f t="shared" ca="1" si="1398"/>
        <v>0</v>
      </c>
      <c r="O1662" s="405">
        <f t="shared" ca="1" si="1398"/>
        <v>0</v>
      </c>
      <c r="P1662" s="405">
        <f t="shared" ca="1" si="1398"/>
        <v>0</v>
      </c>
      <c r="Q1662" s="405">
        <f t="shared" ca="1" si="1398"/>
        <v>0</v>
      </c>
      <c r="R1662" s="405">
        <f t="shared" ca="1" si="1398"/>
        <v>0</v>
      </c>
      <c r="S1662" s="405">
        <f t="shared" ca="1" si="1398"/>
        <v>0</v>
      </c>
      <c r="T1662" s="405">
        <f t="shared" ca="1" si="1398"/>
        <v>0</v>
      </c>
      <c r="U1662" s="405">
        <f t="shared" ca="1" si="1398"/>
        <v>0</v>
      </c>
      <c r="V1662" s="405">
        <f t="shared" ca="1" si="1398"/>
        <v>0</v>
      </c>
      <c r="W1662" s="405">
        <f t="shared" ca="1" si="1398"/>
        <v>0</v>
      </c>
      <c r="X1662" s="405">
        <f t="shared" ca="1" si="1398"/>
        <v>0</v>
      </c>
    </row>
    <row r="1663" spans="1:24" hidden="1">
      <c r="A1663" s="328"/>
      <c r="B1663" s="20">
        <f ca="1">OFFSET($B$269,D1663,0)</f>
        <v>0</v>
      </c>
      <c r="C1663" s="20"/>
      <c r="D1663" s="21">
        <f>D1656+1</f>
        <v>165</v>
      </c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</row>
    <row r="1664" spans="1:24" hidden="1">
      <c r="A1664" s="328"/>
      <c r="B1664" s="21" t="s">
        <v>414</v>
      </c>
      <c r="C1664" s="21"/>
      <c r="D1664" s="165">
        <f ca="1">YEAR(OFFSET($E$269,D1663,0))</f>
        <v>1900</v>
      </c>
      <c r="E1664" s="165">
        <f ca="1">MONTH(OFFSET($E$269,D1663,0))</f>
        <v>1</v>
      </c>
      <c r="F1664" s="21">
        <f ca="1">12-$E1664</f>
        <v>11</v>
      </c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</row>
    <row r="1665" spans="1:24" hidden="1">
      <c r="A1665" s="328"/>
      <c r="B1665" s="21" t="s">
        <v>406</v>
      </c>
      <c r="C1665" s="21"/>
      <c r="D1665" s="388">
        <f ca="1">IF(E1665&lt;0,0,ROUND(E1665,0))</f>
        <v>0</v>
      </c>
      <c r="E1665" s="249">
        <f ca="1">OFFSET($D$269,D1663,0)</f>
        <v>0</v>
      </c>
      <c r="F1665" s="388">
        <f ca="1">IF(E1665&gt;10,ROUND(($D1666/12)*$F1664,0),$D1665)</f>
        <v>0</v>
      </c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</row>
    <row r="1666" spans="1:24" hidden="1">
      <c r="A1666" s="328"/>
      <c r="B1666" s="21" t="s">
        <v>415</v>
      </c>
      <c r="C1666" s="21"/>
      <c r="D1666" s="388">
        <f ca="1">IF(ISBLANK(OFFSET($E$269,D1663,0)),0,IF(E1665&gt;10,ROUND(D1665*am_maszyny,0),IF(D1665&lt;0,0,D1665)))</f>
        <v>0</v>
      </c>
      <c r="E1666" s="21"/>
      <c r="F1666" s="21"/>
      <c r="G1666" s="21"/>
      <c r="H1666" s="21"/>
      <c r="I1666" s="21"/>
      <c r="J1666" s="21"/>
      <c r="K1666" s="75">
        <f ca="1">ROUND(IF($D1664=LataProjekcji,$F1665,IF($D1664=LataProjekcji,$D1666,0)),0)</f>
        <v>0</v>
      </c>
      <c r="L1666" s="248">
        <f ca="1">ROUND(IF(OR(AND($D1664=LataProjekcji,$F1664&gt;0),AND($D1664=LataProjekcji,$F1664=0,$E1665&lt;=10)),$F1665,IF($D1664&lt;LataProjekcji,IF((SUM($K1666:K1666)+$D1666)&lt;$D1665,$D1666,$D1665-SUM($K1666:K1666)),0)),0)</f>
        <v>0</v>
      </c>
      <c r="M1666" s="248">
        <f ca="1">ROUND(IF(OR(AND($D1664=LataProjekcji,$F1664&gt;0),AND($D1664=LataProjekcji,$F1664=0,$E1665&lt;=10)),$F1665,IF($D1664&lt;LataProjekcji,IF((SUM($K1666:L1666)+$D1666)&lt;$D1665,$D1666,$D1665-SUM($K1666:L1666)),0)),0)</f>
        <v>0</v>
      </c>
      <c r="N1666" s="248">
        <f ca="1">ROUND(IF(OR(AND($D1664=LataProjekcji,$F1664&gt;0),AND($D1664=LataProjekcji,$F1664=0,$E1665&lt;=10)),$F1665,IF($D1664&lt;LataProjekcji,IF((SUM($K1666:M1666)+$D1666)&lt;$D1665,$D1666,$D1665-SUM($K1666:M1666)),0)),0)</f>
        <v>0</v>
      </c>
      <c r="O1666" s="248">
        <f ca="1">ROUND(IF(OR(AND($D1664=LataProjekcji,$F1664&gt;0),AND($D1664=LataProjekcji,$F1664=0,$E1665&lt;=10)),$F1665,IF($D1664&lt;LataProjekcji,IF((SUM($K1666:N1666)+$D1666)&lt;$D1665,$D1666,$D1665-SUM($K1666:N1666)),0)),0)</f>
        <v>0</v>
      </c>
      <c r="P1666" s="248">
        <f ca="1">ROUND(IF(OR(AND($D1664=LataProjekcji,$F1664&gt;0),AND($D1664=LataProjekcji,$F1664=0,$E1665&lt;=10)),$F1665,IF($D1664&lt;LataProjekcji,IF((SUM($K1666:O1666)+$D1666)&lt;$D1665,$D1666,$D1665-SUM($K1666:O1666)),0)),0)</f>
        <v>0</v>
      </c>
      <c r="Q1666" s="248">
        <f ca="1">ROUND(IF(OR(AND($D1664=LataProjekcji,$F1664&gt;0),AND($D1664=LataProjekcji,$F1664=0,$E1665&lt;=10)),$F1665,IF($D1664&lt;LataProjekcji,IF((SUM($K1666:P1666)+$D1666)&lt;$D1665,$D1666,$D1665-SUM($K1666:P1666)),0)),0)</f>
        <v>0</v>
      </c>
      <c r="R1666" s="248">
        <f ca="1">ROUND(IF(OR(AND($D1664=LataProjekcji,$F1664&gt;0),AND($D1664=LataProjekcji,$F1664=0,$E1665&lt;=10)),$F1665,IF($D1664&lt;LataProjekcji,IF((SUM($K1666:Q1666)+$D1666)&lt;$D1665,$D1666,$D1665-SUM($K1666:Q1666)),0)),0)</f>
        <v>0</v>
      </c>
      <c r="S1666" s="248">
        <f ca="1">ROUND(IF(OR(AND($D1664=LataProjekcji,$F1664&gt;0),AND($D1664=LataProjekcji,$F1664=0,$E1665&lt;=10)),$F1665,IF($D1664&lt;LataProjekcji,IF((SUM($K1666:R1666)+$D1666)&lt;$D1665,$D1666,$D1665-SUM($K1666:R1666)),0)),0)</f>
        <v>0</v>
      </c>
      <c r="T1666" s="248">
        <f ca="1">ROUND(IF(OR(AND($D1664=LataProjekcji,$F1664&gt;0),AND($D1664=LataProjekcji,$F1664=0,$E1665&lt;=10)),$F1665,IF($D1664&lt;LataProjekcji,IF((SUM($K1666:S1666)+$D1666)&lt;$D1665,$D1666,$D1665-SUM($K1666:S1666)),0)),0)</f>
        <v>0</v>
      </c>
      <c r="U1666" s="248">
        <f ca="1">ROUND(IF(OR(AND($D1664=LataProjekcji,$F1664&gt;0),AND($D1664=LataProjekcji,$F1664=0,$E1665&lt;=10)),$F1665,IF($D1664&lt;LataProjekcji,IF((SUM($K1666:T1666)+$D1666)&lt;$D1665,$D1666,$D1665-SUM($K1666:T1666)),0)),0)</f>
        <v>0</v>
      </c>
      <c r="V1666" s="248">
        <f ca="1">ROUND(IF(OR(AND($D1664=LataProjekcji,$F1664&gt;0),AND($D1664=LataProjekcji,$F1664=0,$E1665&lt;=10)),$F1665,IF($D1664&lt;LataProjekcji,IF((SUM($K1666:U1666)+$D1666)&lt;$D1665,$D1666,$D1665-SUM($K1666:U1666)),0)),0)</f>
        <v>0</v>
      </c>
      <c r="W1666" s="248">
        <f ca="1">ROUND(IF(OR(AND($D1664=LataProjekcji,$F1664&gt;0),AND($D1664=LataProjekcji,$F1664=0,$E1665&lt;=10)),$F1665,IF($D1664&lt;LataProjekcji,IF((SUM($K1666:V1666)+$D1666)&lt;$D1665,$D1666,$D1665-SUM($K1666:V1666)),0)),0)</f>
        <v>0</v>
      </c>
      <c r="X1666" s="248">
        <f ca="1">ROUND(IF(OR(AND($D1664=LataProjekcji,$F1664&gt;0),AND($D1664=LataProjekcji,$F1664=0,$E1665&lt;=10)),$F1665,IF($D1664&lt;LataProjekcji,IF((SUM($K1666:W1666)+$D1666)&lt;$D1665,$D1666,$D1665-SUM($K1666:W1666)),0)),0)</f>
        <v>0</v>
      </c>
    </row>
    <row r="1667" spans="1:24" hidden="1">
      <c r="A1667" s="328"/>
      <c r="B1667" s="21" t="s">
        <v>416</v>
      </c>
      <c r="C1667" s="21"/>
      <c r="D1667" s="22"/>
      <c r="E1667" s="21"/>
      <c r="F1667" s="21"/>
      <c r="G1667" s="21"/>
      <c r="H1667" s="21"/>
      <c r="I1667" s="21"/>
      <c r="J1667" s="21"/>
      <c r="K1667" s="22">
        <f ca="1">ROUND(K1666,0)</f>
        <v>0</v>
      </c>
      <c r="L1667" s="22">
        <f t="shared" ref="L1667:X1667" ca="1" si="1399">ROUND(K1667+L1666,0)</f>
        <v>0</v>
      </c>
      <c r="M1667" s="22">
        <f t="shared" ca="1" si="1399"/>
        <v>0</v>
      </c>
      <c r="N1667" s="22">
        <f t="shared" ca="1" si="1399"/>
        <v>0</v>
      </c>
      <c r="O1667" s="22">
        <f t="shared" ca="1" si="1399"/>
        <v>0</v>
      </c>
      <c r="P1667" s="22">
        <f t="shared" ca="1" si="1399"/>
        <v>0</v>
      </c>
      <c r="Q1667" s="22">
        <f t="shared" ca="1" si="1399"/>
        <v>0</v>
      </c>
      <c r="R1667" s="22">
        <f t="shared" ca="1" si="1399"/>
        <v>0</v>
      </c>
      <c r="S1667" s="22">
        <f t="shared" ca="1" si="1399"/>
        <v>0</v>
      </c>
      <c r="T1667" s="22">
        <f t="shared" ca="1" si="1399"/>
        <v>0</v>
      </c>
      <c r="U1667" s="22">
        <f t="shared" ca="1" si="1399"/>
        <v>0</v>
      </c>
      <c r="V1667" s="22">
        <f t="shared" ca="1" si="1399"/>
        <v>0</v>
      </c>
      <c r="W1667" s="22">
        <f t="shared" ca="1" si="1399"/>
        <v>0</v>
      </c>
      <c r="X1667" s="22">
        <f t="shared" ca="1" si="1399"/>
        <v>0</v>
      </c>
    </row>
    <row r="1668" spans="1:24" hidden="1">
      <c r="A1668" s="328"/>
      <c r="B1668" s="21" t="s">
        <v>406</v>
      </c>
      <c r="C1668" s="21"/>
      <c r="D1668" s="22"/>
      <c r="E1668" s="21"/>
      <c r="F1668" s="21"/>
      <c r="G1668" s="21"/>
      <c r="H1668" s="21"/>
      <c r="I1668" s="21"/>
      <c r="J1668" s="21"/>
      <c r="K1668" s="77">
        <f ca="1">IF($D1664=LataProjekcji,ROUND($D1665-K1667,0),ROUND(IF(K1666=0,0,$D1665-K1667),0))</f>
        <v>0</v>
      </c>
      <c r="L1668" s="254">
        <f t="shared" ref="L1668:X1668" ca="1" si="1400">IF($D1664=LataProjekcji,ROUND($D1665-L1667,0),ROUND(IF(AND(L1666=0,K1668&gt;0),$D1665-L1667,IF(L1666=0,0,$D1665-L1667)),0))</f>
        <v>0</v>
      </c>
      <c r="M1668" s="254">
        <f t="shared" ca="1" si="1400"/>
        <v>0</v>
      </c>
      <c r="N1668" s="254">
        <f t="shared" ca="1" si="1400"/>
        <v>0</v>
      </c>
      <c r="O1668" s="254">
        <f t="shared" ca="1" si="1400"/>
        <v>0</v>
      </c>
      <c r="P1668" s="254">
        <f t="shared" ca="1" si="1400"/>
        <v>0</v>
      </c>
      <c r="Q1668" s="254">
        <f t="shared" ca="1" si="1400"/>
        <v>0</v>
      </c>
      <c r="R1668" s="254">
        <f t="shared" ca="1" si="1400"/>
        <v>0</v>
      </c>
      <c r="S1668" s="254">
        <f t="shared" ca="1" si="1400"/>
        <v>0</v>
      </c>
      <c r="T1668" s="254">
        <f t="shared" ca="1" si="1400"/>
        <v>0</v>
      </c>
      <c r="U1668" s="254">
        <f t="shared" ca="1" si="1400"/>
        <v>0</v>
      </c>
      <c r="V1668" s="254">
        <f t="shared" ca="1" si="1400"/>
        <v>0</v>
      </c>
      <c r="W1668" s="254">
        <f t="shared" ca="1" si="1400"/>
        <v>0</v>
      </c>
      <c r="X1668" s="254">
        <f t="shared" ca="1" si="1400"/>
        <v>0</v>
      </c>
    </row>
    <row r="1669" spans="1:24" hidden="1">
      <c r="A1669" s="328"/>
      <c r="B1669" s="21"/>
      <c r="C1669" s="21"/>
      <c r="D1669" s="22"/>
      <c r="E1669" s="21"/>
      <c r="F1669" s="21"/>
      <c r="G1669" s="21"/>
      <c r="H1669" s="404">
        <f>H1662+1</f>
        <v>16</v>
      </c>
      <c r="I1669" s="483" cm="1">
        <f t="array" aca="1" ref="I1669" ca="1">OFFSET('Środki trwałe'!$C$418,H1669,,)</f>
        <v>0</v>
      </c>
      <c r="J1669" s="404" t="s">
        <v>427</v>
      </c>
      <c r="K1669" s="405">
        <f t="shared" ref="K1669:X1669" ca="1" si="1401">IF(AND(OFFSET($F$269,$D1663,0)="tak",OFFSET($G$269,$D1663,0)="tak",OFFSET($J$269,$D1663,0)="ok",LataProjekcji&lt;=Koniec_Projekt),ROUND(K1666*OFFSET($K$469,$H1669,(COLUMN()-11)),0),0)</f>
        <v>0</v>
      </c>
      <c r="L1669" s="405">
        <f t="shared" ca="1" si="1401"/>
        <v>0</v>
      </c>
      <c r="M1669" s="405">
        <f t="shared" ca="1" si="1401"/>
        <v>0</v>
      </c>
      <c r="N1669" s="405">
        <f t="shared" ca="1" si="1401"/>
        <v>0</v>
      </c>
      <c r="O1669" s="405">
        <f t="shared" ca="1" si="1401"/>
        <v>0</v>
      </c>
      <c r="P1669" s="405">
        <f t="shared" ca="1" si="1401"/>
        <v>0</v>
      </c>
      <c r="Q1669" s="405">
        <f t="shared" ca="1" si="1401"/>
        <v>0</v>
      </c>
      <c r="R1669" s="405">
        <f t="shared" ca="1" si="1401"/>
        <v>0</v>
      </c>
      <c r="S1669" s="405">
        <f t="shared" ca="1" si="1401"/>
        <v>0</v>
      </c>
      <c r="T1669" s="405">
        <f t="shared" ca="1" si="1401"/>
        <v>0</v>
      </c>
      <c r="U1669" s="405">
        <f t="shared" ca="1" si="1401"/>
        <v>0</v>
      </c>
      <c r="V1669" s="405">
        <f t="shared" ca="1" si="1401"/>
        <v>0</v>
      </c>
      <c r="W1669" s="405">
        <f t="shared" ca="1" si="1401"/>
        <v>0</v>
      </c>
      <c r="X1669" s="405">
        <f t="shared" ca="1" si="1401"/>
        <v>0</v>
      </c>
    </row>
    <row r="1670" spans="1:24" hidden="1">
      <c r="A1670" s="328"/>
      <c r="B1670" s="20">
        <f ca="1">OFFSET($B$269,D1670,0)</f>
        <v>0</v>
      </c>
      <c r="C1670" s="20"/>
      <c r="D1670" s="21">
        <f>D1663+1</f>
        <v>166</v>
      </c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</row>
    <row r="1671" spans="1:24" hidden="1">
      <c r="A1671" s="328"/>
      <c r="B1671" s="21" t="s">
        <v>414</v>
      </c>
      <c r="C1671" s="21"/>
      <c r="D1671" s="165">
        <f ca="1">YEAR(OFFSET($E$269,D1670,0))</f>
        <v>1900</v>
      </c>
      <c r="E1671" s="165">
        <f ca="1">MONTH(OFFSET($E$269,D1670,0))</f>
        <v>1</v>
      </c>
      <c r="F1671" s="21">
        <f ca="1">12-$E1671</f>
        <v>11</v>
      </c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</row>
    <row r="1672" spans="1:24" hidden="1">
      <c r="A1672" s="328"/>
      <c r="B1672" s="21" t="s">
        <v>406</v>
      </c>
      <c r="C1672" s="21"/>
      <c r="D1672" s="385">
        <f ca="1">IF(E1672&lt;0,0,ROUND(E1672,0))</f>
        <v>0</v>
      </c>
      <c r="E1672" s="249">
        <f ca="1">OFFSET($D$269,D1670,0)</f>
        <v>0</v>
      </c>
      <c r="F1672" s="385">
        <f ca="1">IF(E1672&gt;10,ROUND(($D1673/12)*$F1671,0),$D1672)</f>
        <v>0</v>
      </c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</row>
    <row r="1673" spans="1:24" hidden="1">
      <c r="A1673" s="328"/>
      <c r="B1673" s="21" t="s">
        <v>415</v>
      </c>
      <c r="C1673" s="21"/>
      <c r="D1673" s="385">
        <f ca="1">IF(ISBLANK(OFFSET($E$269,D1670,0)),0,IF(E1672&gt;10,ROUND(D1672*am_maszyny,0),IF(D1672&lt;0,0,D1672)))</f>
        <v>0</v>
      </c>
      <c r="E1673" s="21"/>
      <c r="F1673" s="21"/>
      <c r="G1673" s="21"/>
      <c r="H1673" s="21"/>
      <c r="I1673" s="21"/>
      <c r="J1673" s="21"/>
      <c r="K1673" s="75">
        <f ca="1">ROUND(IF($D1671=LataProjekcji,$F1672,IF($D1671=LataProjekcji,$D1673,0)),0)</f>
        <v>0</v>
      </c>
      <c r="L1673" s="248">
        <f ca="1">ROUND(IF(OR(AND($D1671=LataProjekcji,$F1671&gt;0),AND($D1671=LataProjekcji,$F1671=0,$E1672&lt;=10)),$F1672,IF($D1671&lt;LataProjekcji,IF((SUM($K1673:K1673)+$D1673)&lt;$D1672,$D1673,$D1672-SUM($K1673:K1673)),0)),0)</f>
        <v>0</v>
      </c>
      <c r="M1673" s="248">
        <f ca="1">ROUND(IF(OR(AND($D1671=LataProjekcji,$F1671&gt;0),AND($D1671=LataProjekcji,$F1671=0,$E1672&lt;=10)),$F1672,IF($D1671&lt;LataProjekcji,IF((SUM($K1673:L1673)+$D1673)&lt;$D1672,$D1673,$D1672-SUM($K1673:L1673)),0)),0)</f>
        <v>0</v>
      </c>
      <c r="N1673" s="248">
        <f ca="1">ROUND(IF(OR(AND($D1671=LataProjekcji,$F1671&gt;0),AND($D1671=LataProjekcji,$F1671=0,$E1672&lt;=10)),$F1672,IF($D1671&lt;LataProjekcji,IF((SUM($K1673:M1673)+$D1673)&lt;$D1672,$D1673,$D1672-SUM($K1673:M1673)),0)),0)</f>
        <v>0</v>
      </c>
      <c r="O1673" s="248">
        <f ca="1">ROUND(IF(OR(AND($D1671=LataProjekcji,$F1671&gt;0),AND($D1671=LataProjekcji,$F1671=0,$E1672&lt;=10)),$F1672,IF($D1671&lt;LataProjekcji,IF((SUM($K1673:N1673)+$D1673)&lt;$D1672,$D1673,$D1672-SUM($K1673:N1673)),0)),0)</f>
        <v>0</v>
      </c>
      <c r="P1673" s="248">
        <f ca="1">ROUND(IF(OR(AND($D1671=LataProjekcji,$F1671&gt;0),AND($D1671=LataProjekcji,$F1671=0,$E1672&lt;=10)),$F1672,IF($D1671&lt;LataProjekcji,IF((SUM($K1673:O1673)+$D1673)&lt;$D1672,$D1673,$D1672-SUM($K1673:O1673)),0)),0)</f>
        <v>0</v>
      </c>
      <c r="Q1673" s="248">
        <f ca="1">ROUND(IF(OR(AND($D1671=LataProjekcji,$F1671&gt;0),AND($D1671=LataProjekcji,$F1671=0,$E1672&lt;=10)),$F1672,IF($D1671&lt;LataProjekcji,IF((SUM($K1673:P1673)+$D1673)&lt;$D1672,$D1673,$D1672-SUM($K1673:P1673)),0)),0)</f>
        <v>0</v>
      </c>
      <c r="R1673" s="248">
        <f ca="1">ROUND(IF(OR(AND($D1671=LataProjekcji,$F1671&gt;0),AND($D1671=LataProjekcji,$F1671=0,$E1672&lt;=10)),$F1672,IF($D1671&lt;LataProjekcji,IF((SUM($K1673:Q1673)+$D1673)&lt;$D1672,$D1673,$D1672-SUM($K1673:Q1673)),0)),0)</f>
        <v>0</v>
      </c>
      <c r="S1673" s="248">
        <f ca="1">ROUND(IF(OR(AND($D1671=LataProjekcji,$F1671&gt;0),AND($D1671=LataProjekcji,$F1671=0,$E1672&lt;=10)),$F1672,IF($D1671&lt;LataProjekcji,IF((SUM($K1673:R1673)+$D1673)&lt;$D1672,$D1673,$D1672-SUM($K1673:R1673)),0)),0)</f>
        <v>0</v>
      </c>
      <c r="T1673" s="248">
        <f ca="1">ROUND(IF(OR(AND($D1671=LataProjekcji,$F1671&gt;0),AND($D1671=LataProjekcji,$F1671=0,$E1672&lt;=10)),$F1672,IF($D1671&lt;LataProjekcji,IF((SUM($K1673:S1673)+$D1673)&lt;$D1672,$D1673,$D1672-SUM($K1673:S1673)),0)),0)</f>
        <v>0</v>
      </c>
      <c r="U1673" s="248">
        <f ca="1">ROUND(IF(OR(AND($D1671=LataProjekcji,$F1671&gt;0),AND($D1671=LataProjekcji,$F1671=0,$E1672&lt;=10)),$F1672,IF($D1671&lt;LataProjekcji,IF((SUM($K1673:T1673)+$D1673)&lt;$D1672,$D1673,$D1672-SUM($K1673:T1673)),0)),0)</f>
        <v>0</v>
      </c>
      <c r="V1673" s="248">
        <f ca="1">ROUND(IF(OR(AND($D1671=LataProjekcji,$F1671&gt;0),AND($D1671=LataProjekcji,$F1671=0,$E1672&lt;=10)),$F1672,IF($D1671&lt;LataProjekcji,IF((SUM($K1673:U1673)+$D1673)&lt;$D1672,$D1673,$D1672-SUM($K1673:U1673)),0)),0)</f>
        <v>0</v>
      </c>
      <c r="W1673" s="248">
        <f ca="1">ROUND(IF(OR(AND($D1671=LataProjekcji,$F1671&gt;0),AND($D1671=LataProjekcji,$F1671=0,$E1672&lt;=10)),$F1672,IF($D1671&lt;LataProjekcji,IF((SUM($K1673:V1673)+$D1673)&lt;$D1672,$D1673,$D1672-SUM($K1673:V1673)),0)),0)</f>
        <v>0</v>
      </c>
      <c r="X1673" s="248">
        <f ca="1">ROUND(IF(OR(AND($D1671=LataProjekcji,$F1671&gt;0),AND($D1671=LataProjekcji,$F1671=0,$E1672&lt;=10)),$F1672,IF($D1671&lt;LataProjekcji,IF((SUM($K1673:W1673)+$D1673)&lt;$D1672,$D1673,$D1672-SUM($K1673:W1673)),0)),0)</f>
        <v>0</v>
      </c>
    </row>
    <row r="1674" spans="1:24" hidden="1">
      <c r="A1674" s="328"/>
      <c r="B1674" s="21" t="s">
        <v>416</v>
      </c>
      <c r="C1674" s="21"/>
      <c r="D1674" s="22"/>
      <c r="E1674" s="21"/>
      <c r="F1674" s="21"/>
      <c r="G1674" s="21"/>
      <c r="H1674" s="21"/>
      <c r="I1674" s="21"/>
      <c r="J1674" s="21"/>
      <c r="K1674" s="22">
        <f ca="1">ROUND(K1673,0)</f>
        <v>0</v>
      </c>
      <c r="L1674" s="22">
        <f t="shared" ref="L1674:X1674" ca="1" si="1402">ROUND(K1674+L1673,0)</f>
        <v>0</v>
      </c>
      <c r="M1674" s="22">
        <f t="shared" ca="1" si="1402"/>
        <v>0</v>
      </c>
      <c r="N1674" s="22">
        <f t="shared" ca="1" si="1402"/>
        <v>0</v>
      </c>
      <c r="O1674" s="22">
        <f t="shared" ca="1" si="1402"/>
        <v>0</v>
      </c>
      <c r="P1674" s="22">
        <f t="shared" ca="1" si="1402"/>
        <v>0</v>
      </c>
      <c r="Q1674" s="22">
        <f t="shared" ca="1" si="1402"/>
        <v>0</v>
      </c>
      <c r="R1674" s="22">
        <f t="shared" ca="1" si="1402"/>
        <v>0</v>
      </c>
      <c r="S1674" s="22">
        <f t="shared" ca="1" si="1402"/>
        <v>0</v>
      </c>
      <c r="T1674" s="22">
        <f t="shared" ca="1" si="1402"/>
        <v>0</v>
      </c>
      <c r="U1674" s="22">
        <f t="shared" ca="1" si="1402"/>
        <v>0</v>
      </c>
      <c r="V1674" s="22">
        <f t="shared" ca="1" si="1402"/>
        <v>0</v>
      </c>
      <c r="W1674" s="22">
        <f t="shared" ca="1" si="1402"/>
        <v>0</v>
      </c>
      <c r="X1674" s="22">
        <f t="shared" ca="1" si="1402"/>
        <v>0</v>
      </c>
    </row>
    <row r="1675" spans="1:24" hidden="1">
      <c r="A1675" s="328"/>
      <c r="B1675" s="21" t="s">
        <v>406</v>
      </c>
      <c r="C1675" s="21"/>
      <c r="D1675" s="22"/>
      <c r="E1675" s="21"/>
      <c r="F1675" s="21"/>
      <c r="G1675" s="21"/>
      <c r="H1675" s="21"/>
      <c r="I1675" s="21"/>
      <c r="J1675" s="21"/>
      <c r="K1675" s="77">
        <f ca="1">IF($D1671=LataProjekcji,ROUND($D1672-K1674,0),ROUND(IF(K1673=0,0,$D1672-K1674),0))</f>
        <v>0</v>
      </c>
      <c r="L1675" s="254">
        <f t="shared" ref="L1675:X1675" ca="1" si="1403">IF($D1671=LataProjekcji,ROUND($D1672-L1674,0),ROUND(IF(AND(L1673=0,K1675&gt;0),$D1672-L1674,IF(L1673=0,0,$D1672-L1674)),0))</f>
        <v>0</v>
      </c>
      <c r="M1675" s="254">
        <f t="shared" ca="1" si="1403"/>
        <v>0</v>
      </c>
      <c r="N1675" s="254">
        <f t="shared" ca="1" si="1403"/>
        <v>0</v>
      </c>
      <c r="O1675" s="254">
        <f t="shared" ca="1" si="1403"/>
        <v>0</v>
      </c>
      <c r="P1675" s="254">
        <f t="shared" ca="1" si="1403"/>
        <v>0</v>
      </c>
      <c r="Q1675" s="254">
        <f t="shared" ca="1" si="1403"/>
        <v>0</v>
      </c>
      <c r="R1675" s="254">
        <f t="shared" ca="1" si="1403"/>
        <v>0</v>
      </c>
      <c r="S1675" s="254">
        <f t="shared" ca="1" si="1403"/>
        <v>0</v>
      </c>
      <c r="T1675" s="254">
        <f t="shared" ca="1" si="1403"/>
        <v>0</v>
      </c>
      <c r="U1675" s="254">
        <f t="shared" ca="1" si="1403"/>
        <v>0</v>
      </c>
      <c r="V1675" s="254">
        <f t="shared" ca="1" si="1403"/>
        <v>0</v>
      </c>
      <c r="W1675" s="254">
        <f t="shared" ca="1" si="1403"/>
        <v>0</v>
      </c>
      <c r="X1675" s="254">
        <f t="shared" ca="1" si="1403"/>
        <v>0</v>
      </c>
    </row>
    <row r="1676" spans="1:24" hidden="1">
      <c r="A1676" s="328"/>
      <c r="B1676" s="20"/>
      <c r="C1676" s="20"/>
      <c r="D1676" s="21"/>
      <c r="E1676" s="21"/>
      <c r="F1676" s="21"/>
      <c r="G1676" s="21"/>
      <c r="H1676" s="404">
        <f>H1669+1</f>
        <v>17</v>
      </c>
      <c r="I1676" s="483" cm="1">
        <f t="array" aca="1" ref="I1676" ca="1">OFFSET('Środki trwałe'!$C$418,H1676,,)</f>
        <v>0</v>
      </c>
      <c r="J1676" s="404" t="s">
        <v>427</v>
      </c>
      <c r="K1676" s="405">
        <f t="shared" ref="K1676:X1676" ca="1" si="1404">IF(AND(OFFSET($F$269,$D1670,0)="tak",OFFSET($G$269,$D1670,0)="tak",OFFSET($J$269,$D1670,0)="ok",LataProjekcji&lt;=Koniec_Projekt),ROUND(K1673*OFFSET($K$469,$H1676,(COLUMN()-11)),0),0)</f>
        <v>0</v>
      </c>
      <c r="L1676" s="405">
        <f t="shared" ca="1" si="1404"/>
        <v>0</v>
      </c>
      <c r="M1676" s="405">
        <f t="shared" ca="1" si="1404"/>
        <v>0</v>
      </c>
      <c r="N1676" s="405">
        <f t="shared" ca="1" si="1404"/>
        <v>0</v>
      </c>
      <c r="O1676" s="405">
        <f t="shared" ca="1" si="1404"/>
        <v>0</v>
      </c>
      <c r="P1676" s="405">
        <f t="shared" ca="1" si="1404"/>
        <v>0</v>
      </c>
      <c r="Q1676" s="405">
        <f t="shared" ca="1" si="1404"/>
        <v>0</v>
      </c>
      <c r="R1676" s="405">
        <f t="shared" ca="1" si="1404"/>
        <v>0</v>
      </c>
      <c r="S1676" s="405">
        <f t="shared" ca="1" si="1404"/>
        <v>0</v>
      </c>
      <c r="T1676" s="405">
        <f t="shared" ca="1" si="1404"/>
        <v>0</v>
      </c>
      <c r="U1676" s="405">
        <f t="shared" ca="1" si="1404"/>
        <v>0</v>
      </c>
      <c r="V1676" s="405">
        <f t="shared" ca="1" si="1404"/>
        <v>0</v>
      </c>
      <c r="W1676" s="405">
        <f t="shared" ca="1" si="1404"/>
        <v>0</v>
      </c>
      <c r="X1676" s="405">
        <f t="shared" ca="1" si="1404"/>
        <v>0</v>
      </c>
    </row>
    <row r="1677" spans="1:24" hidden="1">
      <c r="A1677" s="328"/>
      <c r="B1677" s="20">
        <f ca="1">OFFSET($B$269,D1677,0)</f>
        <v>0</v>
      </c>
      <c r="C1677" s="20"/>
      <c r="D1677" s="21">
        <f>D1670+1</f>
        <v>167</v>
      </c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</row>
    <row r="1678" spans="1:24" hidden="1">
      <c r="A1678" s="328"/>
      <c r="B1678" s="21" t="s">
        <v>414</v>
      </c>
      <c r="C1678" s="21"/>
      <c r="D1678" s="165">
        <f ca="1">YEAR(OFFSET($E$269,D1677,0))</f>
        <v>1900</v>
      </c>
      <c r="E1678" s="165">
        <f ca="1">MONTH(OFFSET($E$269,D1677,0))</f>
        <v>1</v>
      </c>
      <c r="F1678" s="21">
        <f ca="1">12-$E1678</f>
        <v>11</v>
      </c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</row>
    <row r="1679" spans="1:24" hidden="1">
      <c r="A1679" s="328"/>
      <c r="B1679" s="21" t="s">
        <v>406</v>
      </c>
      <c r="C1679" s="21"/>
      <c r="D1679" s="386">
        <f ca="1">IF(E1679&lt;0,0,ROUND(E1679,0))</f>
        <v>0</v>
      </c>
      <c r="E1679" s="249">
        <f ca="1">OFFSET($D$269,D1677,0)</f>
        <v>0</v>
      </c>
      <c r="F1679" s="386">
        <f ca="1">IF(E1679&gt;10,ROUND(($D1680/12)*$F1678,0),$D1679)</f>
        <v>0</v>
      </c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</row>
    <row r="1680" spans="1:24" hidden="1">
      <c r="A1680" s="328"/>
      <c r="B1680" s="21" t="s">
        <v>415</v>
      </c>
      <c r="C1680" s="21"/>
      <c r="D1680" s="386">
        <f ca="1">IF(ISBLANK(OFFSET($E$269,D1677,0)),0,IF(E1679&gt;10,ROUND(D1679*am_maszyny,0),IF(D1679&lt;0,0,D1679)))</f>
        <v>0</v>
      </c>
      <c r="E1680" s="21"/>
      <c r="F1680" s="21"/>
      <c r="G1680" s="21"/>
      <c r="H1680" s="21"/>
      <c r="I1680" s="21"/>
      <c r="J1680" s="21"/>
      <c r="K1680" s="75">
        <f ca="1">ROUND(IF($D1678=LataProjekcji,$F1679,IF($D1678=LataProjekcji,$D1680,0)),0)</f>
        <v>0</v>
      </c>
      <c r="L1680" s="248">
        <f ca="1">ROUND(IF(OR(AND($D1678=LataProjekcji,$F1678&gt;0),AND($D1678=LataProjekcji,$F1678=0,$E1679&lt;=10)),$F1679,IF($D1678&lt;LataProjekcji,IF((SUM($K1680:K1680)+$D1680)&lt;$D1679,$D1680,$D1679-SUM($K1680:K1680)),0)),0)</f>
        <v>0</v>
      </c>
      <c r="M1680" s="248">
        <f ca="1">ROUND(IF(OR(AND($D1678=LataProjekcji,$F1678&gt;0),AND($D1678=LataProjekcji,$F1678=0,$E1679&lt;=10)),$F1679,IF($D1678&lt;LataProjekcji,IF((SUM($K1680:L1680)+$D1680)&lt;$D1679,$D1680,$D1679-SUM($K1680:L1680)),0)),0)</f>
        <v>0</v>
      </c>
      <c r="N1680" s="248">
        <f ca="1">ROUND(IF(OR(AND($D1678=LataProjekcji,$F1678&gt;0),AND($D1678=LataProjekcji,$F1678=0,$E1679&lt;=10)),$F1679,IF($D1678&lt;LataProjekcji,IF((SUM($K1680:M1680)+$D1680)&lt;$D1679,$D1680,$D1679-SUM($K1680:M1680)),0)),0)</f>
        <v>0</v>
      </c>
      <c r="O1680" s="248">
        <f ca="1">ROUND(IF(OR(AND($D1678=LataProjekcji,$F1678&gt;0),AND($D1678=LataProjekcji,$F1678=0,$E1679&lt;=10)),$F1679,IF($D1678&lt;LataProjekcji,IF((SUM($K1680:N1680)+$D1680)&lt;$D1679,$D1680,$D1679-SUM($K1680:N1680)),0)),0)</f>
        <v>0</v>
      </c>
      <c r="P1680" s="248">
        <f ca="1">ROUND(IF(OR(AND($D1678=LataProjekcji,$F1678&gt;0),AND($D1678=LataProjekcji,$F1678=0,$E1679&lt;=10)),$F1679,IF($D1678&lt;LataProjekcji,IF((SUM($K1680:O1680)+$D1680)&lt;$D1679,$D1680,$D1679-SUM($K1680:O1680)),0)),0)</f>
        <v>0</v>
      </c>
      <c r="Q1680" s="248">
        <f ca="1">ROUND(IF(OR(AND($D1678=LataProjekcji,$F1678&gt;0),AND($D1678=LataProjekcji,$F1678=0,$E1679&lt;=10)),$F1679,IF($D1678&lt;LataProjekcji,IF((SUM($K1680:P1680)+$D1680)&lt;$D1679,$D1680,$D1679-SUM($K1680:P1680)),0)),0)</f>
        <v>0</v>
      </c>
      <c r="R1680" s="248">
        <f ca="1">ROUND(IF(OR(AND($D1678=LataProjekcji,$F1678&gt;0),AND($D1678=LataProjekcji,$F1678=0,$E1679&lt;=10)),$F1679,IF($D1678&lt;LataProjekcji,IF((SUM($K1680:Q1680)+$D1680)&lt;$D1679,$D1680,$D1679-SUM($K1680:Q1680)),0)),0)</f>
        <v>0</v>
      </c>
      <c r="S1680" s="248">
        <f ca="1">ROUND(IF(OR(AND($D1678=LataProjekcji,$F1678&gt;0),AND($D1678=LataProjekcji,$F1678=0,$E1679&lt;=10)),$F1679,IF($D1678&lt;LataProjekcji,IF((SUM($K1680:R1680)+$D1680)&lt;$D1679,$D1680,$D1679-SUM($K1680:R1680)),0)),0)</f>
        <v>0</v>
      </c>
      <c r="T1680" s="248">
        <f ca="1">ROUND(IF(OR(AND($D1678=LataProjekcji,$F1678&gt;0),AND($D1678=LataProjekcji,$F1678=0,$E1679&lt;=10)),$F1679,IF($D1678&lt;LataProjekcji,IF((SUM($K1680:S1680)+$D1680)&lt;$D1679,$D1680,$D1679-SUM($K1680:S1680)),0)),0)</f>
        <v>0</v>
      </c>
      <c r="U1680" s="248">
        <f ca="1">ROUND(IF(OR(AND($D1678=LataProjekcji,$F1678&gt;0),AND($D1678=LataProjekcji,$F1678=0,$E1679&lt;=10)),$F1679,IF($D1678&lt;LataProjekcji,IF((SUM($K1680:T1680)+$D1680)&lt;$D1679,$D1680,$D1679-SUM($K1680:T1680)),0)),0)</f>
        <v>0</v>
      </c>
      <c r="V1680" s="248">
        <f ca="1">ROUND(IF(OR(AND($D1678=LataProjekcji,$F1678&gt;0),AND($D1678=LataProjekcji,$F1678=0,$E1679&lt;=10)),$F1679,IF($D1678&lt;LataProjekcji,IF((SUM($K1680:U1680)+$D1680)&lt;$D1679,$D1680,$D1679-SUM($K1680:U1680)),0)),0)</f>
        <v>0</v>
      </c>
      <c r="W1680" s="248">
        <f ca="1">ROUND(IF(OR(AND($D1678=LataProjekcji,$F1678&gt;0),AND($D1678=LataProjekcji,$F1678=0,$E1679&lt;=10)),$F1679,IF($D1678&lt;LataProjekcji,IF((SUM($K1680:V1680)+$D1680)&lt;$D1679,$D1680,$D1679-SUM($K1680:V1680)),0)),0)</f>
        <v>0</v>
      </c>
      <c r="X1680" s="248">
        <f ca="1">ROUND(IF(OR(AND($D1678=LataProjekcji,$F1678&gt;0),AND($D1678=LataProjekcji,$F1678=0,$E1679&lt;=10)),$F1679,IF($D1678&lt;LataProjekcji,IF((SUM($K1680:W1680)+$D1680)&lt;$D1679,$D1680,$D1679-SUM($K1680:W1680)),0)),0)</f>
        <v>0</v>
      </c>
    </row>
    <row r="1681" spans="1:24" hidden="1">
      <c r="A1681" s="328"/>
      <c r="B1681" s="21" t="s">
        <v>416</v>
      </c>
      <c r="C1681" s="21"/>
      <c r="D1681" s="22"/>
      <c r="E1681" s="21"/>
      <c r="F1681" s="21"/>
      <c r="G1681" s="21"/>
      <c r="H1681" s="21"/>
      <c r="I1681" s="21"/>
      <c r="J1681" s="21"/>
      <c r="K1681" s="22">
        <f ca="1">ROUND(K1680,0)</f>
        <v>0</v>
      </c>
      <c r="L1681" s="22">
        <f t="shared" ref="L1681:X1681" ca="1" si="1405">ROUND(K1681+L1680,0)</f>
        <v>0</v>
      </c>
      <c r="M1681" s="22">
        <f t="shared" ca="1" si="1405"/>
        <v>0</v>
      </c>
      <c r="N1681" s="22">
        <f t="shared" ca="1" si="1405"/>
        <v>0</v>
      </c>
      <c r="O1681" s="22">
        <f t="shared" ca="1" si="1405"/>
        <v>0</v>
      </c>
      <c r="P1681" s="22">
        <f t="shared" ca="1" si="1405"/>
        <v>0</v>
      </c>
      <c r="Q1681" s="22">
        <f t="shared" ca="1" si="1405"/>
        <v>0</v>
      </c>
      <c r="R1681" s="22">
        <f t="shared" ca="1" si="1405"/>
        <v>0</v>
      </c>
      <c r="S1681" s="22">
        <f t="shared" ca="1" si="1405"/>
        <v>0</v>
      </c>
      <c r="T1681" s="22">
        <f t="shared" ca="1" si="1405"/>
        <v>0</v>
      </c>
      <c r="U1681" s="22">
        <f t="shared" ca="1" si="1405"/>
        <v>0</v>
      </c>
      <c r="V1681" s="22">
        <f t="shared" ca="1" si="1405"/>
        <v>0</v>
      </c>
      <c r="W1681" s="22">
        <f t="shared" ca="1" si="1405"/>
        <v>0</v>
      </c>
      <c r="X1681" s="22">
        <f t="shared" ca="1" si="1405"/>
        <v>0</v>
      </c>
    </row>
    <row r="1682" spans="1:24" hidden="1">
      <c r="A1682" s="328"/>
      <c r="B1682" s="21" t="s">
        <v>406</v>
      </c>
      <c r="C1682" s="21"/>
      <c r="D1682" s="22"/>
      <c r="E1682" s="21"/>
      <c r="F1682" s="21"/>
      <c r="G1682" s="21"/>
      <c r="H1682" s="21"/>
      <c r="I1682" s="21"/>
      <c r="J1682" s="21"/>
      <c r="K1682" s="77">
        <f ca="1">IF($D1678=LataProjekcji,ROUND($D1679-K1681,0),ROUND(IF(K1680=0,0,$D1679-K1681),0))</f>
        <v>0</v>
      </c>
      <c r="L1682" s="254">
        <f t="shared" ref="L1682:X1682" ca="1" si="1406">IF($D1678=LataProjekcji,ROUND($D1679-L1681,0),ROUND(IF(AND(L1680=0,K1682&gt;0),$D1679-L1681,IF(L1680=0,0,$D1679-L1681)),0))</f>
        <v>0</v>
      </c>
      <c r="M1682" s="254">
        <f t="shared" ca="1" si="1406"/>
        <v>0</v>
      </c>
      <c r="N1682" s="254">
        <f t="shared" ca="1" si="1406"/>
        <v>0</v>
      </c>
      <c r="O1682" s="254">
        <f t="shared" ca="1" si="1406"/>
        <v>0</v>
      </c>
      <c r="P1682" s="254">
        <f t="shared" ca="1" si="1406"/>
        <v>0</v>
      </c>
      <c r="Q1682" s="254">
        <f t="shared" ca="1" si="1406"/>
        <v>0</v>
      </c>
      <c r="R1682" s="254">
        <f t="shared" ca="1" si="1406"/>
        <v>0</v>
      </c>
      <c r="S1682" s="254">
        <f t="shared" ca="1" si="1406"/>
        <v>0</v>
      </c>
      <c r="T1682" s="254">
        <f t="shared" ca="1" si="1406"/>
        <v>0</v>
      </c>
      <c r="U1682" s="254">
        <f t="shared" ca="1" si="1406"/>
        <v>0</v>
      </c>
      <c r="V1682" s="254">
        <f t="shared" ca="1" si="1406"/>
        <v>0</v>
      </c>
      <c r="W1682" s="254">
        <f t="shared" ca="1" si="1406"/>
        <v>0</v>
      </c>
      <c r="X1682" s="254">
        <f t="shared" ca="1" si="1406"/>
        <v>0</v>
      </c>
    </row>
    <row r="1683" spans="1:24" hidden="1">
      <c r="A1683" s="328"/>
      <c r="B1683" s="21"/>
      <c r="C1683" s="21"/>
      <c r="D1683" s="22"/>
      <c r="E1683" s="21"/>
      <c r="F1683" s="21"/>
      <c r="G1683" s="21"/>
      <c r="H1683" s="404">
        <f>H1676+1</f>
        <v>18</v>
      </c>
      <c r="I1683" s="483" cm="1">
        <f t="array" aca="1" ref="I1683" ca="1">OFFSET('Środki trwałe'!$C$418,H1683,,)</f>
        <v>0</v>
      </c>
      <c r="J1683" s="404" t="s">
        <v>427</v>
      </c>
      <c r="K1683" s="405">
        <f t="shared" ref="K1683:X1683" ca="1" si="1407">IF(AND(OFFSET($F$269,$D1677,0)="tak",OFFSET($G$269,$D1677,0)="tak",OFFSET($J$269,$D1677,0)="ok",LataProjekcji&lt;=Koniec_Projekt),ROUND(K1680*OFFSET($K$469,$H1683,(COLUMN()-11)),0),0)</f>
        <v>0</v>
      </c>
      <c r="L1683" s="405">
        <f t="shared" ca="1" si="1407"/>
        <v>0</v>
      </c>
      <c r="M1683" s="405">
        <f t="shared" ca="1" si="1407"/>
        <v>0</v>
      </c>
      <c r="N1683" s="405">
        <f t="shared" ca="1" si="1407"/>
        <v>0</v>
      </c>
      <c r="O1683" s="405">
        <f t="shared" ca="1" si="1407"/>
        <v>0</v>
      </c>
      <c r="P1683" s="405">
        <f t="shared" ca="1" si="1407"/>
        <v>0</v>
      </c>
      <c r="Q1683" s="405">
        <f t="shared" ca="1" si="1407"/>
        <v>0</v>
      </c>
      <c r="R1683" s="405">
        <f t="shared" ca="1" si="1407"/>
        <v>0</v>
      </c>
      <c r="S1683" s="405">
        <f t="shared" ca="1" si="1407"/>
        <v>0</v>
      </c>
      <c r="T1683" s="405">
        <f t="shared" ca="1" si="1407"/>
        <v>0</v>
      </c>
      <c r="U1683" s="405">
        <f t="shared" ca="1" si="1407"/>
        <v>0</v>
      </c>
      <c r="V1683" s="405">
        <f t="shared" ca="1" si="1407"/>
        <v>0</v>
      </c>
      <c r="W1683" s="405">
        <f t="shared" ca="1" si="1407"/>
        <v>0</v>
      </c>
      <c r="X1683" s="405">
        <f t="shared" ca="1" si="1407"/>
        <v>0</v>
      </c>
    </row>
    <row r="1684" spans="1:24" hidden="1">
      <c r="A1684" s="328"/>
      <c r="B1684" s="20">
        <f ca="1">OFFSET($B$269,D1684,0)</f>
        <v>0</v>
      </c>
      <c r="C1684" s="20"/>
      <c r="D1684" s="21">
        <f>D1677+1</f>
        <v>168</v>
      </c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</row>
    <row r="1685" spans="1:24" hidden="1">
      <c r="A1685" s="328"/>
      <c r="B1685" s="21" t="s">
        <v>414</v>
      </c>
      <c r="C1685" s="21"/>
      <c r="D1685" s="165">
        <f ca="1">YEAR(OFFSET($E$269,D1684,0))</f>
        <v>1900</v>
      </c>
      <c r="E1685" s="165">
        <f ca="1">MONTH(OFFSET($E$269,D1684,0))</f>
        <v>1</v>
      </c>
      <c r="F1685" s="21">
        <f ca="1">12-$E1685</f>
        <v>11</v>
      </c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</row>
    <row r="1686" spans="1:24" hidden="1">
      <c r="A1686" s="328"/>
      <c r="B1686" s="21" t="s">
        <v>406</v>
      </c>
      <c r="C1686" s="21"/>
      <c r="D1686" s="387">
        <f ca="1">IF(E1686&lt;0,0,ROUND(E1686,0))</f>
        <v>0</v>
      </c>
      <c r="E1686" s="249">
        <f ca="1">OFFSET($D$269,D1684,0)</f>
        <v>0</v>
      </c>
      <c r="F1686" s="387">
        <f ca="1">IF(E1686&gt;10,ROUND(($D1687/12)*$F1685,0),$D1686)</f>
        <v>0</v>
      </c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</row>
    <row r="1687" spans="1:24" hidden="1">
      <c r="A1687" s="328"/>
      <c r="B1687" s="21" t="s">
        <v>415</v>
      </c>
      <c r="C1687" s="21"/>
      <c r="D1687" s="387">
        <f ca="1">IF(ISBLANK(OFFSET($E$269,D1684,0)),0,IF(E1686&gt;10,ROUND(D1686*am_maszyny,0),IF(D1686&lt;0,0,D1686)))</f>
        <v>0</v>
      </c>
      <c r="E1687" s="21"/>
      <c r="F1687" s="21"/>
      <c r="G1687" s="21"/>
      <c r="H1687" s="21"/>
      <c r="I1687" s="21"/>
      <c r="J1687" s="21"/>
      <c r="K1687" s="75">
        <f ca="1">ROUND(IF($D1685=LataProjekcji,$F1686,IF($D1685=LataProjekcji,$D1687,0)),0)</f>
        <v>0</v>
      </c>
      <c r="L1687" s="248">
        <f ca="1">ROUND(IF(OR(AND($D1685=LataProjekcji,$F1685&gt;0),AND($D1685=LataProjekcji,$F1685=0,$E1686&lt;=10)),$F1686,IF($D1685&lt;LataProjekcji,IF((SUM($K1687:K1687)+$D1687)&lt;$D1686,$D1687,$D1686-SUM($K1687:K1687)),0)),0)</f>
        <v>0</v>
      </c>
      <c r="M1687" s="248">
        <f ca="1">ROUND(IF(OR(AND($D1685=LataProjekcji,$F1685&gt;0),AND($D1685=LataProjekcji,$F1685=0,$E1686&lt;=10)),$F1686,IF($D1685&lt;LataProjekcji,IF((SUM($K1687:L1687)+$D1687)&lt;$D1686,$D1687,$D1686-SUM($K1687:L1687)),0)),0)</f>
        <v>0</v>
      </c>
      <c r="N1687" s="248">
        <f ca="1">ROUND(IF(OR(AND($D1685=LataProjekcji,$F1685&gt;0),AND($D1685=LataProjekcji,$F1685=0,$E1686&lt;=10)),$F1686,IF($D1685&lt;LataProjekcji,IF((SUM($K1687:M1687)+$D1687)&lt;$D1686,$D1687,$D1686-SUM($K1687:M1687)),0)),0)</f>
        <v>0</v>
      </c>
      <c r="O1687" s="248">
        <f ca="1">ROUND(IF(OR(AND($D1685=LataProjekcji,$F1685&gt;0),AND($D1685=LataProjekcji,$F1685=0,$E1686&lt;=10)),$F1686,IF($D1685&lt;LataProjekcji,IF((SUM($K1687:N1687)+$D1687)&lt;$D1686,$D1687,$D1686-SUM($K1687:N1687)),0)),0)</f>
        <v>0</v>
      </c>
      <c r="P1687" s="248">
        <f ca="1">ROUND(IF(OR(AND($D1685=LataProjekcji,$F1685&gt;0),AND($D1685=LataProjekcji,$F1685=0,$E1686&lt;=10)),$F1686,IF($D1685&lt;LataProjekcji,IF((SUM($K1687:O1687)+$D1687)&lt;$D1686,$D1687,$D1686-SUM($K1687:O1687)),0)),0)</f>
        <v>0</v>
      </c>
      <c r="Q1687" s="248">
        <f ca="1">ROUND(IF(OR(AND($D1685=LataProjekcji,$F1685&gt;0),AND($D1685=LataProjekcji,$F1685=0,$E1686&lt;=10)),$F1686,IF($D1685&lt;LataProjekcji,IF((SUM($K1687:P1687)+$D1687)&lt;$D1686,$D1687,$D1686-SUM($K1687:P1687)),0)),0)</f>
        <v>0</v>
      </c>
      <c r="R1687" s="248">
        <f ca="1">ROUND(IF(OR(AND($D1685=LataProjekcji,$F1685&gt;0),AND($D1685=LataProjekcji,$F1685=0,$E1686&lt;=10)),$F1686,IF($D1685&lt;LataProjekcji,IF((SUM($K1687:Q1687)+$D1687)&lt;$D1686,$D1687,$D1686-SUM($K1687:Q1687)),0)),0)</f>
        <v>0</v>
      </c>
      <c r="S1687" s="248">
        <f ca="1">ROUND(IF(OR(AND($D1685=LataProjekcji,$F1685&gt;0),AND($D1685=LataProjekcji,$F1685=0,$E1686&lt;=10)),$F1686,IF($D1685&lt;LataProjekcji,IF((SUM($K1687:R1687)+$D1687)&lt;$D1686,$D1687,$D1686-SUM($K1687:R1687)),0)),0)</f>
        <v>0</v>
      </c>
      <c r="T1687" s="248">
        <f ca="1">ROUND(IF(OR(AND($D1685=LataProjekcji,$F1685&gt;0),AND($D1685=LataProjekcji,$F1685=0,$E1686&lt;=10)),$F1686,IF($D1685&lt;LataProjekcji,IF((SUM($K1687:S1687)+$D1687)&lt;$D1686,$D1687,$D1686-SUM($K1687:S1687)),0)),0)</f>
        <v>0</v>
      </c>
      <c r="U1687" s="248">
        <f ca="1">ROUND(IF(OR(AND($D1685=LataProjekcji,$F1685&gt;0),AND($D1685=LataProjekcji,$F1685=0,$E1686&lt;=10)),$F1686,IF($D1685&lt;LataProjekcji,IF((SUM($K1687:T1687)+$D1687)&lt;$D1686,$D1687,$D1686-SUM($K1687:T1687)),0)),0)</f>
        <v>0</v>
      </c>
      <c r="V1687" s="248">
        <f ca="1">ROUND(IF(OR(AND($D1685=LataProjekcji,$F1685&gt;0),AND($D1685=LataProjekcji,$F1685=0,$E1686&lt;=10)),$F1686,IF($D1685&lt;LataProjekcji,IF((SUM($K1687:U1687)+$D1687)&lt;$D1686,$D1687,$D1686-SUM($K1687:U1687)),0)),0)</f>
        <v>0</v>
      </c>
      <c r="W1687" s="248">
        <f ca="1">ROUND(IF(OR(AND($D1685=LataProjekcji,$F1685&gt;0),AND($D1685=LataProjekcji,$F1685=0,$E1686&lt;=10)),$F1686,IF($D1685&lt;LataProjekcji,IF((SUM($K1687:V1687)+$D1687)&lt;$D1686,$D1687,$D1686-SUM($K1687:V1687)),0)),0)</f>
        <v>0</v>
      </c>
      <c r="X1687" s="248">
        <f ca="1">ROUND(IF(OR(AND($D1685=LataProjekcji,$F1685&gt;0),AND($D1685=LataProjekcji,$F1685=0,$E1686&lt;=10)),$F1686,IF($D1685&lt;LataProjekcji,IF((SUM($K1687:W1687)+$D1687)&lt;$D1686,$D1687,$D1686-SUM($K1687:W1687)),0)),0)</f>
        <v>0</v>
      </c>
    </row>
    <row r="1688" spans="1:24" hidden="1">
      <c r="A1688" s="328"/>
      <c r="B1688" s="21" t="s">
        <v>416</v>
      </c>
      <c r="C1688" s="21"/>
      <c r="D1688" s="22"/>
      <c r="E1688" s="21"/>
      <c r="F1688" s="21"/>
      <c r="G1688" s="21"/>
      <c r="H1688" s="21"/>
      <c r="I1688" s="21"/>
      <c r="J1688" s="21"/>
      <c r="K1688" s="22">
        <f ca="1">ROUND(K1687,0)</f>
        <v>0</v>
      </c>
      <c r="L1688" s="22">
        <f t="shared" ref="L1688:X1688" ca="1" si="1408">ROUND(K1688+L1687,0)</f>
        <v>0</v>
      </c>
      <c r="M1688" s="22">
        <f t="shared" ca="1" si="1408"/>
        <v>0</v>
      </c>
      <c r="N1688" s="22">
        <f t="shared" ca="1" si="1408"/>
        <v>0</v>
      </c>
      <c r="O1688" s="22">
        <f t="shared" ca="1" si="1408"/>
        <v>0</v>
      </c>
      <c r="P1688" s="22">
        <f t="shared" ca="1" si="1408"/>
        <v>0</v>
      </c>
      <c r="Q1688" s="22">
        <f t="shared" ca="1" si="1408"/>
        <v>0</v>
      </c>
      <c r="R1688" s="22">
        <f t="shared" ca="1" si="1408"/>
        <v>0</v>
      </c>
      <c r="S1688" s="22">
        <f t="shared" ca="1" si="1408"/>
        <v>0</v>
      </c>
      <c r="T1688" s="22">
        <f t="shared" ca="1" si="1408"/>
        <v>0</v>
      </c>
      <c r="U1688" s="22">
        <f t="shared" ca="1" si="1408"/>
        <v>0</v>
      </c>
      <c r="V1688" s="22">
        <f t="shared" ca="1" si="1408"/>
        <v>0</v>
      </c>
      <c r="W1688" s="22">
        <f t="shared" ca="1" si="1408"/>
        <v>0</v>
      </c>
      <c r="X1688" s="22">
        <f t="shared" ca="1" si="1408"/>
        <v>0</v>
      </c>
    </row>
    <row r="1689" spans="1:24" hidden="1">
      <c r="A1689" s="328"/>
      <c r="B1689" s="21" t="s">
        <v>406</v>
      </c>
      <c r="C1689" s="21"/>
      <c r="D1689" s="22"/>
      <c r="E1689" s="21"/>
      <c r="F1689" s="21"/>
      <c r="G1689" s="21"/>
      <c r="H1689" s="21"/>
      <c r="I1689" s="21"/>
      <c r="J1689" s="21"/>
      <c r="K1689" s="77">
        <f ca="1">IF($D1685=LataProjekcji,ROUND($D1686-K1688,0),ROUND(IF(K1687=0,0,$D1686-K1688),0))</f>
        <v>0</v>
      </c>
      <c r="L1689" s="254">
        <f t="shared" ref="L1689:X1689" ca="1" si="1409">IF($D1685=LataProjekcji,ROUND($D1686-L1688,0),ROUND(IF(AND(L1687=0,K1689&gt;0),$D1686-L1688,IF(L1687=0,0,$D1686-L1688)),0))</f>
        <v>0</v>
      </c>
      <c r="M1689" s="254">
        <f t="shared" ca="1" si="1409"/>
        <v>0</v>
      </c>
      <c r="N1689" s="254">
        <f t="shared" ca="1" si="1409"/>
        <v>0</v>
      </c>
      <c r="O1689" s="254">
        <f t="shared" ca="1" si="1409"/>
        <v>0</v>
      </c>
      <c r="P1689" s="254">
        <f t="shared" ca="1" si="1409"/>
        <v>0</v>
      </c>
      <c r="Q1689" s="254">
        <f t="shared" ca="1" si="1409"/>
        <v>0</v>
      </c>
      <c r="R1689" s="254">
        <f t="shared" ca="1" si="1409"/>
        <v>0</v>
      </c>
      <c r="S1689" s="254">
        <f t="shared" ca="1" si="1409"/>
        <v>0</v>
      </c>
      <c r="T1689" s="254">
        <f t="shared" ca="1" si="1409"/>
        <v>0</v>
      </c>
      <c r="U1689" s="254">
        <f t="shared" ca="1" si="1409"/>
        <v>0</v>
      </c>
      <c r="V1689" s="254">
        <f t="shared" ca="1" si="1409"/>
        <v>0</v>
      </c>
      <c r="W1689" s="254">
        <f t="shared" ca="1" si="1409"/>
        <v>0</v>
      </c>
      <c r="X1689" s="254">
        <f t="shared" ca="1" si="1409"/>
        <v>0</v>
      </c>
    </row>
    <row r="1690" spans="1:24" hidden="1">
      <c r="A1690" s="328"/>
      <c r="B1690" s="21"/>
      <c r="C1690" s="21"/>
      <c r="D1690" s="21"/>
      <c r="E1690" s="21"/>
      <c r="F1690" s="21"/>
      <c r="G1690" s="21"/>
      <c r="H1690" s="404">
        <f>H1683+1</f>
        <v>19</v>
      </c>
      <c r="I1690" s="483" cm="1">
        <f t="array" aca="1" ref="I1690" ca="1">OFFSET('Środki trwałe'!$C$418,H1690,,)</f>
        <v>0</v>
      </c>
      <c r="J1690" s="404" t="s">
        <v>427</v>
      </c>
      <c r="K1690" s="405">
        <f t="shared" ref="K1690:X1690" ca="1" si="1410">IF(AND(OFFSET($F$269,$D1684,0)="tak",OFFSET($G$269,$D1684,0)="tak",OFFSET($J$269,$D1684,0)="ok",LataProjekcji&lt;=Koniec_Projekt),ROUND(K1687*OFFSET($K$469,$H1690,(COLUMN()-11)),0),0)</f>
        <v>0</v>
      </c>
      <c r="L1690" s="405">
        <f t="shared" ca="1" si="1410"/>
        <v>0</v>
      </c>
      <c r="M1690" s="405">
        <f t="shared" ca="1" si="1410"/>
        <v>0</v>
      </c>
      <c r="N1690" s="405">
        <f t="shared" ca="1" si="1410"/>
        <v>0</v>
      </c>
      <c r="O1690" s="405">
        <f t="shared" ca="1" si="1410"/>
        <v>0</v>
      </c>
      <c r="P1690" s="405">
        <f t="shared" ca="1" si="1410"/>
        <v>0</v>
      </c>
      <c r="Q1690" s="405">
        <f t="shared" ca="1" si="1410"/>
        <v>0</v>
      </c>
      <c r="R1690" s="405">
        <f t="shared" ca="1" si="1410"/>
        <v>0</v>
      </c>
      <c r="S1690" s="405">
        <f t="shared" ca="1" si="1410"/>
        <v>0</v>
      </c>
      <c r="T1690" s="405">
        <f t="shared" ca="1" si="1410"/>
        <v>0</v>
      </c>
      <c r="U1690" s="405">
        <f t="shared" ca="1" si="1410"/>
        <v>0</v>
      </c>
      <c r="V1690" s="405">
        <f t="shared" ca="1" si="1410"/>
        <v>0</v>
      </c>
      <c r="W1690" s="405">
        <f t="shared" ca="1" si="1410"/>
        <v>0</v>
      </c>
      <c r="X1690" s="405">
        <f t="shared" ca="1" si="1410"/>
        <v>0</v>
      </c>
    </row>
    <row r="1691" spans="1:24" hidden="1">
      <c r="A1691" s="328"/>
      <c r="B1691" s="20">
        <f ca="1">OFFSET($B$269,D1691,0)</f>
        <v>0</v>
      </c>
      <c r="C1691" s="20"/>
      <c r="D1691" s="21">
        <f>D1684+1</f>
        <v>169</v>
      </c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</row>
    <row r="1692" spans="1:24" hidden="1">
      <c r="A1692" s="328"/>
      <c r="B1692" s="21" t="s">
        <v>414</v>
      </c>
      <c r="C1692" s="21"/>
      <c r="D1692" s="165">
        <f ca="1">YEAR(OFFSET($E$269,D1691,0))</f>
        <v>1900</v>
      </c>
      <c r="E1692" s="165">
        <f ca="1">MONTH(OFFSET($E$269,D1691,0))</f>
        <v>1</v>
      </c>
      <c r="F1692" s="21">
        <f ca="1">12-$E1692</f>
        <v>11</v>
      </c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</row>
    <row r="1693" spans="1:24" hidden="1">
      <c r="A1693" s="328"/>
      <c r="B1693" s="21" t="s">
        <v>406</v>
      </c>
      <c r="C1693" s="21"/>
      <c r="D1693" s="388">
        <f ca="1">IF(E1693&lt;0,0,ROUND(E1693,0))</f>
        <v>0</v>
      </c>
      <c r="E1693" s="249">
        <f ca="1">OFFSET($D$269,D1691,0)</f>
        <v>0</v>
      </c>
      <c r="F1693" s="388">
        <f ca="1">IF(E1693&gt;10,ROUND(($D1694/12)*$F1692,0),$D1693)</f>
        <v>0</v>
      </c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</row>
    <row r="1694" spans="1:24" hidden="1">
      <c r="A1694" s="328"/>
      <c r="B1694" s="21" t="s">
        <v>415</v>
      </c>
      <c r="C1694" s="21"/>
      <c r="D1694" s="388">
        <f ca="1">IF(ISBLANK(OFFSET($E$269,D1691,0)),0,IF(E1693&gt;10,ROUND(D1693*am_maszyny,0),IF(D1693&lt;0,0,D1693)))</f>
        <v>0</v>
      </c>
      <c r="E1694" s="21"/>
      <c r="F1694" s="21"/>
      <c r="G1694" s="21"/>
      <c r="H1694" s="21"/>
      <c r="I1694" s="21"/>
      <c r="J1694" s="21"/>
      <c r="K1694" s="75">
        <f ca="1">ROUND(IF($D1692=LataProjekcji,$F1693,IF($D1692=LataProjekcji,$D1694,0)),0)</f>
        <v>0</v>
      </c>
      <c r="L1694" s="248">
        <f ca="1">ROUND(IF(OR(AND($D1692=LataProjekcji,$F1692&gt;0),AND($D1692=LataProjekcji,$F1692=0,$E1693&lt;=10)),$F1693,IF($D1692&lt;LataProjekcji,IF((SUM($K1694:K1694)+$D1694)&lt;$D1693,$D1694,$D1693-SUM($K1694:K1694)),0)),0)</f>
        <v>0</v>
      </c>
      <c r="M1694" s="248">
        <f ca="1">ROUND(IF(OR(AND($D1692=LataProjekcji,$F1692&gt;0),AND($D1692=LataProjekcji,$F1692=0,$E1693&lt;=10)),$F1693,IF($D1692&lt;LataProjekcji,IF((SUM($K1694:L1694)+$D1694)&lt;$D1693,$D1694,$D1693-SUM($K1694:L1694)),0)),0)</f>
        <v>0</v>
      </c>
      <c r="N1694" s="248">
        <f ca="1">ROUND(IF(OR(AND($D1692=LataProjekcji,$F1692&gt;0),AND($D1692=LataProjekcji,$F1692=0,$E1693&lt;=10)),$F1693,IF($D1692&lt;LataProjekcji,IF((SUM($K1694:M1694)+$D1694)&lt;$D1693,$D1694,$D1693-SUM($K1694:M1694)),0)),0)</f>
        <v>0</v>
      </c>
      <c r="O1694" s="248">
        <f ca="1">ROUND(IF(OR(AND($D1692=LataProjekcji,$F1692&gt;0),AND($D1692=LataProjekcji,$F1692=0,$E1693&lt;=10)),$F1693,IF($D1692&lt;LataProjekcji,IF((SUM($K1694:N1694)+$D1694)&lt;$D1693,$D1694,$D1693-SUM($K1694:N1694)),0)),0)</f>
        <v>0</v>
      </c>
      <c r="P1694" s="248">
        <f ca="1">ROUND(IF(OR(AND($D1692=LataProjekcji,$F1692&gt;0),AND($D1692=LataProjekcji,$F1692=0,$E1693&lt;=10)),$F1693,IF($D1692&lt;LataProjekcji,IF((SUM($K1694:O1694)+$D1694)&lt;$D1693,$D1694,$D1693-SUM($K1694:O1694)),0)),0)</f>
        <v>0</v>
      </c>
      <c r="Q1694" s="248">
        <f ca="1">ROUND(IF(OR(AND($D1692=LataProjekcji,$F1692&gt;0),AND($D1692=LataProjekcji,$F1692=0,$E1693&lt;=10)),$F1693,IF($D1692&lt;LataProjekcji,IF((SUM($K1694:P1694)+$D1694)&lt;$D1693,$D1694,$D1693-SUM($K1694:P1694)),0)),0)</f>
        <v>0</v>
      </c>
      <c r="R1694" s="248">
        <f ca="1">ROUND(IF(OR(AND($D1692=LataProjekcji,$F1692&gt;0),AND($D1692=LataProjekcji,$F1692=0,$E1693&lt;=10)),$F1693,IF($D1692&lt;LataProjekcji,IF((SUM($K1694:Q1694)+$D1694)&lt;$D1693,$D1694,$D1693-SUM($K1694:Q1694)),0)),0)</f>
        <v>0</v>
      </c>
      <c r="S1694" s="248">
        <f ca="1">ROUND(IF(OR(AND($D1692=LataProjekcji,$F1692&gt;0),AND($D1692=LataProjekcji,$F1692=0,$E1693&lt;=10)),$F1693,IF($D1692&lt;LataProjekcji,IF((SUM($K1694:R1694)+$D1694)&lt;$D1693,$D1694,$D1693-SUM($K1694:R1694)),0)),0)</f>
        <v>0</v>
      </c>
      <c r="T1694" s="248">
        <f ca="1">ROUND(IF(OR(AND($D1692=LataProjekcji,$F1692&gt;0),AND($D1692=LataProjekcji,$F1692=0,$E1693&lt;=10)),$F1693,IF($D1692&lt;LataProjekcji,IF((SUM($K1694:S1694)+$D1694)&lt;$D1693,$D1694,$D1693-SUM($K1694:S1694)),0)),0)</f>
        <v>0</v>
      </c>
      <c r="U1694" s="248">
        <f ca="1">ROUND(IF(OR(AND($D1692=LataProjekcji,$F1692&gt;0),AND($D1692=LataProjekcji,$F1692=0,$E1693&lt;=10)),$F1693,IF($D1692&lt;LataProjekcji,IF((SUM($K1694:T1694)+$D1694)&lt;$D1693,$D1694,$D1693-SUM($K1694:T1694)),0)),0)</f>
        <v>0</v>
      </c>
      <c r="V1694" s="248">
        <f ca="1">ROUND(IF(OR(AND($D1692=LataProjekcji,$F1692&gt;0),AND($D1692=LataProjekcji,$F1692=0,$E1693&lt;=10)),$F1693,IF($D1692&lt;LataProjekcji,IF((SUM($K1694:U1694)+$D1694)&lt;$D1693,$D1694,$D1693-SUM($K1694:U1694)),0)),0)</f>
        <v>0</v>
      </c>
      <c r="W1694" s="248">
        <f ca="1">ROUND(IF(OR(AND($D1692=LataProjekcji,$F1692&gt;0),AND($D1692=LataProjekcji,$F1692=0,$E1693&lt;=10)),$F1693,IF($D1692&lt;LataProjekcji,IF((SUM($K1694:V1694)+$D1694)&lt;$D1693,$D1694,$D1693-SUM($K1694:V1694)),0)),0)</f>
        <v>0</v>
      </c>
      <c r="X1694" s="248">
        <f ca="1">ROUND(IF(OR(AND($D1692=LataProjekcji,$F1692&gt;0),AND($D1692=LataProjekcji,$F1692=0,$E1693&lt;=10)),$F1693,IF($D1692&lt;LataProjekcji,IF((SUM($K1694:W1694)+$D1694)&lt;$D1693,$D1694,$D1693-SUM($K1694:W1694)),0)),0)</f>
        <v>0</v>
      </c>
    </row>
    <row r="1695" spans="1:24" hidden="1">
      <c r="A1695" s="328"/>
      <c r="B1695" s="21" t="s">
        <v>416</v>
      </c>
      <c r="C1695" s="21"/>
      <c r="D1695" s="22"/>
      <c r="E1695" s="21"/>
      <c r="F1695" s="21"/>
      <c r="G1695" s="21"/>
      <c r="H1695" s="21"/>
      <c r="I1695" s="21"/>
      <c r="J1695" s="21"/>
      <c r="K1695" s="22">
        <f ca="1">ROUND(K1694,0)</f>
        <v>0</v>
      </c>
      <c r="L1695" s="22">
        <f t="shared" ref="L1695:X1695" ca="1" si="1411">ROUND(K1695+L1694,0)</f>
        <v>0</v>
      </c>
      <c r="M1695" s="22">
        <f t="shared" ca="1" si="1411"/>
        <v>0</v>
      </c>
      <c r="N1695" s="22">
        <f t="shared" ca="1" si="1411"/>
        <v>0</v>
      </c>
      <c r="O1695" s="22">
        <f t="shared" ca="1" si="1411"/>
        <v>0</v>
      </c>
      <c r="P1695" s="22">
        <f t="shared" ca="1" si="1411"/>
        <v>0</v>
      </c>
      <c r="Q1695" s="22">
        <f t="shared" ca="1" si="1411"/>
        <v>0</v>
      </c>
      <c r="R1695" s="22">
        <f t="shared" ca="1" si="1411"/>
        <v>0</v>
      </c>
      <c r="S1695" s="22">
        <f t="shared" ca="1" si="1411"/>
        <v>0</v>
      </c>
      <c r="T1695" s="22">
        <f t="shared" ca="1" si="1411"/>
        <v>0</v>
      </c>
      <c r="U1695" s="22">
        <f t="shared" ca="1" si="1411"/>
        <v>0</v>
      </c>
      <c r="V1695" s="22">
        <f t="shared" ca="1" si="1411"/>
        <v>0</v>
      </c>
      <c r="W1695" s="22">
        <f t="shared" ca="1" si="1411"/>
        <v>0</v>
      </c>
      <c r="X1695" s="22">
        <f t="shared" ca="1" si="1411"/>
        <v>0</v>
      </c>
    </row>
    <row r="1696" spans="1:24" hidden="1">
      <c r="A1696" s="328"/>
      <c r="B1696" s="21" t="s">
        <v>406</v>
      </c>
      <c r="C1696" s="21"/>
      <c r="D1696" s="22"/>
      <c r="E1696" s="21"/>
      <c r="F1696" s="21"/>
      <c r="G1696" s="21"/>
      <c r="H1696" s="21"/>
      <c r="I1696" s="21"/>
      <c r="J1696" s="21"/>
      <c r="K1696" s="77">
        <f ca="1">IF($D1692=LataProjekcji,ROUND($D1693-K1695,0),ROUND(IF(K1694=0,0,$D1693-K1695),0))</f>
        <v>0</v>
      </c>
      <c r="L1696" s="254">
        <f t="shared" ref="L1696:X1696" ca="1" si="1412">IF($D1692=LataProjekcji,ROUND($D1693-L1695,0),ROUND(IF(AND(L1694=0,K1696&gt;0),$D1693-L1695,IF(L1694=0,0,$D1693-L1695)),0))</f>
        <v>0</v>
      </c>
      <c r="M1696" s="254">
        <f t="shared" ca="1" si="1412"/>
        <v>0</v>
      </c>
      <c r="N1696" s="254">
        <f t="shared" ca="1" si="1412"/>
        <v>0</v>
      </c>
      <c r="O1696" s="254">
        <f t="shared" ca="1" si="1412"/>
        <v>0</v>
      </c>
      <c r="P1696" s="254">
        <f t="shared" ca="1" si="1412"/>
        <v>0</v>
      </c>
      <c r="Q1696" s="254">
        <f t="shared" ca="1" si="1412"/>
        <v>0</v>
      </c>
      <c r="R1696" s="254">
        <f t="shared" ca="1" si="1412"/>
        <v>0</v>
      </c>
      <c r="S1696" s="254">
        <f t="shared" ca="1" si="1412"/>
        <v>0</v>
      </c>
      <c r="T1696" s="254">
        <f t="shared" ca="1" si="1412"/>
        <v>0</v>
      </c>
      <c r="U1696" s="254">
        <f t="shared" ca="1" si="1412"/>
        <v>0</v>
      </c>
      <c r="V1696" s="254">
        <f t="shared" ca="1" si="1412"/>
        <v>0</v>
      </c>
      <c r="W1696" s="254">
        <f t="shared" ca="1" si="1412"/>
        <v>0</v>
      </c>
      <c r="X1696" s="254">
        <f t="shared" ca="1" si="1412"/>
        <v>0</v>
      </c>
    </row>
    <row r="1697" spans="1:24" hidden="1">
      <c r="A1697" s="328"/>
      <c r="B1697" s="21"/>
      <c r="C1697" s="21"/>
      <c r="D1697" s="22"/>
      <c r="E1697" s="21"/>
      <c r="F1697" s="21"/>
      <c r="G1697" s="21"/>
      <c r="H1697" s="404">
        <f>H1690+1</f>
        <v>20</v>
      </c>
      <c r="I1697" s="483" cm="1">
        <f t="array" aca="1" ref="I1697" ca="1">OFFSET('Środki trwałe'!$C$418,H1697,,)</f>
        <v>0</v>
      </c>
      <c r="J1697" s="404" t="s">
        <v>427</v>
      </c>
      <c r="K1697" s="405">
        <f t="shared" ref="K1697:X1697" ca="1" si="1413">IF(AND(OFFSET($F$269,$D1691,0)="tak",OFFSET($G$269,$D1691,0)="tak",OFFSET($J$269,$D1691,0)="ok",LataProjekcji&lt;=Koniec_Projekt),ROUND(K1694*OFFSET($K$469,$H1697,(COLUMN()-11)),0),0)</f>
        <v>0</v>
      </c>
      <c r="L1697" s="405">
        <f t="shared" ca="1" si="1413"/>
        <v>0</v>
      </c>
      <c r="M1697" s="405">
        <f t="shared" ca="1" si="1413"/>
        <v>0</v>
      </c>
      <c r="N1697" s="405">
        <f t="shared" ca="1" si="1413"/>
        <v>0</v>
      </c>
      <c r="O1697" s="405">
        <f t="shared" ca="1" si="1413"/>
        <v>0</v>
      </c>
      <c r="P1697" s="405">
        <f t="shared" ca="1" si="1413"/>
        <v>0</v>
      </c>
      <c r="Q1697" s="405">
        <f t="shared" ca="1" si="1413"/>
        <v>0</v>
      </c>
      <c r="R1697" s="405">
        <f t="shared" ca="1" si="1413"/>
        <v>0</v>
      </c>
      <c r="S1697" s="405">
        <f t="shared" ca="1" si="1413"/>
        <v>0</v>
      </c>
      <c r="T1697" s="405">
        <f t="shared" ca="1" si="1413"/>
        <v>0</v>
      </c>
      <c r="U1697" s="405">
        <f t="shared" ca="1" si="1413"/>
        <v>0</v>
      </c>
      <c r="V1697" s="405">
        <f t="shared" ca="1" si="1413"/>
        <v>0</v>
      </c>
      <c r="W1697" s="405">
        <f t="shared" ca="1" si="1413"/>
        <v>0</v>
      </c>
      <c r="X1697" s="405">
        <f t="shared" ca="1" si="1413"/>
        <v>0</v>
      </c>
    </row>
    <row r="1698" spans="1:24" hidden="1">
      <c r="A1698" s="328"/>
      <c r="B1698" s="20">
        <f ca="1">OFFSET($B$269,D1698,0)</f>
        <v>0</v>
      </c>
      <c r="C1698" s="20"/>
      <c r="D1698" s="21">
        <f>D1691+1</f>
        <v>170</v>
      </c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</row>
    <row r="1699" spans="1:24" hidden="1">
      <c r="A1699" s="328"/>
      <c r="B1699" s="21" t="s">
        <v>414</v>
      </c>
      <c r="C1699" s="21"/>
      <c r="D1699" s="165">
        <f ca="1">YEAR(OFFSET($E$269,D1698,0))</f>
        <v>1900</v>
      </c>
      <c r="E1699" s="165">
        <f ca="1">MONTH(OFFSET($E$269,D1698,0))</f>
        <v>1</v>
      </c>
      <c r="F1699" s="21">
        <f ca="1">12-$E1699</f>
        <v>11</v>
      </c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</row>
    <row r="1700" spans="1:24" hidden="1">
      <c r="A1700" s="328"/>
      <c r="B1700" s="21" t="s">
        <v>406</v>
      </c>
      <c r="C1700" s="21"/>
      <c r="D1700" s="385">
        <f ca="1">IF(E1700&lt;0,0,ROUND(E1700,0))</f>
        <v>0</v>
      </c>
      <c r="E1700" s="249">
        <f ca="1">OFFSET($D$269,D1698,0)</f>
        <v>0</v>
      </c>
      <c r="F1700" s="385">
        <f ca="1">IF(E1700&gt;10,ROUND(($D1701/12)*$F1699,0),$D1700)</f>
        <v>0</v>
      </c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</row>
    <row r="1701" spans="1:24" hidden="1">
      <c r="A1701" s="328"/>
      <c r="B1701" s="21" t="s">
        <v>415</v>
      </c>
      <c r="C1701" s="21"/>
      <c r="D1701" s="385">
        <f ca="1">IF(ISBLANK(OFFSET($E$269,D1698,0)),0,IF(E1700&gt;10,ROUND(D1700*am_maszyny,0),IF(D1700&lt;0,0,D1700)))</f>
        <v>0</v>
      </c>
      <c r="E1701" s="21"/>
      <c r="F1701" s="21"/>
      <c r="G1701" s="21"/>
      <c r="H1701" s="21"/>
      <c r="I1701" s="21"/>
      <c r="J1701" s="21"/>
      <c r="K1701" s="75">
        <f ca="1">ROUND(IF($D1699=LataProjekcji,$F1700,IF($D1699=LataProjekcji,$D1701,0)),0)</f>
        <v>0</v>
      </c>
      <c r="L1701" s="248">
        <f ca="1">ROUND(IF(OR(AND($D1699=LataProjekcji,$F1699&gt;0),AND($D1699=LataProjekcji,$F1699=0,$E1700&lt;=10)),$F1700,IF($D1699&lt;LataProjekcji,IF((SUM($K1701:K1701)+$D1701)&lt;$D1700,$D1701,$D1700-SUM($K1701:K1701)),0)),0)</f>
        <v>0</v>
      </c>
      <c r="M1701" s="248">
        <f ca="1">ROUND(IF(OR(AND($D1699=LataProjekcji,$F1699&gt;0),AND($D1699=LataProjekcji,$F1699=0,$E1700&lt;=10)),$F1700,IF($D1699&lt;LataProjekcji,IF((SUM($K1701:L1701)+$D1701)&lt;$D1700,$D1701,$D1700-SUM($K1701:L1701)),0)),0)</f>
        <v>0</v>
      </c>
      <c r="N1701" s="248">
        <f ca="1">ROUND(IF(OR(AND($D1699=LataProjekcji,$F1699&gt;0),AND($D1699=LataProjekcji,$F1699=0,$E1700&lt;=10)),$F1700,IF($D1699&lt;LataProjekcji,IF((SUM($K1701:M1701)+$D1701)&lt;$D1700,$D1701,$D1700-SUM($K1701:M1701)),0)),0)</f>
        <v>0</v>
      </c>
      <c r="O1701" s="248">
        <f ca="1">ROUND(IF(OR(AND($D1699=LataProjekcji,$F1699&gt;0),AND($D1699=LataProjekcji,$F1699=0,$E1700&lt;=10)),$F1700,IF($D1699&lt;LataProjekcji,IF((SUM($K1701:N1701)+$D1701)&lt;$D1700,$D1701,$D1700-SUM($K1701:N1701)),0)),0)</f>
        <v>0</v>
      </c>
      <c r="P1701" s="248">
        <f ca="1">ROUND(IF(OR(AND($D1699=LataProjekcji,$F1699&gt;0),AND($D1699=LataProjekcji,$F1699=0,$E1700&lt;=10)),$F1700,IF($D1699&lt;LataProjekcji,IF((SUM($K1701:O1701)+$D1701)&lt;$D1700,$D1701,$D1700-SUM($K1701:O1701)),0)),0)</f>
        <v>0</v>
      </c>
      <c r="Q1701" s="248">
        <f ca="1">ROUND(IF(OR(AND($D1699=LataProjekcji,$F1699&gt;0),AND($D1699=LataProjekcji,$F1699=0,$E1700&lt;=10)),$F1700,IF($D1699&lt;LataProjekcji,IF((SUM($K1701:P1701)+$D1701)&lt;$D1700,$D1701,$D1700-SUM($K1701:P1701)),0)),0)</f>
        <v>0</v>
      </c>
      <c r="R1701" s="248">
        <f ca="1">ROUND(IF(OR(AND($D1699=LataProjekcji,$F1699&gt;0),AND($D1699=LataProjekcji,$F1699=0,$E1700&lt;=10)),$F1700,IF($D1699&lt;LataProjekcji,IF((SUM($K1701:Q1701)+$D1701)&lt;$D1700,$D1701,$D1700-SUM($K1701:Q1701)),0)),0)</f>
        <v>0</v>
      </c>
      <c r="S1701" s="248">
        <f ca="1">ROUND(IF(OR(AND($D1699=LataProjekcji,$F1699&gt;0),AND($D1699=LataProjekcji,$F1699=0,$E1700&lt;=10)),$F1700,IF($D1699&lt;LataProjekcji,IF((SUM($K1701:R1701)+$D1701)&lt;$D1700,$D1701,$D1700-SUM($K1701:R1701)),0)),0)</f>
        <v>0</v>
      </c>
      <c r="T1701" s="248">
        <f ca="1">ROUND(IF(OR(AND($D1699=LataProjekcji,$F1699&gt;0),AND($D1699=LataProjekcji,$F1699=0,$E1700&lt;=10)),$F1700,IF($D1699&lt;LataProjekcji,IF((SUM($K1701:S1701)+$D1701)&lt;$D1700,$D1701,$D1700-SUM($K1701:S1701)),0)),0)</f>
        <v>0</v>
      </c>
      <c r="U1701" s="248">
        <f ca="1">ROUND(IF(OR(AND($D1699=LataProjekcji,$F1699&gt;0),AND($D1699=LataProjekcji,$F1699=0,$E1700&lt;=10)),$F1700,IF($D1699&lt;LataProjekcji,IF((SUM($K1701:T1701)+$D1701)&lt;$D1700,$D1701,$D1700-SUM($K1701:T1701)),0)),0)</f>
        <v>0</v>
      </c>
      <c r="V1701" s="248">
        <f ca="1">ROUND(IF(OR(AND($D1699=LataProjekcji,$F1699&gt;0),AND($D1699=LataProjekcji,$F1699=0,$E1700&lt;=10)),$F1700,IF($D1699&lt;LataProjekcji,IF((SUM($K1701:U1701)+$D1701)&lt;$D1700,$D1701,$D1700-SUM($K1701:U1701)),0)),0)</f>
        <v>0</v>
      </c>
      <c r="W1701" s="248">
        <f ca="1">ROUND(IF(OR(AND($D1699=LataProjekcji,$F1699&gt;0),AND($D1699=LataProjekcji,$F1699=0,$E1700&lt;=10)),$F1700,IF($D1699&lt;LataProjekcji,IF((SUM($K1701:V1701)+$D1701)&lt;$D1700,$D1701,$D1700-SUM($K1701:V1701)),0)),0)</f>
        <v>0</v>
      </c>
      <c r="X1701" s="248">
        <f ca="1">ROUND(IF(OR(AND($D1699=LataProjekcji,$F1699&gt;0),AND($D1699=LataProjekcji,$F1699=0,$E1700&lt;=10)),$F1700,IF($D1699&lt;LataProjekcji,IF((SUM($K1701:W1701)+$D1701)&lt;$D1700,$D1701,$D1700-SUM($K1701:W1701)),0)),0)</f>
        <v>0</v>
      </c>
    </row>
    <row r="1702" spans="1:24" hidden="1">
      <c r="A1702" s="328"/>
      <c r="B1702" s="21" t="s">
        <v>416</v>
      </c>
      <c r="C1702" s="21"/>
      <c r="D1702" s="22"/>
      <c r="E1702" s="21"/>
      <c r="F1702" s="21"/>
      <c r="G1702" s="21"/>
      <c r="H1702" s="21"/>
      <c r="I1702" s="21"/>
      <c r="J1702" s="21"/>
      <c r="K1702" s="22">
        <f ca="1">ROUND(K1701,0)</f>
        <v>0</v>
      </c>
      <c r="L1702" s="22">
        <f t="shared" ref="L1702:X1702" ca="1" si="1414">ROUND(K1702+L1701,0)</f>
        <v>0</v>
      </c>
      <c r="M1702" s="22">
        <f t="shared" ca="1" si="1414"/>
        <v>0</v>
      </c>
      <c r="N1702" s="22">
        <f t="shared" ca="1" si="1414"/>
        <v>0</v>
      </c>
      <c r="O1702" s="22">
        <f t="shared" ca="1" si="1414"/>
        <v>0</v>
      </c>
      <c r="P1702" s="22">
        <f t="shared" ca="1" si="1414"/>
        <v>0</v>
      </c>
      <c r="Q1702" s="22">
        <f t="shared" ca="1" si="1414"/>
        <v>0</v>
      </c>
      <c r="R1702" s="22">
        <f t="shared" ca="1" si="1414"/>
        <v>0</v>
      </c>
      <c r="S1702" s="22">
        <f t="shared" ca="1" si="1414"/>
        <v>0</v>
      </c>
      <c r="T1702" s="22">
        <f t="shared" ca="1" si="1414"/>
        <v>0</v>
      </c>
      <c r="U1702" s="22">
        <f t="shared" ca="1" si="1414"/>
        <v>0</v>
      </c>
      <c r="V1702" s="22">
        <f t="shared" ca="1" si="1414"/>
        <v>0</v>
      </c>
      <c r="W1702" s="22">
        <f t="shared" ca="1" si="1414"/>
        <v>0</v>
      </c>
      <c r="X1702" s="22">
        <f t="shared" ca="1" si="1414"/>
        <v>0</v>
      </c>
    </row>
    <row r="1703" spans="1:24" hidden="1">
      <c r="A1703" s="328"/>
      <c r="B1703" s="21" t="s">
        <v>406</v>
      </c>
      <c r="C1703" s="21"/>
      <c r="D1703" s="22"/>
      <c r="E1703" s="21"/>
      <c r="F1703" s="21"/>
      <c r="G1703" s="21"/>
      <c r="H1703" s="21"/>
      <c r="I1703" s="21"/>
      <c r="J1703" s="21"/>
      <c r="K1703" s="77">
        <f ca="1">IF($D1699=LataProjekcji,ROUND($D1700-K1702,0),ROUND(IF(K1701=0,0,$D1700-K1702),0))</f>
        <v>0</v>
      </c>
      <c r="L1703" s="254">
        <f t="shared" ref="L1703:X1703" ca="1" si="1415">IF($D1699=LataProjekcji,ROUND($D1700-L1702,0),ROUND(IF(AND(L1701=0,K1703&gt;0),$D1700-L1702,IF(L1701=0,0,$D1700-L1702)),0))</f>
        <v>0</v>
      </c>
      <c r="M1703" s="254">
        <f t="shared" ca="1" si="1415"/>
        <v>0</v>
      </c>
      <c r="N1703" s="254">
        <f t="shared" ca="1" si="1415"/>
        <v>0</v>
      </c>
      <c r="O1703" s="254">
        <f t="shared" ca="1" si="1415"/>
        <v>0</v>
      </c>
      <c r="P1703" s="254">
        <f t="shared" ca="1" si="1415"/>
        <v>0</v>
      </c>
      <c r="Q1703" s="254">
        <f t="shared" ca="1" si="1415"/>
        <v>0</v>
      </c>
      <c r="R1703" s="254">
        <f t="shared" ca="1" si="1415"/>
        <v>0</v>
      </c>
      <c r="S1703" s="254">
        <f t="shared" ca="1" si="1415"/>
        <v>0</v>
      </c>
      <c r="T1703" s="254">
        <f t="shared" ca="1" si="1415"/>
        <v>0</v>
      </c>
      <c r="U1703" s="254">
        <f t="shared" ca="1" si="1415"/>
        <v>0</v>
      </c>
      <c r="V1703" s="254">
        <f t="shared" ca="1" si="1415"/>
        <v>0</v>
      </c>
      <c r="W1703" s="254">
        <f t="shared" ca="1" si="1415"/>
        <v>0</v>
      </c>
      <c r="X1703" s="254">
        <f t="shared" ca="1" si="1415"/>
        <v>0</v>
      </c>
    </row>
    <row r="1704" spans="1:24" hidden="1">
      <c r="A1704" s="328"/>
      <c r="B1704" s="20"/>
      <c r="C1704" s="20"/>
      <c r="D1704" s="21"/>
      <c r="E1704" s="21"/>
      <c r="F1704" s="21"/>
      <c r="G1704" s="21"/>
      <c r="H1704" s="404">
        <f>H1697+1</f>
        <v>21</v>
      </c>
      <c r="I1704" s="483" cm="1">
        <f t="array" aca="1" ref="I1704" ca="1">OFFSET('Środki trwałe'!$C$418,H1704,,)</f>
        <v>0</v>
      </c>
      <c r="J1704" s="404" t="s">
        <v>427</v>
      </c>
      <c r="K1704" s="405">
        <f t="shared" ref="K1704:X1704" ca="1" si="1416">IF(AND(OFFSET($F$269,$D1698,0)="tak",OFFSET($G$269,$D1698,0)="tak",OFFSET($J$269,$D1698,0)="ok",LataProjekcji&lt;=Koniec_Projekt),ROUND(K1701*OFFSET($K$469,$H1704,(COLUMN()-11)),0),0)</f>
        <v>0</v>
      </c>
      <c r="L1704" s="405">
        <f t="shared" ca="1" si="1416"/>
        <v>0</v>
      </c>
      <c r="M1704" s="405">
        <f t="shared" ca="1" si="1416"/>
        <v>0</v>
      </c>
      <c r="N1704" s="405">
        <f t="shared" ca="1" si="1416"/>
        <v>0</v>
      </c>
      <c r="O1704" s="405">
        <f t="shared" ca="1" si="1416"/>
        <v>0</v>
      </c>
      <c r="P1704" s="405">
        <f t="shared" ca="1" si="1416"/>
        <v>0</v>
      </c>
      <c r="Q1704" s="405">
        <f t="shared" ca="1" si="1416"/>
        <v>0</v>
      </c>
      <c r="R1704" s="405">
        <f t="shared" ca="1" si="1416"/>
        <v>0</v>
      </c>
      <c r="S1704" s="405">
        <f t="shared" ca="1" si="1416"/>
        <v>0</v>
      </c>
      <c r="T1704" s="405">
        <f t="shared" ca="1" si="1416"/>
        <v>0</v>
      </c>
      <c r="U1704" s="405">
        <f t="shared" ca="1" si="1416"/>
        <v>0</v>
      </c>
      <c r="V1704" s="405">
        <f t="shared" ca="1" si="1416"/>
        <v>0</v>
      </c>
      <c r="W1704" s="405">
        <f t="shared" ca="1" si="1416"/>
        <v>0</v>
      </c>
      <c r="X1704" s="405">
        <f t="shared" ca="1" si="1416"/>
        <v>0</v>
      </c>
    </row>
    <row r="1705" spans="1:24" hidden="1">
      <c r="A1705" s="328"/>
      <c r="B1705" s="20">
        <f ca="1">OFFSET($B$269,D1705,0)</f>
        <v>0</v>
      </c>
      <c r="C1705" s="20"/>
      <c r="D1705" s="21">
        <f>D1698+1</f>
        <v>171</v>
      </c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</row>
    <row r="1706" spans="1:24" hidden="1">
      <c r="A1706" s="328"/>
      <c r="B1706" s="21" t="s">
        <v>414</v>
      </c>
      <c r="C1706" s="21"/>
      <c r="D1706" s="165">
        <f ca="1">YEAR(OFFSET($E$269,D1705,0))</f>
        <v>1900</v>
      </c>
      <c r="E1706" s="165">
        <f ca="1">MONTH(OFFSET($E$269,D1705,0))</f>
        <v>1</v>
      </c>
      <c r="F1706" s="21">
        <f ca="1">12-$E1706</f>
        <v>11</v>
      </c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</row>
    <row r="1707" spans="1:24" hidden="1">
      <c r="A1707" s="328"/>
      <c r="B1707" s="21" t="s">
        <v>406</v>
      </c>
      <c r="C1707" s="21"/>
      <c r="D1707" s="386">
        <f ca="1">IF(E1707&lt;0,0,ROUND(E1707,0))</f>
        <v>0</v>
      </c>
      <c r="E1707" s="249">
        <f ca="1">OFFSET($D$269,D1705,0)</f>
        <v>0</v>
      </c>
      <c r="F1707" s="386">
        <f ca="1">IF(E1707&gt;10,ROUND(($D1708/12)*$F1706,0),$D1707)</f>
        <v>0</v>
      </c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</row>
    <row r="1708" spans="1:24" hidden="1">
      <c r="A1708" s="328"/>
      <c r="B1708" s="21" t="s">
        <v>415</v>
      </c>
      <c r="C1708" s="21"/>
      <c r="D1708" s="386">
        <f ca="1">IF(ISBLANK(OFFSET($E$269,D1705,0)),0,IF(E1707&gt;10,ROUND(D1707*am_maszyny,0),IF(D1707&lt;0,0,D1707)))</f>
        <v>0</v>
      </c>
      <c r="E1708" s="21"/>
      <c r="F1708" s="21"/>
      <c r="G1708" s="21"/>
      <c r="H1708" s="21"/>
      <c r="I1708" s="21"/>
      <c r="J1708" s="21"/>
      <c r="K1708" s="75">
        <f ca="1">ROUND(IF($D1706=LataProjekcji,$F1707,IF($D1706=LataProjekcji,$D1708,0)),0)</f>
        <v>0</v>
      </c>
      <c r="L1708" s="248">
        <f ca="1">ROUND(IF(OR(AND($D1706=LataProjekcji,$F1706&gt;0),AND($D1706=LataProjekcji,$F1706=0,$E1707&lt;=10)),$F1707,IF($D1706&lt;LataProjekcji,IF((SUM($K1708:K1708)+$D1708)&lt;$D1707,$D1708,$D1707-SUM($K1708:K1708)),0)),0)</f>
        <v>0</v>
      </c>
      <c r="M1708" s="248">
        <f ca="1">ROUND(IF(OR(AND($D1706=LataProjekcji,$F1706&gt;0),AND($D1706=LataProjekcji,$F1706=0,$E1707&lt;=10)),$F1707,IF($D1706&lt;LataProjekcji,IF((SUM($K1708:L1708)+$D1708)&lt;$D1707,$D1708,$D1707-SUM($K1708:L1708)),0)),0)</f>
        <v>0</v>
      </c>
      <c r="N1708" s="248">
        <f ca="1">ROUND(IF(OR(AND($D1706=LataProjekcji,$F1706&gt;0),AND($D1706=LataProjekcji,$F1706=0,$E1707&lt;=10)),$F1707,IF($D1706&lt;LataProjekcji,IF((SUM($K1708:M1708)+$D1708)&lt;$D1707,$D1708,$D1707-SUM($K1708:M1708)),0)),0)</f>
        <v>0</v>
      </c>
      <c r="O1708" s="248">
        <f ca="1">ROUND(IF(OR(AND($D1706=LataProjekcji,$F1706&gt;0),AND($D1706=LataProjekcji,$F1706=0,$E1707&lt;=10)),$F1707,IF($D1706&lt;LataProjekcji,IF((SUM($K1708:N1708)+$D1708)&lt;$D1707,$D1708,$D1707-SUM($K1708:N1708)),0)),0)</f>
        <v>0</v>
      </c>
      <c r="P1708" s="248">
        <f ca="1">ROUND(IF(OR(AND($D1706=LataProjekcji,$F1706&gt;0),AND($D1706=LataProjekcji,$F1706=0,$E1707&lt;=10)),$F1707,IF($D1706&lt;LataProjekcji,IF((SUM($K1708:O1708)+$D1708)&lt;$D1707,$D1708,$D1707-SUM($K1708:O1708)),0)),0)</f>
        <v>0</v>
      </c>
      <c r="Q1708" s="248">
        <f ca="1">ROUND(IF(OR(AND($D1706=LataProjekcji,$F1706&gt;0),AND($D1706=LataProjekcji,$F1706=0,$E1707&lt;=10)),$F1707,IF($D1706&lt;LataProjekcji,IF((SUM($K1708:P1708)+$D1708)&lt;$D1707,$D1708,$D1707-SUM($K1708:P1708)),0)),0)</f>
        <v>0</v>
      </c>
      <c r="R1708" s="248">
        <f ca="1">ROUND(IF(OR(AND($D1706=LataProjekcji,$F1706&gt;0),AND($D1706=LataProjekcji,$F1706=0,$E1707&lt;=10)),$F1707,IF($D1706&lt;LataProjekcji,IF((SUM($K1708:Q1708)+$D1708)&lt;$D1707,$D1708,$D1707-SUM($K1708:Q1708)),0)),0)</f>
        <v>0</v>
      </c>
      <c r="S1708" s="248">
        <f ca="1">ROUND(IF(OR(AND($D1706=LataProjekcji,$F1706&gt;0),AND($D1706=LataProjekcji,$F1706=0,$E1707&lt;=10)),$F1707,IF($D1706&lt;LataProjekcji,IF((SUM($K1708:R1708)+$D1708)&lt;$D1707,$D1708,$D1707-SUM($K1708:R1708)),0)),0)</f>
        <v>0</v>
      </c>
      <c r="T1708" s="248">
        <f ca="1">ROUND(IF(OR(AND($D1706=LataProjekcji,$F1706&gt;0),AND($D1706=LataProjekcji,$F1706=0,$E1707&lt;=10)),$F1707,IF($D1706&lt;LataProjekcji,IF((SUM($K1708:S1708)+$D1708)&lt;$D1707,$D1708,$D1707-SUM($K1708:S1708)),0)),0)</f>
        <v>0</v>
      </c>
      <c r="U1708" s="248">
        <f ca="1">ROUND(IF(OR(AND($D1706=LataProjekcji,$F1706&gt;0),AND($D1706=LataProjekcji,$F1706=0,$E1707&lt;=10)),$F1707,IF($D1706&lt;LataProjekcji,IF((SUM($K1708:T1708)+$D1708)&lt;$D1707,$D1708,$D1707-SUM($K1708:T1708)),0)),0)</f>
        <v>0</v>
      </c>
      <c r="V1708" s="248">
        <f ca="1">ROUND(IF(OR(AND($D1706=LataProjekcji,$F1706&gt;0),AND($D1706=LataProjekcji,$F1706=0,$E1707&lt;=10)),$F1707,IF($D1706&lt;LataProjekcji,IF((SUM($K1708:U1708)+$D1708)&lt;$D1707,$D1708,$D1707-SUM($K1708:U1708)),0)),0)</f>
        <v>0</v>
      </c>
      <c r="W1708" s="248">
        <f ca="1">ROUND(IF(OR(AND($D1706=LataProjekcji,$F1706&gt;0),AND($D1706=LataProjekcji,$F1706=0,$E1707&lt;=10)),$F1707,IF($D1706&lt;LataProjekcji,IF((SUM($K1708:V1708)+$D1708)&lt;$D1707,$D1708,$D1707-SUM($K1708:V1708)),0)),0)</f>
        <v>0</v>
      </c>
      <c r="X1708" s="248">
        <f ca="1">ROUND(IF(OR(AND($D1706=LataProjekcji,$F1706&gt;0),AND($D1706=LataProjekcji,$F1706=0,$E1707&lt;=10)),$F1707,IF($D1706&lt;LataProjekcji,IF((SUM($K1708:W1708)+$D1708)&lt;$D1707,$D1708,$D1707-SUM($K1708:W1708)),0)),0)</f>
        <v>0</v>
      </c>
    </row>
    <row r="1709" spans="1:24" hidden="1">
      <c r="A1709" s="328"/>
      <c r="B1709" s="21" t="s">
        <v>416</v>
      </c>
      <c r="C1709" s="21"/>
      <c r="D1709" s="22"/>
      <c r="E1709" s="21"/>
      <c r="F1709" s="21"/>
      <c r="G1709" s="21"/>
      <c r="H1709" s="21"/>
      <c r="I1709" s="21"/>
      <c r="J1709" s="21"/>
      <c r="K1709" s="22">
        <f ca="1">ROUND(K1708,0)</f>
        <v>0</v>
      </c>
      <c r="L1709" s="22">
        <f t="shared" ref="L1709:X1709" ca="1" si="1417">ROUND(K1709+L1708,0)</f>
        <v>0</v>
      </c>
      <c r="M1709" s="22">
        <f t="shared" ca="1" si="1417"/>
        <v>0</v>
      </c>
      <c r="N1709" s="22">
        <f t="shared" ca="1" si="1417"/>
        <v>0</v>
      </c>
      <c r="O1709" s="22">
        <f t="shared" ca="1" si="1417"/>
        <v>0</v>
      </c>
      <c r="P1709" s="22">
        <f t="shared" ca="1" si="1417"/>
        <v>0</v>
      </c>
      <c r="Q1709" s="22">
        <f t="shared" ca="1" si="1417"/>
        <v>0</v>
      </c>
      <c r="R1709" s="22">
        <f t="shared" ca="1" si="1417"/>
        <v>0</v>
      </c>
      <c r="S1709" s="22">
        <f t="shared" ca="1" si="1417"/>
        <v>0</v>
      </c>
      <c r="T1709" s="22">
        <f t="shared" ca="1" si="1417"/>
        <v>0</v>
      </c>
      <c r="U1709" s="22">
        <f t="shared" ca="1" si="1417"/>
        <v>0</v>
      </c>
      <c r="V1709" s="22">
        <f t="shared" ca="1" si="1417"/>
        <v>0</v>
      </c>
      <c r="W1709" s="22">
        <f t="shared" ca="1" si="1417"/>
        <v>0</v>
      </c>
      <c r="X1709" s="22">
        <f t="shared" ca="1" si="1417"/>
        <v>0</v>
      </c>
    </row>
    <row r="1710" spans="1:24" hidden="1">
      <c r="A1710" s="328"/>
      <c r="B1710" s="21" t="s">
        <v>406</v>
      </c>
      <c r="C1710" s="21"/>
      <c r="D1710" s="22"/>
      <c r="E1710" s="21"/>
      <c r="F1710" s="21"/>
      <c r="G1710" s="21"/>
      <c r="H1710" s="21"/>
      <c r="I1710" s="21"/>
      <c r="J1710" s="21"/>
      <c r="K1710" s="77">
        <f ca="1">IF($D1706=LataProjekcji,ROUND($D1707-K1709,0),ROUND(IF(K1708=0,0,$D1707-K1709),0))</f>
        <v>0</v>
      </c>
      <c r="L1710" s="254">
        <f t="shared" ref="L1710:X1710" ca="1" si="1418">IF($D1706=LataProjekcji,ROUND($D1707-L1709,0),ROUND(IF(AND(L1708=0,K1710&gt;0),$D1707-L1709,IF(L1708=0,0,$D1707-L1709)),0))</f>
        <v>0</v>
      </c>
      <c r="M1710" s="254">
        <f t="shared" ca="1" si="1418"/>
        <v>0</v>
      </c>
      <c r="N1710" s="254">
        <f t="shared" ca="1" si="1418"/>
        <v>0</v>
      </c>
      <c r="O1710" s="254">
        <f t="shared" ca="1" si="1418"/>
        <v>0</v>
      </c>
      <c r="P1710" s="254">
        <f t="shared" ca="1" si="1418"/>
        <v>0</v>
      </c>
      <c r="Q1710" s="254">
        <f t="shared" ca="1" si="1418"/>
        <v>0</v>
      </c>
      <c r="R1710" s="254">
        <f t="shared" ca="1" si="1418"/>
        <v>0</v>
      </c>
      <c r="S1710" s="254">
        <f t="shared" ca="1" si="1418"/>
        <v>0</v>
      </c>
      <c r="T1710" s="254">
        <f t="shared" ca="1" si="1418"/>
        <v>0</v>
      </c>
      <c r="U1710" s="254">
        <f t="shared" ca="1" si="1418"/>
        <v>0</v>
      </c>
      <c r="V1710" s="254">
        <f t="shared" ca="1" si="1418"/>
        <v>0</v>
      </c>
      <c r="W1710" s="254">
        <f t="shared" ca="1" si="1418"/>
        <v>0</v>
      </c>
      <c r="X1710" s="254">
        <f t="shared" ca="1" si="1418"/>
        <v>0</v>
      </c>
    </row>
    <row r="1711" spans="1:24" hidden="1">
      <c r="A1711" s="328"/>
      <c r="B1711" s="21"/>
      <c r="C1711" s="21"/>
      <c r="D1711" s="22"/>
      <c r="E1711" s="21"/>
      <c r="F1711" s="21"/>
      <c r="G1711" s="21"/>
      <c r="H1711" s="404">
        <f>H1704+1</f>
        <v>22</v>
      </c>
      <c r="I1711" s="483" cm="1">
        <f t="array" aca="1" ref="I1711" ca="1">OFFSET('Środki trwałe'!$C$418,H1711,,)</f>
        <v>0</v>
      </c>
      <c r="J1711" s="404" t="s">
        <v>427</v>
      </c>
      <c r="K1711" s="405">
        <f t="shared" ref="K1711:X1711" ca="1" si="1419">IF(AND(OFFSET($F$269,$D1705,0)="tak",OFFSET($G$269,$D1705,0)="tak",OFFSET($J$269,$D1705,0)="ok",LataProjekcji&lt;=Koniec_Projekt),ROUND(K1708*OFFSET($K$469,$H1711,(COLUMN()-11)),0),0)</f>
        <v>0</v>
      </c>
      <c r="L1711" s="405">
        <f t="shared" ca="1" si="1419"/>
        <v>0</v>
      </c>
      <c r="M1711" s="405">
        <f t="shared" ca="1" si="1419"/>
        <v>0</v>
      </c>
      <c r="N1711" s="405">
        <f t="shared" ca="1" si="1419"/>
        <v>0</v>
      </c>
      <c r="O1711" s="405">
        <f t="shared" ca="1" si="1419"/>
        <v>0</v>
      </c>
      <c r="P1711" s="405">
        <f t="shared" ca="1" si="1419"/>
        <v>0</v>
      </c>
      <c r="Q1711" s="405">
        <f t="shared" ca="1" si="1419"/>
        <v>0</v>
      </c>
      <c r="R1711" s="405">
        <f t="shared" ca="1" si="1419"/>
        <v>0</v>
      </c>
      <c r="S1711" s="405">
        <f t="shared" ca="1" si="1419"/>
        <v>0</v>
      </c>
      <c r="T1711" s="405">
        <f t="shared" ca="1" si="1419"/>
        <v>0</v>
      </c>
      <c r="U1711" s="405">
        <f t="shared" ca="1" si="1419"/>
        <v>0</v>
      </c>
      <c r="V1711" s="405">
        <f t="shared" ca="1" si="1419"/>
        <v>0</v>
      </c>
      <c r="W1711" s="405">
        <f t="shared" ca="1" si="1419"/>
        <v>0</v>
      </c>
      <c r="X1711" s="405">
        <f t="shared" ca="1" si="1419"/>
        <v>0</v>
      </c>
    </row>
    <row r="1712" spans="1:24" hidden="1">
      <c r="A1712" s="328"/>
      <c r="B1712" s="20">
        <f ca="1">OFFSET($B$269,D1712,0)</f>
        <v>0</v>
      </c>
      <c r="C1712" s="20"/>
      <c r="D1712" s="21">
        <f>D1705+1</f>
        <v>172</v>
      </c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</row>
    <row r="1713" spans="1:24" hidden="1">
      <c r="A1713" s="328"/>
      <c r="B1713" s="21" t="s">
        <v>414</v>
      </c>
      <c r="C1713" s="21"/>
      <c r="D1713" s="165">
        <f ca="1">YEAR(OFFSET($E$269,D1712,0))</f>
        <v>1900</v>
      </c>
      <c r="E1713" s="165">
        <f ca="1">MONTH(OFFSET($E$269,D1712,0))</f>
        <v>1</v>
      </c>
      <c r="F1713" s="21">
        <f ca="1">12-$E1713</f>
        <v>11</v>
      </c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</row>
    <row r="1714" spans="1:24" hidden="1">
      <c r="A1714" s="328"/>
      <c r="B1714" s="21" t="s">
        <v>406</v>
      </c>
      <c r="C1714" s="21"/>
      <c r="D1714" s="387">
        <f ca="1">IF(E1714&lt;0,0,ROUND(E1714,0))</f>
        <v>0</v>
      </c>
      <c r="E1714" s="249">
        <f ca="1">OFFSET($D$269,D1712,0)</f>
        <v>0</v>
      </c>
      <c r="F1714" s="387">
        <f ca="1">IF(E1714&gt;10,ROUND(($D1715/12)*$F1713,0),$D1714)</f>
        <v>0</v>
      </c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</row>
    <row r="1715" spans="1:24" hidden="1">
      <c r="A1715" s="328"/>
      <c r="B1715" s="21" t="s">
        <v>415</v>
      </c>
      <c r="C1715" s="21"/>
      <c r="D1715" s="387">
        <f ca="1">IF(ISBLANK(OFFSET($E$269,D1712,0)),0,IF(E1714&gt;10,ROUND(D1714*am_maszyny,0),IF(D1714&lt;0,0,D1714)))</f>
        <v>0</v>
      </c>
      <c r="E1715" s="21"/>
      <c r="F1715" s="21"/>
      <c r="G1715" s="21"/>
      <c r="H1715" s="21"/>
      <c r="I1715" s="21"/>
      <c r="J1715" s="21"/>
      <c r="K1715" s="75">
        <f ca="1">ROUND(IF($D1713=LataProjekcji,$F1714,IF($D1713=LataProjekcji,$D1715,0)),0)</f>
        <v>0</v>
      </c>
      <c r="L1715" s="248">
        <f ca="1">ROUND(IF(OR(AND($D1713=LataProjekcji,$F1713&gt;0),AND($D1713=LataProjekcji,$F1713=0,$E1714&lt;=10)),$F1714,IF($D1713&lt;LataProjekcji,IF((SUM($K1715:K1715)+$D1715)&lt;$D1714,$D1715,$D1714-SUM($K1715:K1715)),0)),0)</f>
        <v>0</v>
      </c>
      <c r="M1715" s="248">
        <f ca="1">ROUND(IF(OR(AND($D1713=LataProjekcji,$F1713&gt;0),AND($D1713=LataProjekcji,$F1713=0,$E1714&lt;=10)),$F1714,IF($D1713&lt;LataProjekcji,IF((SUM($K1715:L1715)+$D1715)&lt;$D1714,$D1715,$D1714-SUM($K1715:L1715)),0)),0)</f>
        <v>0</v>
      </c>
      <c r="N1715" s="248">
        <f ca="1">ROUND(IF(OR(AND($D1713=LataProjekcji,$F1713&gt;0),AND($D1713=LataProjekcji,$F1713=0,$E1714&lt;=10)),$F1714,IF($D1713&lt;LataProjekcji,IF((SUM($K1715:M1715)+$D1715)&lt;$D1714,$D1715,$D1714-SUM($K1715:M1715)),0)),0)</f>
        <v>0</v>
      </c>
      <c r="O1715" s="248">
        <f ca="1">ROUND(IF(OR(AND($D1713=LataProjekcji,$F1713&gt;0),AND($D1713=LataProjekcji,$F1713=0,$E1714&lt;=10)),$F1714,IF($D1713&lt;LataProjekcji,IF((SUM($K1715:N1715)+$D1715)&lt;$D1714,$D1715,$D1714-SUM($K1715:N1715)),0)),0)</f>
        <v>0</v>
      </c>
      <c r="P1715" s="248">
        <f ca="1">ROUND(IF(OR(AND($D1713=LataProjekcji,$F1713&gt;0),AND($D1713=LataProjekcji,$F1713=0,$E1714&lt;=10)),$F1714,IF($D1713&lt;LataProjekcji,IF((SUM($K1715:O1715)+$D1715)&lt;$D1714,$D1715,$D1714-SUM($K1715:O1715)),0)),0)</f>
        <v>0</v>
      </c>
      <c r="Q1715" s="248">
        <f ca="1">ROUND(IF(OR(AND($D1713=LataProjekcji,$F1713&gt;0),AND($D1713=LataProjekcji,$F1713=0,$E1714&lt;=10)),$F1714,IF($D1713&lt;LataProjekcji,IF((SUM($K1715:P1715)+$D1715)&lt;$D1714,$D1715,$D1714-SUM($K1715:P1715)),0)),0)</f>
        <v>0</v>
      </c>
      <c r="R1715" s="248">
        <f ca="1">ROUND(IF(OR(AND($D1713=LataProjekcji,$F1713&gt;0),AND($D1713=LataProjekcji,$F1713=0,$E1714&lt;=10)),$F1714,IF($D1713&lt;LataProjekcji,IF((SUM($K1715:Q1715)+$D1715)&lt;$D1714,$D1715,$D1714-SUM($K1715:Q1715)),0)),0)</f>
        <v>0</v>
      </c>
      <c r="S1715" s="248">
        <f ca="1">ROUND(IF(OR(AND($D1713=LataProjekcji,$F1713&gt;0),AND($D1713=LataProjekcji,$F1713=0,$E1714&lt;=10)),$F1714,IF($D1713&lt;LataProjekcji,IF((SUM($K1715:R1715)+$D1715)&lt;$D1714,$D1715,$D1714-SUM($K1715:R1715)),0)),0)</f>
        <v>0</v>
      </c>
      <c r="T1715" s="248">
        <f ca="1">ROUND(IF(OR(AND($D1713=LataProjekcji,$F1713&gt;0),AND($D1713=LataProjekcji,$F1713=0,$E1714&lt;=10)),$F1714,IF($D1713&lt;LataProjekcji,IF((SUM($K1715:S1715)+$D1715)&lt;$D1714,$D1715,$D1714-SUM($K1715:S1715)),0)),0)</f>
        <v>0</v>
      </c>
      <c r="U1715" s="248">
        <f ca="1">ROUND(IF(OR(AND($D1713=LataProjekcji,$F1713&gt;0),AND($D1713=LataProjekcji,$F1713=0,$E1714&lt;=10)),$F1714,IF($D1713&lt;LataProjekcji,IF((SUM($K1715:T1715)+$D1715)&lt;$D1714,$D1715,$D1714-SUM($K1715:T1715)),0)),0)</f>
        <v>0</v>
      </c>
      <c r="V1715" s="248">
        <f ca="1">ROUND(IF(OR(AND($D1713=LataProjekcji,$F1713&gt;0),AND($D1713=LataProjekcji,$F1713=0,$E1714&lt;=10)),$F1714,IF($D1713&lt;LataProjekcji,IF((SUM($K1715:U1715)+$D1715)&lt;$D1714,$D1715,$D1714-SUM($K1715:U1715)),0)),0)</f>
        <v>0</v>
      </c>
      <c r="W1715" s="248">
        <f ca="1">ROUND(IF(OR(AND($D1713=LataProjekcji,$F1713&gt;0),AND($D1713=LataProjekcji,$F1713=0,$E1714&lt;=10)),$F1714,IF($D1713&lt;LataProjekcji,IF((SUM($K1715:V1715)+$D1715)&lt;$D1714,$D1715,$D1714-SUM($K1715:V1715)),0)),0)</f>
        <v>0</v>
      </c>
      <c r="X1715" s="248">
        <f ca="1">ROUND(IF(OR(AND($D1713=LataProjekcji,$F1713&gt;0),AND($D1713=LataProjekcji,$F1713=0,$E1714&lt;=10)),$F1714,IF($D1713&lt;LataProjekcji,IF((SUM($K1715:W1715)+$D1715)&lt;$D1714,$D1715,$D1714-SUM($K1715:W1715)),0)),0)</f>
        <v>0</v>
      </c>
    </row>
    <row r="1716" spans="1:24" hidden="1">
      <c r="A1716" s="328"/>
      <c r="B1716" s="21" t="s">
        <v>416</v>
      </c>
      <c r="C1716" s="21"/>
      <c r="D1716" s="22"/>
      <c r="E1716" s="21"/>
      <c r="F1716" s="21"/>
      <c r="G1716" s="21"/>
      <c r="H1716" s="21"/>
      <c r="I1716" s="21"/>
      <c r="J1716" s="21"/>
      <c r="K1716" s="22">
        <f ca="1">ROUND(K1715,0)</f>
        <v>0</v>
      </c>
      <c r="L1716" s="22">
        <f t="shared" ref="L1716:X1716" ca="1" si="1420">ROUND(K1716+L1715,0)</f>
        <v>0</v>
      </c>
      <c r="M1716" s="22">
        <f t="shared" ca="1" si="1420"/>
        <v>0</v>
      </c>
      <c r="N1716" s="22">
        <f t="shared" ca="1" si="1420"/>
        <v>0</v>
      </c>
      <c r="O1716" s="22">
        <f t="shared" ca="1" si="1420"/>
        <v>0</v>
      </c>
      <c r="P1716" s="22">
        <f t="shared" ca="1" si="1420"/>
        <v>0</v>
      </c>
      <c r="Q1716" s="22">
        <f t="shared" ca="1" si="1420"/>
        <v>0</v>
      </c>
      <c r="R1716" s="22">
        <f t="shared" ca="1" si="1420"/>
        <v>0</v>
      </c>
      <c r="S1716" s="22">
        <f t="shared" ca="1" si="1420"/>
        <v>0</v>
      </c>
      <c r="T1716" s="22">
        <f t="shared" ca="1" si="1420"/>
        <v>0</v>
      </c>
      <c r="U1716" s="22">
        <f t="shared" ca="1" si="1420"/>
        <v>0</v>
      </c>
      <c r="V1716" s="22">
        <f t="shared" ca="1" si="1420"/>
        <v>0</v>
      </c>
      <c r="W1716" s="22">
        <f t="shared" ca="1" si="1420"/>
        <v>0</v>
      </c>
      <c r="X1716" s="22">
        <f t="shared" ca="1" si="1420"/>
        <v>0</v>
      </c>
    </row>
    <row r="1717" spans="1:24" hidden="1">
      <c r="A1717" s="328"/>
      <c r="B1717" s="21" t="s">
        <v>406</v>
      </c>
      <c r="C1717" s="21"/>
      <c r="D1717" s="22"/>
      <c r="E1717" s="21"/>
      <c r="F1717" s="21"/>
      <c r="G1717" s="21"/>
      <c r="H1717" s="21"/>
      <c r="I1717" s="21"/>
      <c r="J1717" s="21"/>
      <c r="K1717" s="77">
        <f ca="1">IF($D1713=LataProjekcji,ROUND($D1714-K1716,0),ROUND(IF(K1715=0,0,$D1714-K1716),0))</f>
        <v>0</v>
      </c>
      <c r="L1717" s="254">
        <f t="shared" ref="L1717:X1717" ca="1" si="1421">IF($D1713=LataProjekcji,ROUND($D1714-L1716,0),ROUND(IF(AND(L1715=0,K1717&gt;0),$D1714-L1716,IF(L1715=0,0,$D1714-L1716)),0))</f>
        <v>0</v>
      </c>
      <c r="M1717" s="254">
        <f t="shared" ca="1" si="1421"/>
        <v>0</v>
      </c>
      <c r="N1717" s="254">
        <f t="shared" ca="1" si="1421"/>
        <v>0</v>
      </c>
      <c r="O1717" s="254">
        <f t="shared" ca="1" si="1421"/>
        <v>0</v>
      </c>
      <c r="P1717" s="254">
        <f t="shared" ca="1" si="1421"/>
        <v>0</v>
      </c>
      <c r="Q1717" s="254">
        <f t="shared" ca="1" si="1421"/>
        <v>0</v>
      </c>
      <c r="R1717" s="254">
        <f t="shared" ca="1" si="1421"/>
        <v>0</v>
      </c>
      <c r="S1717" s="254">
        <f t="shared" ca="1" si="1421"/>
        <v>0</v>
      </c>
      <c r="T1717" s="254">
        <f t="shared" ca="1" si="1421"/>
        <v>0</v>
      </c>
      <c r="U1717" s="254">
        <f t="shared" ca="1" si="1421"/>
        <v>0</v>
      </c>
      <c r="V1717" s="254">
        <f t="shared" ca="1" si="1421"/>
        <v>0</v>
      </c>
      <c r="W1717" s="254">
        <f t="shared" ca="1" si="1421"/>
        <v>0</v>
      </c>
      <c r="X1717" s="254">
        <f t="shared" ca="1" si="1421"/>
        <v>0</v>
      </c>
    </row>
    <row r="1718" spans="1:24" hidden="1">
      <c r="A1718" s="328"/>
      <c r="B1718" s="21"/>
      <c r="C1718" s="21"/>
      <c r="D1718" s="21"/>
      <c r="E1718" s="21"/>
      <c r="F1718" s="21"/>
      <c r="G1718" s="21"/>
      <c r="H1718" s="404">
        <f>H1711+1</f>
        <v>23</v>
      </c>
      <c r="I1718" s="483" cm="1">
        <f t="array" aca="1" ref="I1718" ca="1">OFFSET('Środki trwałe'!$C$418,H1718,,)</f>
        <v>0</v>
      </c>
      <c r="J1718" s="404" t="s">
        <v>427</v>
      </c>
      <c r="K1718" s="405">
        <f t="shared" ref="K1718:X1718" ca="1" si="1422">IF(AND(OFFSET($F$269,$D1712,0)="tak",OFFSET($G$269,$D1712,0)="tak",OFFSET($J$269,$D1712,0)="ok",LataProjekcji&lt;=Koniec_Projekt),ROUND(K1715*OFFSET($K$469,$H1718,(COLUMN()-11)),0),0)</f>
        <v>0</v>
      </c>
      <c r="L1718" s="405">
        <f t="shared" ca="1" si="1422"/>
        <v>0</v>
      </c>
      <c r="M1718" s="405">
        <f t="shared" ca="1" si="1422"/>
        <v>0</v>
      </c>
      <c r="N1718" s="405">
        <f t="shared" ca="1" si="1422"/>
        <v>0</v>
      </c>
      <c r="O1718" s="405">
        <f t="shared" ca="1" si="1422"/>
        <v>0</v>
      </c>
      <c r="P1718" s="405">
        <f t="shared" ca="1" si="1422"/>
        <v>0</v>
      </c>
      <c r="Q1718" s="405">
        <f t="shared" ca="1" si="1422"/>
        <v>0</v>
      </c>
      <c r="R1718" s="405">
        <f t="shared" ca="1" si="1422"/>
        <v>0</v>
      </c>
      <c r="S1718" s="405">
        <f t="shared" ca="1" si="1422"/>
        <v>0</v>
      </c>
      <c r="T1718" s="405">
        <f t="shared" ca="1" si="1422"/>
        <v>0</v>
      </c>
      <c r="U1718" s="405">
        <f t="shared" ca="1" si="1422"/>
        <v>0</v>
      </c>
      <c r="V1718" s="405">
        <f t="shared" ca="1" si="1422"/>
        <v>0</v>
      </c>
      <c r="W1718" s="405">
        <f t="shared" ca="1" si="1422"/>
        <v>0</v>
      </c>
      <c r="X1718" s="405">
        <f t="shared" ca="1" si="1422"/>
        <v>0</v>
      </c>
    </row>
    <row r="1719" spans="1:24" hidden="1">
      <c r="A1719" s="328"/>
      <c r="B1719" s="20">
        <f ca="1">OFFSET($B$269,D1719,0)</f>
        <v>0</v>
      </c>
      <c r="C1719" s="20"/>
      <c r="D1719" s="21">
        <f>D1712+1</f>
        <v>173</v>
      </c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</row>
    <row r="1720" spans="1:24" hidden="1">
      <c r="A1720" s="328"/>
      <c r="B1720" s="21" t="s">
        <v>414</v>
      </c>
      <c r="C1720" s="21"/>
      <c r="D1720" s="165">
        <f ca="1">YEAR(OFFSET($E$269,D1719,0))</f>
        <v>1900</v>
      </c>
      <c r="E1720" s="165">
        <f ca="1">MONTH(OFFSET($E$269,D1719,0))</f>
        <v>1</v>
      </c>
      <c r="F1720" s="21">
        <f ca="1">12-$E1720</f>
        <v>11</v>
      </c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</row>
    <row r="1721" spans="1:24" hidden="1">
      <c r="A1721" s="328"/>
      <c r="B1721" s="21" t="s">
        <v>406</v>
      </c>
      <c r="C1721" s="21"/>
      <c r="D1721" s="388">
        <f ca="1">IF(E1721&lt;0,0,ROUND(E1721,0))</f>
        <v>0</v>
      </c>
      <c r="E1721" s="249">
        <f ca="1">OFFSET($D$269,D1719,0)</f>
        <v>0</v>
      </c>
      <c r="F1721" s="388">
        <f ca="1">IF(E1721&gt;10,ROUND(($D1722/12)*$F1720,0),$D1721)</f>
        <v>0</v>
      </c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</row>
    <row r="1722" spans="1:24" hidden="1">
      <c r="A1722" s="328"/>
      <c r="B1722" s="21" t="s">
        <v>415</v>
      </c>
      <c r="C1722" s="21"/>
      <c r="D1722" s="388">
        <f ca="1">IF(ISBLANK(OFFSET($E$269,D1719,0)),0,IF(E1721&gt;10,ROUND(D1721*am_maszyny,0),IF(D1721&lt;0,0,D1721)))</f>
        <v>0</v>
      </c>
      <c r="E1722" s="21"/>
      <c r="F1722" s="21"/>
      <c r="G1722" s="21"/>
      <c r="H1722" s="21"/>
      <c r="I1722" s="21"/>
      <c r="J1722" s="21"/>
      <c r="K1722" s="75">
        <f ca="1">ROUND(IF($D1720=LataProjekcji,$F1721,IF($D1720=LataProjekcji,$D1722,0)),0)</f>
        <v>0</v>
      </c>
      <c r="L1722" s="248">
        <f ca="1">ROUND(IF(OR(AND($D1720=LataProjekcji,$F1720&gt;0),AND($D1720=LataProjekcji,$F1720=0,$E1721&lt;=10)),$F1721,IF($D1720&lt;LataProjekcji,IF((SUM($K1722:K1722)+$D1722)&lt;$D1721,$D1722,$D1721-SUM($K1722:K1722)),0)),0)</f>
        <v>0</v>
      </c>
      <c r="M1722" s="248">
        <f ca="1">ROUND(IF(OR(AND($D1720=LataProjekcji,$F1720&gt;0),AND($D1720=LataProjekcji,$F1720=0,$E1721&lt;=10)),$F1721,IF($D1720&lt;LataProjekcji,IF((SUM($K1722:L1722)+$D1722)&lt;$D1721,$D1722,$D1721-SUM($K1722:L1722)),0)),0)</f>
        <v>0</v>
      </c>
      <c r="N1722" s="248">
        <f ca="1">ROUND(IF(OR(AND($D1720=LataProjekcji,$F1720&gt;0),AND($D1720=LataProjekcji,$F1720=0,$E1721&lt;=10)),$F1721,IF($D1720&lt;LataProjekcji,IF((SUM($K1722:M1722)+$D1722)&lt;$D1721,$D1722,$D1721-SUM($K1722:M1722)),0)),0)</f>
        <v>0</v>
      </c>
      <c r="O1722" s="248">
        <f ca="1">ROUND(IF(OR(AND($D1720=LataProjekcji,$F1720&gt;0),AND($D1720=LataProjekcji,$F1720=0,$E1721&lt;=10)),$F1721,IF($D1720&lt;LataProjekcji,IF((SUM($K1722:N1722)+$D1722)&lt;$D1721,$D1722,$D1721-SUM($K1722:N1722)),0)),0)</f>
        <v>0</v>
      </c>
      <c r="P1722" s="248">
        <f ca="1">ROUND(IF(OR(AND($D1720=LataProjekcji,$F1720&gt;0),AND($D1720=LataProjekcji,$F1720=0,$E1721&lt;=10)),$F1721,IF($D1720&lt;LataProjekcji,IF((SUM($K1722:O1722)+$D1722)&lt;$D1721,$D1722,$D1721-SUM($K1722:O1722)),0)),0)</f>
        <v>0</v>
      </c>
      <c r="Q1722" s="248">
        <f ca="1">ROUND(IF(OR(AND($D1720=LataProjekcji,$F1720&gt;0),AND($D1720=LataProjekcji,$F1720=0,$E1721&lt;=10)),$F1721,IF($D1720&lt;LataProjekcji,IF((SUM($K1722:P1722)+$D1722)&lt;$D1721,$D1722,$D1721-SUM($K1722:P1722)),0)),0)</f>
        <v>0</v>
      </c>
      <c r="R1722" s="248">
        <f ca="1">ROUND(IF(OR(AND($D1720=LataProjekcji,$F1720&gt;0),AND($D1720=LataProjekcji,$F1720=0,$E1721&lt;=10)),$F1721,IF($D1720&lt;LataProjekcji,IF((SUM($K1722:Q1722)+$D1722)&lt;$D1721,$D1722,$D1721-SUM($K1722:Q1722)),0)),0)</f>
        <v>0</v>
      </c>
      <c r="S1722" s="248">
        <f ca="1">ROUND(IF(OR(AND($D1720=LataProjekcji,$F1720&gt;0),AND($D1720=LataProjekcji,$F1720=0,$E1721&lt;=10)),$F1721,IF($D1720&lt;LataProjekcji,IF((SUM($K1722:R1722)+$D1722)&lt;$D1721,$D1722,$D1721-SUM($K1722:R1722)),0)),0)</f>
        <v>0</v>
      </c>
      <c r="T1722" s="248">
        <f ca="1">ROUND(IF(OR(AND($D1720=LataProjekcji,$F1720&gt;0),AND($D1720=LataProjekcji,$F1720=0,$E1721&lt;=10)),$F1721,IF($D1720&lt;LataProjekcji,IF((SUM($K1722:S1722)+$D1722)&lt;$D1721,$D1722,$D1721-SUM($K1722:S1722)),0)),0)</f>
        <v>0</v>
      </c>
      <c r="U1722" s="248">
        <f ca="1">ROUND(IF(OR(AND($D1720=LataProjekcji,$F1720&gt;0),AND($D1720=LataProjekcji,$F1720=0,$E1721&lt;=10)),$F1721,IF($D1720&lt;LataProjekcji,IF((SUM($K1722:T1722)+$D1722)&lt;$D1721,$D1722,$D1721-SUM($K1722:T1722)),0)),0)</f>
        <v>0</v>
      </c>
      <c r="V1722" s="248">
        <f ca="1">ROUND(IF(OR(AND($D1720=LataProjekcji,$F1720&gt;0),AND($D1720=LataProjekcji,$F1720=0,$E1721&lt;=10)),$F1721,IF($D1720&lt;LataProjekcji,IF((SUM($K1722:U1722)+$D1722)&lt;$D1721,$D1722,$D1721-SUM($K1722:U1722)),0)),0)</f>
        <v>0</v>
      </c>
      <c r="W1722" s="248">
        <f ca="1">ROUND(IF(OR(AND($D1720=LataProjekcji,$F1720&gt;0),AND($D1720=LataProjekcji,$F1720=0,$E1721&lt;=10)),$F1721,IF($D1720&lt;LataProjekcji,IF((SUM($K1722:V1722)+$D1722)&lt;$D1721,$D1722,$D1721-SUM($K1722:V1722)),0)),0)</f>
        <v>0</v>
      </c>
      <c r="X1722" s="248">
        <f ca="1">ROUND(IF(OR(AND($D1720=LataProjekcji,$F1720&gt;0),AND($D1720=LataProjekcji,$F1720=0,$E1721&lt;=10)),$F1721,IF($D1720&lt;LataProjekcji,IF((SUM($K1722:W1722)+$D1722)&lt;$D1721,$D1722,$D1721-SUM($K1722:W1722)),0)),0)</f>
        <v>0</v>
      </c>
    </row>
    <row r="1723" spans="1:24" hidden="1">
      <c r="A1723" s="328"/>
      <c r="B1723" s="21" t="s">
        <v>416</v>
      </c>
      <c r="C1723" s="21"/>
      <c r="D1723" s="22"/>
      <c r="E1723" s="21"/>
      <c r="F1723" s="21"/>
      <c r="G1723" s="21"/>
      <c r="H1723" s="21"/>
      <c r="I1723" s="21"/>
      <c r="J1723" s="21"/>
      <c r="K1723" s="22">
        <f ca="1">ROUND(K1722,0)</f>
        <v>0</v>
      </c>
      <c r="L1723" s="22">
        <f t="shared" ref="L1723:X1723" ca="1" si="1423">ROUND(K1723+L1722,0)</f>
        <v>0</v>
      </c>
      <c r="M1723" s="22">
        <f t="shared" ca="1" si="1423"/>
        <v>0</v>
      </c>
      <c r="N1723" s="22">
        <f t="shared" ca="1" si="1423"/>
        <v>0</v>
      </c>
      <c r="O1723" s="22">
        <f t="shared" ca="1" si="1423"/>
        <v>0</v>
      </c>
      <c r="P1723" s="22">
        <f t="shared" ca="1" si="1423"/>
        <v>0</v>
      </c>
      <c r="Q1723" s="22">
        <f t="shared" ca="1" si="1423"/>
        <v>0</v>
      </c>
      <c r="R1723" s="22">
        <f t="shared" ca="1" si="1423"/>
        <v>0</v>
      </c>
      <c r="S1723" s="22">
        <f t="shared" ca="1" si="1423"/>
        <v>0</v>
      </c>
      <c r="T1723" s="22">
        <f t="shared" ca="1" si="1423"/>
        <v>0</v>
      </c>
      <c r="U1723" s="22">
        <f t="shared" ca="1" si="1423"/>
        <v>0</v>
      </c>
      <c r="V1723" s="22">
        <f t="shared" ca="1" si="1423"/>
        <v>0</v>
      </c>
      <c r="W1723" s="22">
        <f t="shared" ca="1" si="1423"/>
        <v>0</v>
      </c>
      <c r="X1723" s="22">
        <f t="shared" ca="1" si="1423"/>
        <v>0</v>
      </c>
    </row>
    <row r="1724" spans="1:24" hidden="1">
      <c r="A1724" s="328"/>
      <c r="B1724" s="21" t="s">
        <v>406</v>
      </c>
      <c r="C1724" s="21"/>
      <c r="D1724" s="22"/>
      <c r="E1724" s="21"/>
      <c r="F1724" s="21"/>
      <c r="G1724" s="21"/>
      <c r="H1724" s="21"/>
      <c r="I1724" s="21"/>
      <c r="J1724" s="21"/>
      <c r="K1724" s="77">
        <f ca="1">IF($D1720=LataProjekcji,ROUND($D1721-K1723,0),ROUND(IF(K1722=0,0,$D1721-K1723),0))</f>
        <v>0</v>
      </c>
      <c r="L1724" s="254">
        <f t="shared" ref="L1724:X1724" ca="1" si="1424">IF($D1720=LataProjekcji,ROUND($D1721-L1723,0),ROUND(IF(AND(L1722=0,K1724&gt;0),$D1721-L1723,IF(L1722=0,0,$D1721-L1723)),0))</f>
        <v>0</v>
      </c>
      <c r="M1724" s="254">
        <f t="shared" ca="1" si="1424"/>
        <v>0</v>
      </c>
      <c r="N1724" s="254">
        <f t="shared" ca="1" si="1424"/>
        <v>0</v>
      </c>
      <c r="O1724" s="254">
        <f t="shared" ca="1" si="1424"/>
        <v>0</v>
      </c>
      <c r="P1724" s="254">
        <f t="shared" ca="1" si="1424"/>
        <v>0</v>
      </c>
      <c r="Q1724" s="254">
        <f t="shared" ca="1" si="1424"/>
        <v>0</v>
      </c>
      <c r="R1724" s="254">
        <f t="shared" ca="1" si="1424"/>
        <v>0</v>
      </c>
      <c r="S1724" s="254">
        <f t="shared" ca="1" si="1424"/>
        <v>0</v>
      </c>
      <c r="T1724" s="254">
        <f t="shared" ca="1" si="1424"/>
        <v>0</v>
      </c>
      <c r="U1724" s="254">
        <f t="shared" ca="1" si="1424"/>
        <v>0</v>
      </c>
      <c r="V1724" s="254">
        <f t="shared" ca="1" si="1424"/>
        <v>0</v>
      </c>
      <c r="W1724" s="254">
        <f t="shared" ca="1" si="1424"/>
        <v>0</v>
      </c>
      <c r="X1724" s="254">
        <f t="shared" ca="1" si="1424"/>
        <v>0</v>
      </c>
    </row>
    <row r="1725" spans="1:24" hidden="1">
      <c r="A1725" s="328"/>
      <c r="B1725" s="21"/>
      <c r="C1725" s="21"/>
      <c r="D1725" s="22"/>
      <c r="E1725" s="21"/>
      <c r="F1725" s="21"/>
      <c r="G1725" s="21"/>
      <c r="H1725" s="404">
        <f>H1718+1</f>
        <v>24</v>
      </c>
      <c r="I1725" s="483" cm="1">
        <f t="array" aca="1" ref="I1725" ca="1">OFFSET('Środki trwałe'!$C$418,H1725,,)</f>
        <v>0</v>
      </c>
      <c r="J1725" s="404" t="s">
        <v>427</v>
      </c>
      <c r="K1725" s="405">
        <f t="shared" ref="K1725:X1725" ca="1" si="1425">IF(AND(OFFSET($F$269,$D1719,0)="tak",OFFSET($G$269,$D1719,0)="tak",OFFSET($J$269,$D1719,0)="ok",LataProjekcji&lt;=Koniec_Projekt),ROUND(K1722*OFFSET($K$469,$H1725,(COLUMN()-11)),0),0)</f>
        <v>0</v>
      </c>
      <c r="L1725" s="405">
        <f t="shared" ca="1" si="1425"/>
        <v>0</v>
      </c>
      <c r="M1725" s="405">
        <f t="shared" ca="1" si="1425"/>
        <v>0</v>
      </c>
      <c r="N1725" s="405">
        <f t="shared" ca="1" si="1425"/>
        <v>0</v>
      </c>
      <c r="O1725" s="405">
        <f t="shared" ca="1" si="1425"/>
        <v>0</v>
      </c>
      <c r="P1725" s="405">
        <f t="shared" ca="1" si="1425"/>
        <v>0</v>
      </c>
      <c r="Q1725" s="405">
        <f t="shared" ca="1" si="1425"/>
        <v>0</v>
      </c>
      <c r="R1725" s="405">
        <f t="shared" ca="1" si="1425"/>
        <v>0</v>
      </c>
      <c r="S1725" s="405">
        <f t="shared" ca="1" si="1425"/>
        <v>0</v>
      </c>
      <c r="T1725" s="405">
        <f t="shared" ca="1" si="1425"/>
        <v>0</v>
      </c>
      <c r="U1725" s="405">
        <f t="shared" ca="1" si="1425"/>
        <v>0</v>
      </c>
      <c r="V1725" s="405">
        <f t="shared" ca="1" si="1425"/>
        <v>0</v>
      </c>
      <c r="W1725" s="405">
        <f t="shared" ca="1" si="1425"/>
        <v>0</v>
      </c>
      <c r="X1725" s="405">
        <f t="shared" ca="1" si="1425"/>
        <v>0</v>
      </c>
    </row>
    <row r="1726" spans="1:24" hidden="1">
      <c r="A1726" s="328"/>
      <c r="B1726" s="20">
        <f ca="1">OFFSET($B$269,D1726,0)</f>
        <v>0</v>
      </c>
      <c r="C1726" s="20"/>
      <c r="D1726" s="21">
        <f>D1719+1</f>
        <v>174</v>
      </c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</row>
    <row r="1727" spans="1:24" hidden="1">
      <c r="A1727" s="328"/>
      <c r="B1727" s="21" t="s">
        <v>414</v>
      </c>
      <c r="C1727" s="21"/>
      <c r="D1727" s="165">
        <f ca="1">YEAR(OFFSET($E$269,D1726,0))</f>
        <v>1900</v>
      </c>
      <c r="E1727" s="165">
        <f ca="1">MONTH(OFFSET($E$269,D1726,0))</f>
        <v>1</v>
      </c>
      <c r="F1727" s="21">
        <f ca="1">12-$E1727</f>
        <v>11</v>
      </c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</row>
    <row r="1728" spans="1:24" hidden="1">
      <c r="A1728" s="328"/>
      <c r="B1728" s="21" t="s">
        <v>406</v>
      </c>
      <c r="C1728" s="21"/>
      <c r="D1728" s="385">
        <f ca="1">IF(E1728&lt;0,0,ROUND(E1728,0))</f>
        <v>0</v>
      </c>
      <c r="E1728" s="249">
        <f ca="1">OFFSET($D$269,D1726,0)</f>
        <v>0</v>
      </c>
      <c r="F1728" s="385">
        <f ca="1">IF(E1728&gt;10,ROUND(($D1729/12)*$F1727,0),$D1728)</f>
        <v>0</v>
      </c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</row>
    <row r="1729" spans="1:24" hidden="1">
      <c r="A1729" s="328"/>
      <c r="B1729" s="21" t="s">
        <v>415</v>
      </c>
      <c r="C1729" s="21"/>
      <c r="D1729" s="385">
        <f ca="1">IF(ISBLANK(OFFSET($E$269,D1726,0)),0,IF(E1728&gt;10,ROUND(D1728*am_maszyny,0),IF(D1728&lt;0,0,D1728)))</f>
        <v>0</v>
      </c>
      <c r="E1729" s="21"/>
      <c r="F1729" s="21"/>
      <c r="G1729" s="21"/>
      <c r="H1729" s="21"/>
      <c r="I1729" s="21"/>
      <c r="J1729" s="21"/>
      <c r="K1729" s="75">
        <f ca="1">ROUND(IF($D1727=LataProjekcji,$F1728,IF($D1727=LataProjekcji,$D1729,0)),0)</f>
        <v>0</v>
      </c>
      <c r="L1729" s="248">
        <f ca="1">ROUND(IF(OR(AND($D1727=LataProjekcji,$F1727&gt;0),AND($D1727=LataProjekcji,$F1727=0,$E1728&lt;=10)),$F1728,IF($D1727&lt;LataProjekcji,IF((SUM($K1729:K1729)+$D1729)&lt;$D1728,$D1729,$D1728-SUM($K1729:K1729)),0)),0)</f>
        <v>0</v>
      </c>
      <c r="M1729" s="248">
        <f ca="1">ROUND(IF(OR(AND($D1727=LataProjekcji,$F1727&gt;0),AND($D1727=LataProjekcji,$F1727=0,$E1728&lt;=10)),$F1728,IF($D1727&lt;LataProjekcji,IF((SUM($K1729:L1729)+$D1729)&lt;$D1728,$D1729,$D1728-SUM($K1729:L1729)),0)),0)</f>
        <v>0</v>
      </c>
      <c r="N1729" s="248">
        <f ca="1">ROUND(IF(OR(AND($D1727=LataProjekcji,$F1727&gt;0),AND($D1727=LataProjekcji,$F1727=0,$E1728&lt;=10)),$F1728,IF($D1727&lt;LataProjekcji,IF((SUM($K1729:M1729)+$D1729)&lt;$D1728,$D1729,$D1728-SUM($K1729:M1729)),0)),0)</f>
        <v>0</v>
      </c>
      <c r="O1729" s="248">
        <f ca="1">ROUND(IF(OR(AND($D1727=LataProjekcji,$F1727&gt;0),AND($D1727=LataProjekcji,$F1727=0,$E1728&lt;=10)),$F1728,IF($D1727&lt;LataProjekcji,IF((SUM($K1729:N1729)+$D1729)&lt;$D1728,$D1729,$D1728-SUM($K1729:N1729)),0)),0)</f>
        <v>0</v>
      </c>
      <c r="P1729" s="248">
        <f ca="1">ROUND(IF(OR(AND($D1727=LataProjekcji,$F1727&gt;0),AND($D1727=LataProjekcji,$F1727=0,$E1728&lt;=10)),$F1728,IF($D1727&lt;LataProjekcji,IF((SUM($K1729:O1729)+$D1729)&lt;$D1728,$D1729,$D1728-SUM($K1729:O1729)),0)),0)</f>
        <v>0</v>
      </c>
      <c r="Q1729" s="248">
        <f ca="1">ROUND(IF(OR(AND($D1727=LataProjekcji,$F1727&gt;0),AND($D1727=LataProjekcji,$F1727=0,$E1728&lt;=10)),$F1728,IF($D1727&lt;LataProjekcji,IF((SUM($K1729:P1729)+$D1729)&lt;$D1728,$D1729,$D1728-SUM($K1729:P1729)),0)),0)</f>
        <v>0</v>
      </c>
      <c r="R1729" s="248">
        <f ca="1">ROUND(IF(OR(AND($D1727=LataProjekcji,$F1727&gt;0),AND($D1727=LataProjekcji,$F1727=0,$E1728&lt;=10)),$F1728,IF($D1727&lt;LataProjekcji,IF((SUM($K1729:Q1729)+$D1729)&lt;$D1728,$D1729,$D1728-SUM($K1729:Q1729)),0)),0)</f>
        <v>0</v>
      </c>
      <c r="S1729" s="248">
        <f ca="1">ROUND(IF(OR(AND($D1727=LataProjekcji,$F1727&gt;0),AND($D1727=LataProjekcji,$F1727=0,$E1728&lt;=10)),$F1728,IF($D1727&lt;LataProjekcji,IF((SUM($K1729:R1729)+$D1729)&lt;$D1728,$D1729,$D1728-SUM($K1729:R1729)),0)),0)</f>
        <v>0</v>
      </c>
      <c r="T1729" s="248">
        <f ca="1">ROUND(IF(OR(AND($D1727=LataProjekcji,$F1727&gt;0),AND($D1727=LataProjekcji,$F1727=0,$E1728&lt;=10)),$F1728,IF($D1727&lt;LataProjekcji,IF((SUM($K1729:S1729)+$D1729)&lt;$D1728,$D1729,$D1728-SUM($K1729:S1729)),0)),0)</f>
        <v>0</v>
      </c>
      <c r="U1729" s="248">
        <f ca="1">ROUND(IF(OR(AND($D1727=LataProjekcji,$F1727&gt;0),AND($D1727=LataProjekcji,$F1727=0,$E1728&lt;=10)),$F1728,IF($D1727&lt;LataProjekcji,IF((SUM($K1729:T1729)+$D1729)&lt;$D1728,$D1729,$D1728-SUM($K1729:T1729)),0)),0)</f>
        <v>0</v>
      </c>
      <c r="V1729" s="248">
        <f ca="1">ROUND(IF(OR(AND($D1727=LataProjekcji,$F1727&gt;0),AND($D1727=LataProjekcji,$F1727=0,$E1728&lt;=10)),$F1728,IF($D1727&lt;LataProjekcji,IF((SUM($K1729:U1729)+$D1729)&lt;$D1728,$D1729,$D1728-SUM($K1729:U1729)),0)),0)</f>
        <v>0</v>
      </c>
      <c r="W1729" s="248">
        <f ca="1">ROUND(IF(OR(AND($D1727=LataProjekcji,$F1727&gt;0),AND($D1727=LataProjekcji,$F1727=0,$E1728&lt;=10)),$F1728,IF($D1727&lt;LataProjekcji,IF((SUM($K1729:V1729)+$D1729)&lt;$D1728,$D1729,$D1728-SUM($K1729:V1729)),0)),0)</f>
        <v>0</v>
      </c>
      <c r="X1729" s="248">
        <f ca="1">ROUND(IF(OR(AND($D1727=LataProjekcji,$F1727&gt;0),AND($D1727=LataProjekcji,$F1727=0,$E1728&lt;=10)),$F1728,IF($D1727&lt;LataProjekcji,IF((SUM($K1729:W1729)+$D1729)&lt;$D1728,$D1729,$D1728-SUM($K1729:W1729)),0)),0)</f>
        <v>0</v>
      </c>
    </row>
    <row r="1730" spans="1:24" hidden="1">
      <c r="A1730" s="328"/>
      <c r="B1730" s="21" t="s">
        <v>416</v>
      </c>
      <c r="C1730" s="21"/>
      <c r="D1730" s="22"/>
      <c r="E1730" s="21"/>
      <c r="F1730" s="21"/>
      <c r="G1730" s="21"/>
      <c r="H1730" s="21"/>
      <c r="I1730" s="21"/>
      <c r="J1730" s="21"/>
      <c r="K1730" s="22">
        <f ca="1">ROUND(K1729,0)</f>
        <v>0</v>
      </c>
      <c r="L1730" s="22">
        <f t="shared" ref="L1730:X1730" ca="1" si="1426">ROUND(K1730+L1729,0)</f>
        <v>0</v>
      </c>
      <c r="M1730" s="22">
        <f t="shared" ca="1" si="1426"/>
        <v>0</v>
      </c>
      <c r="N1730" s="22">
        <f t="shared" ca="1" si="1426"/>
        <v>0</v>
      </c>
      <c r="O1730" s="22">
        <f t="shared" ca="1" si="1426"/>
        <v>0</v>
      </c>
      <c r="P1730" s="22">
        <f t="shared" ca="1" si="1426"/>
        <v>0</v>
      </c>
      <c r="Q1730" s="22">
        <f t="shared" ca="1" si="1426"/>
        <v>0</v>
      </c>
      <c r="R1730" s="22">
        <f t="shared" ca="1" si="1426"/>
        <v>0</v>
      </c>
      <c r="S1730" s="22">
        <f t="shared" ca="1" si="1426"/>
        <v>0</v>
      </c>
      <c r="T1730" s="22">
        <f t="shared" ca="1" si="1426"/>
        <v>0</v>
      </c>
      <c r="U1730" s="22">
        <f t="shared" ca="1" si="1426"/>
        <v>0</v>
      </c>
      <c r="V1730" s="22">
        <f t="shared" ca="1" si="1426"/>
        <v>0</v>
      </c>
      <c r="W1730" s="22">
        <f t="shared" ca="1" si="1426"/>
        <v>0</v>
      </c>
      <c r="X1730" s="22">
        <f t="shared" ca="1" si="1426"/>
        <v>0</v>
      </c>
    </row>
    <row r="1731" spans="1:24" hidden="1">
      <c r="A1731" s="328"/>
      <c r="B1731" s="21" t="s">
        <v>406</v>
      </c>
      <c r="C1731" s="21"/>
      <c r="D1731" s="22"/>
      <c r="E1731" s="21"/>
      <c r="F1731" s="21"/>
      <c r="G1731" s="21"/>
      <c r="H1731" s="21"/>
      <c r="I1731" s="21"/>
      <c r="J1731" s="21"/>
      <c r="K1731" s="77">
        <f ca="1">IF($D1727=LataProjekcji,ROUND($D1728-K1730,0),ROUND(IF(K1729=0,0,$D1728-K1730),0))</f>
        <v>0</v>
      </c>
      <c r="L1731" s="254">
        <f t="shared" ref="L1731:X1731" ca="1" si="1427">IF($D1727=LataProjekcji,ROUND($D1728-L1730,0),ROUND(IF(AND(L1729=0,K1731&gt;0),$D1728-L1730,IF(L1729=0,0,$D1728-L1730)),0))</f>
        <v>0</v>
      </c>
      <c r="M1731" s="254">
        <f t="shared" ca="1" si="1427"/>
        <v>0</v>
      </c>
      <c r="N1731" s="254">
        <f t="shared" ca="1" si="1427"/>
        <v>0</v>
      </c>
      <c r="O1731" s="254">
        <f t="shared" ca="1" si="1427"/>
        <v>0</v>
      </c>
      <c r="P1731" s="254">
        <f t="shared" ca="1" si="1427"/>
        <v>0</v>
      </c>
      <c r="Q1731" s="254">
        <f t="shared" ca="1" si="1427"/>
        <v>0</v>
      </c>
      <c r="R1731" s="254">
        <f t="shared" ca="1" si="1427"/>
        <v>0</v>
      </c>
      <c r="S1731" s="254">
        <f t="shared" ca="1" si="1427"/>
        <v>0</v>
      </c>
      <c r="T1731" s="254">
        <f t="shared" ca="1" si="1427"/>
        <v>0</v>
      </c>
      <c r="U1731" s="254">
        <f t="shared" ca="1" si="1427"/>
        <v>0</v>
      </c>
      <c r="V1731" s="254">
        <f t="shared" ca="1" si="1427"/>
        <v>0</v>
      </c>
      <c r="W1731" s="254">
        <f t="shared" ca="1" si="1427"/>
        <v>0</v>
      </c>
      <c r="X1731" s="254">
        <f t="shared" ca="1" si="1427"/>
        <v>0</v>
      </c>
    </row>
    <row r="1732" spans="1:24" hidden="1">
      <c r="A1732" s="328"/>
      <c r="B1732" s="20"/>
      <c r="C1732" s="20"/>
      <c r="D1732" s="21"/>
      <c r="E1732" s="21"/>
      <c r="F1732" s="21"/>
      <c r="G1732" s="21"/>
      <c r="H1732" s="404">
        <f>H1725+1</f>
        <v>25</v>
      </c>
      <c r="I1732" s="483" cm="1">
        <f t="array" aca="1" ref="I1732" ca="1">OFFSET('Środki trwałe'!$C$418,H1732,,)</f>
        <v>0</v>
      </c>
      <c r="J1732" s="404" t="s">
        <v>427</v>
      </c>
      <c r="K1732" s="405">
        <f t="shared" ref="K1732:X1732" ca="1" si="1428">IF(AND(OFFSET($F$269,$D1726,0)="tak",OFFSET($G$269,$D1726,0)="tak",OFFSET($J$269,$D1726,0)="ok",LataProjekcji&lt;=Koniec_Projekt),ROUND(K1729*OFFSET($K$469,$H1732,(COLUMN()-11)),0),0)</f>
        <v>0</v>
      </c>
      <c r="L1732" s="405">
        <f t="shared" ca="1" si="1428"/>
        <v>0</v>
      </c>
      <c r="M1732" s="405">
        <f t="shared" ca="1" si="1428"/>
        <v>0</v>
      </c>
      <c r="N1732" s="405">
        <f t="shared" ca="1" si="1428"/>
        <v>0</v>
      </c>
      <c r="O1732" s="405">
        <f t="shared" ca="1" si="1428"/>
        <v>0</v>
      </c>
      <c r="P1732" s="405">
        <f t="shared" ca="1" si="1428"/>
        <v>0</v>
      </c>
      <c r="Q1732" s="405">
        <f t="shared" ca="1" si="1428"/>
        <v>0</v>
      </c>
      <c r="R1732" s="405">
        <f t="shared" ca="1" si="1428"/>
        <v>0</v>
      </c>
      <c r="S1732" s="405">
        <f t="shared" ca="1" si="1428"/>
        <v>0</v>
      </c>
      <c r="T1732" s="405">
        <f t="shared" ca="1" si="1428"/>
        <v>0</v>
      </c>
      <c r="U1732" s="405">
        <f t="shared" ca="1" si="1428"/>
        <v>0</v>
      </c>
      <c r="V1732" s="405">
        <f t="shared" ca="1" si="1428"/>
        <v>0</v>
      </c>
      <c r="W1732" s="405">
        <f t="shared" ca="1" si="1428"/>
        <v>0</v>
      </c>
      <c r="X1732" s="405">
        <f t="shared" ca="1" si="1428"/>
        <v>0</v>
      </c>
    </row>
    <row r="1733" spans="1:24" hidden="1">
      <c r="A1733" s="328"/>
      <c r="B1733" s="20">
        <f ca="1">OFFSET($B$269,D1733,0)</f>
        <v>0</v>
      </c>
      <c r="C1733" s="20"/>
      <c r="D1733" s="21">
        <f>D1726+1</f>
        <v>175</v>
      </c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</row>
    <row r="1734" spans="1:24" hidden="1">
      <c r="A1734" s="328"/>
      <c r="B1734" s="21" t="s">
        <v>414</v>
      </c>
      <c r="C1734" s="21"/>
      <c r="D1734" s="165">
        <f ca="1">YEAR(OFFSET($E$269,D1733,0))</f>
        <v>1900</v>
      </c>
      <c r="E1734" s="165">
        <f ca="1">MONTH(OFFSET($E$269,D1733,0))</f>
        <v>1</v>
      </c>
      <c r="F1734" s="21">
        <f ca="1">12-$E1734</f>
        <v>11</v>
      </c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</row>
    <row r="1735" spans="1:24" hidden="1">
      <c r="A1735" s="328"/>
      <c r="B1735" s="21" t="s">
        <v>406</v>
      </c>
      <c r="C1735" s="21"/>
      <c r="D1735" s="386">
        <f ca="1">IF(E1735&lt;0,0,ROUND(E1735,0))</f>
        <v>0</v>
      </c>
      <c r="E1735" s="249">
        <f ca="1">OFFSET($D$269,D1733,0)</f>
        <v>0</v>
      </c>
      <c r="F1735" s="386">
        <f ca="1">IF(E1735&gt;10,ROUND(($D1736/12)*$F1734,0),$D1735)</f>
        <v>0</v>
      </c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</row>
    <row r="1736" spans="1:24" hidden="1">
      <c r="A1736" s="328"/>
      <c r="B1736" s="21" t="s">
        <v>415</v>
      </c>
      <c r="C1736" s="21"/>
      <c r="D1736" s="386">
        <f ca="1">IF(ISBLANK(OFFSET($E$269,D1733,0)),0,IF(E1735&gt;10,ROUND(D1735*am_maszyny,0),IF(D1735&lt;0,0,D1735)))</f>
        <v>0</v>
      </c>
      <c r="E1736" s="21"/>
      <c r="F1736" s="21"/>
      <c r="G1736" s="21"/>
      <c r="H1736" s="21"/>
      <c r="I1736" s="21"/>
      <c r="J1736" s="21"/>
      <c r="K1736" s="75">
        <f ca="1">ROUND(IF($D1734=LataProjekcji,$F1735,IF($D1734=LataProjekcji,$D1736,0)),0)</f>
        <v>0</v>
      </c>
      <c r="L1736" s="248">
        <f ca="1">ROUND(IF(OR(AND($D1734=LataProjekcji,$F1734&gt;0),AND($D1734=LataProjekcji,$F1734=0,$E1735&lt;=10)),$F1735,IF($D1734&lt;LataProjekcji,IF((SUM($K1736:K1736)+$D1736)&lt;$D1735,$D1736,$D1735-SUM($K1736:K1736)),0)),0)</f>
        <v>0</v>
      </c>
      <c r="M1736" s="248">
        <f ca="1">ROUND(IF(OR(AND($D1734=LataProjekcji,$F1734&gt;0),AND($D1734=LataProjekcji,$F1734=0,$E1735&lt;=10)),$F1735,IF($D1734&lt;LataProjekcji,IF((SUM($K1736:L1736)+$D1736)&lt;$D1735,$D1736,$D1735-SUM($K1736:L1736)),0)),0)</f>
        <v>0</v>
      </c>
      <c r="N1736" s="248">
        <f ca="1">ROUND(IF(OR(AND($D1734=LataProjekcji,$F1734&gt;0),AND($D1734=LataProjekcji,$F1734=0,$E1735&lt;=10)),$F1735,IF($D1734&lt;LataProjekcji,IF((SUM($K1736:M1736)+$D1736)&lt;$D1735,$D1736,$D1735-SUM($K1736:M1736)),0)),0)</f>
        <v>0</v>
      </c>
      <c r="O1736" s="248">
        <f ca="1">ROUND(IF(OR(AND($D1734=LataProjekcji,$F1734&gt;0),AND($D1734=LataProjekcji,$F1734=0,$E1735&lt;=10)),$F1735,IF($D1734&lt;LataProjekcji,IF((SUM($K1736:N1736)+$D1736)&lt;$D1735,$D1736,$D1735-SUM($K1736:N1736)),0)),0)</f>
        <v>0</v>
      </c>
      <c r="P1736" s="248">
        <f ca="1">ROUND(IF(OR(AND($D1734=LataProjekcji,$F1734&gt;0),AND($D1734=LataProjekcji,$F1734=0,$E1735&lt;=10)),$F1735,IF($D1734&lt;LataProjekcji,IF((SUM($K1736:O1736)+$D1736)&lt;$D1735,$D1736,$D1735-SUM($K1736:O1736)),0)),0)</f>
        <v>0</v>
      </c>
      <c r="Q1736" s="248">
        <f ca="1">ROUND(IF(OR(AND($D1734=LataProjekcji,$F1734&gt;0),AND($D1734=LataProjekcji,$F1734=0,$E1735&lt;=10)),$F1735,IF($D1734&lt;LataProjekcji,IF((SUM($K1736:P1736)+$D1736)&lt;$D1735,$D1736,$D1735-SUM($K1736:P1736)),0)),0)</f>
        <v>0</v>
      </c>
      <c r="R1736" s="248">
        <f ca="1">ROUND(IF(OR(AND($D1734=LataProjekcji,$F1734&gt;0),AND($D1734=LataProjekcji,$F1734=0,$E1735&lt;=10)),$F1735,IF($D1734&lt;LataProjekcji,IF((SUM($K1736:Q1736)+$D1736)&lt;$D1735,$D1736,$D1735-SUM($K1736:Q1736)),0)),0)</f>
        <v>0</v>
      </c>
      <c r="S1736" s="248">
        <f ca="1">ROUND(IF(OR(AND($D1734=LataProjekcji,$F1734&gt;0),AND($D1734=LataProjekcji,$F1734=0,$E1735&lt;=10)),$F1735,IF($D1734&lt;LataProjekcji,IF((SUM($K1736:R1736)+$D1736)&lt;$D1735,$D1736,$D1735-SUM($K1736:R1736)),0)),0)</f>
        <v>0</v>
      </c>
      <c r="T1736" s="248">
        <f ca="1">ROUND(IF(OR(AND($D1734=LataProjekcji,$F1734&gt;0),AND($D1734=LataProjekcji,$F1734=0,$E1735&lt;=10)),$F1735,IF($D1734&lt;LataProjekcji,IF((SUM($K1736:S1736)+$D1736)&lt;$D1735,$D1736,$D1735-SUM($K1736:S1736)),0)),0)</f>
        <v>0</v>
      </c>
      <c r="U1736" s="248">
        <f ca="1">ROUND(IF(OR(AND($D1734=LataProjekcji,$F1734&gt;0),AND($D1734=LataProjekcji,$F1734=0,$E1735&lt;=10)),$F1735,IF($D1734&lt;LataProjekcji,IF((SUM($K1736:T1736)+$D1736)&lt;$D1735,$D1736,$D1735-SUM($K1736:T1736)),0)),0)</f>
        <v>0</v>
      </c>
      <c r="V1736" s="248">
        <f ca="1">ROUND(IF(OR(AND($D1734=LataProjekcji,$F1734&gt;0),AND($D1734=LataProjekcji,$F1734=0,$E1735&lt;=10)),$F1735,IF($D1734&lt;LataProjekcji,IF((SUM($K1736:U1736)+$D1736)&lt;$D1735,$D1736,$D1735-SUM($K1736:U1736)),0)),0)</f>
        <v>0</v>
      </c>
      <c r="W1736" s="248">
        <f ca="1">ROUND(IF(OR(AND($D1734=LataProjekcji,$F1734&gt;0),AND($D1734=LataProjekcji,$F1734=0,$E1735&lt;=10)),$F1735,IF($D1734&lt;LataProjekcji,IF((SUM($K1736:V1736)+$D1736)&lt;$D1735,$D1736,$D1735-SUM($K1736:V1736)),0)),0)</f>
        <v>0</v>
      </c>
      <c r="X1736" s="248">
        <f ca="1">ROUND(IF(OR(AND($D1734=LataProjekcji,$F1734&gt;0),AND($D1734=LataProjekcji,$F1734=0,$E1735&lt;=10)),$F1735,IF($D1734&lt;LataProjekcji,IF((SUM($K1736:W1736)+$D1736)&lt;$D1735,$D1736,$D1735-SUM($K1736:W1736)),0)),0)</f>
        <v>0</v>
      </c>
    </row>
    <row r="1737" spans="1:24" hidden="1">
      <c r="A1737" s="328"/>
      <c r="B1737" s="21" t="s">
        <v>416</v>
      </c>
      <c r="C1737" s="21"/>
      <c r="D1737" s="22"/>
      <c r="E1737" s="21"/>
      <c r="F1737" s="21"/>
      <c r="G1737" s="21"/>
      <c r="H1737" s="21"/>
      <c r="I1737" s="21"/>
      <c r="J1737" s="21"/>
      <c r="K1737" s="22">
        <f ca="1">ROUND(K1736,0)</f>
        <v>0</v>
      </c>
      <c r="L1737" s="22">
        <f t="shared" ref="L1737:X1737" ca="1" si="1429">ROUND(K1737+L1736,0)</f>
        <v>0</v>
      </c>
      <c r="M1737" s="22">
        <f t="shared" ca="1" si="1429"/>
        <v>0</v>
      </c>
      <c r="N1737" s="22">
        <f t="shared" ca="1" si="1429"/>
        <v>0</v>
      </c>
      <c r="O1737" s="22">
        <f t="shared" ca="1" si="1429"/>
        <v>0</v>
      </c>
      <c r="P1737" s="22">
        <f t="shared" ca="1" si="1429"/>
        <v>0</v>
      </c>
      <c r="Q1737" s="22">
        <f t="shared" ca="1" si="1429"/>
        <v>0</v>
      </c>
      <c r="R1737" s="22">
        <f t="shared" ca="1" si="1429"/>
        <v>0</v>
      </c>
      <c r="S1737" s="22">
        <f t="shared" ca="1" si="1429"/>
        <v>0</v>
      </c>
      <c r="T1737" s="22">
        <f t="shared" ca="1" si="1429"/>
        <v>0</v>
      </c>
      <c r="U1737" s="22">
        <f t="shared" ca="1" si="1429"/>
        <v>0</v>
      </c>
      <c r="V1737" s="22">
        <f t="shared" ca="1" si="1429"/>
        <v>0</v>
      </c>
      <c r="W1737" s="22">
        <f t="shared" ca="1" si="1429"/>
        <v>0</v>
      </c>
      <c r="X1737" s="22">
        <f t="shared" ca="1" si="1429"/>
        <v>0</v>
      </c>
    </row>
    <row r="1738" spans="1:24" hidden="1">
      <c r="A1738" s="328"/>
      <c r="B1738" s="21" t="s">
        <v>406</v>
      </c>
      <c r="C1738" s="21"/>
      <c r="D1738" s="22"/>
      <c r="E1738" s="21"/>
      <c r="F1738" s="21"/>
      <c r="G1738" s="21"/>
      <c r="H1738" s="21"/>
      <c r="I1738" s="21"/>
      <c r="J1738" s="21"/>
      <c r="K1738" s="77">
        <f ca="1">IF($D1734=LataProjekcji,ROUND($D1735-K1737,0),ROUND(IF(K1736=0,0,$D1735-K1737),0))</f>
        <v>0</v>
      </c>
      <c r="L1738" s="254">
        <f t="shared" ref="L1738:X1738" ca="1" si="1430">IF($D1734=LataProjekcji,ROUND($D1735-L1737,0),ROUND(IF(AND(L1736=0,K1738&gt;0),$D1735-L1737,IF(L1736=0,0,$D1735-L1737)),0))</f>
        <v>0</v>
      </c>
      <c r="M1738" s="254">
        <f t="shared" ca="1" si="1430"/>
        <v>0</v>
      </c>
      <c r="N1738" s="254">
        <f t="shared" ca="1" si="1430"/>
        <v>0</v>
      </c>
      <c r="O1738" s="254">
        <f t="shared" ca="1" si="1430"/>
        <v>0</v>
      </c>
      <c r="P1738" s="254">
        <f t="shared" ca="1" si="1430"/>
        <v>0</v>
      </c>
      <c r="Q1738" s="254">
        <f t="shared" ca="1" si="1430"/>
        <v>0</v>
      </c>
      <c r="R1738" s="254">
        <f t="shared" ca="1" si="1430"/>
        <v>0</v>
      </c>
      <c r="S1738" s="254">
        <f t="shared" ca="1" si="1430"/>
        <v>0</v>
      </c>
      <c r="T1738" s="254">
        <f t="shared" ca="1" si="1430"/>
        <v>0</v>
      </c>
      <c r="U1738" s="254">
        <f t="shared" ca="1" si="1430"/>
        <v>0</v>
      </c>
      <c r="V1738" s="254">
        <f t="shared" ca="1" si="1430"/>
        <v>0</v>
      </c>
      <c r="W1738" s="254">
        <f t="shared" ca="1" si="1430"/>
        <v>0</v>
      </c>
      <c r="X1738" s="254">
        <f t="shared" ca="1" si="1430"/>
        <v>0</v>
      </c>
    </row>
    <row r="1739" spans="1:24" hidden="1">
      <c r="A1739" s="328"/>
      <c r="B1739" s="21"/>
      <c r="C1739" s="21"/>
      <c r="D1739" s="22"/>
      <c r="E1739" s="21"/>
      <c r="F1739" s="21"/>
      <c r="G1739" s="21"/>
      <c r="H1739" s="404">
        <f>H1732+1</f>
        <v>26</v>
      </c>
      <c r="I1739" s="483" cm="1">
        <f t="array" aca="1" ref="I1739" ca="1">OFFSET('Środki trwałe'!$C$418,H1739,,)</f>
        <v>0</v>
      </c>
      <c r="J1739" s="404" t="s">
        <v>427</v>
      </c>
      <c r="K1739" s="405">
        <f t="shared" ref="K1739:X1739" ca="1" si="1431">IF(AND(OFFSET($F$269,$D1733,0)="tak",OFFSET($G$269,$D1733,0)="tak",OFFSET($J$269,$D1733,0)="ok",LataProjekcji&lt;=Koniec_Projekt),ROUND(K1736*OFFSET($K$469,$H1739,(COLUMN()-11)),0),0)</f>
        <v>0</v>
      </c>
      <c r="L1739" s="405">
        <f t="shared" ca="1" si="1431"/>
        <v>0</v>
      </c>
      <c r="M1739" s="405">
        <f t="shared" ca="1" si="1431"/>
        <v>0</v>
      </c>
      <c r="N1739" s="405">
        <f t="shared" ca="1" si="1431"/>
        <v>0</v>
      </c>
      <c r="O1739" s="405">
        <f t="shared" ca="1" si="1431"/>
        <v>0</v>
      </c>
      <c r="P1739" s="405">
        <f t="shared" ca="1" si="1431"/>
        <v>0</v>
      </c>
      <c r="Q1739" s="405">
        <f t="shared" ca="1" si="1431"/>
        <v>0</v>
      </c>
      <c r="R1739" s="405">
        <f t="shared" ca="1" si="1431"/>
        <v>0</v>
      </c>
      <c r="S1739" s="405">
        <f t="shared" ca="1" si="1431"/>
        <v>0</v>
      </c>
      <c r="T1739" s="405">
        <f t="shared" ca="1" si="1431"/>
        <v>0</v>
      </c>
      <c r="U1739" s="405">
        <f t="shared" ca="1" si="1431"/>
        <v>0</v>
      </c>
      <c r="V1739" s="405">
        <f t="shared" ca="1" si="1431"/>
        <v>0</v>
      </c>
      <c r="W1739" s="405">
        <f t="shared" ca="1" si="1431"/>
        <v>0</v>
      </c>
      <c r="X1739" s="405">
        <f t="shared" ca="1" si="1431"/>
        <v>0</v>
      </c>
    </row>
    <row r="1740" spans="1:24" hidden="1">
      <c r="A1740" s="328"/>
      <c r="B1740" s="20">
        <f ca="1">OFFSET($B$269,D1740,0)</f>
        <v>0</v>
      </c>
      <c r="C1740" s="20"/>
      <c r="D1740" s="21">
        <f>D1733+1</f>
        <v>176</v>
      </c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</row>
    <row r="1741" spans="1:24" hidden="1">
      <c r="A1741" s="328"/>
      <c r="B1741" s="21" t="s">
        <v>414</v>
      </c>
      <c r="C1741" s="21"/>
      <c r="D1741" s="165">
        <f ca="1">YEAR(OFFSET($E$269,D1740,0))</f>
        <v>1900</v>
      </c>
      <c r="E1741" s="165">
        <f ca="1">MONTH(OFFSET($E$269,D1740,0))</f>
        <v>1</v>
      </c>
      <c r="F1741" s="21">
        <f ca="1">12-$E1741</f>
        <v>11</v>
      </c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</row>
    <row r="1742" spans="1:24" hidden="1">
      <c r="A1742" s="328"/>
      <c r="B1742" s="21" t="s">
        <v>406</v>
      </c>
      <c r="C1742" s="21"/>
      <c r="D1742" s="387">
        <f ca="1">IF(E1742&lt;0,0,ROUND(E1742,0))</f>
        <v>0</v>
      </c>
      <c r="E1742" s="249">
        <f ca="1">OFFSET($D$269,D1740,0)</f>
        <v>0</v>
      </c>
      <c r="F1742" s="387">
        <f ca="1">IF(E1742&gt;10,ROUND(($D1743/12)*$F1741,0),$D1742)</f>
        <v>0</v>
      </c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</row>
    <row r="1743" spans="1:24" hidden="1">
      <c r="A1743" s="328"/>
      <c r="B1743" s="21" t="s">
        <v>415</v>
      </c>
      <c r="C1743" s="21"/>
      <c r="D1743" s="387">
        <f ca="1">IF(ISBLANK(OFFSET($E$269,D1740,0)),0,IF(E1742&gt;10,ROUND(D1742*am_maszyny,0),IF(D1742&lt;0,0,D1742)))</f>
        <v>0</v>
      </c>
      <c r="E1743" s="21"/>
      <c r="F1743" s="21"/>
      <c r="G1743" s="21"/>
      <c r="H1743" s="21"/>
      <c r="I1743" s="21"/>
      <c r="J1743" s="21"/>
      <c r="K1743" s="75">
        <f ca="1">ROUND(IF($D1741=LataProjekcji,$F1742,IF($D1741=LataProjekcji,$D1743,0)),0)</f>
        <v>0</v>
      </c>
      <c r="L1743" s="248">
        <f ca="1">ROUND(IF(OR(AND($D1741=LataProjekcji,$F1741&gt;0),AND($D1741=LataProjekcji,$F1741=0,$E1742&lt;=10)),$F1742,IF($D1741&lt;LataProjekcji,IF((SUM($K1743:K1743)+$D1743)&lt;$D1742,$D1743,$D1742-SUM($K1743:K1743)),0)),0)</f>
        <v>0</v>
      </c>
      <c r="M1743" s="248">
        <f ca="1">ROUND(IF(OR(AND($D1741=LataProjekcji,$F1741&gt;0),AND($D1741=LataProjekcji,$F1741=0,$E1742&lt;=10)),$F1742,IF($D1741&lt;LataProjekcji,IF((SUM($K1743:L1743)+$D1743)&lt;$D1742,$D1743,$D1742-SUM($K1743:L1743)),0)),0)</f>
        <v>0</v>
      </c>
      <c r="N1743" s="248">
        <f ca="1">ROUND(IF(OR(AND($D1741=LataProjekcji,$F1741&gt;0),AND($D1741=LataProjekcji,$F1741=0,$E1742&lt;=10)),$F1742,IF($D1741&lt;LataProjekcji,IF((SUM($K1743:M1743)+$D1743)&lt;$D1742,$D1743,$D1742-SUM($K1743:M1743)),0)),0)</f>
        <v>0</v>
      </c>
      <c r="O1743" s="248">
        <f ca="1">ROUND(IF(OR(AND($D1741=LataProjekcji,$F1741&gt;0),AND($D1741=LataProjekcji,$F1741=0,$E1742&lt;=10)),$F1742,IF($D1741&lt;LataProjekcji,IF((SUM($K1743:N1743)+$D1743)&lt;$D1742,$D1743,$D1742-SUM($K1743:N1743)),0)),0)</f>
        <v>0</v>
      </c>
      <c r="P1743" s="248">
        <f ca="1">ROUND(IF(OR(AND($D1741=LataProjekcji,$F1741&gt;0),AND($D1741=LataProjekcji,$F1741=0,$E1742&lt;=10)),$F1742,IF($D1741&lt;LataProjekcji,IF((SUM($K1743:O1743)+$D1743)&lt;$D1742,$D1743,$D1742-SUM($K1743:O1743)),0)),0)</f>
        <v>0</v>
      </c>
      <c r="Q1743" s="248">
        <f ca="1">ROUND(IF(OR(AND($D1741=LataProjekcji,$F1741&gt;0),AND($D1741=LataProjekcji,$F1741=0,$E1742&lt;=10)),$F1742,IF($D1741&lt;LataProjekcji,IF((SUM($K1743:P1743)+$D1743)&lt;$D1742,$D1743,$D1742-SUM($K1743:P1743)),0)),0)</f>
        <v>0</v>
      </c>
      <c r="R1743" s="248">
        <f ca="1">ROUND(IF(OR(AND($D1741=LataProjekcji,$F1741&gt;0),AND($D1741=LataProjekcji,$F1741=0,$E1742&lt;=10)),$F1742,IF($D1741&lt;LataProjekcji,IF((SUM($K1743:Q1743)+$D1743)&lt;$D1742,$D1743,$D1742-SUM($K1743:Q1743)),0)),0)</f>
        <v>0</v>
      </c>
      <c r="S1743" s="248">
        <f ca="1">ROUND(IF(OR(AND($D1741=LataProjekcji,$F1741&gt;0),AND($D1741=LataProjekcji,$F1741=0,$E1742&lt;=10)),$F1742,IF($D1741&lt;LataProjekcji,IF((SUM($K1743:R1743)+$D1743)&lt;$D1742,$D1743,$D1742-SUM($K1743:R1743)),0)),0)</f>
        <v>0</v>
      </c>
      <c r="T1743" s="248">
        <f ca="1">ROUND(IF(OR(AND($D1741=LataProjekcji,$F1741&gt;0),AND($D1741=LataProjekcji,$F1741=0,$E1742&lt;=10)),$F1742,IF($D1741&lt;LataProjekcji,IF((SUM($K1743:S1743)+$D1743)&lt;$D1742,$D1743,$D1742-SUM($K1743:S1743)),0)),0)</f>
        <v>0</v>
      </c>
      <c r="U1743" s="248">
        <f ca="1">ROUND(IF(OR(AND($D1741=LataProjekcji,$F1741&gt;0),AND($D1741=LataProjekcji,$F1741=0,$E1742&lt;=10)),$F1742,IF($D1741&lt;LataProjekcji,IF((SUM($K1743:T1743)+$D1743)&lt;$D1742,$D1743,$D1742-SUM($K1743:T1743)),0)),0)</f>
        <v>0</v>
      </c>
      <c r="V1743" s="248">
        <f ca="1">ROUND(IF(OR(AND($D1741=LataProjekcji,$F1741&gt;0),AND($D1741=LataProjekcji,$F1741=0,$E1742&lt;=10)),$F1742,IF($D1741&lt;LataProjekcji,IF((SUM($K1743:U1743)+$D1743)&lt;$D1742,$D1743,$D1742-SUM($K1743:U1743)),0)),0)</f>
        <v>0</v>
      </c>
      <c r="W1743" s="248">
        <f ca="1">ROUND(IF(OR(AND($D1741=LataProjekcji,$F1741&gt;0),AND($D1741=LataProjekcji,$F1741=0,$E1742&lt;=10)),$F1742,IF($D1741&lt;LataProjekcji,IF((SUM($K1743:V1743)+$D1743)&lt;$D1742,$D1743,$D1742-SUM($K1743:V1743)),0)),0)</f>
        <v>0</v>
      </c>
      <c r="X1743" s="248">
        <f ca="1">ROUND(IF(OR(AND($D1741=LataProjekcji,$F1741&gt;0),AND($D1741=LataProjekcji,$F1741=0,$E1742&lt;=10)),$F1742,IF($D1741&lt;LataProjekcji,IF((SUM($K1743:W1743)+$D1743)&lt;$D1742,$D1743,$D1742-SUM($K1743:W1743)),0)),0)</f>
        <v>0</v>
      </c>
    </row>
    <row r="1744" spans="1:24" hidden="1">
      <c r="A1744" s="328"/>
      <c r="B1744" s="21" t="s">
        <v>416</v>
      </c>
      <c r="C1744" s="21"/>
      <c r="D1744" s="22"/>
      <c r="E1744" s="21"/>
      <c r="F1744" s="21"/>
      <c r="G1744" s="21"/>
      <c r="H1744" s="21"/>
      <c r="I1744" s="21"/>
      <c r="J1744" s="21"/>
      <c r="K1744" s="22">
        <f ca="1">ROUND(K1743,0)</f>
        <v>0</v>
      </c>
      <c r="L1744" s="22">
        <f t="shared" ref="L1744:X1744" ca="1" si="1432">ROUND(K1744+L1743,0)</f>
        <v>0</v>
      </c>
      <c r="M1744" s="22">
        <f t="shared" ca="1" si="1432"/>
        <v>0</v>
      </c>
      <c r="N1744" s="22">
        <f t="shared" ca="1" si="1432"/>
        <v>0</v>
      </c>
      <c r="O1744" s="22">
        <f t="shared" ca="1" si="1432"/>
        <v>0</v>
      </c>
      <c r="P1744" s="22">
        <f t="shared" ca="1" si="1432"/>
        <v>0</v>
      </c>
      <c r="Q1744" s="22">
        <f t="shared" ca="1" si="1432"/>
        <v>0</v>
      </c>
      <c r="R1744" s="22">
        <f t="shared" ca="1" si="1432"/>
        <v>0</v>
      </c>
      <c r="S1744" s="22">
        <f t="shared" ca="1" si="1432"/>
        <v>0</v>
      </c>
      <c r="T1744" s="22">
        <f t="shared" ca="1" si="1432"/>
        <v>0</v>
      </c>
      <c r="U1744" s="22">
        <f t="shared" ca="1" si="1432"/>
        <v>0</v>
      </c>
      <c r="V1744" s="22">
        <f t="shared" ca="1" si="1432"/>
        <v>0</v>
      </c>
      <c r="W1744" s="22">
        <f t="shared" ca="1" si="1432"/>
        <v>0</v>
      </c>
      <c r="X1744" s="22">
        <f t="shared" ca="1" si="1432"/>
        <v>0</v>
      </c>
    </row>
    <row r="1745" spans="1:24" hidden="1">
      <c r="A1745" s="328"/>
      <c r="B1745" s="21" t="s">
        <v>406</v>
      </c>
      <c r="C1745" s="21"/>
      <c r="D1745" s="22"/>
      <c r="E1745" s="21"/>
      <c r="F1745" s="21"/>
      <c r="G1745" s="21"/>
      <c r="H1745" s="21"/>
      <c r="I1745" s="21"/>
      <c r="J1745" s="21"/>
      <c r="K1745" s="77">
        <f ca="1">IF($D1741=LataProjekcji,ROUND($D1742-K1744,0),ROUND(IF(K1743=0,0,$D1742-K1744),0))</f>
        <v>0</v>
      </c>
      <c r="L1745" s="254">
        <f t="shared" ref="L1745:X1745" ca="1" si="1433">IF($D1741=LataProjekcji,ROUND($D1742-L1744,0),ROUND(IF(AND(L1743=0,K1745&gt;0),$D1742-L1744,IF(L1743=0,0,$D1742-L1744)),0))</f>
        <v>0</v>
      </c>
      <c r="M1745" s="254">
        <f t="shared" ca="1" si="1433"/>
        <v>0</v>
      </c>
      <c r="N1745" s="254">
        <f t="shared" ca="1" si="1433"/>
        <v>0</v>
      </c>
      <c r="O1745" s="254">
        <f t="shared" ca="1" si="1433"/>
        <v>0</v>
      </c>
      <c r="P1745" s="254">
        <f t="shared" ca="1" si="1433"/>
        <v>0</v>
      </c>
      <c r="Q1745" s="254">
        <f t="shared" ca="1" si="1433"/>
        <v>0</v>
      </c>
      <c r="R1745" s="254">
        <f t="shared" ca="1" si="1433"/>
        <v>0</v>
      </c>
      <c r="S1745" s="254">
        <f t="shared" ca="1" si="1433"/>
        <v>0</v>
      </c>
      <c r="T1745" s="254">
        <f t="shared" ca="1" si="1433"/>
        <v>0</v>
      </c>
      <c r="U1745" s="254">
        <f t="shared" ca="1" si="1433"/>
        <v>0</v>
      </c>
      <c r="V1745" s="254">
        <f t="shared" ca="1" si="1433"/>
        <v>0</v>
      </c>
      <c r="W1745" s="254">
        <f t="shared" ca="1" si="1433"/>
        <v>0</v>
      </c>
      <c r="X1745" s="254">
        <f t="shared" ca="1" si="1433"/>
        <v>0</v>
      </c>
    </row>
    <row r="1746" spans="1:24" hidden="1">
      <c r="A1746" s="328"/>
      <c r="B1746" s="21"/>
      <c r="C1746" s="21"/>
      <c r="D1746" s="21"/>
      <c r="E1746" s="21"/>
      <c r="F1746" s="21"/>
      <c r="G1746" s="21"/>
      <c r="H1746" s="404">
        <f>H1739+1</f>
        <v>27</v>
      </c>
      <c r="I1746" s="483" cm="1">
        <f t="array" aca="1" ref="I1746" ca="1">OFFSET('Środki trwałe'!$C$418,H1746,,)</f>
        <v>0</v>
      </c>
      <c r="J1746" s="404" t="s">
        <v>427</v>
      </c>
      <c r="K1746" s="405">
        <f t="shared" ref="K1746:X1746" ca="1" si="1434">IF(AND(OFFSET($F$269,$D1740,0)="tak",OFFSET($G$269,$D1740,0)="tak",OFFSET($J$269,$D1740,0)="ok",LataProjekcji&lt;=Koniec_Projekt),ROUND(K1743*OFFSET($K$469,$H1746,(COLUMN()-11)),0),0)</f>
        <v>0</v>
      </c>
      <c r="L1746" s="405">
        <f t="shared" ca="1" si="1434"/>
        <v>0</v>
      </c>
      <c r="M1746" s="405">
        <f t="shared" ca="1" si="1434"/>
        <v>0</v>
      </c>
      <c r="N1746" s="405">
        <f t="shared" ca="1" si="1434"/>
        <v>0</v>
      </c>
      <c r="O1746" s="405">
        <f t="shared" ca="1" si="1434"/>
        <v>0</v>
      </c>
      <c r="P1746" s="405">
        <f t="shared" ca="1" si="1434"/>
        <v>0</v>
      </c>
      <c r="Q1746" s="405">
        <f t="shared" ca="1" si="1434"/>
        <v>0</v>
      </c>
      <c r="R1746" s="405">
        <f t="shared" ca="1" si="1434"/>
        <v>0</v>
      </c>
      <c r="S1746" s="405">
        <f t="shared" ca="1" si="1434"/>
        <v>0</v>
      </c>
      <c r="T1746" s="405">
        <f t="shared" ca="1" si="1434"/>
        <v>0</v>
      </c>
      <c r="U1746" s="405">
        <f t="shared" ca="1" si="1434"/>
        <v>0</v>
      </c>
      <c r="V1746" s="405">
        <f t="shared" ca="1" si="1434"/>
        <v>0</v>
      </c>
      <c r="W1746" s="405">
        <f t="shared" ca="1" si="1434"/>
        <v>0</v>
      </c>
      <c r="X1746" s="405">
        <f t="shared" ca="1" si="1434"/>
        <v>0</v>
      </c>
    </row>
    <row r="1747" spans="1:24" hidden="1">
      <c r="A1747" s="328"/>
      <c r="B1747" s="20">
        <f ca="1">OFFSET($B$269,D1747,0)</f>
        <v>0</v>
      </c>
      <c r="C1747" s="20"/>
      <c r="D1747" s="21">
        <f>D1740+1</f>
        <v>177</v>
      </c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</row>
    <row r="1748" spans="1:24" hidden="1">
      <c r="A1748" s="328"/>
      <c r="B1748" s="21" t="s">
        <v>414</v>
      </c>
      <c r="C1748" s="21"/>
      <c r="D1748" s="165">
        <f ca="1">YEAR(OFFSET($E$269,D1747,0))</f>
        <v>1900</v>
      </c>
      <c r="E1748" s="165">
        <f ca="1">MONTH(OFFSET($E$269,D1747,0))</f>
        <v>1</v>
      </c>
      <c r="F1748" s="21">
        <f ca="1">12-$E1748</f>
        <v>11</v>
      </c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</row>
    <row r="1749" spans="1:24" hidden="1">
      <c r="A1749" s="328"/>
      <c r="B1749" s="21" t="s">
        <v>406</v>
      </c>
      <c r="C1749" s="21"/>
      <c r="D1749" s="388">
        <f ca="1">IF(E1749&lt;0,0,ROUND(E1749,0))</f>
        <v>0</v>
      </c>
      <c r="E1749" s="249">
        <f ca="1">OFFSET($D$269,D1747,0)</f>
        <v>0</v>
      </c>
      <c r="F1749" s="388">
        <f ca="1">IF(E1749&gt;10,ROUND(($D1750/12)*$F1748,0),$D1749)</f>
        <v>0</v>
      </c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</row>
    <row r="1750" spans="1:24" hidden="1">
      <c r="A1750" s="328"/>
      <c r="B1750" s="21" t="s">
        <v>415</v>
      </c>
      <c r="C1750" s="21"/>
      <c r="D1750" s="388">
        <f ca="1">IF(ISBLANK(OFFSET($E$269,D1747,0)),0,IF(E1749&gt;10,ROUND(D1749*am_maszyny,0),IF(D1749&lt;0,0,D1749)))</f>
        <v>0</v>
      </c>
      <c r="E1750" s="21"/>
      <c r="F1750" s="21"/>
      <c r="G1750" s="21"/>
      <c r="H1750" s="21"/>
      <c r="I1750" s="21"/>
      <c r="J1750" s="21"/>
      <c r="K1750" s="75">
        <f ca="1">ROUND(IF($D1748=LataProjekcji,$F1749,IF($D1748=LataProjekcji,$D1750,0)),0)</f>
        <v>0</v>
      </c>
      <c r="L1750" s="248">
        <f ca="1">ROUND(IF(OR(AND($D1748=LataProjekcji,$F1748&gt;0),AND($D1748=LataProjekcji,$F1748=0,$E1749&lt;=10)),$F1749,IF($D1748&lt;LataProjekcji,IF((SUM($K1750:K1750)+$D1750)&lt;$D1749,$D1750,$D1749-SUM($K1750:K1750)),0)),0)</f>
        <v>0</v>
      </c>
      <c r="M1750" s="248">
        <f ca="1">ROUND(IF(OR(AND($D1748=LataProjekcji,$F1748&gt;0),AND($D1748=LataProjekcji,$F1748=0,$E1749&lt;=10)),$F1749,IF($D1748&lt;LataProjekcji,IF((SUM($K1750:L1750)+$D1750)&lt;$D1749,$D1750,$D1749-SUM($K1750:L1750)),0)),0)</f>
        <v>0</v>
      </c>
      <c r="N1750" s="248">
        <f ca="1">ROUND(IF(OR(AND($D1748=LataProjekcji,$F1748&gt;0),AND($D1748=LataProjekcji,$F1748=0,$E1749&lt;=10)),$F1749,IF($D1748&lt;LataProjekcji,IF((SUM($K1750:M1750)+$D1750)&lt;$D1749,$D1750,$D1749-SUM($K1750:M1750)),0)),0)</f>
        <v>0</v>
      </c>
      <c r="O1750" s="248">
        <f ca="1">ROUND(IF(OR(AND($D1748=LataProjekcji,$F1748&gt;0),AND($D1748=LataProjekcji,$F1748=0,$E1749&lt;=10)),$F1749,IF($D1748&lt;LataProjekcji,IF((SUM($K1750:N1750)+$D1750)&lt;$D1749,$D1750,$D1749-SUM($K1750:N1750)),0)),0)</f>
        <v>0</v>
      </c>
      <c r="P1750" s="248">
        <f ca="1">ROUND(IF(OR(AND($D1748=LataProjekcji,$F1748&gt;0),AND($D1748=LataProjekcji,$F1748=0,$E1749&lt;=10)),$F1749,IF($D1748&lt;LataProjekcji,IF((SUM($K1750:O1750)+$D1750)&lt;$D1749,$D1750,$D1749-SUM($K1750:O1750)),0)),0)</f>
        <v>0</v>
      </c>
      <c r="Q1750" s="248">
        <f ca="1">ROUND(IF(OR(AND($D1748=LataProjekcji,$F1748&gt;0),AND($D1748=LataProjekcji,$F1748=0,$E1749&lt;=10)),$F1749,IF($D1748&lt;LataProjekcji,IF((SUM($K1750:P1750)+$D1750)&lt;$D1749,$D1750,$D1749-SUM($K1750:P1750)),0)),0)</f>
        <v>0</v>
      </c>
      <c r="R1750" s="248">
        <f ca="1">ROUND(IF(OR(AND($D1748=LataProjekcji,$F1748&gt;0),AND($D1748=LataProjekcji,$F1748=0,$E1749&lt;=10)),$F1749,IF($D1748&lt;LataProjekcji,IF((SUM($K1750:Q1750)+$D1750)&lt;$D1749,$D1750,$D1749-SUM($K1750:Q1750)),0)),0)</f>
        <v>0</v>
      </c>
      <c r="S1750" s="248">
        <f ca="1">ROUND(IF(OR(AND($D1748=LataProjekcji,$F1748&gt;0),AND($D1748=LataProjekcji,$F1748=0,$E1749&lt;=10)),$F1749,IF($D1748&lt;LataProjekcji,IF((SUM($K1750:R1750)+$D1750)&lt;$D1749,$D1750,$D1749-SUM($K1750:R1750)),0)),0)</f>
        <v>0</v>
      </c>
      <c r="T1750" s="248">
        <f ca="1">ROUND(IF(OR(AND($D1748=LataProjekcji,$F1748&gt;0),AND($D1748=LataProjekcji,$F1748=0,$E1749&lt;=10)),$F1749,IF($D1748&lt;LataProjekcji,IF((SUM($K1750:S1750)+$D1750)&lt;$D1749,$D1750,$D1749-SUM($K1750:S1750)),0)),0)</f>
        <v>0</v>
      </c>
      <c r="U1750" s="248">
        <f ca="1">ROUND(IF(OR(AND($D1748=LataProjekcji,$F1748&gt;0),AND($D1748=LataProjekcji,$F1748=0,$E1749&lt;=10)),$F1749,IF($D1748&lt;LataProjekcji,IF((SUM($K1750:T1750)+$D1750)&lt;$D1749,$D1750,$D1749-SUM($K1750:T1750)),0)),0)</f>
        <v>0</v>
      </c>
      <c r="V1750" s="248">
        <f ca="1">ROUND(IF(OR(AND($D1748=LataProjekcji,$F1748&gt;0),AND($D1748=LataProjekcji,$F1748=0,$E1749&lt;=10)),$F1749,IF($D1748&lt;LataProjekcji,IF((SUM($K1750:U1750)+$D1750)&lt;$D1749,$D1750,$D1749-SUM($K1750:U1750)),0)),0)</f>
        <v>0</v>
      </c>
      <c r="W1750" s="248">
        <f ca="1">ROUND(IF(OR(AND($D1748=LataProjekcji,$F1748&gt;0),AND($D1748=LataProjekcji,$F1748=0,$E1749&lt;=10)),$F1749,IF($D1748&lt;LataProjekcji,IF((SUM($K1750:V1750)+$D1750)&lt;$D1749,$D1750,$D1749-SUM($K1750:V1750)),0)),0)</f>
        <v>0</v>
      </c>
      <c r="X1750" s="248">
        <f ca="1">ROUND(IF(OR(AND($D1748=LataProjekcji,$F1748&gt;0),AND($D1748=LataProjekcji,$F1748=0,$E1749&lt;=10)),$F1749,IF($D1748&lt;LataProjekcji,IF((SUM($K1750:W1750)+$D1750)&lt;$D1749,$D1750,$D1749-SUM($K1750:W1750)),0)),0)</f>
        <v>0</v>
      </c>
    </row>
    <row r="1751" spans="1:24" hidden="1">
      <c r="A1751" s="328"/>
      <c r="B1751" s="21" t="s">
        <v>416</v>
      </c>
      <c r="C1751" s="21"/>
      <c r="D1751" s="22"/>
      <c r="E1751" s="21"/>
      <c r="F1751" s="21"/>
      <c r="G1751" s="21"/>
      <c r="H1751" s="21"/>
      <c r="I1751" s="21"/>
      <c r="J1751" s="21"/>
      <c r="K1751" s="22">
        <f ca="1">ROUND(K1750,0)</f>
        <v>0</v>
      </c>
      <c r="L1751" s="22">
        <f t="shared" ref="L1751:X1751" ca="1" si="1435">ROUND(K1751+L1750,0)</f>
        <v>0</v>
      </c>
      <c r="M1751" s="22">
        <f t="shared" ca="1" si="1435"/>
        <v>0</v>
      </c>
      <c r="N1751" s="22">
        <f t="shared" ca="1" si="1435"/>
        <v>0</v>
      </c>
      <c r="O1751" s="22">
        <f t="shared" ca="1" si="1435"/>
        <v>0</v>
      </c>
      <c r="P1751" s="22">
        <f t="shared" ca="1" si="1435"/>
        <v>0</v>
      </c>
      <c r="Q1751" s="22">
        <f t="shared" ca="1" si="1435"/>
        <v>0</v>
      </c>
      <c r="R1751" s="22">
        <f t="shared" ca="1" si="1435"/>
        <v>0</v>
      </c>
      <c r="S1751" s="22">
        <f t="shared" ca="1" si="1435"/>
        <v>0</v>
      </c>
      <c r="T1751" s="22">
        <f t="shared" ca="1" si="1435"/>
        <v>0</v>
      </c>
      <c r="U1751" s="22">
        <f t="shared" ca="1" si="1435"/>
        <v>0</v>
      </c>
      <c r="V1751" s="22">
        <f t="shared" ca="1" si="1435"/>
        <v>0</v>
      </c>
      <c r="W1751" s="22">
        <f t="shared" ca="1" si="1435"/>
        <v>0</v>
      </c>
      <c r="X1751" s="22">
        <f t="shared" ca="1" si="1435"/>
        <v>0</v>
      </c>
    </row>
    <row r="1752" spans="1:24" hidden="1">
      <c r="A1752" s="328"/>
      <c r="B1752" s="21" t="s">
        <v>406</v>
      </c>
      <c r="C1752" s="21"/>
      <c r="D1752" s="22"/>
      <c r="E1752" s="21"/>
      <c r="F1752" s="21"/>
      <c r="G1752" s="21"/>
      <c r="H1752" s="21"/>
      <c r="I1752" s="21"/>
      <c r="J1752" s="21"/>
      <c r="K1752" s="77">
        <f ca="1">IF($D1748=LataProjekcji,ROUND($D1749-K1751,0),ROUND(IF(K1750=0,0,$D1749-K1751),0))</f>
        <v>0</v>
      </c>
      <c r="L1752" s="254">
        <f t="shared" ref="L1752:X1752" ca="1" si="1436">IF($D1748=LataProjekcji,ROUND($D1749-L1751,0),ROUND(IF(AND(L1750=0,K1752&gt;0),$D1749-L1751,IF(L1750=0,0,$D1749-L1751)),0))</f>
        <v>0</v>
      </c>
      <c r="M1752" s="254">
        <f t="shared" ca="1" si="1436"/>
        <v>0</v>
      </c>
      <c r="N1752" s="254">
        <f t="shared" ca="1" si="1436"/>
        <v>0</v>
      </c>
      <c r="O1752" s="254">
        <f t="shared" ca="1" si="1436"/>
        <v>0</v>
      </c>
      <c r="P1752" s="254">
        <f t="shared" ca="1" si="1436"/>
        <v>0</v>
      </c>
      <c r="Q1752" s="254">
        <f t="shared" ca="1" si="1436"/>
        <v>0</v>
      </c>
      <c r="R1752" s="254">
        <f t="shared" ca="1" si="1436"/>
        <v>0</v>
      </c>
      <c r="S1752" s="254">
        <f t="shared" ca="1" si="1436"/>
        <v>0</v>
      </c>
      <c r="T1752" s="254">
        <f t="shared" ca="1" si="1436"/>
        <v>0</v>
      </c>
      <c r="U1752" s="254">
        <f t="shared" ca="1" si="1436"/>
        <v>0</v>
      </c>
      <c r="V1752" s="254">
        <f t="shared" ca="1" si="1436"/>
        <v>0</v>
      </c>
      <c r="W1752" s="254">
        <f t="shared" ca="1" si="1436"/>
        <v>0</v>
      </c>
      <c r="X1752" s="254">
        <f t="shared" ca="1" si="1436"/>
        <v>0</v>
      </c>
    </row>
    <row r="1753" spans="1:24" hidden="1">
      <c r="A1753" s="328"/>
      <c r="B1753" s="21"/>
      <c r="C1753" s="21"/>
      <c r="D1753" s="22"/>
      <c r="E1753" s="21"/>
      <c r="F1753" s="21"/>
      <c r="G1753" s="21"/>
      <c r="H1753" s="404">
        <f>H1746+1</f>
        <v>28</v>
      </c>
      <c r="I1753" s="483" cm="1">
        <f t="array" aca="1" ref="I1753" ca="1">OFFSET('Środki trwałe'!$C$418,H1753,,)</f>
        <v>0</v>
      </c>
      <c r="J1753" s="404" t="s">
        <v>427</v>
      </c>
      <c r="K1753" s="405">
        <f t="shared" ref="K1753:X1753" ca="1" si="1437">IF(AND(OFFSET($F$269,$D1747,0)="tak",OFFSET($G$269,$D1747,0)="tak",OFFSET($J$269,$D1747,0)="ok",LataProjekcji&lt;=Koniec_Projekt),ROUND(K1750*OFFSET($K$469,$H1753,(COLUMN()-11)),0),0)</f>
        <v>0</v>
      </c>
      <c r="L1753" s="405">
        <f t="shared" ca="1" si="1437"/>
        <v>0</v>
      </c>
      <c r="M1753" s="405">
        <f t="shared" ca="1" si="1437"/>
        <v>0</v>
      </c>
      <c r="N1753" s="405">
        <f t="shared" ca="1" si="1437"/>
        <v>0</v>
      </c>
      <c r="O1753" s="405">
        <f t="shared" ca="1" si="1437"/>
        <v>0</v>
      </c>
      <c r="P1753" s="405">
        <f t="shared" ca="1" si="1437"/>
        <v>0</v>
      </c>
      <c r="Q1753" s="405">
        <f t="shared" ca="1" si="1437"/>
        <v>0</v>
      </c>
      <c r="R1753" s="405">
        <f t="shared" ca="1" si="1437"/>
        <v>0</v>
      </c>
      <c r="S1753" s="405">
        <f t="shared" ca="1" si="1437"/>
        <v>0</v>
      </c>
      <c r="T1753" s="405">
        <f t="shared" ca="1" si="1437"/>
        <v>0</v>
      </c>
      <c r="U1753" s="405">
        <f t="shared" ca="1" si="1437"/>
        <v>0</v>
      </c>
      <c r="V1753" s="405">
        <f t="shared" ca="1" si="1437"/>
        <v>0</v>
      </c>
      <c r="W1753" s="405">
        <f t="shared" ca="1" si="1437"/>
        <v>0</v>
      </c>
      <c r="X1753" s="405">
        <f t="shared" ca="1" si="1437"/>
        <v>0</v>
      </c>
    </row>
    <row r="1754" spans="1:24" hidden="1">
      <c r="A1754" s="328"/>
      <c r="B1754" s="20">
        <f ca="1">OFFSET($B$269,D1754,0)</f>
        <v>0</v>
      </c>
      <c r="C1754" s="20"/>
      <c r="D1754" s="21">
        <f>D1747+1</f>
        <v>178</v>
      </c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</row>
    <row r="1755" spans="1:24" hidden="1">
      <c r="A1755" s="328"/>
      <c r="B1755" s="21" t="s">
        <v>414</v>
      </c>
      <c r="C1755" s="21"/>
      <c r="D1755" s="165">
        <f ca="1">YEAR(OFFSET($E$269,D1754,0))</f>
        <v>1900</v>
      </c>
      <c r="E1755" s="165">
        <f ca="1">MONTH(OFFSET($E$269,D1754,0))</f>
        <v>1</v>
      </c>
      <c r="F1755" s="21">
        <f ca="1">12-$E1755</f>
        <v>11</v>
      </c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</row>
    <row r="1756" spans="1:24" hidden="1">
      <c r="A1756" s="328"/>
      <c r="B1756" s="21" t="s">
        <v>406</v>
      </c>
      <c r="C1756" s="21"/>
      <c r="D1756" s="385">
        <f ca="1">IF(E1756&lt;0,0,ROUND(E1756,0))</f>
        <v>0</v>
      </c>
      <c r="E1756" s="249">
        <f ca="1">OFFSET($D$269,D1754,0)</f>
        <v>0</v>
      </c>
      <c r="F1756" s="385">
        <f ca="1">IF(E1756&gt;10,ROUND(($D1757/12)*$F1755,0),$D1756)</f>
        <v>0</v>
      </c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</row>
    <row r="1757" spans="1:24" hidden="1">
      <c r="A1757" s="328"/>
      <c r="B1757" s="21" t="s">
        <v>415</v>
      </c>
      <c r="C1757" s="21"/>
      <c r="D1757" s="385">
        <f ca="1">IF(ISBLANK(OFFSET($E$269,D1754,0)),0,IF(E1756&gt;10,ROUND(D1756*am_maszyny,0),IF(D1756&lt;0,0,D1756)))</f>
        <v>0</v>
      </c>
      <c r="E1757" s="21"/>
      <c r="F1757" s="21"/>
      <c r="G1757" s="21"/>
      <c r="H1757" s="21"/>
      <c r="I1757" s="21"/>
      <c r="J1757" s="21"/>
      <c r="K1757" s="75">
        <f ca="1">ROUND(IF($D1755=LataProjekcji,$F1756,IF($D1755=LataProjekcji,$D1757,0)),0)</f>
        <v>0</v>
      </c>
      <c r="L1757" s="248">
        <f ca="1">ROUND(IF(OR(AND($D1755=LataProjekcji,$F1755&gt;0),AND($D1755=LataProjekcji,$F1755=0,$E1756&lt;=10)),$F1756,IF($D1755&lt;LataProjekcji,IF((SUM($K1757:K1757)+$D1757)&lt;$D1756,$D1757,$D1756-SUM($K1757:K1757)),0)),0)</f>
        <v>0</v>
      </c>
      <c r="M1757" s="248">
        <f ca="1">ROUND(IF(OR(AND($D1755=LataProjekcji,$F1755&gt;0),AND($D1755=LataProjekcji,$F1755=0,$E1756&lt;=10)),$F1756,IF($D1755&lt;LataProjekcji,IF((SUM($K1757:L1757)+$D1757)&lt;$D1756,$D1757,$D1756-SUM($K1757:L1757)),0)),0)</f>
        <v>0</v>
      </c>
      <c r="N1757" s="248">
        <f ca="1">ROUND(IF(OR(AND($D1755=LataProjekcji,$F1755&gt;0),AND($D1755=LataProjekcji,$F1755=0,$E1756&lt;=10)),$F1756,IF($D1755&lt;LataProjekcji,IF((SUM($K1757:M1757)+$D1757)&lt;$D1756,$D1757,$D1756-SUM($K1757:M1757)),0)),0)</f>
        <v>0</v>
      </c>
      <c r="O1757" s="248">
        <f ca="1">ROUND(IF(OR(AND($D1755=LataProjekcji,$F1755&gt;0),AND($D1755=LataProjekcji,$F1755=0,$E1756&lt;=10)),$F1756,IF($D1755&lt;LataProjekcji,IF((SUM($K1757:N1757)+$D1757)&lt;$D1756,$D1757,$D1756-SUM($K1757:N1757)),0)),0)</f>
        <v>0</v>
      </c>
      <c r="P1757" s="248">
        <f ca="1">ROUND(IF(OR(AND($D1755=LataProjekcji,$F1755&gt;0),AND($D1755=LataProjekcji,$F1755=0,$E1756&lt;=10)),$F1756,IF($D1755&lt;LataProjekcji,IF((SUM($K1757:O1757)+$D1757)&lt;$D1756,$D1757,$D1756-SUM($K1757:O1757)),0)),0)</f>
        <v>0</v>
      </c>
      <c r="Q1757" s="248">
        <f ca="1">ROUND(IF(OR(AND($D1755=LataProjekcji,$F1755&gt;0),AND($D1755=LataProjekcji,$F1755=0,$E1756&lt;=10)),$F1756,IF($D1755&lt;LataProjekcji,IF((SUM($K1757:P1757)+$D1757)&lt;$D1756,$D1757,$D1756-SUM($K1757:P1757)),0)),0)</f>
        <v>0</v>
      </c>
      <c r="R1757" s="248">
        <f ca="1">ROUND(IF(OR(AND($D1755=LataProjekcji,$F1755&gt;0),AND($D1755=LataProjekcji,$F1755=0,$E1756&lt;=10)),$F1756,IF($D1755&lt;LataProjekcji,IF((SUM($K1757:Q1757)+$D1757)&lt;$D1756,$D1757,$D1756-SUM($K1757:Q1757)),0)),0)</f>
        <v>0</v>
      </c>
      <c r="S1757" s="248">
        <f ca="1">ROUND(IF(OR(AND($D1755=LataProjekcji,$F1755&gt;0),AND($D1755=LataProjekcji,$F1755=0,$E1756&lt;=10)),$F1756,IF($D1755&lt;LataProjekcji,IF((SUM($K1757:R1757)+$D1757)&lt;$D1756,$D1757,$D1756-SUM($K1757:R1757)),0)),0)</f>
        <v>0</v>
      </c>
      <c r="T1757" s="248">
        <f ca="1">ROUND(IF(OR(AND($D1755=LataProjekcji,$F1755&gt;0),AND($D1755=LataProjekcji,$F1755=0,$E1756&lt;=10)),$F1756,IF($D1755&lt;LataProjekcji,IF((SUM($K1757:S1757)+$D1757)&lt;$D1756,$D1757,$D1756-SUM($K1757:S1757)),0)),0)</f>
        <v>0</v>
      </c>
      <c r="U1757" s="248">
        <f ca="1">ROUND(IF(OR(AND($D1755=LataProjekcji,$F1755&gt;0),AND($D1755=LataProjekcji,$F1755=0,$E1756&lt;=10)),$F1756,IF($D1755&lt;LataProjekcji,IF((SUM($K1757:T1757)+$D1757)&lt;$D1756,$D1757,$D1756-SUM($K1757:T1757)),0)),0)</f>
        <v>0</v>
      </c>
      <c r="V1757" s="248">
        <f ca="1">ROUND(IF(OR(AND($D1755=LataProjekcji,$F1755&gt;0),AND($D1755=LataProjekcji,$F1755=0,$E1756&lt;=10)),$F1756,IF($D1755&lt;LataProjekcji,IF((SUM($K1757:U1757)+$D1757)&lt;$D1756,$D1757,$D1756-SUM($K1757:U1757)),0)),0)</f>
        <v>0</v>
      </c>
      <c r="W1757" s="248">
        <f ca="1">ROUND(IF(OR(AND($D1755=LataProjekcji,$F1755&gt;0),AND($D1755=LataProjekcji,$F1755=0,$E1756&lt;=10)),$F1756,IF($D1755&lt;LataProjekcji,IF((SUM($K1757:V1757)+$D1757)&lt;$D1756,$D1757,$D1756-SUM($K1757:V1757)),0)),0)</f>
        <v>0</v>
      </c>
      <c r="X1757" s="248">
        <f ca="1">ROUND(IF(OR(AND($D1755=LataProjekcji,$F1755&gt;0),AND($D1755=LataProjekcji,$F1755=0,$E1756&lt;=10)),$F1756,IF($D1755&lt;LataProjekcji,IF((SUM($K1757:W1757)+$D1757)&lt;$D1756,$D1757,$D1756-SUM($K1757:W1757)),0)),0)</f>
        <v>0</v>
      </c>
    </row>
    <row r="1758" spans="1:24" hidden="1">
      <c r="A1758" s="328"/>
      <c r="B1758" s="21" t="s">
        <v>416</v>
      </c>
      <c r="C1758" s="21"/>
      <c r="D1758" s="22"/>
      <c r="E1758" s="21"/>
      <c r="F1758" s="21"/>
      <c r="G1758" s="21"/>
      <c r="H1758" s="21"/>
      <c r="I1758" s="21"/>
      <c r="J1758" s="21"/>
      <c r="K1758" s="22">
        <f ca="1">ROUND(K1757,0)</f>
        <v>0</v>
      </c>
      <c r="L1758" s="22">
        <f t="shared" ref="L1758:X1758" ca="1" si="1438">ROUND(K1758+L1757,0)</f>
        <v>0</v>
      </c>
      <c r="M1758" s="22">
        <f t="shared" ca="1" si="1438"/>
        <v>0</v>
      </c>
      <c r="N1758" s="22">
        <f t="shared" ca="1" si="1438"/>
        <v>0</v>
      </c>
      <c r="O1758" s="22">
        <f t="shared" ca="1" si="1438"/>
        <v>0</v>
      </c>
      <c r="P1758" s="22">
        <f t="shared" ca="1" si="1438"/>
        <v>0</v>
      </c>
      <c r="Q1758" s="22">
        <f t="shared" ca="1" si="1438"/>
        <v>0</v>
      </c>
      <c r="R1758" s="22">
        <f t="shared" ca="1" si="1438"/>
        <v>0</v>
      </c>
      <c r="S1758" s="22">
        <f t="shared" ca="1" si="1438"/>
        <v>0</v>
      </c>
      <c r="T1758" s="22">
        <f t="shared" ca="1" si="1438"/>
        <v>0</v>
      </c>
      <c r="U1758" s="22">
        <f t="shared" ca="1" si="1438"/>
        <v>0</v>
      </c>
      <c r="V1758" s="22">
        <f t="shared" ca="1" si="1438"/>
        <v>0</v>
      </c>
      <c r="W1758" s="22">
        <f t="shared" ca="1" si="1438"/>
        <v>0</v>
      </c>
      <c r="X1758" s="22">
        <f t="shared" ca="1" si="1438"/>
        <v>0</v>
      </c>
    </row>
    <row r="1759" spans="1:24" hidden="1">
      <c r="A1759" s="328"/>
      <c r="B1759" s="21" t="s">
        <v>406</v>
      </c>
      <c r="C1759" s="21"/>
      <c r="D1759" s="22"/>
      <c r="E1759" s="21"/>
      <c r="F1759" s="21"/>
      <c r="G1759" s="21"/>
      <c r="H1759" s="21"/>
      <c r="I1759" s="21"/>
      <c r="J1759" s="21"/>
      <c r="K1759" s="77">
        <f ca="1">IF($D1755=LataProjekcji,ROUND($D1756-K1758,0),ROUND(IF(K1757=0,0,$D1756-K1758),0))</f>
        <v>0</v>
      </c>
      <c r="L1759" s="254">
        <f t="shared" ref="L1759:X1759" ca="1" si="1439">IF($D1755=LataProjekcji,ROUND($D1756-L1758,0),ROUND(IF(AND(L1757=0,K1759&gt;0),$D1756-L1758,IF(L1757=0,0,$D1756-L1758)),0))</f>
        <v>0</v>
      </c>
      <c r="M1759" s="254">
        <f t="shared" ca="1" si="1439"/>
        <v>0</v>
      </c>
      <c r="N1759" s="254">
        <f t="shared" ca="1" si="1439"/>
        <v>0</v>
      </c>
      <c r="O1759" s="254">
        <f t="shared" ca="1" si="1439"/>
        <v>0</v>
      </c>
      <c r="P1759" s="254">
        <f t="shared" ca="1" si="1439"/>
        <v>0</v>
      </c>
      <c r="Q1759" s="254">
        <f t="shared" ca="1" si="1439"/>
        <v>0</v>
      </c>
      <c r="R1759" s="254">
        <f t="shared" ca="1" si="1439"/>
        <v>0</v>
      </c>
      <c r="S1759" s="254">
        <f t="shared" ca="1" si="1439"/>
        <v>0</v>
      </c>
      <c r="T1759" s="254">
        <f t="shared" ca="1" si="1439"/>
        <v>0</v>
      </c>
      <c r="U1759" s="254">
        <f t="shared" ca="1" si="1439"/>
        <v>0</v>
      </c>
      <c r="V1759" s="254">
        <f t="shared" ca="1" si="1439"/>
        <v>0</v>
      </c>
      <c r="W1759" s="254">
        <f t="shared" ca="1" si="1439"/>
        <v>0</v>
      </c>
      <c r="X1759" s="254">
        <f t="shared" ca="1" si="1439"/>
        <v>0</v>
      </c>
    </row>
    <row r="1760" spans="1:24" hidden="1">
      <c r="A1760" s="328"/>
      <c r="B1760" s="20"/>
      <c r="C1760" s="20"/>
      <c r="D1760" s="21"/>
      <c r="E1760" s="21"/>
      <c r="F1760" s="21"/>
      <c r="G1760" s="21"/>
      <c r="H1760" s="404">
        <f>H1753+1</f>
        <v>29</v>
      </c>
      <c r="I1760" s="483" cm="1">
        <f t="array" aca="1" ref="I1760" ca="1">OFFSET('Środki trwałe'!$C$418,H1760,,)</f>
        <v>0</v>
      </c>
      <c r="J1760" s="404" t="s">
        <v>427</v>
      </c>
      <c r="K1760" s="405">
        <f t="shared" ref="K1760:X1760" ca="1" si="1440">IF(AND(OFFSET($F$269,$D1754,0)="tak",OFFSET($G$269,$D1754,0)="tak",OFFSET($J$269,$D1754,0)="ok",LataProjekcji&lt;=Koniec_Projekt),ROUND(K1757*OFFSET($K$469,$H1760,(COLUMN()-11)),0),0)</f>
        <v>0</v>
      </c>
      <c r="L1760" s="405">
        <f t="shared" ca="1" si="1440"/>
        <v>0</v>
      </c>
      <c r="M1760" s="405">
        <f t="shared" ca="1" si="1440"/>
        <v>0</v>
      </c>
      <c r="N1760" s="405">
        <f t="shared" ca="1" si="1440"/>
        <v>0</v>
      </c>
      <c r="O1760" s="405">
        <f t="shared" ca="1" si="1440"/>
        <v>0</v>
      </c>
      <c r="P1760" s="405">
        <f t="shared" ca="1" si="1440"/>
        <v>0</v>
      </c>
      <c r="Q1760" s="405">
        <f t="shared" ca="1" si="1440"/>
        <v>0</v>
      </c>
      <c r="R1760" s="405">
        <f t="shared" ca="1" si="1440"/>
        <v>0</v>
      </c>
      <c r="S1760" s="405">
        <f t="shared" ca="1" si="1440"/>
        <v>0</v>
      </c>
      <c r="T1760" s="405">
        <f t="shared" ca="1" si="1440"/>
        <v>0</v>
      </c>
      <c r="U1760" s="405">
        <f t="shared" ca="1" si="1440"/>
        <v>0</v>
      </c>
      <c r="V1760" s="405">
        <f t="shared" ca="1" si="1440"/>
        <v>0</v>
      </c>
      <c r="W1760" s="405">
        <f t="shared" ca="1" si="1440"/>
        <v>0</v>
      </c>
      <c r="X1760" s="405">
        <f t="shared" ca="1" si="1440"/>
        <v>0</v>
      </c>
    </row>
    <row r="1761" spans="1:24" hidden="1">
      <c r="A1761" s="328"/>
      <c r="B1761" s="20">
        <f ca="1">OFFSET($B$269,D1761,0)</f>
        <v>0</v>
      </c>
      <c r="C1761" s="20"/>
      <c r="D1761" s="21">
        <f>D1754+1</f>
        <v>179</v>
      </c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</row>
    <row r="1762" spans="1:24" hidden="1">
      <c r="A1762" s="328"/>
      <c r="B1762" s="21" t="s">
        <v>414</v>
      </c>
      <c r="C1762" s="21"/>
      <c r="D1762" s="165">
        <f ca="1">YEAR(OFFSET($E$269,D1761,0))</f>
        <v>1900</v>
      </c>
      <c r="E1762" s="165">
        <f ca="1">MONTH(OFFSET($E$269,D1761,0))</f>
        <v>1</v>
      </c>
      <c r="F1762" s="21">
        <f ca="1">12-$E1762</f>
        <v>11</v>
      </c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</row>
    <row r="1763" spans="1:24" hidden="1">
      <c r="A1763" s="328"/>
      <c r="B1763" s="21" t="s">
        <v>406</v>
      </c>
      <c r="C1763" s="21"/>
      <c r="D1763" s="386">
        <f ca="1">IF(E1763&lt;0,0,ROUND(E1763,0))</f>
        <v>0</v>
      </c>
      <c r="E1763" s="249">
        <f ca="1">OFFSET($D$269,D1761,0)</f>
        <v>0</v>
      </c>
      <c r="F1763" s="386">
        <f ca="1">IF(E1763&gt;10,ROUND(($D1764/12)*$F1762,0),$D1763)</f>
        <v>0</v>
      </c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</row>
    <row r="1764" spans="1:24" hidden="1">
      <c r="A1764" s="328"/>
      <c r="B1764" s="21" t="s">
        <v>415</v>
      </c>
      <c r="C1764" s="21"/>
      <c r="D1764" s="386">
        <f ca="1">IF(ISBLANK(OFFSET($E$269,D1761,0)),0,IF(E1763&gt;10,ROUND(D1763*am_maszyny,0),IF(D1763&lt;0,0,D1763)))</f>
        <v>0</v>
      </c>
      <c r="E1764" s="21"/>
      <c r="F1764" s="21"/>
      <c r="G1764" s="21"/>
      <c r="H1764" s="21"/>
      <c r="I1764" s="21"/>
      <c r="J1764" s="21"/>
      <c r="K1764" s="75">
        <f ca="1">ROUND(IF($D1762=LataProjekcji,$F1763,IF($D1762=LataProjekcji,$D1764,0)),0)</f>
        <v>0</v>
      </c>
      <c r="L1764" s="248">
        <f ca="1">ROUND(IF(OR(AND($D1762=LataProjekcji,$F1762&gt;0),AND($D1762=LataProjekcji,$F1762=0,$E1763&lt;=10)),$F1763,IF($D1762&lt;LataProjekcji,IF((SUM($K1764:K1764)+$D1764)&lt;$D1763,$D1764,$D1763-SUM($K1764:K1764)),0)),0)</f>
        <v>0</v>
      </c>
      <c r="M1764" s="248">
        <f ca="1">ROUND(IF(OR(AND($D1762=LataProjekcji,$F1762&gt;0),AND($D1762=LataProjekcji,$F1762=0,$E1763&lt;=10)),$F1763,IF($D1762&lt;LataProjekcji,IF((SUM($K1764:L1764)+$D1764)&lt;$D1763,$D1764,$D1763-SUM($K1764:L1764)),0)),0)</f>
        <v>0</v>
      </c>
      <c r="N1764" s="248">
        <f ca="1">ROUND(IF(OR(AND($D1762=LataProjekcji,$F1762&gt;0),AND($D1762=LataProjekcji,$F1762=0,$E1763&lt;=10)),$F1763,IF($D1762&lt;LataProjekcji,IF((SUM($K1764:M1764)+$D1764)&lt;$D1763,$D1764,$D1763-SUM($K1764:M1764)),0)),0)</f>
        <v>0</v>
      </c>
      <c r="O1764" s="248">
        <f ca="1">ROUND(IF(OR(AND($D1762=LataProjekcji,$F1762&gt;0),AND($D1762=LataProjekcji,$F1762=0,$E1763&lt;=10)),$F1763,IF($D1762&lt;LataProjekcji,IF((SUM($K1764:N1764)+$D1764)&lt;$D1763,$D1764,$D1763-SUM($K1764:N1764)),0)),0)</f>
        <v>0</v>
      </c>
      <c r="P1764" s="248">
        <f ca="1">ROUND(IF(OR(AND($D1762=LataProjekcji,$F1762&gt;0),AND($D1762=LataProjekcji,$F1762=0,$E1763&lt;=10)),$F1763,IF($D1762&lt;LataProjekcji,IF((SUM($K1764:O1764)+$D1764)&lt;$D1763,$D1764,$D1763-SUM($K1764:O1764)),0)),0)</f>
        <v>0</v>
      </c>
      <c r="Q1764" s="248">
        <f ca="1">ROUND(IF(OR(AND($D1762=LataProjekcji,$F1762&gt;0),AND($D1762=LataProjekcji,$F1762=0,$E1763&lt;=10)),$F1763,IF($D1762&lt;LataProjekcji,IF((SUM($K1764:P1764)+$D1764)&lt;$D1763,$D1764,$D1763-SUM($K1764:P1764)),0)),0)</f>
        <v>0</v>
      </c>
      <c r="R1764" s="248">
        <f ca="1">ROUND(IF(OR(AND($D1762=LataProjekcji,$F1762&gt;0),AND($D1762=LataProjekcji,$F1762=0,$E1763&lt;=10)),$F1763,IF($D1762&lt;LataProjekcji,IF((SUM($K1764:Q1764)+$D1764)&lt;$D1763,$D1764,$D1763-SUM($K1764:Q1764)),0)),0)</f>
        <v>0</v>
      </c>
      <c r="S1764" s="248">
        <f ca="1">ROUND(IF(OR(AND($D1762=LataProjekcji,$F1762&gt;0),AND($D1762=LataProjekcji,$F1762=0,$E1763&lt;=10)),$F1763,IF($D1762&lt;LataProjekcji,IF((SUM($K1764:R1764)+$D1764)&lt;$D1763,$D1764,$D1763-SUM($K1764:R1764)),0)),0)</f>
        <v>0</v>
      </c>
      <c r="T1764" s="248">
        <f ca="1">ROUND(IF(OR(AND($D1762=LataProjekcji,$F1762&gt;0),AND($D1762=LataProjekcji,$F1762=0,$E1763&lt;=10)),$F1763,IF($D1762&lt;LataProjekcji,IF((SUM($K1764:S1764)+$D1764)&lt;$D1763,$D1764,$D1763-SUM($K1764:S1764)),0)),0)</f>
        <v>0</v>
      </c>
      <c r="U1764" s="248">
        <f ca="1">ROUND(IF(OR(AND($D1762=LataProjekcji,$F1762&gt;0),AND($D1762=LataProjekcji,$F1762=0,$E1763&lt;=10)),$F1763,IF($D1762&lt;LataProjekcji,IF((SUM($K1764:T1764)+$D1764)&lt;$D1763,$D1764,$D1763-SUM($K1764:T1764)),0)),0)</f>
        <v>0</v>
      </c>
      <c r="V1764" s="248">
        <f ca="1">ROUND(IF(OR(AND($D1762=LataProjekcji,$F1762&gt;0),AND($D1762=LataProjekcji,$F1762=0,$E1763&lt;=10)),$F1763,IF($D1762&lt;LataProjekcji,IF((SUM($K1764:U1764)+$D1764)&lt;$D1763,$D1764,$D1763-SUM($K1764:U1764)),0)),0)</f>
        <v>0</v>
      </c>
      <c r="W1764" s="248">
        <f ca="1">ROUND(IF(OR(AND($D1762=LataProjekcji,$F1762&gt;0),AND($D1762=LataProjekcji,$F1762=0,$E1763&lt;=10)),$F1763,IF($D1762&lt;LataProjekcji,IF((SUM($K1764:V1764)+$D1764)&lt;$D1763,$D1764,$D1763-SUM($K1764:V1764)),0)),0)</f>
        <v>0</v>
      </c>
      <c r="X1764" s="248">
        <f ca="1">ROUND(IF(OR(AND($D1762=LataProjekcji,$F1762&gt;0),AND($D1762=LataProjekcji,$F1762=0,$E1763&lt;=10)),$F1763,IF($D1762&lt;LataProjekcji,IF((SUM($K1764:W1764)+$D1764)&lt;$D1763,$D1764,$D1763-SUM($K1764:W1764)),0)),0)</f>
        <v>0</v>
      </c>
    </row>
    <row r="1765" spans="1:24" hidden="1">
      <c r="A1765" s="328"/>
      <c r="B1765" s="21" t="s">
        <v>416</v>
      </c>
      <c r="C1765" s="21"/>
      <c r="D1765" s="22"/>
      <c r="E1765" s="21"/>
      <c r="F1765" s="21"/>
      <c r="G1765" s="21"/>
      <c r="H1765" s="21"/>
      <c r="I1765" s="21"/>
      <c r="J1765" s="21"/>
      <c r="K1765" s="22">
        <f ca="1">ROUND(K1764,0)</f>
        <v>0</v>
      </c>
      <c r="L1765" s="22">
        <f t="shared" ref="L1765:X1765" ca="1" si="1441">ROUND(K1765+L1764,0)</f>
        <v>0</v>
      </c>
      <c r="M1765" s="22">
        <f t="shared" ca="1" si="1441"/>
        <v>0</v>
      </c>
      <c r="N1765" s="22">
        <f t="shared" ca="1" si="1441"/>
        <v>0</v>
      </c>
      <c r="O1765" s="22">
        <f t="shared" ca="1" si="1441"/>
        <v>0</v>
      </c>
      <c r="P1765" s="22">
        <f t="shared" ca="1" si="1441"/>
        <v>0</v>
      </c>
      <c r="Q1765" s="22">
        <f t="shared" ca="1" si="1441"/>
        <v>0</v>
      </c>
      <c r="R1765" s="22">
        <f t="shared" ca="1" si="1441"/>
        <v>0</v>
      </c>
      <c r="S1765" s="22">
        <f t="shared" ca="1" si="1441"/>
        <v>0</v>
      </c>
      <c r="T1765" s="22">
        <f t="shared" ca="1" si="1441"/>
        <v>0</v>
      </c>
      <c r="U1765" s="22">
        <f t="shared" ca="1" si="1441"/>
        <v>0</v>
      </c>
      <c r="V1765" s="22">
        <f t="shared" ca="1" si="1441"/>
        <v>0</v>
      </c>
      <c r="W1765" s="22">
        <f t="shared" ca="1" si="1441"/>
        <v>0</v>
      </c>
      <c r="X1765" s="22">
        <f t="shared" ca="1" si="1441"/>
        <v>0</v>
      </c>
    </row>
    <row r="1766" spans="1:24" hidden="1">
      <c r="A1766" s="328"/>
      <c r="B1766" s="21" t="s">
        <v>406</v>
      </c>
      <c r="C1766" s="21"/>
      <c r="D1766" s="22"/>
      <c r="E1766" s="21"/>
      <c r="F1766" s="21"/>
      <c r="G1766" s="21"/>
      <c r="H1766" s="21"/>
      <c r="I1766" s="21"/>
      <c r="J1766" s="21"/>
      <c r="K1766" s="77">
        <f ca="1">IF($D1762=LataProjekcji,ROUND($D1763-K1765,0),ROUND(IF(K1764=0,0,$D1763-K1765),0))</f>
        <v>0</v>
      </c>
      <c r="L1766" s="254">
        <f t="shared" ref="L1766:X1766" ca="1" si="1442">IF($D1762=LataProjekcji,ROUND($D1763-L1765,0),ROUND(IF(AND(L1764=0,K1766&gt;0),$D1763-L1765,IF(L1764=0,0,$D1763-L1765)),0))</f>
        <v>0</v>
      </c>
      <c r="M1766" s="254">
        <f t="shared" ca="1" si="1442"/>
        <v>0</v>
      </c>
      <c r="N1766" s="254">
        <f t="shared" ca="1" si="1442"/>
        <v>0</v>
      </c>
      <c r="O1766" s="254">
        <f t="shared" ca="1" si="1442"/>
        <v>0</v>
      </c>
      <c r="P1766" s="254">
        <f t="shared" ca="1" si="1442"/>
        <v>0</v>
      </c>
      <c r="Q1766" s="254">
        <f t="shared" ca="1" si="1442"/>
        <v>0</v>
      </c>
      <c r="R1766" s="254">
        <f t="shared" ca="1" si="1442"/>
        <v>0</v>
      </c>
      <c r="S1766" s="254">
        <f t="shared" ca="1" si="1442"/>
        <v>0</v>
      </c>
      <c r="T1766" s="254">
        <f t="shared" ca="1" si="1442"/>
        <v>0</v>
      </c>
      <c r="U1766" s="254">
        <f t="shared" ca="1" si="1442"/>
        <v>0</v>
      </c>
      <c r="V1766" s="254">
        <f t="shared" ca="1" si="1442"/>
        <v>0</v>
      </c>
      <c r="W1766" s="254">
        <f t="shared" ca="1" si="1442"/>
        <v>0</v>
      </c>
      <c r="X1766" s="254">
        <f t="shared" ca="1" si="1442"/>
        <v>0</v>
      </c>
    </row>
    <row r="1767" spans="1:24" hidden="1">
      <c r="A1767" s="328"/>
      <c r="B1767" s="21"/>
      <c r="C1767" s="21"/>
      <c r="D1767" s="22"/>
      <c r="E1767" s="21"/>
      <c r="F1767" s="21"/>
      <c r="G1767" s="21"/>
      <c r="H1767" s="404">
        <f>H1760+1</f>
        <v>30</v>
      </c>
      <c r="I1767" s="483" cm="1">
        <f t="array" aca="1" ref="I1767" ca="1">OFFSET('Środki trwałe'!$C$418,H1767,,)</f>
        <v>0</v>
      </c>
      <c r="J1767" s="404" t="s">
        <v>427</v>
      </c>
      <c r="K1767" s="405">
        <f t="shared" ref="K1767:X1767" ca="1" si="1443">IF(AND(OFFSET($F$269,$D1761,0)="tak",OFFSET($G$269,$D1761,0)="tak",OFFSET($J$269,$D1761,0)="ok",LataProjekcji&lt;=Koniec_Projekt),ROUND(K1764*OFFSET($K$469,$H1767,(COLUMN()-11)),0),0)</f>
        <v>0</v>
      </c>
      <c r="L1767" s="405">
        <f t="shared" ca="1" si="1443"/>
        <v>0</v>
      </c>
      <c r="M1767" s="405">
        <f t="shared" ca="1" si="1443"/>
        <v>0</v>
      </c>
      <c r="N1767" s="405">
        <f t="shared" ca="1" si="1443"/>
        <v>0</v>
      </c>
      <c r="O1767" s="405">
        <f t="shared" ca="1" si="1443"/>
        <v>0</v>
      </c>
      <c r="P1767" s="405">
        <f t="shared" ca="1" si="1443"/>
        <v>0</v>
      </c>
      <c r="Q1767" s="405">
        <f t="shared" ca="1" si="1443"/>
        <v>0</v>
      </c>
      <c r="R1767" s="405">
        <f t="shared" ca="1" si="1443"/>
        <v>0</v>
      </c>
      <c r="S1767" s="405">
        <f t="shared" ca="1" si="1443"/>
        <v>0</v>
      </c>
      <c r="T1767" s="405">
        <f t="shared" ca="1" si="1443"/>
        <v>0</v>
      </c>
      <c r="U1767" s="405">
        <f t="shared" ca="1" si="1443"/>
        <v>0</v>
      </c>
      <c r="V1767" s="405">
        <f t="shared" ca="1" si="1443"/>
        <v>0</v>
      </c>
      <c r="W1767" s="405">
        <f t="shared" ca="1" si="1443"/>
        <v>0</v>
      </c>
      <c r="X1767" s="405">
        <f t="shared" ca="1" si="1443"/>
        <v>0</v>
      </c>
    </row>
    <row r="1768" spans="1:24" hidden="1">
      <c r="A1768" s="328"/>
      <c r="B1768" s="20">
        <f ca="1">OFFSET($B$269,D1768,0)</f>
        <v>0</v>
      </c>
      <c r="C1768" s="20"/>
      <c r="D1768" s="21">
        <f>D1761+1</f>
        <v>180</v>
      </c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</row>
    <row r="1769" spans="1:24" hidden="1">
      <c r="A1769" s="328"/>
      <c r="B1769" s="21" t="s">
        <v>414</v>
      </c>
      <c r="C1769" s="21"/>
      <c r="D1769" s="165">
        <f ca="1">YEAR(OFFSET($E$269,D1768,0))</f>
        <v>1900</v>
      </c>
      <c r="E1769" s="165">
        <f ca="1">MONTH(OFFSET($E$269,D1768,0))</f>
        <v>1</v>
      </c>
      <c r="F1769" s="21">
        <f ca="1">12-$E1769</f>
        <v>11</v>
      </c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</row>
    <row r="1770" spans="1:24" hidden="1">
      <c r="A1770" s="328"/>
      <c r="B1770" s="21" t="s">
        <v>406</v>
      </c>
      <c r="C1770" s="21"/>
      <c r="D1770" s="387">
        <f ca="1">IF(E1770&lt;0,0,ROUND(E1770,0))</f>
        <v>0</v>
      </c>
      <c r="E1770" s="249">
        <f ca="1">OFFSET($D$269,D1768,0)</f>
        <v>0</v>
      </c>
      <c r="F1770" s="387">
        <f ca="1">IF(E1770&gt;10,ROUND(($D1771/12)*$F1769,0),$D1770)</f>
        <v>0</v>
      </c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</row>
    <row r="1771" spans="1:24" hidden="1">
      <c r="A1771" s="328"/>
      <c r="B1771" s="21" t="s">
        <v>415</v>
      </c>
      <c r="C1771" s="21"/>
      <c r="D1771" s="387">
        <f ca="1">IF(ISBLANK(OFFSET($E$269,D1768,0)),0,IF(E1770&gt;10,ROUND(D1770*am_maszyny,0),IF(D1770&lt;0,0,D1770)))</f>
        <v>0</v>
      </c>
      <c r="E1771" s="21"/>
      <c r="F1771" s="21"/>
      <c r="G1771" s="21"/>
      <c r="H1771" s="21"/>
      <c r="I1771" s="21"/>
      <c r="J1771" s="21"/>
      <c r="K1771" s="75">
        <f ca="1">ROUND(IF($D1769=LataProjekcji,$F1770,IF($D1769=LataProjekcji,$D1771,0)),0)</f>
        <v>0</v>
      </c>
      <c r="L1771" s="248">
        <f ca="1">ROUND(IF(OR(AND($D1769=LataProjekcji,$F1769&gt;0),AND($D1769=LataProjekcji,$F1769=0,$E1770&lt;=10)),$F1770,IF($D1769&lt;LataProjekcji,IF((SUM($K1771:K1771)+$D1771)&lt;$D1770,$D1771,$D1770-SUM($K1771:K1771)),0)),0)</f>
        <v>0</v>
      </c>
      <c r="M1771" s="248">
        <f ca="1">ROUND(IF(OR(AND($D1769=LataProjekcji,$F1769&gt;0),AND($D1769=LataProjekcji,$F1769=0,$E1770&lt;=10)),$F1770,IF($D1769&lt;LataProjekcji,IF((SUM($K1771:L1771)+$D1771)&lt;$D1770,$D1771,$D1770-SUM($K1771:L1771)),0)),0)</f>
        <v>0</v>
      </c>
      <c r="N1771" s="248">
        <f ca="1">ROUND(IF(OR(AND($D1769=LataProjekcji,$F1769&gt;0),AND($D1769=LataProjekcji,$F1769=0,$E1770&lt;=10)),$F1770,IF($D1769&lt;LataProjekcji,IF((SUM($K1771:M1771)+$D1771)&lt;$D1770,$D1771,$D1770-SUM($K1771:M1771)),0)),0)</f>
        <v>0</v>
      </c>
      <c r="O1771" s="248">
        <f ca="1">ROUND(IF(OR(AND($D1769=LataProjekcji,$F1769&gt;0),AND($D1769=LataProjekcji,$F1769=0,$E1770&lt;=10)),$F1770,IF($D1769&lt;LataProjekcji,IF((SUM($K1771:N1771)+$D1771)&lt;$D1770,$D1771,$D1770-SUM($K1771:N1771)),0)),0)</f>
        <v>0</v>
      </c>
      <c r="P1771" s="248">
        <f ca="1">ROUND(IF(OR(AND($D1769=LataProjekcji,$F1769&gt;0),AND($D1769=LataProjekcji,$F1769=0,$E1770&lt;=10)),$F1770,IF($D1769&lt;LataProjekcji,IF((SUM($K1771:O1771)+$D1771)&lt;$D1770,$D1771,$D1770-SUM($K1771:O1771)),0)),0)</f>
        <v>0</v>
      </c>
      <c r="Q1771" s="248">
        <f ca="1">ROUND(IF(OR(AND($D1769=LataProjekcji,$F1769&gt;0),AND($D1769=LataProjekcji,$F1769=0,$E1770&lt;=10)),$F1770,IF($D1769&lt;LataProjekcji,IF((SUM($K1771:P1771)+$D1771)&lt;$D1770,$D1771,$D1770-SUM($K1771:P1771)),0)),0)</f>
        <v>0</v>
      </c>
      <c r="R1771" s="248">
        <f ca="1">ROUND(IF(OR(AND($D1769=LataProjekcji,$F1769&gt;0),AND($D1769=LataProjekcji,$F1769=0,$E1770&lt;=10)),$F1770,IF($D1769&lt;LataProjekcji,IF((SUM($K1771:Q1771)+$D1771)&lt;$D1770,$D1771,$D1770-SUM($K1771:Q1771)),0)),0)</f>
        <v>0</v>
      </c>
      <c r="S1771" s="248">
        <f ca="1">ROUND(IF(OR(AND($D1769=LataProjekcji,$F1769&gt;0),AND($D1769=LataProjekcji,$F1769=0,$E1770&lt;=10)),$F1770,IF($D1769&lt;LataProjekcji,IF((SUM($K1771:R1771)+$D1771)&lt;$D1770,$D1771,$D1770-SUM($K1771:R1771)),0)),0)</f>
        <v>0</v>
      </c>
      <c r="T1771" s="248">
        <f ca="1">ROUND(IF(OR(AND($D1769=LataProjekcji,$F1769&gt;0),AND($D1769=LataProjekcji,$F1769=0,$E1770&lt;=10)),$F1770,IF($D1769&lt;LataProjekcji,IF((SUM($K1771:S1771)+$D1771)&lt;$D1770,$D1771,$D1770-SUM($K1771:S1771)),0)),0)</f>
        <v>0</v>
      </c>
      <c r="U1771" s="248">
        <f ca="1">ROUND(IF(OR(AND($D1769=LataProjekcji,$F1769&gt;0),AND($D1769=LataProjekcji,$F1769=0,$E1770&lt;=10)),$F1770,IF($D1769&lt;LataProjekcji,IF((SUM($K1771:T1771)+$D1771)&lt;$D1770,$D1771,$D1770-SUM($K1771:T1771)),0)),0)</f>
        <v>0</v>
      </c>
      <c r="V1771" s="248">
        <f ca="1">ROUND(IF(OR(AND($D1769=LataProjekcji,$F1769&gt;0),AND($D1769=LataProjekcji,$F1769=0,$E1770&lt;=10)),$F1770,IF($D1769&lt;LataProjekcji,IF((SUM($K1771:U1771)+$D1771)&lt;$D1770,$D1771,$D1770-SUM($K1771:U1771)),0)),0)</f>
        <v>0</v>
      </c>
      <c r="W1771" s="248">
        <f ca="1">ROUND(IF(OR(AND($D1769=LataProjekcji,$F1769&gt;0),AND($D1769=LataProjekcji,$F1769=0,$E1770&lt;=10)),$F1770,IF($D1769&lt;LataProjekcji,IF((SUM($K1771:V1771)+$D1771)&lt;$D1770,$D1771,$D1770-SUM($K1771:V1771)),0)),0)</f>
        <v>0</v>
      </c>
      <c r="X1771" s="248">
        <f ca="1">ROUND(IF(OR(AND($D1769=LataProjekcji,$F1769&gt;0),AND($D1769=LataProjekcji,$F1769=0,$E1770&lt;=10)),$F1770,IF($D1769&lt;LataProjekcji,IF((SUM($K1771:W1771)+$D1771)&lt;$D1770,$D1771,$D1770-SUM($K1771:W1771)),0)),0)</f>
        <v>0</v>
      </c>
    </row>
    <row r="1772" spans="1:24" hidden="1">
      <c r="A1772" s="328"/>
      <c r="B1772" s="21" t="s">
        <v>416</v>
      </c>
      <c r="C1772" s="21"/>
      <c r="D1772" s="22"/>
      <c r="E1772" s="21"/>
      <c r="F1772" s="21"/>
      <c r="G1772" s="21"/>
      <c r="H1772" s="21"/>
      <c r="I1772" s="21"/>
      <c r="J1772" s="21"/>
      <c r="K1772" s="22">
        <f ca="1">ROUND(K1771,0)</f>
        <v>0</v>
      </c>
      <c r="L1772" s="22">
        <f t="shared" ref="L1772:X1772" ca="1" si="1444">ROUND(K1772+L1771,0)</f>
        <v>0</v>
      </c>
      <c r="M1772" s="22">
        <f t="shared" ca="1" si="1444"/>
        <v>0</v>
      </c>
      <c r="N1772" s="22">
        <f t="shared" ca="1" si="1444"/>
        <v>0</v>
      </c>
      <c r="O1772" s="22">
        <f t="shared" ca="1" si="1444"/>
        <v>0</v>
      </c>
      <c r="P1772" s="22">
        <f t="shared" ca="1" si="1444"/>
        <v>0</v>
      </c>
      <c r="Q1772" s="22">
        <f t="shared" ca="1" si="1444"/>
        <v>0</v>
      </c>
      <c r="R1772" s="22">
        <f t="shared" ca="1" si="1444"/>
        <v>0</v>
      </c>
      <c r="S1772" s="22">
        <f t="shared" ca="1" si="1444"/>
        <v>0</v>
      </c>
      <c r="T1772" s="22">
        <f t="shared" ca="1" si="1444"/>
        <v>0</v>
      </c>
      <c r="U1772" s="22">
        <f t="shared" ca="1" si="1444"/>
        <v>0</v>
      </c>
      <c r="V1772" s="22">
        <f t="shared" ca="1" si="1444"/>
        <v>0</v>
      </c>
      <c r="W1772" s="22">
        <f t="shared" ca="1" si="1444"/>
        <v>0</v>
      </c>
      <c r="X1772" s="22">
        <f t="shared" ca="1" si="1444"/>
        <v>0</v>
      </c>
    </row>
    <row r="1773" spans="1:24" hidden="1">
      <c r="A1773" s="328"/>
      <c r="B1773" s="21" t="s">
        <v>406</v>
      </c>
      <c r="C1773" s="21"/>
      <c r="D1773" s="22"/>
      <c r="E1773" s="21"/>
      <c r="F1773" s="21"/>
      <c r="G1773" s="21"/>
      <c r="H1773" s="21"/>
      <c r="I1773" s="21"/>
      <c r="J1773" s="21"/>
      <c r="K1773" s="77">
        <f ca="1">IF($D1769=LataProjekcji,ROUND($D1770-K1772,0),ROUND(IF(K1771=0,0,$D1770-K1772),0))</f>
        <v>0</v>
      </c>
      <c r="L1773" s="254">
        <f t="shared" ref="L1773:X1773" ca="1" si="1445">IF($D1769=LataProjekcji,ROUND($D1770-L1772,0),ROUND(IF(AND(L1771=0,K1773&gt;0),$D1770-L1772,IF(L1771=0,0,$D1770-L1772)),0))</f>
        <v>0</v>
      </c>
      <c r="M1773" s="254">
        <f t="shared" ca="1" si="1445"/>
        <v>0</v>
      </c>
      <c r="N1773" s="254">
        <f t="shared" ca="1" si="1445"/>
        <v>0</v>
      </c>
      <c r="O1773" s="254">
        <f t="shared" ca="1" si="1445"/>
        <v>0</v>
      </c>
      <c r="P1773" s="254">
        <f t="shared" ca="1" si="1445"/>
        <v>0</v>
      </c>
      <c r="Q1773" s="254">
        <f t="shared" ca="1" si="1445"/>
        <v>0</v>
      </c>
      <c r="R1773" s="254">
        <f t="shared" ca="1" si="1445"/>
        <v>0</v>
      </c>
      <c r="S1773" s="254">
        <f t="shared" ca="1" si="1445"/>
        <v>0</v>
      </c>
      <c r="T1773" s="254">
        <f t="shared" ca="1" si="1445"/>
        <v>0</v>
      </c>
      <c r="U1773" s="254">
        <f t="shared" ca="1" si="1445"/>
        <v>0</v>
      </c>
      <c r="V1773" s="254">
        <f t="shared" ca="1" si="1445"/>
        <v>0</v>
      </c>
      <c r="W1773" s="254">
        <f t="shared" ca="1" si="1445"/>
        <v>0</v>
      </c>
      <c r="X1773" s="254">
        <f t="shared" ca="1" si="1445"/>
        <v>0</v>
      </c>
    </row>
    <row r="1774" spans="1:24" hidden="1">
      <c r="A1774" s="328"/>
      <c r="B1774" s="21"/>
      <c r="C1774" s="21"/>
      <c r="D1774" s="21"/>
      <c r="E1774" s="21"/>
      <c r="F1774" s="21"/>
      <c r="G1774" s="21"/>
      <c r="H1774" s="404">
        <f>H1767+1</f>
        <v>31</v>
      </c>
      <c r="I1774" s="483" cm="1">
        <f t="array" aca="1" ref="I1774" ca="1">OFFSET('Środki trwałe'!$C$418,H1774,,)</f>
        <v>0</v>
      </c>
      <c r="J1774" s="404" t="s">
        <v>427</v>
      </c>
      <c r="K1774" s="405">
        <f t="shared" ref="K1774:X1774" ca="1" si="1446">IF(AND(OFFSET($F$269,$D1768,0)="tak",OFFSET($G$269,$D1768,0)="tak",OFFSET($J$269,$D1768,0)="ok",LataProjekcji&lt;=Koniec_Projekt),ROUND(K1771*OFFSET($K$469,$H1774,(COLUMN()-11)),0),0)</f>
        <v>0</v>
      </c>
      <c r="L1774" s="405">
        <f t="shared" ca="1" si="1446"/>
        <v>0</v>
      </c>
      <c r="M1774" s="405">
        <f t="shared" ca="1" si="1446"/>
        <v>0</v>
      </c>
      <c r="N1774" s="405">
        <f t="shared" ca="1" si="1446"/>
        <v>0</v>
      </c>
      <c r="O1774" s="405">
        <f t="shared" ca="1" si="1446"/>
        <v>0</v>
      </c>
      <c r="P1774" s="405">
        <f t="shared" ca="1" si="1446"/>
        <v>0</v>
      </c>
      <c r="Q1774" s="405">
        <f t="shared" ca="1" si="1446"/>
        <v>0</v>
      </c>
      <c r="R1774" s="405">
        <f t="shared" ca="1" si="1446"/>
        <v>0</v>
      </c>
      <c r="S1774" s="405">
        <f t="shared" ca="1" si="1446"/>
        <v>0</v>
      </c>
      <c r="T1774" s="405">
        <f t="shared" ca="1" si="1446"/>
        <v>0</v>
      </c>
      <c r="U1774" s="405">
        <f t="shared" ca="1" si="1446"/>
        <v>0</v>
      </c>
      <c r="V1774" s="405">
        <f t="shared" ca="1" si="1446"/>
        <v>0</v>
      </c>
      <c r="W1774" s="405">
        <f t="shared" ca="1" si="1446"/>
        <v>0</v>
      </c>
      <c r="X1774" s="405">
        <f t="shared" ca="1" si="1446"/>
        <v>0</v>
      </c>
    </row>
    <row r="1775" spans="1:24" hidden="1">
      <c r="A1775" s="328"/>
      <c r="B1775" s="20">
        <f ca="1">OFFSET($B$269,D1775,0)</f>
        <v>0</v>
      </c>
      <c r="C1775" s="20"/>
      <c r="D1775" s="21">
        <f>D1768+1</f>
        <v>181</v>
      </c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</row>
    <row r="1776" spans="1:24" hidden="1">
      <c r="A1776" s="328"/>
      <c r="B1776" s="21" t="s">
        <v>414</v>
      </c>
      <c r="C1776" s="21"/>
      <c r="D1776" s="165">
        <f ca="1">YEAR(OFFSET($E$269,D1775,0))</f>
        <v>1900</v>
      </c>
      <c r="E1776" s="165">
        <f ca="1">MONTH(OFFSET($E$269,D1775,0))</f>
        <v>1</v>
      </c>
      <c r="F1776" s="21">
        <f ca="1">12-$E1776</f>
        <v>11</v>
      </c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</row>
    <row r="1777" spans="1:24" hidden="1">
      <c r="A1777" s="328"/>
      <c r="B1777" s="21" t="s">
        <v>406</v>
      </c>
      <c r="C1777" s="21"/>
      <c r="D1777" s="388">
        <f ca="1">IF(E1777&lt;0,0,ROUND(E1777,0))</f>
        <v>0</v>
      </c>
      <c r="E1777" s="249">
        <f ca="1">OFFSET($D$269,D1775,0)</f>
        <v>0</v>
      </c>
      <c r="F1777" s="388">
        <f ca="1">IF(E1777&gt;10,ROUND(($D1778/12)*$F1776,0),$D1777)</f>
        <v>0</v>
      </c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</row>
    <row r="1778" spans="1:24" hidden="1">
      <c r="A1778" s="328"/>
      <c r="B1778" s="21" t="s">
        <v>415</v>
      </c>
      <c r="C1778" s="21"/>
      <c r="D1778" s="388">
        <f ca="1">IF(ISBLANK(OFFSET($E$269,D1775,0)),0,IF(E1777&gt;10,ROUND(D1777*am_maszyny,0),IF(D1777&lt;0,0,D1777)))</f>
        <v>0</v>
      </c>
      <c r="E1778" s="21"/>
      <c r="F1778" s="21"/>
      <c r="G1778" s="21"/>
      <c r="H1778" s="21"/>
      <c r="I1778" s="21"/>
      <c r="J1778" s="21"/>
      <c r="K1778" s="75">
        <f ca="1">ROUND(IF($D1776=LataProjekcji,$F1777,IF($D1776=LataProjekcji,$D1778,0)),0)</f>
        <v>0</v>
      </c>
      <c r="L1778" s="248">
        <f ca="1">ROUND(IF(OR(AND($D1776=LataProjekcji,$F1776&gt;0),AND($D1776=LataProjekcji,$F1776=0,$E1777&lt;=10)),$F1777,IF($D1776&lt;LataProjekcji,IF((SUM($K1778:K1778)+$D1778)&lt;$D1777,$D1778,$D1777-SUM($K1778:K1778)),0)),0)</f>
        <v>0</v>
      </c>
      <c r="M1778" s="248">
        <f ca="1">ROUND(IF(OR(AND($D1776=LataProjekcji,$F1776&gt;0),AND($D1776=LataProjekcji,$F1776=0,$E1777&lt;=10)),$F1777,IF($D1776&lt;LataProjekcji,IF((SUM($K1778:L1778)+$D1778)&lt;$D1777,$D1778,$D1777-SUM($K1778:L1778)),0)),0)</f>
        <v>0</v>
      </c>
      <c r="N1778" s="248">
        <f ca="1">ROUND(IF(OR(AND($D1776=LataProjekcji,$F1776&gt;0),AND($D1776=LataProjekcji,$F1776=0,$E1777&lt;=10)),$F1777,IF($D1776&lt;LataProjekcji,IF((SUM($K1778:M1778)+$D1778)&lt;$D1777,$D1778,$D1777-SUM($K1778:M1778)),0)),0)</f>
        <v>0</v>
      </c>
      <c r="O1778" s="248">
        <f ca="1">ROUND(IF(OR(AND($D1776=LataProjekcji,$F1776&gt;0),AND($D1776=LataProjekcji,$F1776=0,$E1777&lt;=10)),$F1777,IF($D1776&lt;LataProjekcji,IF((SUM($K1778:N1778)+$D1778)&lt;$D1777,$D1778,$D1777-SUM($K1778:N1778)),0)),0)</f>
        <v>0</v>
      </c>
      <c r="P1778" s="248">
        <f ca="1">ROUND(IF(OR(AND($D1776=LataProjekcji,$F1776&gt;0),AND($D1776=LataProjekcji,$F1776=0,$E1777&lt;=10)),$F1777,IF($D1776&lt;LataProjekcji,IF((SUM($K1778:O1778)+$D1778)&lt;$D1777,$D1778,$D1777-SUM($K1778:O1778)),0)),0)</f>
        <v>0</v>
      </c>
      <c r="Q1778" s="248">
        <f ca="1">ROUND(IF(OR(AND($D1776=LataProjekcji,$F1776&gt;0),AND($D1776=LataProjekcji,$F1776=0,$E1777&lt;=10)),$F1777,IF($D1776&lt;LataProjekcji,IF((SUM($K1778:P1778)+$D1778)&lt;$D1777,$D1778,$D1777-SUM($K1778:P1778)),0)),0)</f>
        <v>0</v>
      </c>
      <c r="R1778" s="248">
        <f ca="1">ROUND(IF(OR(AND($D1776=LataProjekcji,$F1776&gt;0),AND($D1776=LataProjekcji,$F1776=0,$E1777&lt;=10)),$F1777,IF($D1776&lt;LataProjekcji,IF((SUM($K1778:Q1778)+$D1778)&lt;$D1777,$D1778,$D1777-SUM($K1778:Q1778)),0)),0)</f>
        <v>0</v>
      </c>
      <c r="S1778" s="248">
        <f ca="1">ROUND(IF(OR(AND($D1776=LataProjekcji,$F1776&gt;0),AND($D1776=LataProjekcji,$F1776=0,$E1777&lt;=10)),$F1777,IF($D1776&lt;LataProjekcji,IF((SUM($K1778:R1778)+$D1778)&lt;$D1777,$D1778,$D1777-SUM($K1778:R1778)),0)),0)</f>
        <v>0</v>
      </c>
      <c r="T1778" s="248">
        <f ca="1">ROUND(IF(OR(AND($D1776=LataProjekcji,$F1776&gt;0),AND($D1776=LataProjekcji,$F1776=0,$E1777&lt;=10)),$F1777,IF($D1776&lt;LataProjekcji,IF((SUM($K1778:S1778)+$D1778)&lt;$D1777,$D1778,$D1777-SUM($K1778:S1778)),0)),0)</f>
        <v>0</v>
      </c>
      <c r="U1778" s="248">
        <f ca="1">ROUND(IF(OR(AND($D1776=LataProjekcji,$F1776&gt;0),AND($D1776=LataProjekcji,$F1776=0,$E1777&lt;=10)),$F1777,IF($D1776&lt;LataProjekcji,IF((SUM($K1778:T1778)+$D1778)&lt;$D1777,$D1778,$D1777-SUM($K1778:T1778)),0)),0)</f>
        <v>0</v>
      </c>
      <c r="V1778" s="248">
        <f ca="1">ROUND(IF(OR(AND($D1776=LataProjekcji,$F1776&gt;0),AND($D1776=LataProjekcji,$F1776=0,$E1777&lt;=10)),$F1777,IF($D1776&lt;LataProjekcji,IF((SUM($K1778:U1778)+$D1778)&lt;$D1777,$D1778,$D1777-SUM($K1778:U1778)),0)),0)</f>
        <v>0</v>
      </c>
      <c r="W1778" s="248">
        <f ca="1">ROUND(IF(OR(AND($D1776=LataProjekcji,$F1776&gt;0),AND($D1776=LataProjekcji,$F1776=0,$E1777&lt;=10)),$F1777,IF($D1776&lt;LataProjekcji,IF((SUM($K1778:V1778)+$D1778)&lt;$D1777,$D1778,$D1777-SUM($K1778:V1778)),0)),0)</f>
        <v>0</v>
      </c>
      <c r="X1778" s="248">
        <f ca="1">ROUND(IF(OR(AND($D1776=LataProjekcji,$F1776&gt;0),AND($D1776=LataProjekcji,$F1776=0,$E1777&lt;=10)),$F1777,IF($D1776&lt;LataProjekcji,IF((SUM($K1778:W1778)+$D1778)&lt;$D1777,$D1778,$D1777-SUM($K1778:W1778)),0)),0)</f>
        <v>0</v>
      </c>
    </row>
    <row r="1779" spans="1:24" hidden="1">
      <c r="A1779" s="328"/>
      <c r="B1779" s="21" t="s">
        <v>416</v>
      </c>
      <c r="C1779" s="21"/>
      <c r="D1779" s="22"/>
      <c r="E1779" s="21"/>
      <c r="F1779" s="21"/>
      <c r="G1779" s="21"/>
      <c r="H1779" s="21"/>
      <c r="I1779" s="21"/>
      <c r="J1779" s="21"/>
      <c r="K1779" s="22">
        <f ca="1">ROUND(K1778,0)</f>
        <v>0</v>
      </c>
      <c r="L1779" s="22">
        <f t="shared" ref="L1779:X1779" ca="1" si="1447">ROUND(K1779+L1778,0)</f>
        <v>0</v>
      </c>
      <c r="M1779" s="22">
        <f t="shared" ca="1" si="1447"/>
        <v>0</v>
      </c>
      <c r="N1779" s="22">
        <f t="shared" ca="1" si="1447"/>
        <v>0</v>
      </c>
      <c r="O1779" s="22">
        <f t="shared" ca="1" si="1447"/>
        <v>0</v>
      </c>
      <c r="P1779" s="22">
        <f t="shared" ca="1" si="1447"/>
        <v>0</v>
      </c>
      <c r="Q1779" s="22">
        <f t="shared" ca="1" si="1447"/>
        <v>0</v>
      </c>
      <c r="R1779" s="22">
        <f t="shared" ca="1" si="1447"/>
        <v>0</v>
      </c>
      <c r="S1779" s="22">
        <f t="shared" ca="1" si="1447"/>
        <v>0</v>
      </c>
      <c r="T1779" s="22">
        <f t="shared" ca="1" si="1447"/>
        <v>0</v>
      </c>
      <c r="U1779" s="22">
        <f t="shared" ca="1" si="1447"/>
        <v>0</v>
      </c>
      <c r="V1779" s="22">
        <f t="shared" ca="1" si="1447"/>
        <v>0</v>
      </c>
      <c r="W1779" s="22">
        <f t="shared" ca="1" si="1447"/>
        <v>0</v>
      </c>
      <c r="X1779" s="22">
        <f t="shared" ca="1" si="1447"/>
        <v>0</v>
      </c>
    </row>
    <row r="1780" spans="1:24" hidden="1">
      <c r="A1780" s="328"/>
      <c r="B1780" s="21" t="s">
        <v>406</v>
      </c>
      <c r="C1780" s="21"/>
      <c r="D1780" s="22"/>
      <c r="E1780" s="21"/>
      <c r="F1780" s="21"/>
      <c r="G1780" s="21"/>
      <c r="H1780" s="21"/>
      <c r="I1780" s="21"/>
      <c r="J1780" s="21"/>
      <c r="K1780" s="77">
        <f ca="1">IF($D1776=LataProjekcji,ROUND($D1777-K1779,0),ROUND(IF(K1778=0,0,$D1777-K1779),0))</f>
        <v>0</v>
      </c>
      <c r="L1780" s="254">
        <f t="shared" ref="L1780:X1780" ca="1" si="1448">IF($D1776=LataProjekcji,ROUND($D1777-L1779,0),ROUND(IF(AND(L1778=0,K1780&gt;0),$D1777-L1779,IF(L1778=0,0,$D1777-L1779)),0))</f>
        <v>0</v>
      </c>
      <c r="M1780" s="254">
        <f t="shared" ca="1" si="1448"/>
        <v>0</v>
      </c>
      <c r="N1780" s="254">
        <f t="shared" ca="1" si="1448"/>
        <v>0</v>
      </c>
      <c r="O1780" s="254">
        <f t="shared" ca="1" si="1448"/>
        <v>0</v>
      </c>
      <c r="P1780" s="254">
        <f t="shared" ca="1" si="1448"/>
        <v>0</v>
      </c>
      <c r="Q1780" s="254">
        <f t="shared" ca="1" si="1448"/>
        <v>0</v>
      </c>
      <c r="R1780" s="254">
        <f t="shared" ca="1" si="1448"/>
        <v>0</v>
      </c>
      <c r="S1780" s="254">
        <f t="shared" ca="1" si="1448"/>
        <v>0</v>
      </c>
      <c r="T1780" s="254">
        <f t="shared" ca="1" si="1448"/>
        <v>0</v>
      </c>
      <c r="U1780" s="254">
        <f t="shared" ca="1" si="1448"/>
        <v>0</v>
      </c>
      <c r="V1780" s="254">
        <f t="shared" ca="1" si="1448"/>
        <v>0</v>
      </c>
      <c r="W1780" s="254">
        <f t="shared" ca="1" si="1448"/>
        <v>0</v>
      </c>
      <c r="X1780" s="254">
        <f t="shared" ca="1" si="1448"/>
        <v>0</v>
      </c>
    </row>
    <row r="1781" spans="1:24" hidden="1">
      <c r="A1781" s="328"/>
      <c r="B1781" s="21"/>
      <c r="C1781" s="21"/>
      <c r="D1781" s="22"/>
      <c r="E1781" s="21"/>
      <c r="F1781" s="21"/>
      <c r="G1781" s="21"/>
      <c r="H1781" s="404">
        <f>H1774+1</f>
        <v>32</v>
      </c>
      <c r="I1781" s="483" cm="1">
        <f t="array" aca="1" ref="I1781" ca="1">OFFSET('Środki trwałe'!$C$418,H1781,,)</f>
        <v>0</v>
      </c>
      <c r="J1781" s="404" t="s">
        <v>427</v>
      </c>
      <c r="K1781" s="405">
        <f t="shared" ref="K1781:X1781" ca="1" si="1449">IF(AND(OFFSET($F$269,$D1775,0)="tak",OFFSET($G$269,$D1775,0)="tak",OFFSET($J$269,$D1775,0)="ok",LataProjekcji&lt;=Koniec_Projekt),ROUND(K1778*OFFSET($K$469,$H1781,(COLUMN()-11)),0),0)</f>
        <v>0</v>
      </c>
      <c r="L1781" s="405">
        <f t="shared" ca="1" si="1449"/>
        <v>0</v>
      </c>
      <c r="M1781" s="405">
        <f t="shared" ca="1" si="1449"/>
        <v>0</v>
      </c>
      <c r="N1781" s="405">
        <f t="shared" ca="1" si="1449"/>
        <v>0</v>
      </c>
      <c r="O1781" s="405">
        <f t="shared" ca="1" si="1449"/>
        <v>0</v>
      </c>
      <c r="P1781" s="405">
        <f t="shared" ca="1" si="1449"/>
        <v>0</v>
      </c>
      <c r="Q1781" s="405">
        <f t="shared" ca="1" si="1449"/>
        <v>0</v>
      </c>
      <c r="R1781" s="405">
        <f t="shared" ca="1" si="1449"/>
        <v>0</v>
      </c>
      <c r="S1781" s="405">
        <f t="shared" ca="1" si="1449"/>
        <v>0</v>
      </c>
      <c r="T1781" s="405">
        <f t="shared" ca="1" si="1449"/>
        <v>0</v>
      </c>
      <c r="U1781" s="405">
        <f t="shared" ca="1" si="1449"/>
        <v>0</v>
      </c>
      <c r="V1781" s="405">
        <f t="shared" ca="1" si="1449"/>
        <v>0</v>
      </c>
      <c r="W1781" s="405">
        <f t="shared" ca="1" si="1449"/>
        <v>0</v>
      </c>
      <c r="X1781" s="405">
        <f t="shared" ca="1" si="1449"/>
        <v>0</v>
      </c>
    </row>
    <row r="1782" spans="1:24" hidden="1">
      <c r="A1782" s="328"/>
      <c r="B1782" s="20">
        <f ca="1">OFFSET($B$269,D1782,0)</f>
        <v>0</v>
      </c>
      <c r="C1782" s="20"/>
      <c r="D1782" s="21">
        <f>D1775+1</f>
        <v>182</v>
      </c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</row>
    <row r="1783" spans="1:24" hidden="1">
      <c r="A1783" s="328"/>
      <c r="B1783" s="21" t="s">
        <v>414</v>
      </c>
      <c r="C1783" s="21"/>
      <c r="D1783" s="165">
        <f ca="1">YEAR(OFFSET($E$269,D1782,0))</f>
        <v>1900</v>
      </c>
      <c r="E1783" s="165">
        <f ca="1">MONTH(OFFSET($E$269,D1782,0))</f>
        <v>1</v>
      </c>
      <c r="F1783" s="21">
        <f ca="1">12-$E1783</f>
        <v>11</v>
      </c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</row>
    <row r="1784" spans="1:24" hidden="1">
      <c r="A1784" s="328"/>
      <c r="B1784" s="21" t="s">
        <v>406</v>
      </c>
      <c r="C1784" s="21"/>
      <c r="D1784" s="385">
        <f ca="1">IF(E1784&lt;0,0,ROUND(E1784,0))</f>
        <v>0</v>
      </c>
      <c r="E1784" s="249">
        <f ca="1">OFFSET($D$269,D1782,0)</f>
        <v>0</v>
      </c>
      <c r="F1784" s="385">
        <f ca="1">IF(E1784&gt;10,ROUND(($D1785/12)*$F1783,0),$D1784)</f>
        <v>0</v>
      </c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</row>
    <row r="1785" spans="1:24" hidden="1">
      <c r="A1785" s="328"/>
      <c r="B1785" s="21" t="s">
        <v>415</v>
      </c>
      <c r="C1785" s="21"/>
      <c r="D1785" s="385">
        <f ca="1">IF(ISBLANK(OFFSET($E$269,D1782,0)),0,IF(E1784&gt;10,ROUND(D1784*am_maszyny,0),IF(D1784&lt;0,0,D1784)))</f>
        <v>0</v>
      </c>
      <c r="E1785" s="21"/>
      <c r="F1785" s="21"/>
      <c r="G1785" s="21"/>
      <c r="H1785" s="21"/>
      <c r="I1785" s="21"/>
      <c r="J1785" s="21"/>
      <c r="K1785" s="75">
        <f ca="1">ROUND(IF($D1783=LataProjekcji,$F1784,IF($D1783=LataProjekcji,$D1785,0)),0)</f>
        <v>0</v>
      </c>
      <c r="L1785" s="248">
        <f ca="1">ROUND(IF(OR(AND($D1783=LataProjekcji,$F1783&gt;0),AND($D1783=LataProjekcji,$F1783=0,$E1784&lt;=10)),$F1784,IF($D1783&lt;LataProjekcji,IF((SUM($K1785:K1785)+$D1785)&lt;$D1784,$D1785,$D1784-SUM($K1785:K1785)),0)),0)</f>
        <v>0</v>
      </c>
      <c r="M1785" s="248">
        <f ca="1">ROUND(IF(OR(AND($D1783=LataProjekcji,$F1783&gt;0),AND($D1783=LataProjekcji,$F1783=0,$E1784&lt;=10)),$F1784,IF($D1783&lt;LataProjekcji,IF((SUM($K1785:L1785)+$D1785)&lt;$D1784,$D1785,$D1784-SUM($K1785:L1785)),0)),0)</f>
        <v>0</v>
      </c>
      <c r="N1785" s="248">
        <f ca="1">ROUND(IF(OR(AND($D1783=LataProjekcji,$F1783&gt;0),AND($D1783=LataProjekcji,$F1783=0,$E1784&lt;=10)),$F1784,IF($D1783&lt;LataProjekcji,IF((SUM($K1785:M1785)+$D1785)&lt;$D1784,$D1785,$D1784-SUM($K1785:M1785)),0)),0)</f>
        <v>0</v>
      </c>
      <c r="O1785" s="248">
        <f ca="1">ROUND(IF(OR(AND($D1783=LataProjekcji,$F1783&gt;0),AND($D1783=LataProjekcji,$F1783=0,$E1784&lt;=10)),$F1784,IF($D1783&lt;LataProjekcji,IF((SUM($K1785:N1785)+$D1785)&lt;$D1784,$D1785,$D1784-SUM($K1785:N1785)),0)),0)</f>
        <v>0</v>
      </c>
      <c r="P1785" s="248">
        <f ca="1">ROUND(IF(OR(AND($D1783=LataProjekcji,$F1783&gt;0),AND($D1783=LataProjekcji,$F1783=0,$E1784&lt;=10)),$F1784,IF($D1783&lt;LataProjekcji,IF((SUM($K1785:O1785)+$D1785)&lt;$D1784,$D1785,$D1784-SUM($K1785:O1785)),0)),0)</f>
        <v>0</v>
      </c>
      <c r="Q1785" s="248">
        <f ca="1">ROUND(IF(OR(AND($D1783=LataProjekcji,$F1783&gt;0),AND($D1783=LataProjekcji,$F1783=0,$E1784&lt;=10)),$F1784,IF($D1783&lt;LataProjekcji,IF((SUM($K1785:P1785)+$D1785)&lt;$D1784,$D1785,$D1784-SUM($K1785:P1785)),0)),0)</f>
        <v>0</v>
      </c>
      <c r="R1785" s="248">
        <f ca="1">ROUND(IF(OR(AND($D1783=LataProjekcji,$F1783&gt;0),AND($D1783=LataProjekcji,$F1783=0,$E1784&lt;=10)),$F1784,IF($D1783&lt;LataProjekcji,IF((SUM($K1785:Q1785)+$D1785)&lt;$D1784,$D1785,$D1784-SUM($K1785:Q1785)),0)),0)</f>
        <v>0</v>
      </c>
      <c r="S1785" s="248">
        <f ca="1">ROUND(IF(OR(AND($D1783=LataProjekcji,$F1783&gt;0),AND($D1783=LataProjekcji,$F1783=0,$E1784&lt;=10)),$F1784,IF($D1783&lt;LataProjekcji,IF((SUM($K1785:R1785)+$D1785)&lt;$D1784,$D1785,$D1784-SUM($K1785:R1785)),0)),0)</f>
        <v>0</v>
      </c>
      <c r="T1785" s="248">
        <f ca="1">ROUND(IF(OR(AND($D1783=LataProjekcji,$F1783&gt;0),AND($D1783=LataProjekcji,$F1783=0,$E1784&lt;=10)),$F1784,IF($D1783&lt;LataProjekcji,IF((SUM($K1785:S1785)+$D1785)&lt;$D1784,$D1785,$D1784-SUM($K1785:S1785)),0)),0)</f>
        <v>0</v>
      </c>
      <c r="U1785" s="248">
        <f ca="1">ROUND(IF(OR(AND($D1783=LataProjekcji,$F1783&gt;0),AND($D1783=LataProjekcji,$F1783=0,$E1784&lt;=10)),$F1784,IF($D1783&lt;LataProjekcji,IF((SUM($K1785:T1785)+$D1785)&lt;$D1784,$D1785,$D1784-SUM($K1785:T1785)),0)),0)</f>
        <v>0</v>
      </c>
      <c r="V1785" s="248">
        <f ca="1">ROUND(IF(OR(AND($D1783=LataProjekcji,$F1783&gt;0),AND($D1783=LataProjekcji,$F1783=0,$E1784&lt;=10)),$F1784,IF($D1783&lt;LataProjekcji,IF((SUM($K1785:U1785)+$D1785)&lt;$D1784,$D1785,$D1784-SUM($K1785:U1785)),0)),0)</f>
        <v>0</v>
      </c>
      <c r="W1785" s="248">
        <f ca="1">ROUND(IF(OR(AND($D1783=LataProjekcji,$F1783&gt;0),AND($D1783=LataProjekcji,$F1783=0,$E1784&lt;=10)),$F1784,IF($D1783&lt;LataProjekcji,IF((SUM($K1785:V1785)+$D1785)&lt;$D1784,$D1785,$D1784-SUM($K1785:V1785)),0)),0)</f>
        <v>0</v>
      </c>
      <c r="X1785" s="248">
        <f ca="1">ROUND(IF(OR(AND($D1783=LataProjekcji,$F1783&gt;0),AND($D1783=LataProjekcji,$F1783=0,$E1784&lt;=10)),$F1784,IF($D1783&lt;LataProjekcji,IF((SUM($K1785:W1785)+$D1785)&lt;$D1784,$D1785,$D1784-SUM($K1785:W1785)),0)),0)</f>
        <v>0</v>
      </c>
    </row>
    <row r="1786" spans="1:24" hidden="1">
      <c r="A1786" s="328"/>
      <c r="B1786" s="21" t="s">
        <v>416</v>
      </c>
      <c r="C1786" s="21"/>
      <c r="D1786" s="22"/>
      <c r="E1786" s="21"/>
      <c r="F1786" s="21"/>
      <c r="G1786" s="21"/>
      <c r="H1786" s="21"/>
      <c r="I1786" s="21"/>
      <c r="J1786" s="21"/>
      <c r="K1786" s="22">
        <f ca="1">ROUND(K1785,0)</f>
        <v>0</v>
      </c>
      <c r="L1786" s="22">
        <f t="shared" ref="L1786:X1786" ca="1" si="1450">ROUND(K1786+L1785,0)</f>
        <v>0</v>
      </c>
      <c r="M1786" s="22">
        <f t="shared" ca="1" si="1450"/>
        <v>0</v>
      </c>
      <c r="N1786" s="22">
        <f t="shared" ca="1" si="1450"/>
        <v>0</v>
      </c>
      <c r="O1786" s="22">
        <f t="shared" ca="1" si="1450"/>
        <v>0</v>
      </c>
      <c r="P1786" s="22">
        <f t="shared" ca="1" si="1450"/>
        <v>0</v>
      </c>
      <c r="Q1786" s="22">
        <f t="shared" ca="1" si="1450"/>
        <v>0</v>
      </c>
      <c r="R1786" s="22">
        <f t="shared" ca="1" si="1450"/>
        <v>0</v>
      </c>
      <c r="S1786" s="22">
        <f t="shared" ca="1" si="1450"/>
        <v>0</v>
      </c>
      <c r="T1786" s="22">
        <f t="shared" ca="1" si="1450"/>
        <v>0</v>
      </c>
      <c r="U1786" s="22">
        <f t="shared" ca="1" si="1450"/>
        <v>0</v>
      </c>
      <c r="V1786" s="22">
        <f t="shared" ca="1" si="1450"/>
        <v>0</v>
      </c>
      <c r="W1786" s="22">
        <f t="shared" ca="1" si="1450"/>
        <v>0</v>
      </c>
      <c r="X1786" s="22">
        <f t="shared" ca="1" si="1450"/>
        <v>0</v>
      </c>
    </row>
    <row r="1787" spans="1:24" hidden="1">
      <c r="A1787" s="328"/>
      <c r="B1787" s="21" t="s">
        <v>406</v>
      </c>
      <c r="C1787" s="21"/>
      <c r="D1787" s="22"/>
      <c r="E1787" s="21"/>
      <c r="F1787" s="21"/>
      <c r="G1787" s="21"/>
      <c r="H1787" s="21"/>
      <c r="I1787" s="21"/>
      <c r="J1787" s="21"/>
      <c r="K1787" s="77">
        <f ca="1">IF($D1783=LataProjekcji,ROUND($D1784-K1786,0),ROUND(IF(K1785=0,0,$D1784-K1786),0))</f>
        <v>0</v>
      </c>
      <c r="L1787" s="254">
        <f t="shared" ref="L1787:X1787" ca="1" si="1451">IF($D1783=LataProjekcji,ROUND($D1784-L1786,0),ROUND(IF(AND(L1785=0,K1787&gt;0),$D1784-L1786,IF(L1785=0,0,$D1784-L1786)),0))</f>
        <v>0</v>
      </c>
      <c r="M1787" s="254">
        <f t="shared" ca="1" si="1451"/>
        <v>0</v>
      </c>
      <c r="N1787" s="254">
        <f t="shared" ca="1" si="1451"/>
        <v>0</v>
      </c>
      <c r="O1787" s="254">
        <f t="shared" ca="1" si="1451"/>
        <v>0</v>
      </c>
      <c r="P1787" s="254">
        <f t="shared" ca="1" si="1451"/>
        <v>0</v>
      </c>
      <c r="Q1787" s="254">
        <f t="shared" ca="1" si="1451"/>
        <v>0</v>
      </c>
      <c r="R1787" s="254">
        <f t="shared" ca="1" si="1451"/>
        <v>0</v>
      </c>
      <c r="S1787" s="254">
        <f t="shared" ca="1" si="1451"/>
        <v>0</v>
      </c>
      <c r="T1787" s="254">
        <f t="shared" ca="1" si="1451"/>
        <v>0</v>
      </c>
      <c r="U1787" s="254">
        <f t="shared" ca="1" si="1451"/>
        <v>0</v>
      </c>
      <c r="V1787" s="254">
        <f t="shared" ca="1" si="1451"/>
        <v>0</v>
      </c>
      <c r="W1787" s="254">
        <f t="shared" ca="1" si="1451"/>
        <v>0</v>
      </c>
      <c r="X1787" s="254">
        <f t="shared" ca="1" si="1451"/>
        <v>0</v>
      </c>
    </row>
    <row r="1788" spans="1:24" hidden="1">
      <c r="A1788" s="328"/>
      <c r="B1788" s="20"/>
      <c r="C1788" s="20"/>
      <c r="D1788" s="21"/>
      <c r="E1788" s="21"/>
      <c r="F1788" s="21"/>
      <c r="G1788" s="21"/>
      <c r="H1788" s="404">
        <f>H1781+1</f>
        <v>33</v>
      </c>
      <c r="I1788" s="483" cm="1">
        <f t="array" aca="1" ref="I1788" ca="1">OFFSET('Środki trwałe'!$C$418,H1788,,)</f>
        <v>0</v>
      </c>
      <c r="J1788" s="404" t="s">
        <v>427</v>
      </c>
      <c r="K1788" s="405">
        <f t="shared" ref="K1788:X1788" ca="1" si="1452">IF(AND(OFFSET($F$269,$D1782,0)="tak",OFFSET($G$269,$D1782,0)="tak",OFFSET($J$269,$D1782,0)="ok",LataProjekcji&lt;=Koniec_Projekt),ROUND(K1785*OFFSET($K$469,$H1788,(COLUMN()-11)),0),0)</f>
        <v>0</v>
      </c>
      <c r="L1788" s="405">
        <f t="shared" ca="1" si="1452"/>
        <v>0</v>
      </c>
      <c r="M1788" s="405">
        <f t="shared" ca="1" si="1452"/>
        <v>0</v>
      </c>
      <c r="N1788" s="405">
        <f t="shared" ca="1" si="1452"/>
        <v>0</v>
      </c>
      <c r="O1788" s="405">
        <f t="shared" ca="1" si="1452"/>
        <v>0</v>
      </c>
      <c r="P1788" s="405">
        <f t="shared" ca="1" si="1452"/>
        <v>0</v>
      </c>
      <c r="Q1788" s="405">
        <f t="shared" ca="1" si="1452"/>
        <v>0</v>
      </c>
      <c r="R1788" s="405">
        <f t="shared" ca="1" si="1452"/>
        <v>0</v>
      </c>
      <c r="S1788" s="405">
        <f t="shared" ca="1" si="1452"/>
        <v>0</v>
      </c>
      <c r="T1788" s="405">
        <f t="shared" ca="1" si="1452"/>
        <v>0</v>
      </c>
      <c r="U1788" s="405">
        <f t="shared" ca="1" si="1452"/>
        <v>0</v>
      </c>
      <c r="V1788" s="405">
        <f t="shared" ca="1" si="1452"/>
        <v>0</v>
      </c>
      <c r="W1788" s="405">
        <f t="shared" ca="1" si="1452"/>
        <v>0</v>
      </c>
      <c r="X1788" s="405">
        <f t="shared" ca="1" si="1452"/>
        <v>0</v>
      </c>
    </row>
    <row r="1789" spans="1:24" hidden="1">
      <c r="A1789" s="328"/>
      <c r="B1789" s="20">
        <f ca="1">OFFSET($B$269,D1789,0)</f>
        <v>0</v>
      </c>
      <c r="C1789" s="20"/>
      <c r="D1789" s="21">
        <f>D1782+1</f>
        <v>183</v>
      </c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</row>
    <row r="1790" spans="1:24" hidden="1">
      <c r="A1790" s="328"/>
      <c r="B1790" s="21" t="s">
        <v>414</v>
      </c>
      <c r="C1790" s="21"/>
      <c r="D1790" s="165">
        <f ca="1">YEAR(OFFSET($E$269,D1789,0))</f>
        <v>1900</v>
      </c>
      <c r="E1790" s="165">
        <f ca="1">MONTH(OFFSET($E$269,D1789,0))</f>
        <v>1</v>
      </c>
      <c r="F1790" s="21">
        <f ca="1">12-$E1790</f>
        <v>11</v>
      </c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</row>
    <row r="1791" spans="1:24" hidden="1">
      <c r="A1791" s="328"/>
      <c r="B1791" s="21" t="s">
        <v>406</v>
      </c>
      <c r="C1791" s="21"/>
      <c r="D1791" s="386">
        <f ca="1">IF(E1791&lt;0,0,ROUND(E1791,0))</f>
        <v>0</v>
      </c>
      <c r="E1791" s="249">
        <f ca="1">OFFSET($D$269,D1789,0)</f>
        <v>0</v>
      </c>
      <c r="F1791" s="386">
        <f ca="1">IF(E1791&gt;10,ROUND(($D1792/12)*$F1790,0),$D1791)</f>
        <v>0</v>
      </c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</row>
    <row r="1792" spans="1:24" hidden="1">
      <c r="A1792" s="328"/>
      <c r="B1792" s="21" t="s">
        <v>415</v>
      </c>
      <c r="C1792" s="21"/>
      <c r="D1792" s="386">
        <f ca="1">IF(ISBLANK(OFFSET($E$269,D1789,0)),0,IF(E1791&gt;10,ROUND(D1791*am_maszyny,0),IF(D1791&lt;0,0,D1791)))</f>
        <v>0</v>
      </c>
      <c r="E1792" s="21"/>
      <c r="F1792" s="21"/>
      <c r="G1792" s="21"/>
      <c r="H1792" s="21"/>
      <c r="I1792" s="21"/>
      <c r="J1792" s="21"/>
      <c r="K1792" s="75">
        <f ca="1">ROUND(IF($D1790=LataProjekcji,$F1791,IF($D1790=LataProjekcji,$D1792,0)),0)</f>
        <v>0</v>
      </c>
      <c r="L1792" s="248">
        <f ca="1">ROUND(IF(OR(AND($D1790=LataProjekcji,$F1790&gt;0),AND($D1790=LataProjekcji,$F1790=0,$E1791&lt;=10)),$F1791,IF($D1790&lt;LataProjekcji,IF((SUM($K1792:K1792)+$D1792)&lt;$D1791,$D1792,$D1791-SUM($K1792:K1792)),0)),0)</f>
        <v>0</v>
      </c>
      <c r="M1792" s="248">
        <f ca="1">ROUND(IF(OR(AND($D1790=LataProjekcji,$F1790&gt;0),AND($D1790=LataProjekcji,$F1790=0,$E1791&lt;=10)),$F1791,IF($D1790&lt;LataProjekcji,IF((SUM($K1792:L1792)+$D1792)&lt;$D1791,$D1792,$D1791-SUM($K1792:L1792)),0)),0)</f>
        <v>0</v>
      </c>
      <c r="N1792" s="248">
        <f ca="1">ROUND(IF(OR(AND($D1790=LataProjekcji,$F1790&gt;0),AND($D1790=LataProjekcji,$F1790=0,$E1791&lt;=10)),$F1791,IF($D1790&lt;LataProjekcji,IF((SUM($K1792:M1792)+$D1792)&lt;$D1791,$D1792,$D1791-SUM($K1792:M1792)),0)),0)</f>
        <v>0</v>
      </c>
      <c r="O1792" s="248">
        <f ca="1">ROUND(IF(OR(AND($D1790=LataProjekcji,$F1790&gt;0),AND($D1790=LataProjekcji,$F1790=0,$E1791&lt;=10)),$F1791,IF($D1790&lt;LataProjekcji,IF((SUM($K1792:N1792)+$D1792)&lt;$D1791,$D1792,$D1791-SUM($K1792:N1792)),0)),0)</f>
        <v>0</v>
      </c>
      <c r="P1792" s="248">
        <f ca="1">ROUND(IF(OR(AND($D1790=LataProjekcji,$F1790&gt;0),AND($D1790=LataProjekcji,$F1790=0,$E1791&lt;=10)),$F1791,IF($D1790&lt;LataProjekcji,IF((SUM($K1792:O1792)+$D1792)&lt;$D1791,$D1792,$D1791-SUM($K1792:O1792)),0)),0)</f>
        <v>0</v>
      </c>
      <c r="Q1792" s="248">
        <f ca="1">ROUND(IF(OR(AND($D1790=LataProjekcji,$F1790&gt;0),AND($D1790=LataProjekcji,$F1790=0,$E1791&lt;=10)),$F1791,IF($D1790&lt;LataProjekcji,IF((SUM($K1792:P1792)+$D1792)&lt;$D1791,$D1792,$D1791-SUM($K1792:P1792)),0)),0)</f>
        <v>0</v>
      </c>
      <c r="R1792" s="248">
        <f ca="1">ROUND(IF(OR(AND($D1790=LataProjekcji,$F1790&gt;0),AND($D1790=LataProjekcji,$F1790=0,$E1791&lt;=10)),$F1791,IF($D1790&lt;LataProjekcji,IF((SUM($K1792:Q1792)+$D1792)&lt;$D1791,$D1792,$D1791-SUM($K1792:Q1792)),0)),0)</f>
        <v>0</v>
      </c>
      <c r="S1792" s="248">
        <f ca="1">ROUND(IF(OR(AND($D1790=LataProjekcji,$F1790&gt;0),AND($D1790=LataProjekcji,$F1790=0,$E1791&lt;=10)),$F1791,IF($D1790&lt;LataProjekcji,IF((SUM($K1792:R1792)+$D1792)&lt;$D1791,$D1792,$D1791-SUM($K1792:R1792)),0)),0)</f>
        <v>0</v>
      </c>
      <c r="T1792" s="248">
        <f ca="1">ROUND(IF(OR(AND($D1790=LataProjekcji,$F1790&gt;0),AND($D1790=LataProjekcji,$F1790=0,$E1791&lt;=10)),$F1791,IF($D1790&lt;LataProjekcji,IF((SUM($K1792:S1792)+$D1792)&lt;$D1791,$D1792,$D1791-SUM($K1792:S1792)),0)),0)</f>
        <v>0</v>
      </c>
      <c r="U1792" s="248">
        <f ca="1">ROUND(IF(OR(AND($D1790=LataProjekcji,$F1790&gt;0),AND($D1790=LataProjekcji,$F1790=0,$E1791&lt;=10)),$F1791,IF($D1790&lt;LataProjekcji,IF((SUM($K1792:T1792)+$D1792)&lt;$D1791,$D1792,$D1791-SUM($K1792:T1792)),0)),0)</f>
        <v>0</v>
      </c>
      <c r="V1792" s="248">
        <f ca="1">ROUND(IF(OR(AND($D1790=LataProjekcji,$F1790&gt;0),AND($D1790=LataProjekcji,$F1790=0,$E1791&lt;=10)),$F1791,IF($D1790&lt;LataProjekcji,IF((SUM($K1792:U1792)+$D1792)&lt;$D1791,$D1792,$D1791-SUM($K1792:U1792)),0)),0)</f>
        <v>0</v>
      </c>
      <c r="W1792" s="248">
        <f ca="1">ROUND(IF(OR(AND($D1790=LataProjekcji,$F1790&gt;0),AND($D1790=LataProjekcji,$F1790=0,$E1791&lt;=10)),$F1791,IF($D1790&lt;LataProjekcji,IF((SUM($K1792:V1792)+$D1792)&lt;$D1791,$D1792,$D1791-SUM($K1792:V1792)),0)),0)</f>
        <v>0</v>
      </c>
      <c r="X1792" s="248">
        <f ca="1">ROUND(IF(OR(AND($D1790=LataProjekcji,$F1790&gt;0),AND($D1790=LataProjekcji,$F1790=0,$E1791&lt;=10)),$F1791,IF($D1790&lt;LataProjekcji,IF((SUM($K1792:W1792)+$D1792)&lt;$D1791,$D1792,$D1791-SUM($K1792:W1792)),0)),0)</f>
        <v>0</v>
      </c>
    </row>
    <row r="1793" spans="1:24" hidden="1">
      <c r="A1793" s="328"/>
      <c r="B1793" s="21" t="s">
        <v>416</v>
      </c>
      <c r="C1793" s="21"/>
      <c r="D1793" s="22"/>
      <c r="E1793" s="21"/>
      <c r="F1793" s="21"/>
      <c r="G1793" s="21"/>
      <c r="H1793" s="21"/>
      <c r="I1793" s="21"/>
      <c r="J1793" s="21"/>
      <c r="K1793" s="22">
        <f ca="1">ROUND(K1792,0)</f>
        <v>0</v>
      </c>
      <c r="L1793" s="22">
        <f t="shared" ref="L1793:X1793" ca="1" si="1453">ROUND(K1793+L1792,0)</f>
        <v>0</v>
      </c>
      <c r="M1793" s="22">
        <f t="shared" ca="1" si="1453"/>
        <v>0</v>
      </c>
      <c r="N1793" s="22">
        <f t="shared" ca="1" si="1453"/>
        <v>0</v>
      </c>
      <c r="O1793" s="22">
        <f t="shared" ca="1" si="1453"/>
        <v>0</v>
      </c>
      <c r="P1793" s="22">
        <f t="shared" ca="1" si="1453"/>
        <v>0</v>
      </c>
      <c r="Q1793" s="22">
        <f t="shared" ca="1" si="1453"/>
        <v>0</v>
      </c>
      <c r="R1793" s="22">
        <f t="shared" ca="1" si="1453"/>
        <v>0</v>
      </c>
      <c r="S1793" s="22">
        <f t="shared" ca="1" si="1453"/>
        <v>0</v>
      </c>
      <c r="T1793" s="22">
        <f t="shared" ca="1" si="1453"/>
        <v>0</v>
      </c>
      <c r="U1793" s="22">
        <f t="shared" ca="1" si="1453"/>
        <v>0</v>
      </c>
      <c r="V1793" s="22">
        <f t="shared" ca="1" si="1453"/>
        <v>0</v>
      </c>
      <c r="W1793" s="22">
        <f t="shared" ca="1" si="1453"/>
        <v>0</v>
      </c>
      <c r="X1793" s="22">
        <f t="shared" ca="1" si="1453"/>
        <v>0</v>
      </c>
    </row>
    <row r="1794" spans="1:24" hidden="1">
      <c r="A1794" s="328"/>
      <c r="B1794" s="21" t="s">
        <v>406</v>
      </c>
      <c r="C1794" s="21"/>
      <c r="D1794" s="22"/>
      <c r="E1794" s="21"/>
      <c r="F1794" s="21"/>
      <c r="G1794" s="21"/>
      <c r="H1794" s="21"/>
      <c r="I1794" s="21"/>
      <c r="J1794" s="21"/>
      <c r="K1794" s="77">
        <f ca="1">IF($D1790=LataProjekcji,ROUND($D1791-K1793,0),ROUND(IF(K1792=0,0,$D1791-K1793),0))</f>
        <v>0</v>
      </c>
      <c r="L1794" s="254">
        <f t="shared" ref="L1794:X1794" ca="1" si="1454">IF($D1790=LataProjekcji,ROUND($D1791-L1793,0),ROUND(IF(AND(L1792=0,K1794&gt;0),$D1791-L1793,IF(L1792=0,0,$D1791-L1793)),0))</f>
        <v>0</v>
      </c>
      <c r="M1794" s="254">
        <f t="shared" ca="1" si="1454"/>
        <v>0</v>
      </c>
      <c r="N1794" s="254">
        <f t="shared" ca="1" si="1454"/>
        <v>0</v>
      </c>
      <c r="O1794" s="254">
        <f t="shared" ca="1" si="1454"/>
        <v>0</v>
      </c>
      <c r="P1794" s="254">
        <f t="shared" ca="1" si="1454"/>
        <v>0</v>
      </c>
      <c r="Q1794" s="254">
        <f t="shared" ca="1" si="1454"/>
        <v>0</v>
      </c>
      <c r="R1794" s="254">
        <f t="shared" ca="1" si="1454"/>
        <v>0</v>
      </c>
      <c r="S1794" s="254">
        <f t="shared" ca="1" si="1454"/>
        <v>0</v>
      </c>
      <c r="T1794" s="254">
        <f t="shared" ca="1" si="1454"/>
        <v>0</v>
      </c>
      <c r="U1794" s="254">
        <f t="shared" ca="1" si="1454"/>
        <v>0</v>
      </c>
      <c r="V1794" s="254">
        <f t="shared" ca="1" si="1454"/>
        <v>0</v>
      </c>
      <c r="W1794" s="254">
        <f t="shared" ca="1" si="1454"/>
        <v>0</v>
      </c>
      <c r="X1794" s="254">
        <f t="shared" ca="1" si="1454"/>
        <v>0</v>
      </c>
    </row>
    <row r="1795" spans="1:24" hidden="1">
      <c r="A1795" s="328"/>
      <c r="B1795" s="21"/>
      <c r="C1795" s="21"/>
      <c r="D1795" s="22"/>
      <c r="E1795" s="21"/>
      <c r="F1795" s="21"/>
      <c r="G1795" s="21"/>
      <c r="H1795" s="404">
        <f>H1788+1</f>
        <v>34</v>
      </c>
      <c r="I1795" s="483" cm="1">
        <f t="array" aca="1" ref="I1795" ca="1">OFFSET('Środki trwałe'!$C$418,H1795,,)</f>
        <v>0</v>
      </c>
      <c r="J1795" s="404" t="s">
        <v>427</v>
      </c>
      <c r="K1795" s="405">
        <f t="shared" ref="K1795:X1795" ca="1" si="1455">IF(AND(OFFSET($F$269,$D1789,0)="tak",OFFSET($G$269,$D1789,0)="tak",OFFSET($J$269,$D1789,0)="ok",LataProjekcji&lt;=Koniec_Projekt),ROUND(K1792*OFFSET($K$469,$H1795,(COLUMN()-11)),0),0)</f>
        <v>0</v>
      </c>
      <c r="L1795" s="405">
        <f t="shared" ca="1" si="1455"/>
        <v>0</v>
      </c>
      <c r="M1795" s="405">
        <f t="shared" ca="1" si="1455"/>
        <v>0</v>
      </c>
      <c r="N1795" s="405">
        <f t="shared" ca="1" si="1455"/>
        <v>0</v>
      </c>
      <c r="O1795" s="405">
        <f t="shared" ca="1" si="1455"/>
        <v>0</v>
      </c>
      <c r="P1795" s="405">
        <f t="shared" ca="1" si="1455"/>
        <v>0</v>
      </c>
      <c r="Q1795" s="405">
        <f t="shared" ca="1" si="1455"/>
        <v>0</v>
      </c>
      <c r="R1795" s="405">
        <f t="shared" ca="1" si="1455"/>
        <v>0</v>
      </c>
      <c r="S1795" s="405">
        <f t="shared" ca="1" si="1455"/>
        <v>0</v>
      </c>
      <c r="T1795" s="405">
        <f t="shared" ca="1" si="1455"/>
        <v>0</v>
      </c>
      <c r="U1795" s="405">
        <f t="shared" ca="1" si="1455"/>
        <v>0</v>
      </c>
      <c r="V1795" s="405">
        <f t="shared" ca="1" si="1455"/>
        <v>0</v>
      </c>
      <c r="W1795" s="405">
        <f t="shared" ca="1" si="1455"/>
        <v>0</v>
      </c>
      <c r="X1795" s="405">
        <f t="shared" ca="1" si="1455"/>
        <v>0</v>
      </c>
    </row>
    <row r="1796" spans="1:24" hidden="1">
      <c r="A1796" s="328"/>
      <c r="B1796" s="20">
        <f ca="1">OFFSET($B$269,D1796,0)</f>
        <v>0</v>
      </c>
      <c r="C1796" s="20"/>
      <c r="D1796" s="21">
        <f>D1789+1</f>
        <v>184</v>
      </c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</row>
    <row r="1797" spans="1:24" hidden="1">
      <c r="A1797" s="328"/>
      <c r="B1797" s="21" t="s">
        <v>414</v>
      </c>
      <c r="C1797" s="21"/>
      <c r="D1797" s="165">
        <f ca="1">YEAR(OFFSET($E$269,D1796,0))</f>
        <v>1900</v>
      </c>
      <c r="E1797" s="165">
        <f ca="1">MONTH(OFFSET($E$269,D1796,0))</f>
        <v>1</v>
      </c>
      <c r="F1797" s="21">
        <f ca="1">12-$E1797</f>
        <v>11</v>
      </c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</row>
    <row r="1798" spans="1:24" hidden="1">
      <c r="A1798" s="328"/>
      <c r="B1798" s="21" t="s">
        <v>406</v>
      </c>
      <c r="C1798" s="21"/>
      <c r="D1798" s="387">
        <f ca="1">IF(E1798&lt;0,0,ROUND(E1798,0))</f>
        <v>0</v>
      </c>
      <c r="E1798" s="249">
        <f ca="1">OFFSET($D$269,D1796,0)</f>
        <v>0</v>
      </c>
      <c r="F1798" s="387">
        <f ca="1">IF(E1798&gt;10,ROUND(($D1799/12)*$F1797,0),$D1798)</f>
        <v>0</v>
      </c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</row>
    <row r="1799" spans="1:24" hidden="1">
      <c r="A1799" s="328"/>
      <c r="B1799" s="21" t="s">
        <v>415</v>
      </c>
      <c r="C1799" s="21"/>
      <c r="D1799" s="387">
        <f ca="1">IF(ISBLANK(OFFSET($E$269,D1796,0)),0,IF(E1798&gt;10,ROUND(D1798*am_maszyny,0),IF(D1798&lt;0,0,D1798)))</f>
        <v>0</v>
      </c>
      <c r="E1799" s="21"/>
      <c r="F1799" s="21"/>
      <c r="G1799" s="21"/>
      <c r="H1799" s="21"/>
      <c r="I1799" s="21"/>
      <c r="J1799" s="21"/>
      <c r="K1799" s="75">
        <f ca="1">ROUND(IF($D1797=LataProjekcji,$F1798,IF($D1797=LataProjekcji,$D1799,0)),0)</f>
        <v>0</v>
      </c>
      <c r="L1799" s="248">
        <f ca="1">ROUND(IF(OR(AND($D1797=LataProjekcji,$F1797&gt;0),AND($D1797=LataProjekcji,$F1797=0,$E1798&lt;=10)),$F1798,IF($D1797&lt;LataProjekcji,IF((SUM($K1799:K1799)+$D1799)&lt;$D1798,$D1799,$D1798-SUM($K1799:K1799)),0)),0)</f>
        <v>0</v>
      </c>
      <c r="M1799" s="248">
        <f ca="1">ROUND(IF(OR(AND($D1797=LataProjekcji,$F1797&gt;0),AND($D1797=LataProjekcji,$F1797=0,$E1798&lt;=10)),$F1798,IF($D1797&lt;LataProjekcji,IF((SUM($K1799:L1799)+$D1799)&lt;$D1798,$D1799,$D1798-SUM($K1799:L1799)),0)),0)</f>
        <v>0</v>
      </c>
      <c r="N1799" s="248">
        <f ca="1">ROUND(IF(OR(AND($D1797=LataProjekcji,$F1797&gt;0),AND($D1797=LataProjekcji,$F1797=0,$E1798&lt;=10)),$F1798,IF($D1797&lt;LataProjekcji,IF((SUM($K1799:M1799)+$D1799)&lt;$D1798,$D1799,$D1798-SUM($K1799:M1799)),0)),0)</f>
        <v>0</v>
      </c>
      <c r="O1799" s="248">
        <f ca="1">ROUND(IF(OR(AND($D1797=LataProjekcji,$F1797&gt;0),AND($D1797=LataProjekcji,$F1797=0,$E1798&lt;=10)),$F1798,IF($D1797&lt;LataProjekcji,IF((SUM($K1799:N1799)+$D1799)&lt;$D1798,$D1799,$D1798-SUM($K1799:N1799)),0)),0)</f>
        <v>0</v>
      </c>
      <c r="P1799" s="248">
        <f ca="1">ROUND(IF(OR(AND($D1797=LataProjekcji,$F1797&gt;0),AND($D1797=LataProjekcji,$F1797=0,$E1798&lt;=10)),$F1798,IF($D1797&lt;LataProjekcji,IF((SUM($K1799:O1799)+$D1799)&lt;$D1798,$D1799,$D1798-SUM($K1799:O1799)),0)),0)</f>
        <v>0</v>
      </c>
      <c r="Q1799" s="248">
        <f ca="1">ROUND(IF(OR(AND($D1797=LataProjekcji,$F1797&gt;0),AND($D1797=LataProjekcji,$F1797=0,$E1798&lt;=10)),$F1798,IF($D1797&lt;LataProjekcji,IF((SUM($K1799:P1799)+$D1799)&lt;$D1798,$D1799,$D1798-SUM($K1799:P1799)),0)),0)</f>
        <v>0</v>
      </c>
      <c r="R1799" s="248">
        <f ca="1">ROUND(IF(OR(AND($D1797=LataProjekcji,$F1797&gt;0),AND($D1797=LataProjekcji,$F1797=0,$E1798&lt;=10)),$F1798,IF($D1797&lt;LataProjekcji,IF((SUM($K1799:Q1799)+$D1799)&lt;$D1798,$D1799,$D1798-SUM($K1799:Q1799)),0)),0)</f>
        <v>0</v>
      </c>
      <c r="S1799" s="248">
        <f ca="1">ROUND(IF(OR(AND($D1797=LataProjekcji,$F1797&gt;0),AND($D1797=LataProjekcji,$F1797=0,$E1798&lt;=10)),$F1798,IF($D1797&lt;LataProjekcji,IF((SUM($K1799:R1799)+$D1799)&lt;$D1798,$D1799,$D1798-SUM($K1799:R1799)),0)),0)</f>
        <v>0</v>
      </c>
      <c r="T1799" s="248">
        <f ca="1">ROUND(IF(OR(AND($D1797=LataProjekcji,$F1797&gt;0),AND($D1797=LataProjekcji,$F1797=0,$E1798&lt;=10)),$F1798,IF($D1797&lt;LataProjekcji,IF((SUM($K1799:S1799)+$D1799)&lt;$D1798,$D1799,$D1798-SUM($K1799:S1799)),0)),0)</f>
        <v>0</v>
      </c>
      <c r="U1799" s="248">
        <f ca="1">ROUND(IF(OR(AND($D1797=LataProjekcji,$F1797&gt;0),AND($D1797=LataProjekcji,$F1797=0,$E1798&lt;=10)),$F1798,IF($D1797&lt;LataProjekcji,IF((SUM($K1799:T1799)+$D1799)&lt;$D1798,$D1799,$D1798-SUM($K1799:T1799)),0)),0)</f>
        <v>0</v>
      </c>
      <c r="V1799" s="248">
        <f ca="1">ROUND(IF(OR(AND($D1797=LataProjekcji,$F1797&gt;0),AND($D1797=LataProjekcji,$F1797=0,$E1798&lt;=10)),$F1798,IF($D1797&lt;LataProjekcji,IF((SUM($K1799:U1799)+$D1799)&lt;$D1798,$D1799,$D1798-SUM($K1799:U1799)),0)),0)</f>
        <v>0</v>
      </c>
      <c r="W1799" s="248">
        <f ca="1">ROUND(IF(OR(AND($D1797=LataProjekcji,$F1797&gt;0),AND($D1797=LataProjekcji,$F1797=0,$E1798&lt;=10)),$F1798,IF($D1797&lt;LataProjekcji,IF((SUM($K1799:V1799)+$D1799)&lt;$D1798,$D1799,$D1798-SUM($K1799:V1799)),0)),0)</f>
        <v>0</v>
      </c>
      <c r="X1799" s="248">
        <f ca="1">ROUND(IF(OR(AND($D1797=LataProjekcji,$F1797&gt;0),AND($D1797=LataProjekcji,$F1797=0,$E1798&lt;=10)),$F1798,IF($D1797&lt;LataProjekcji,IF((SUM($K1799:W1799)+$D1799)&lt;$D1798,$D1799,$D1798-SUM($K1799:W1799)),0)),0)</f>
        <v>0</v>
      </c>
    </row>
    <row r="1800" spans="1:24" hidden="1">
      <c r="A1800" s="328"/>
      <c r="B1800" s="21" t="s">
        <v>416</v>
      </c>
      <c r="C1800" s="21"/>
      <c r="D1800" s="22"/>
      <c r="E1800" s="21"/>
      <c r="F1800" s="21"/>
      <c r="G1800" s="21"/>
      <c r="H1800" s="21"/>
      <c r="I1800" s="21"/>
      <c r="J1800" s="21"/>
      <c r="K1800" s="22">
        <f ca="1">ROUND(K1799,0)</f>
        <v>0</v>
      </c>
      <c r="L1800" s="22">
        <f t="shared" ref="L1800:X1800" ca="1" si="1456">ROUND(K1800+L1799,0)</f>
        <v>0</v>
      </c>
      <c r="M1800" s="22">
        <f t="shared" ca="1" si="1456"/>
        <v>0</v>
      </c>
      <c r="N1800" s="22">
        <f t="shared" ca="1" si="1456"/>
        <v>0</v>
      </c>
      <c r="O1800" s="22">
        <f t="shared" ca="1" si="1456"/>
        <v>0</v>
      </c>
      <c r="P1800" s="22">
        <f t="shared" ca="1" si="1456"/>
        <v>0</v>
      </c>
      <c r="Q1800" s="22">
        <f t="shared" ca="1" si="1456"/>
        <v>0</v>
      </c>
      <c r="R1800" s="22">
        <f t="shared" ca="1" si="1456"/>
        <v>0</v>
      </c>
      <c r="S1800" s="22">
        <f t="shared" ca="1" si="1456"/>
        <v>0</v>
      </c>
      <c r="T1800" s="22">
        <f t="shared" ca="1" si="1456"/>
        <v>0</v>
      </c>
      <c r="U1800" s="22">
        <f t="shared" ca="1" si="1456"/>
        <v>0</v>
      </c>
      <c r="V1800" s="22">
        <f t="shared" ca="1" si="1456"/>
        <v>0</v>
      </c>
      <c r="W1800" s="22">
        <f t="shared" ca="1" si="1456"/>
        <v>0</v>
      </c>
      <c r="X1800" s="22">
        <f t="shared" ca="1" si="1456"/>
        <v>0</v>
      </c>
    </row>
    <row r="1801" spans="1:24" hidden="1">
      <c r="A1801" s="328"/>
      <c r="B1801" s="21" t="s">
        <v>406</v>
      </c>
      <c r="C1801" s="21"/>
      <c r="D1801" s="22"/>
      <c r="E1801" s="21"/>
      <c r="F1801" s="21"/>
      <c r="G1801" s="21"/>
      <c r="H1801" s="21"/>
      <c r="I1801" s="21"/>
      <c r="J1801" s="21"/>
      <c r="K1801" s="77">
        <f ca="1">IF($D1797=LataProjekcji,ROUND($D1798-K1800,0),ROUND(IF(K1799=0,0,$D1798-K1800),0))</f>
        <v>0</v>
      </c>
      <c r="L1801" s="254">
        <f t="shared" ref="L1801:X1801" ca="1" si="1457">IF($D1797=LataProjekcji,ROUND($D1798-L1800,0),ROUND(IF(AND(L1799=0,K1801&gt;0),$D1798-L1800,IF(L1799=0,0,$D1798-L1800)),0))</f>
        <v>0</v>
      </c>
      <c r="M1801" s="254">
        <f t="shared" ca="1" si="1457"/>
        <v>0</v>
      </c>
      <c r="N1801" s="254">
        <f t="shared" ca="1" si="1457"/>
        <v>0</v>
      </c>
      <c r="O1801" s="254">
        <f t="shared" ca="1" si="1457"/>
        <v>0</v>
      </c>
      <c r="P1801" s="254">
        <f t="shared" ca="1" si="1457"/>
        <v>0</v>
      </c>
      <c r="Q1801" s="254">
        <f t="shared" ca="1" si="1457"/>
        <v>0</v>
      </c>
      <c r="R1801" s="254">
        <f t="shared" ca="1" si="1457"/>
        <v>0</v>
      </c>
      <c r="S1801" s="254">
        <f t="shared" ca="1" si="1457"/>
        <v>0</v>
      </c>
      <c r="T1801" s="254">
        <f t="shared" ca="1" si="1457"/>
        <v>0</v>
      </c>
      <c r="U1801" s="254">
        <f t="shared" ca="1" si="1457"/>
        <v>0</v>
      </c>
      <c r="V1801" s="254">
        <f t="shared" ca="1" si="1457"/>
        <v>0</v>
      </c>
      <c r="W1801" s="254">
        <f t="shared" ca="1" si="1457"/>
        <v>0</v>
      </c>
      <c r="X1801" s="254">
        <f t="shared" ca="1" si="1457"/>
        <v>0</v>
      </c>
    </row>
    <row r="1802" spans="1:24" hidden="1">
      <c r="A1802" s="328"/>
      <c r="B1802" s="21"/>
      <c r="C1802" s="21"/>
      <c r="D1802" s="21"/>
      <c r="E1802" s="21"/>
      <c r="F1802" s="21"/>
      <c r="G1802" s="21"/>
      <c r="H1802" s="404">
        <f>H1795+1</f>
        <v>35</v>
      </c>
      <c r="I1802" s="483" cm="1">
        <f t="array" aca="1" ref="I1802" ca="1">OFFSET('Środki trwałe'!$C$418,H1802,,)</f>
        <v>0</v>
      </c>
      <c r="J1802" s="404" t="s">
        <v>427</v>
      </c>
      <c r="K1802" s="405">
        <f t="shared" ref="K1802:X1802" ca="1" si="1458">IF(AND(OFFSET($F$269,$D1796,0)="tak",OFFSET($G$269,$D1796,0)="tak",OFFSET($J$269,$D1796,0)="ok",LataProjekcji&lt;=Koniec_Projekt),ROUND(K1799*OFFSET($K$469,$H1802,(COLUMN()-11)),0),0)</f>
        <v>0</v>
      </c>
      <c r="L1802" s="405">
        <f t="shared" ca="1" si="1458"/>
        <v>0</v>
      </c>
      <c r="M1802" s="405">
        <f t="shared" ca="1" si="1458"/>
        <v>0</v>
      </c>
      <c r="N1802" s="405">
        <f t="shared" ca="1" si="1458"/>
        <v>0</v>
      </c>
      <c r="O1802" s="405">
        <f t="shared" ca="1" si="1458"/>
        <v>0</v>
      </c>
      <c r="P1802" s="405">
        <f t="shared" ca="1" si="1458"/>
        <v>0</v>
      </c>
      <c r="Q1802" s="405">
        <f t="shared" ca="1" si="1458"/>
        <v>0</v>
      </c>
      <c r="R1802" s="405">
        <f t="shared" ca="1" si="1458"/>
        <v>0</v>
      </c>
      <c r="S1802" s="405">
        <f t="shared" ca="1" si="1458"/>
        <v>0</v>
      </c>
      <c r="T1802" s="405">
        <f t="shared" ca="1" si="1458"/>
        <v>0</v>
      </c>
      <c r="U1802" s="405">
        <f t="shared" ca="1" si="1458"/>
        <v>0</v>
      </c>
      <c r="V1802" s="405">
        <f t="shared" ca="1" si="1458"/>
        <v>0</v>
      </c>
      <c r="W1802" s="405">
        <f t="shared" ca="1" si="1458"/>
        <v>0</v>
      </c>
      <c r="X1802" s="405">
        <f t="shared" ca="1" si="1458"/>
        <v>0</v>
      </c>
    </row>
    <row r="1803" spans="1:24" hidden="1">
      <c r="A1803" s="328"/>
      <c r="B1803" s="20">
        <f ca="1">OFFSET($B$269,D1803,0)</f>
        <v>0</v>
      </c>
      <c r="C1803" s="20"/>
      <c r="D1803" s="21">
        <f>D1796+1</f>
        <v>185</v>
      </c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</row>
    <row r="1804" spans="1:24" hidden="1">
      <c r="A1804" s="328"/>
      <c r="B1804" s="21" t="s">
        <v>414</v>
      </c>
      <c r="C1804" s="21"/>
      <c r="D1804" s="165">
        <f ca="1">YEAR(OFFSET($E$269,D1803,0))</f>
        <v>1900</v>
      </c>
      <c r="E1804" s="165">
        <f ca="1">MONTH(OFFSET($E$269,D1803,0))</f>
        <v>1</v>
      </c>
      <c r="F1804" s="21">
        <f ca="1">12-$E1804</f>
        <v>11</v>
      </c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</row>
    <row r="1805" spans="1:24" hidden="1">
      <c r="A1805" s="328"/>
      <c r="B1805" s="21" t="s">
        <v>406</v>
      </c>
      <c r="C1805" s="21"/>
      <c r="D1805" s="388">
        <f ca="1">IF(E1805&lt;0,0,ROUND(E1805,0))</f>
        <v>0</v>
      </c>
      <c r="E1805" s="249">
        <f ca="1">OFFSET($D$269,D1803,0)</f>
        <v>0</v>
      </c>
      <c r="F1805" s="388">
        <f ca="1">IF(E1805&gt;10,ROUND(($D1806/12)*$F1804,0),$D1805)</f>
        <v>0</v>
      </c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</row>
    <row r="1806" spans="1:24" hidden="1">
      <c r="A1806" s="328"/>
      <c r="B1806" s="21" t="s">
        <v>415</v>
      </c>
      <c r="C1806" s="21"/>
      <c r="D1806" s="388">
        <f ca="1">IF(ISBLANK(OFFSET($E$269,D1803,0)),0,IF(E1805&gt;10,ROUND(D1805*am_maszyny,0),IF(D1805&lt;0,0,D1805)))</f>
        <v>0</v>
      </c>
      <c r="E1806" s="21"/>
      <c r="F1806" s="21"/>
      <c r="G1806" s="21"/>
      <c r="H1806" s="21"/>
      <c r="I1806" s="21"/>
      <c r="J1806" s="21"/>
      <c r="K1806" s="75">
        <f ca="1">ROUND(IF($D1804=LataProjekcji,$F1805,IF($D1804=LataProjekcji,$D1806,0)),0)</f>
        <v>0</v>
      </c>
      <c r="L1806" s="248">
        <f ca="1">ROUND(IF(OR(AND($D1804=LataProjekcji,$F1804&gt;0),AND($D1804=LataProjekcji,$F1804=0,$E1805&lt;=10)),$F1805,IF($D1804&lt;LataProjekcji,IF((SUM($K1806:K1806)+$D1806)&lt;$D1805,$D1806,$D1805-SUM($K1806:K1806)),0)),0)</f>
        <v>0</v>
      </c>
      <c r="M1806" s="248">
        <f ca="1">ROUND(IF(OR(AND($D1804=LataProjekcji,$F1804&gt;0),AND($D1804=LataProjekcji,$F1804=0,$E1805&lt;=10)),$F1805,IF($D1804&lt;LataProjekcji,IF((SUM($K1806:L1806)+$D1806)&lt;$D1805,$D1806,$D1805-SUM($K1806:L1806)),0)),0)</f>
        <v>0</v>
      </c>
      <c r="N1806" s="248">
        <f ca="1">ROUND(IF(OR(AND($D1804=LataProjekcji,$F1804&gt;0),AND($D1804=LataProjekcji,$F1804=0,$E1805&lt;=10)),$F1805,IF($D1804&lt;LataProjekcji,IF((SUM($K1806:M1806)+$D1806)&lt;$D1805,$D1806,$D1805-SUM($K1806:M1806)),0)),0)</f>
        <v>0</v>
      </c>
      <c r="O1806" s="248">
        <f ca="1">ROUND(IF(OR(AND($D1804=LataProjekcji,$F1804&gt;0),AND($D1804=LataProjekcji,$F1804=0,$E1805&lt;=10)),$F1805,IF($D1804&lt;LataProjekcji,IF((SUM($K1806:N1806)+$D1806)&lt;$D1805,$D1806,$D1805-SUM($K1806:N1806)),0)),0)</f>
        <v>0</v>
      </c>
      <c r="P1806" s="248">
        <f ca="1">ROUND(IF(OR(AND($D1804=LataProjekcji,$F1804&gt;0),AND($D1804=LataProjekcji,$F1804=0,$E1805&lt;=10)),$F1805,IF($D1804&lt;LataProjekcji,IF((SUM($K1806:O1806)+$D1806)&lt;$D1805,$D1806,$D1805-SUM($K1806:O1806)),0)),0)</f>
        <v>0</v>
      </c>
      <c r="Q1806" s="248">
        <f ca="1">ROUND(IF(OR(AND($D1804=LataProjekcji,$F1804&gt;0),AND($D1804=LataProjekcji,$F1804=0,$E1805&lt;=10)),$F1805,IF($D1804&lt;LataProjekcji,IF((SUM($K1806:P1806)+$D1806)&lt;$D1805,$D1806,$D1805-SUM($K1806:P1806)),0)),0)</f>
        <v>0</v>
      </c>
      <c r="R1806" s="248">
        <f ca="1">ROUND(IF(OR(AND($D1804=LataProjekcji,$F1804&gt;0),AND($D1804=LataProjekcji,$F1804=0,$E1805&lt;=10)),$F1805,IF($D1804&lt;LataProjekcji,IF((SUM($K1806:Q1806)+$D1806)&lt;$D1805,$D1806,$D1805-SUM($K1806:Q1806)),0)),0)</f>
        <v>0</v>
      </c>
      <c r="S1806" s="248">
        <f ca="1">ROUND(IF(OR(AND($D1804=LataProjekcji,$F1804&gt;0),AND($D1804=LataProjekcji,$F1804=0,$E1805&lt;=10)),$F1805,IF($D1804&lt;LataProjekcji,IF((SUM($K1806:R1806)+$D1806)&lt;$D1805,$D1806,$D1805-SUM($K1806:R1806)),0)),0)</f>
        <v>0</v>
      </c>
      <c r="T1806" s="248">
        <f ca="1">ROUND(IF(OR(AND($D1804=LataProjekcji,$F1804&gt;0),AND($D1804=LataProjekcji,$F1804=0,$E1805&lt;=10)),$F1805,IF($D1804&lt;LataProjekcji,IF((SUM($K1806:S1806)+$D1806)&lt;$D1805,$D1806,$D1805-SUM($K1806:S1806)),0)),0)</f>
        <v>0</v>
      </c>
      <c r="U1806" s="248">
        <f ca="1">ROUND(IF(OR(AND($D1804=LataProjekcji,$F1804&gt;0),AND($D1804=LataProjekcji,$F1804=0,$E1805&lt;=10)),$F1805,IF($D1804&lt;LataProjekcji,IF((SUM($K1806:T1806)+$D1806)&lt;$D1805,$D1806,$D1805-SUM($K1806:T1806)),0)),0)</f>
        <v>0</v>
      </c>
      <c r="V1806" s="248">
        <f ca="1">ROUND(IF(OR(AND($D1804=LataProjekcji,$F1804&gt;0),AND($D1804=LataProjekcji,$F1804=0,$E1805&lt;=10)),$F1805,IF($D1804&lt;LataProjekcji,IF((SUM($K1806:U1806)+$D1806)&lt;$D1805,$D1806,$D1805-SUM($K1806:U1806)),0)),0)</f>
        <v>0</v>
      </c>
      <c r="W1806" s="248">
        <f ca="1">ROUND(IF(OR(AND($D1804=LataProjekcji,$F1804&gt;0),AND($D1804=LataProjekcji,$F1804=0,$E1805&lt;=10)),$F1805,IF($D1804&lt;LataProjekcji,IF((SUM($K1806:V1806)+$D1806)&lt;$D1805,$D1806,$D1805-SUM($K1806:V1806)),0)),0)</f>
        <v>0</v>
      </c>
      <c r="X1806" s="248">
        <f ca="1">ROUND(IF(OR(AND($D1804=LataProjekcji,$F1804&gt;0),AND($D1804=LataProjekcji,$F1804=0,$E1805&lt;=10)),$F1805,IF($D1804&lt;LataProjekcji,IF((SUM($K1806:W1806)+$D1806)&lt;$D1805,$D1806,$D1805-SUM($K1806:W1806)),0)),0)</f>
        <v>0</v>
      </c>
    </row>
    <row r="1807" spans="1:24" hidden="1">
      <c r="A1807" s="328"/>
      <c r="B1807" s="21" t="s">
        <v>416</v>
      </c>
      <c r="C1807" s="21"/>
      <c r="D1807" s="22"/>
      <c r="E1807" s="21"/>
      <c r="F1807" s="21"/>
      <c r="G1807" s="21"/>
      <c r="H1807" s="21"/>
      <c r="I1807" s="21"/>
      <c r="J1807" s="21"/>
      <c r="K1807" s="22">
        <f ca="1">ROUND(K1806,0)</f>
        <v>0</v>
      </c>
      <c r="L1807" s="22">
        <f t="shared" ref="L1807:X1807" ca="1" si="1459">ROUND(K1807+L1806,0)</f>
        <v>0</v>
      </c>
      <c r="M1807" s="22">
        <f t="shared" ca="1" si="1459"/>
        <v>0</v>
      </c>
      <c r="N1807" s="22">
        <f t="shared" ca="1" si="1459"/>
        <v>0</v>
      </c>
      <c r="O1807" s="22">
        <f t="shared" ca="1" si="1459"/>
        <v>0</v>
      </c>
      <c r="P1807" s="22">
        <f t="shared" ca="1" si="1459"/>
        <v>0</v>
      </c>
      <c r="Q1807" s="22">
        <f t="shared" ca="1" si="1459"/>
        <v>0</v>
      </c>
      <c r="R1807" s="22">
        <f t="shared" ca="1" si="1459"/>
        <v>0</v>
      </c>
      <c r="S1807" s="22">
        <f t="shared" ca="1" si="1459"/>
        <v>0</v>
      </c>
      <c r="T1807" s="22">
        <f t="shared" ca="1" si="1459"/>
        <v>0</v>
      </c>
      <c r="U1807" s="22">
        <f t="shared" ca="1" si="1459"/>
        <v>0</v>
      </c>
      <c r="V1807" s="22">
        <f t="shared" ca="1" si="1459"/>
        <v>0</v>
      </c>
      <c r="W1807" s="22">
        <f t="shared" ca="1" si="1459"/>
        <v>0</v>
      </c>
      <c r="X1807" s="22">
        <f t="shared" ca="1" si="1459"/>
        <v>0</v>
      </c>
    </row>
    <row r="1808" spans="1:24" hidden="1">
      <c r="A1808" s="328"/>
      <c r="B1808" s="21" t="s">
        <v>406</v>
      </c>
      <c r="C1808" s="21"/>
      <c r="D1808" s="22"/>
      <c r="E1808" s="21"/>
      <c r="F1808" s="21"/>
      <c r="G1808" s="21"/>
      <c r="H1808" s="21"/>
      <c r="I1808" s="21"/>
      <c r="J1808" s="21"/>
      <c r="K1808" s="77">
        <f ca="1">IF($D1804=LataProjekcji,ROUND($D1805-K1807,0),ROUND(IF(K1806=0,0,$D1805-K1807),0))</f>
        <v>0</v>
      </c>
      <c r="L1808" s="254">
        <f t="shared" ref="L1808:X1808" ca="1" si="1460">IF($D1804=LataProjekcji,ROUND($D1805-L1807,0),ROUND(IF(AND(L1806=0,K1808&gt;0),$D1805-L1807,IF(L1806=0,0,$D1805-L1807)),0))</f>
        <v>0</v>
      </c>
      <c r="M1808" s="254">
        <f t="shared" ca="1" si="1460"/>
        <v>0</v>
      </c>
      <c r="N1808" s="254">
        <f t="shared" ca="1" si="1460"/>
        <v>0</v>
      </c>
      <c r="O1808" s="254">
        <f t="shared" ca="1" si="1460"/>
        <v>0</v>
      </c>
      <c r="P1808" s="254">
        <f t="shared" ca="1" si="1460"/>
        <v>0</v>
      </c>
      <c r="Q1808" s="254">
        <f t="shared" ca="1" si="1460"/>
        <v>0</v>
      </c>
      <c r="R1808" s="254">
        <f t="shared" ca="1" si="1460"/>
        <v>0</v>
      </c>
      <c r="S1808" s="254">
        <f t="shared" ca="1" si="1460"/>
        <v>0</v>
      </c>
      <c r="T1808" s="254">
        <f t="shared" ca="1" si="1460"/>
        <v>0</v>
      </c>
      <c r="U1808" s="254">
        <f t="shared" ca="1" si="1460"/>
        <v>0</v>
      </c>
      <c r="V1808" s="254">
        <f t="shared" ca="1" si="1460"/>
        <v>0</v>
      </c>
      <c r="W1808" s="254">
        <f t="shared" ca="1" si="1460"/>
        <v>0</v>
      </c>
      <c r="X1808" s="254">
        <f t="shared" ca="1" si="1460"/>
        <v>0</v>
      </c>
    </row>
    <row r="1809" spans="1:24" hidden="1">
      <c r="A1809" s="328"/>
      <c r="B1809" s="21"/>
      <c r="C1809" s="21"/>
      <c r="D1809" s="22"/>
      <c r="E1809" s="21"/>
      <c r="F1809" s="21"/>
      <c r="G1809" s="21"/>
      <c r="H1809" s="404">
        <f>H1802+1</f>
        <v>36</v>
      </c>
      <c r="I1809" s="483" cm="1">
        <f t="array" aca="1" ref="I1809" ca="1">OFFSET('Środki trwałe'!$C$418,H1809,,)</f>
        <v>0</v>
      </c>
      <c r="J1809" s="404" t="s">
        <v>427</v>
      </c>
      <c r="K1809" s="405">
        <f t="shared" ref="K1809:X1809" ca="1" si="1461">IF(AND(OFFSET($F$269,$D1803,0)="tak",OFFSET($G$269,$D1803,0)="tak",OFFSET($J$269,$D1803,0)="ok",LataProjekcji&lt;=Koniec_Projekt),ROUND(K1806*OFFSET($K$469,$H1809,(COLUMN()-11)),0),0)</f>
        <v>0</v>
      </c>
      <c r="L1809" s="405">
        <f t="shared" ca="1" si="1461"/>
        <v>0</v>
      </c>
      <c r="M1809" s="405">
        <f t="shared" ca="1" si="1461"/>
        <v>0</v>
      </c>
      <c r="N1809" s="405">
        <f t="shared" ca="1" si="1461"/>
        <v>0</v>
      </c>
      <c r="O1809" s="405">
        <f t="shared" ca="1" si="1461"/>
        <v>0</v>
      </c>
      <c r="P1809" s="405">
        <f t="shared" ca="1" si="1461"/>
        <v>0</v>
      </c>
      <c r="Q1809" s="405">
        <f t="shared" ca="1" si="1461"/>
        <v>0</v>
      </c>
      <c r="R1809" s="405">
        <f t="shared" ca="1" si="1461"/>
        <v>0</v>
      </c>
      <c r="S1809" s="405">
        <f t="shared" ca="1" si="1461"/>
        <v>0</v>
      </c>
      <c r="T1809" s="405">
        <f t="shared" ca="1" si="1461"/>
        <v>0</v>
      </c>
      <c r="U1809" s="405">
        <f t="shared" ca="1" si="1461"/>
        <v>0</v>
      </c>
      <c r="V1809" s="405">
        <f t="shared" ca="1" si="1461"/>
        <v>0</v>
      </c>
      <c r="W1809" s="405">
        <f t="shared" ca="1" si="1461"/>
        <v>0</v>
      </c>
      <c r="X1809" s="405">
        <f t="shared" ca="1" si="1461"/>
        <v>0</v>
      </c>
    </row>
    <row r="1810" spans="1:24" hidden="1">
      <c r="A1810" s="328"/>
      <c r="B1810" s="20">
        <f ca="1">OFFSET($B$269,D1810,0)</f>
        <v>0</v>
      </c>
      <c r="C1810" s="20"/>
      <c r="D1810" s="21">
        <f>D1803+1</f>
        <v>186</v>
      </c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</row>
    <row r="1811" spans="1:24" hidden="1">
      <c r="A1811" s="328"/>
      <c r="B1811" s="21" t="s">
        <v>414</v>
      </c>
      <c r="C1811" s="21"/>
      <c r="D1811" s="165">
        <f ca="1">YEAR(OFFSET($E$269,D1810,0))</f>
        <v>1900</v>
      </c>
      <c r="E1811" s="165">
        <f ca="1">MONTH(OFFSET($E$269,D1810,0))</f>
        <v>1</v>
      </c>
      <c r="F1811" s="21">
        <f ca="1">12-$E1811</f>
        <v>11</v>
      </c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</row>
    <row r="1812" spans="1:24" hidden="1">
      <c r="A1812" s="328"/>
      <c r="B1812" s="21" t="s">
        <v>406</v>
      </c>
      <c r="C1812" s="21"/>
      <c r="D1812" s="385">
        <f ca="1">IF(E1812&lt;0,0,ROUND(E1812,0))</f>
        <v>0</v>
      </c>
      <c r="E1812" s="249">
        <f ca="1">OFFSET($D$269,D1810,0)</f>
        <v>0</v>
      </c>
      <c r="F1812" s="385">
        <f ca="1">IF(E1812&gt;10,ROUND(($D1813/12)*$F1811,0),$D1812)</f>
        <v>0</v>
      </c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</row>
    <row r="1813" spans="1:24" hidden="1">
      <c r="A1813" s="328"/>
      <c r="B1813" s="21" t="s">
        <v>415</v>
      </c>
      <c r="C1813" s="21"/>
      <c r="D1813" s="385">
        <f ca="1">IF(ISBLANK(OFFSET($E$269,D1810,0)),0,IF(E1812&gt;10,ROUND(D1812*am_maszyny,0),IF(D1812&lt;0,0,D1812)))</f>
        <v>0</v>
      </c>
      <c r="E1813" s="21"/>
      <c r="F1813" s="21"/>
      <c r="G1813" s="21"/>
      <c r="H1813" s="21"/>
      <c r="I1813" s="21"/>
      <c r="J1813" s="21"/>
      <c r="K1813" s="75">
        <f ca="1">ROUND(IF($D1811=LataProjekcji,$F1812,IF($D1811=LataProjekcji,$D1813,0)),0)</f>
        <v>0</v>
      </c>
      <c r="L1813" s="248">
        <f ca="1">ROUND(IF(OR(AND($D1811=LataProjekcji,$F1811&gt;0),AND($D1811=LataProjekcji,$F1811=0,$E1812&lt;=10)),$F1812,IF($D1811&lt;LataProjekcji,IF((SUM($K1813:K1813)+$D1813)&lt;$D1812,$D1813,$D1812-SUM($K1813:K1813)),0)),0)</f>
        <v>0</v>
      </c>
      <c r="M1813" s="248">
        <f ca="1">ROUND(IF(OR(AND($D1811=LataProjekcji,$F1811&gt;0),AND($D1811=LataProjekcji,$F1811=0,$E1812&lt;=10)),$F1812,IF($D1811&lt;LataProjekcji,IF((SUM($K1813:L1813)+$D1813)&lt;$D1812,$D1813,$D1812-SUM($K1813:L1813)),0)),0)</f>
        <v>0</v>
      </c>
      <c r="N1813" s="248">
        <f ca="1">ROUND(IF(OR(AND($D1811=LataProjekcji,$F1811&gt;0),AND($D1811=LataProjekcji,$F1811=0,$E1812&lt;=10)),$F1812,IF($D1811&lt;LataProjekcji,IF((SUM($K1813:M1813)+$D1813)&lt;$D1812,$D1813,$D1812-SUM($K1813:M1813)),0)),0)</f>
        <v>0</v>
      </c>
      <c r="O1813" s="248">
        <f ca="1">ROUND(IF(OR(AND($D1811=LataProjekcji,$F1811&gt;0),AND($D1811=LataProjekcji,$F1811=0,$E1812&lt;=10)),$F1812,IF($D1811&lt;LataProjekcji,IF((SUM($K1813:N1813)+$D1813)&lt;$D1812,$D1813,$D1812-SUM($K1813:N1813)),0)),0)</f>
        <v>0</v>
      </c>
      <c r="P1813" s="248">
        <f ca="1">ROUND(IF(OR(AND($D1811=LataProjekcji,$F1811&gt;0),AND($D1811=LataProjekcji,$F1811=0,$E1812&lt;=10)),$F1812,IF($D1811&lt;LataProjekcji,IF((SUM($K1813:O1813)+$D1813)&lt;$D1812,$D1813,$D1812-SUM($K1813:O1813)),0)),0)</f>
        <v>0</v>
      </c>
      <c r="Q1813" s="248">
        <f ca="1">ROUND(IF(OR(AND($D1811=LataProjekcji,$F1811&gt;0),AND($D1811=LataProjekcji,$F1811=0,$E1812&lt;=10)),$F1812,IF($D1811&lt;LataProjekcji,IF((SUM($K1813:P1813)+$D1813)&lt;$D1812,$D1813,$D1812-SUM($K1813:P1813)),0)),0)</f>
        <v>0</v>
      </c>
      <c r="R1813" s="248">
        <f ca="1">ROUND(IF(OR(AND($D1811=LataProjekcji,$F1811&gt;0),AND($D1811=LataProjekcji,$F1811=0,$E1812&lt;=10)),$F1812,IF($D1811&lt;LataProjekcji,IF((SUM($K1813:Q1813)+$D1813)&lt;$D1812,$D1813,$D1812-SUM($K1813:Q1813)),0)),0)</f>
        <v>0</v>
      </c>
      <c r="S1813" s="248">
        <f ca="1">ROUND(IF(OR(AND($D1811=LataProjekcji,$F1811&gt;0),AND($D1811=LataProjekcji,$F1811=0,$E1812&lt;=10)),$F1812,IF($D1811&lt;LataProjekcji,IF((SUM($K1813:R1813)+$D1813)&lt;$D1812,$D1813,$D1812-SUM($K1813:R1813)),0)),0)</f>
        <v>0</v>
      </c>
      <c r="T1813" s="248">
        <f ca="1">ROUND(IF(OR(AND($D1811=LataProjekcji,$F1811&gt;0),AND($D1811=LataProjekcji,$F1811=0,$E1812&lt;=10)),$F1812,IF($D1811&lt;LataProjekcji,IF((SUM($K1813:S1813)+$D1813)&lt;$D1812,$D1813,$D1812-SUM($K1813:S1813)),0)),0)</f>
        <v>0</v>
      </c>
      <c r="U1813" s="248">
        <f ca="1">ROUND(IF(OR(AND($D1811=LataProjekcji,$F1811&gt;0),AND($D1811=LataProjekcji,$F1811=0,$E1812&lt;=10)),$F1812,IF($D1811&lt;LataProjekcji,IF((SUM($K1813:T1813)+$D1813)&lt;$D1812,$D1813,$D1812-SUM($K1813:T1813)),0)),0)</f>
        <v>0</v>
      </c>
      <c r="V1813" s="248">
        <f ca="1">ROUND(IF(OR(AND($D1811=LataProjekcji,$F1811&gt;0),AND($D1811=LataProjekcji,$F1811=0,$E1812&lt;=10)),$F1812,IF($D1811&lt;LataProjekcji,IF((SUM($K1813:U1813)+$D1813)&lt;$D1812,$D1813,$D1812-SUM($K1813:U1813)),0)),0)</f>
        <v>0</v>
      </c>
      <c r="W1813" s="248">
        <f ca="1">ROUND(IF(OR(AND($D1811=LataProjekcji,$F1811&gt;0),AND($D1811=LataProjekcji,$F1811=0,$E1812&lt;=10)),$F1812,IF($D1811&lt;LataProjekcji,IF((SUM($K1813:V1813)+$D1813)&lt;$D1812,$D1813,$D1812-SUM($K1813:V1813)),0)),0)</f>
        <v>0</v>
      </c>
      <c r="X1813" s="248">
        <f ca="1">ROUND(IF(OR(AND($D1811=LataProjekcji,$F1811&gt;0),AND($D1811=LataProjekcji,$F1811=0,$E1812&lt;=10)),$F1812,IF($D1811&lt;LataProjekcji,IF((SUM($K1813:W1813)+$D1813)&lt;$D1812,$D1813,$D1812-SUM($K1813:W1813)),0)),0)</f>
        <v>0</v>
      </c>
    </row>
    <row r="1814" spans="1:24" hidden="1">
      <c r="A1814" s="328"/>
      <c r="B1814" s="21" t="s">
        <v>416</v>
      </c>
      <c r="C1814" s="21"/>
      <c r="D1814" s="22"/>
      <c r="E1814" s="21"/>
      <c r="F1814" s="21"/>
      <c r="G1814" s="21"/>
      <c r="H1814" s="21"/>
      <c r="I1814" s="21"/>
      <c r="J1814" s="21"/>
      <c r="K1814" s="22">
        <f ca="1">ROUND(K1813,0)</f>
        <v>0</v>
      </c>
      <c r="L1814" s="22">
        <f t="shared" ref="L1814:X1814" ca="1" si="1462">ROUND(K1814+L1813,0)</f>
        <v>0</v>
      </c>
      <c r="M1814" s="22">
        <f t="shared" ca="1" si="1462"/>
        <v>0</v>
      </c>
      <c r="N1814" s="22">
        <f t="shared" ca="1" si="1462"/>
        <v>0</v>
      </c>
      <c r="O1814" s="22">
        <f t="shared" ca="1" si="1462"/>
        <v>0</v>
      </c>
      <c r="P1814" s="22">
        <f t="shared" ca="1" si="1462"/>
        <v>0</v>
      </c>
      <c r="Q1814" s="22">
        <f t="shared" ca="1" si="1462"/>
        <v>0</v>
      </c>
      <c r="R1814" s="22">
        <f t="shared" ca="1" si="1462"/>
        <v>0</v>
      </c>
      <c r="S1814" s="22">
        <f t="shared" ca="1" si="1462"/>
        <v>0</v>
      </c>
      <c r="T1814" s="22">
        <f t="shared" ca="1" si="1462"/>
        <v>0</v>
      </c>
      <c r="U1814" s="22">
        <f t="shared" ca="1" si="1462"/>
        <v>0</v>
      </c>
      <c r="V1814" s="22">
        <f t="shared" ca="1" si="1462"/>
        <v>0</v>
      </c>
      <c r="W1814" s="22">
        <f t="shared" ca="1" si="1462"/>
        <v>0</v>
      </c>
      <c r="X1814" s="22">
        <f t="shared" ca="1" si="1462"/>
        <v>0</v>
      </c>
    </row>
    <row r="1815" spans="1:24" hidden="1">
      <c r="A1815" s="328"/>
      <c r="B1815" s="21" t="s">
        <v>406</v>
      </c>
      <c r="C1815" s="21"/>
      <c r="D1815" s="22"/>
      <c r="E1815" s="21"/>
      <c r="F1815" s="21"/>
      <c r="G1815" s="21"/>
      <c r="H1815" s="21"/>
      <c r="I1815" s="21"/>
      <c r="J1815" s="21"/>
      <c r="K1815" s="77">
        <f ca="1">IF($D1811=LataProjekcji,ROUND($D1812-K1814,0),ROUND(IF(K1813=0,0,$D1812-K1814),0))</f>
        <v>0</v>
      </c>
      <c r="L1815" s="254">
        <f t="shared" ref="L1815:X1815" ca="1" si="1463">IF($D1811=LataProjekcji,ROUND($D1812-L1814,0),ROUND(IF(AND(L1813=0,K1815&gt;0),$D1812-L1814,IF(L1813=0,0,$D1812-L1814)),0))</f>
        <v>0</v>
      </c>
      <c r="M1815" s="254">
        <f t="shared" ca="1" si="1463"/>
        <v>0</v>
      </c>
      <c r="N1815" s="254">
        <f t="shared" ca="1" si="1463"/>
        <v>0</v>
      </c>
      <c r="O1815" s="254">
        <f t="shared" ca="1" si="1463"/>
        <v>0</v>
      </c>
      <c r="P1815" s="254">
        <f t="shared" ca="1" si="1463"/>
        <v>0</v>
      </c>
      <c r="Q1815" s="254">
        <f t="shared" ca="1" si="1463"/>
        <v>0</v>
      </c>
      <c r="R1815" s="254">
        <f t="shared" ca="1" si="1463"/>
        <v>0</v>
      </c>
      <c r="S1815" s="254">
        <f t="shared" ca="1" si="1463"/>
        <v>0</v>
      </c>
      <c r="T1815" s="254">
        <f t="shared" ca="1" si="1463"/>
        <v>0</v>
      </c>
      <c r="U1815" s="254">
        <f t="shared" ca="1" si="1463"/>
        <v>0</v>
      </c>
      <c r="V1815" s="254">
        <f t="shared" ca="1" si="1463"/>
        <v>0</v>
      </c>
      <c r="W1815" s="254">
        <f t="shared" ca="1" si="1463"/>
        <v>0</v>
      </c>
      <c r="X1815" s="254">
        <f t="shared" ca="1" si="1463"/>
        <v>0</v>
      </c>
    </row>
    <row r="1816" spans="1:24" hidden="1">
      <c r="A1816" s="328"/>
      <c r="B1816" s="20"/>
      <c r="C1816" s="20"/>
      <c r="D1816" s="21"/>
      <c r="E1816" s="21"/>
      <c r="F1816" s="21"/>
      <c r="G1816" s="21"/>
      <c r="H1816" s="404">
        <f>H1809+1</f>
        <v>37</v>
      </c>
      <c r="I1816" s="483" cm="1">
        <f t="array" aca="1" ref="I1816" ca="1">OFFSET('Środki trwałe'!$C$418,H1816,,)</f>
        <v>0</v>
      </c>
      <c r="J1816" s="404" t="s">
        <v>427</v>
      </c>
      <c r="K1816" s="405">
        <f t="shared" ref="K1816:X1816" ca="1" si="1464">IF(AND(OFFSET($F$269,$D1810,0)="tak",OFFSET($G$269,$D1810,0)="tak",OFFSET($J$269,$D1810,0)="ok",LataProjekcji&lt;=Koniec_Projekt),ROUND(K1813*OFFSET($K$469,$H1816,(COLUMN()-11)),0),0)</f>
        <v>0</v>
      </c>
      <c r="L1816" s="405">
        <f t="shared" ca="1" si="1464"/>
        <v>0</v>
      </c>
      <c r="M1816" s="405">
        <f t="shared" ca="1" si="1464"/>
        <v>0</v>
      </c>
      <c r="N1816" s="405">
        <f t="shared" ca="1" si="1464"/>
        <v>0</v>
      </c>
      <c r="O1816" s="405">
        <f t="shared" ca="1" si="1464"/>
        <v>0</v>
      </c>
      <c r="P1816" s="405">
        <f t="shared" ca="1" si="1464"/>
        <v>0</v>
      </c>
      <c r="Q1816" s="405">
        <f t="shared" ca="1" si="1464"/>
        <v>0</v>
      </c>
      <c r="R1816" s="405">
        <f t="shared" ca="1" si="1464"/>
        <v>0</v>
      </c>
      <c r="S1816" s="405">
        <f t="shared" ca="1" si="1464"/>
        <v>0</v>
      </c>
      <c r="T1816" s="405">
        <f t="shared" ca="1" si="1464"/>
        <v>0</v>
      </c>
      <c r="U1816" s="405">
        <f t="shared" ca="1" si="1464"/>
        <v>0</v>
      </c>
      <c r="V1816" s="405">
        <f t="shared" ca="1" si="1464"/>
        <v>0</v>
      </c>
      <c r="W1816" s="405">
        <f t="shared" ca="1" si="1464"/>
        <v>0</v>
      </c>
      <c r="X1816" s="405">
        <f t="shared" ca="1" si="1464"/>
        <v>0</v>
      </c>
    </row>
    <row r="1817" spans="1:24" hidden="1">
      <c r="A1817" s="328"/>
      <c r="B1817" s="20">
        <f ca="1">OFFSET($B$269,D1817,0)</f>
        <v>0</v>
      </c>
      <c r="C1817" s="20"/>
      <c r="D1817" s="21">
        <f>D1810+1</f>
        <v>187</v>
      </c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</row>
    <row r="1818" spans="1:24" hidden="1">
      <c r="A1818" s="328"/>
      <c r="B1818" s="21" t="s">
        <v>414</v>
      </c>
      <c r="C1818" s="21"/>
      <c r="D1818" s="165">
        <f ca="1">YEAR(OFFSET($E$269,D1817,0))</f>
        <v>1900</v>
      </c>
      <c r="E1818" s="165">
        <f ca="1">MONTH(OFFSET($E$269,D1817,0))</f>
        <v>1</v>
      </c>
      <c r="F1818" s="21">
        <f ca="1">12-$E1818</f>
        <v>11</v>
      </c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</row>
    <row r="1819" spans="1:24" hidden="1">
      <c r="A1819" s="328"/>
      <c r="B1819" s="21" t="s">
        <v>406</v>
      </c>
      <c r="C1819" s="21"/>
      <c r="D1819" s="386">
        <f ca="1">IF(E1819&lt;0,0,ROUND(E1819,0))</f>
        <v>0</v>
      </c>
      <c r="E1819" s="249">
        <f ca="1">OFFSET($D$269,D1817,0)</f>
        <v>0</v>
      </c>
      <c r="F1819" s="386">
        <f ca="1">IF(E1819&gt;10,ROUND(($D1820/12)*$F1818,0),$D1819)</f>
        <v>0</v>
      </c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</row>
    <row r="1820" spans="1:24" hidden="1">
      <c r="A1820" s="328"/>
      <c r="B1820" s="21" t="s">
        <v>415</v>
      </c>
      <c r="C1820" s="21"/>
      <c r="D1820" s="386">
        <f ca="1">IF(ISBLANK(OFFSET($E$269,D1817,0)),0,IF(E1819&gt;10,ROUND(D1819*am_maszyny,0),IF(D1819&lt;0,0,D1819)))</f>
        <v>0</v>
      </c>
      <c r="E1820" s="21"/>
      <c r="F1820" s="21"/>
      <c r="G1820" s="21"/>
      <c r="H1820" s="21"/>
      <c r="I1820" s="21"/>
      <c r="J1820" s="21"/>
      <c r="K1820" s="75">
        <f ca="1">ROUND(IF($D1818=LataProjekcji,$F1819,IF($D1818=LataProjekcji,$D1820,0)),0)</f>
        <v>0</v>
      </c>
      <c r="L1820" s="248">
        <f ca="1">ROUND(IF(OR(AND($D1818=LataProjekcji,$F1818&gt;0),AND($D1818=LataProjekcji,$F1818=0,$E1819&lt;=10)),$F1819,IF($D1818&lt;LataProjekcji,IF((SUM($K1820:K1820)+$D1820)&lt;$D1819,$D1820,$D1819-SUM($K1820:K1820)),0)),0)</f>
        <v>0</v>
      </c>
      <c r="M1820" s="248">
        <f ca="1">ROUND(IF(OR(AND($D1818=LataProjekcji,$F1818&gt;0),AND($D1818=LataProjekcji,$F1818=0,$E1819&lt;=10)),$F1819,IF($D1818&lt;LataProjekcji,IF((SUM($K1820:L1820)+$D1820)&lt;$D1819,$D1820,$D1819-SUM($K1820:L1820)),0)),0)</f>
        <v>0</v>
      </c>
      <c r="N1820" s="248">
        <f ca="1">ROUND(IF(OR(AND($D1818=LataProjekcji,$F1818&gt;0),AND($D1818=LataProjekcji,$F1818=0,$E1819&lt;=10)),$F1819,IF($D1818&lt;LataProjekcji,IF((SUM($K1820:M1820)+$D1820)&lt;$D1819,$D1820,$D1819-SUM($K1820:M1820)),0)),0)</f>
        <v>0</v>
      </c>
      <c r="O1820" s="248">
        <f ca="1">ROUND(IF(OR(AND($D1818=LataProjekcji,$F1818&gt;0),AND($D1818=LataProjekcji,$F1818=0,$E1819&lt;=10)),$F1819,IF($D1818&lt;LataProjekcji,IF((SUM($K1820:N1820)+$D1820)&lt;$D1819,$D1820,$D1819-SUM($K1820:N1820)),0)),0)</f>
        <v>0</v>
      </c>
      <c r="P1820" s="248">
        <f ca="1">ROUND(IF(OR(AND($D1818=LataProjekcji,$F1818&gt;0),AND($D1818=LataProjekcji,$F1818=0,$E1819&lt;=10)),$F1819,IF($D1818&lt;LataProjekcji,IF((SUM($K1820:O1820)+$D1820)&lt;$D1819,$D1820,$D1819-SUM($K1820:O1820)),0)),0)</f>
        <v>0</v>
      </c>
      <c r="Q1820" s="248">
        <f ca="1">ROUND(IF(OR(AND($D1818=LataProjekcji,$F1818&gt;0),AND($D1818=LataProjekcji,$F1818=0,$E1819&lt;=10)),$F1819,IF($D1818&lt;LataProjekcji,IF((SUM($K1820:P1820)+$D1820)&lt;$D1819,$D1820,$D1819-SUM($K1820:P1820)),0)),0)</f>
        <v>0</v>
      </c>
      <c r="R1820" s="248">
        <f ca="1">ROUND(IF(OR(AND($D1818=LataProjekcji,$F1818&gt;0),AND($D1818=LataProjekcji,$F1818=0,$E1819&lt;=10)),$F1819,IF($D1818&lt;LataProjekcji,IF((SUM($K1820:Q1820)+$D1820)&lt;$D1819,$D1820,$D1819-SUM($K1820:Q1820)),0)),0)</f>
        <v>0</v>
      </c>
      <c r="S1820" s="248">
        <f ca="1">ROUND(IF(OR(AND($D1818=LataProjekcji,$F1818&gt;0),AND($D1818=LataProjekcji,$F1818=0,$E1819&lt;=10)),$F1819,IF($D1818&lt;LataProjekcji,IF((SUM($K1820:R1820)+$D1820)&lt;$D1819,$D1820,$D1819-SUM($K1820:R1820)),0)),0)</f>
        <v>0</v>
      </c>
      <c r="T1820" s="248">
        <f ca="1">ROUND(IF(OR(AND($D1818=LataProjekcji,$F1818&gt;0),AND($D1818=LataProjekcji,$F1818=0,$E1819&lt;=10)),$F1819,IF($D1818&lt;LataProjekcji,IF((SUM($K1820:S1820)+$D1820)&lt;$D1819,$D1820,$D1819-SUM($K1820:S1820)),0)),0)</f>
        <v>0</v>
      </c>
      <c r="U1820" s="248">
        <f ca="1">ROUND(IF(OR(AND($D1818=LataProjekcji,$F1818&gt;0),AND($D1818=LataProjekcji,$F1818=0,$E1819&lt;=10)),$F1819,IF($D1818&lt;LataProjekcji,IF((SUM($K1820:T1820)+$D1820)&lt;$D1819,$D1820,$D1819-SUM($K1820:T1820)),0)),0)</f>
        <v>0</v>
      </c>
      <c r="V1820" s="248">
        <f ca="1">ROUND(IF(OR(AND($D1818=LataProjekcji,$F1818&gt;0),AND($D1818=LataProjekcji,$F1818=0,$E1819&lt;=10)),$F1819,IF($D1818&lt;LataProjekcji,IF((SUM($K1820:U1820)+$D1820)&lt;$D1819,$D1820,$D1819-SUM($K1820:U1820)),0)),0)</f>
        <v>0</v>
      </c>
      <c r="W1820" s="248">
        <f ca="1">ROUND(IF(OR(AND($D1818=LataProjekcji,$F1818&gt;0),AND($D1818=LataProjekcji,$F1818=0,$E1819&lt;=10)),$F1819,IF($D1818&lt;LataProjekcji,IF((SUM($K1820:V1820)+$D1820)&lt;$D1819,$D1820,$D1819-SUM($K1820:V1820)),0)),0)</f>
        <v>0</v>
      </c>
      <c r="X1820" s="248">
        <f ca="1">ROUND(IF(OR(AND($D1818=LataProjekcji,$F1818&gt;0),AND($D1818=LataProjekcji,$F1818=0,$E1819&lt;=10)),$F1819,IF($D1818&lt;LataProjekcji,IF((SUM($K1820:W1820)+$D1820)&lt;$D1819,$D1820,$D1819-SUM($K1820:W1820)),0)),0)</f>
        <v>0</v>
      </c>
    </row>
    <row r="1821" spans="1:24" hidden="1">
      <c r="A1821" s="328"/>
      <c r="B1821" s="21" t="s">
        <v>416</v>
      </c>
      <c r="C1821" s="21"/>
      <c r="D1821" s="22"/>
      <c r="E1821" s="21"/>
      <c r="F1821" s="21"/>
      <c r="G1821" s="21"/>
      <c r="H1821" s="21"/>
      <c r="I1821" s="21"/>
      <c r="J1821" s="21"/>
      <c r="K1821" s="22">
        <f ca="1">ROUND(K1820,0)</f>
        <v>0</v>
      </c>
      <c r="L1821" s="22">
        <f t="shared" ref="L1821:X1821" ca="1" si="1465">ROUND(K1821+L1820,0)</f>
        <v>0</v>
      </c>
      <c r="M1821" s="22">
        <f t="shared" ca="1" si="1465"/>
        <v>0</v>
      </c>
      <c r="N1821" s="22">
        <f t="shared" ca="1" si="1465"/>
        <v>0</v>
      </c>
      <c r="O1821" s="22">
        <f t="shared" ca="1" si="1465"/>
        <v>0</v>
      </c>
      <c r="P1821" s="22">
        <f t="shared" ca="1" si="1465"/>
        <v>0</v>
      </c>
      <c r="Q1821" s="22">
        <f t="shared" ca="1" si="1465"/>
        <v>0</v>
      </c>
      <c r="R1821" s="22">
        <f t="shared" ca="1" si="1465"/>
        <v>0</v>
      </c>
      <c r="S1821" s="22">
        <f t="shared" ca="1" si="1465"/>
        <v>0</v>
      </c>
      <c r="T1821" s="22">
        <f t="shared" ca="1" si="1465"/>
        <v>0</v>
      </c>
      <c r="U1821" s="22">
        <f t="shared" ca="1" si="1465"/>
        <v>0</v>
      </c>
      <c r="V1821" s="22">
        <f t="shared" ca="1" si="1465"/>
        <v>0</v>
      </c>
      <c r="W1821" s="22">
        <f t="shared" ca="1" si="1465"/>
        <v>0</v>
      </c>
      <c r="X1821" s="22">
        <f t="shared" ca="1" si="1465"/>
        <v>0</v>
      </c>
    </row>
    <row r="1822" spans="1:24" hidden="1">
      <c r="A1822" s="328"/>
      <c r="B1822" s="21" t="s">
        <v>406</v>
      </c>
      <c r="C1822" s="21"/>
      <c r="D1822" s="22"/>
      <c r="E1822" s="21"/>
      <c r="F1822" s="21"/>
      <c r="G1822" s="21"/>
      <c r="H1822" s="21"/>
      <c r="I1822" s="21"/>
      <c r="J1822" s="21"/>
      <c r="K1822" s="77">
        <f ca="1">IF($D1818=LataProjekcji,ROUND($D1819-K1821,0),ROUND(IF(K1820=0,0,$D1819-K1821),0))</f>
        <v>0</v>
      </c>
      <c r="L1822" s="254">
        <f t="shared" ref="L1822:X1822" ca="1" si="1466">IF($D1818=LataProjekcji,ROUND($D1819-L1821,0),ROUND(IF(AND(L1820=0,K1822&gt;0),$D1819-L1821,IF(L1820=0,0,$D1819-L1821)),0))</f>
        <v>0</v>
      </c>
      <c r="M1822" s="254">
        <f t="shared" ca="1" si="1466"/>
        <v>0</v>
      </c>
      <c r="N1822" s="254">
        <f t="shared" ca="1" si="1466"/>
        <v>0</v>
      </c>
      <c r="O1822" s="254">
        <f t="shared" ca="1" si="1466"/>
        <v>0</v>
      </c>
      <c r="P1822" s="254">
        <f t="shared" ca="1" si="1466"/>
        <v>0</v>
      </c>
      <c r="Q1822" s="254">
        <f t="shared" ca="1" si="1466"/>
        <v>0</v>
      </c>
      <c r="R1822" s="254">
        <f t="shared" ca="1" si="1466"/>
        <v>0</v>
      </c>
      <c r="S1822" s="254">
        <f t="shared" ca="1" si="1466"/>
        <v>0</v>
      </c>
      <c r="T1822" s="254">
        <f t="shared" ca="1" si="1466"/>
        <v>0</v>
      </c>
      <c r="U1822" s="254">
        <f t="shared" ca="1" si="1466"/>
        <v>0</v>
      </c>
      <c r="V1822" s="254">
        <f t="shared" ca="1" si="1466"/>
        <v>0</v>
      </c>
      <c r="W1822" s="254">
        <f t="shared" ca="1" si="1466"/>
        <v>0</v>
      </c>
      <c r="X1822" s="254">
        <f t="shared" ca="1" si="1466"/>
        <v>0</v>
      </c>
    </row>
    <row r="1823" spans="1:24" hidden="1">
      <c r="A1823" s="328"/>
      <c r="B1823" s="21"/>
      <c r="C1823" s="21"/>
      <c r="D1823" s="22"/>
      <c r="E1823" s="21"/>
      <c r="F1823" s="21"/>
      <c r="G1823" s="21"/>
      <c r="H1823" s="404">
        <f>H1816+1</f>
        <v>38</v>
      </c>
      <c r="I1823" s="483" cm="1">
        <f t="array" aca="1" ref="I1823" ca="1">OFFSET('Środki trwałe'!$C$418,H1823,,)</f>
        <v>0</v>
      </c>
      <c r="J1823" s="404" t="s">
        <v>427</v>
      </c>
      <c r="K1823" s="405">
        <f t="shared" ref="K1823:X1823" ca="1" si="1467">IF(AND(OFFSET($F$269,$D1817,0)="tak",OFFSET($G$269,$D1817,0)="tak",OFFSET($J$269,$D1817,0)="ok",LataProjekcji&lt;=Koniec_Projekt),ROUND(K1820*OFFSET($K$469,$H1823,(COLUMN()-11)),0),0)</f>
        <v>0</v>
      </c>
      <c r="L1823" s="405">
        <f t="shared" ca="1" si="1467"/>
        <v>0</v>
      </c>
      <c r="M1823" s="405">
        <f t="shared" ca="1" si="1467"/>
        <v>0</v>
      </c>
      <c r="N1823" s="405">
        <f t="shared" ca="1" si="1467"/>
        <v>0</v>
      </c>
      <c r="O1823" s="405">
        <f t="shared" ca="1" si="1467"/>
        <v>0</v>
      </c>
      <c r="P1823" s="405">
        <f t="shared" ca="1" si="1467"/>
        <v>0</v>
      </c>
      <c r="Q1823" s="405">
        <f t="shared" ca="1" si="1467"/>
        <v>0</v>
      </c>
      <c r="R1823" s="405">
        <f t="shared" ca="1" si="1467"/>
        <v>0</v>
      </c>
      <c r="S1823" s="405">
        <f t="shared" ca="1" si="1467"/>
        <v>0</v>
      </c>
      <c r="T1823" s="405">
        <f t="shared" ca="1" si="1467"/>
        <v>0</v>
      </c>
      <c r="U1823" s="405">
        <f t="shared" ca="1" si="1467"/>
        <v>0</v>
      </c>
      <c r="V1823" s="405">
        <f t="shared" ca="1" si="1467"/>
        <v>0</v>
      </c>
      <c r="W1823" s="405">
        <f t="shared" ca="1" si="1467"/>
        <v>0</v>
      </c>
      <c r="X1823" s="405">
        <f t="shared" ca="1" si="1467"/>
        <v>0</v>
      </c>
    </row>
    <row r="1824" spans="1:24" hidden="1">
      <c r="A1824" s="328"/>
      <c r="B1824" s="20">
        <f ca="1">OFFSET($B$269,D1824,0)</f>
        <v>0</v>
      </c>
      <c r="C1824" s="20"/>
      <c r="D1824" s="21">
        <f>D1817+1</f>
        <v>188</v>
      </c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</row>
    <row r="1825" spans="1:24" hidden="1">
      <c r="A1825" s="328"/>
      <c r="B1825" s="21" t="s">
        <v>414</v>
      </c>
      <c r="C1825" s="21"/>
      <c r="D1825" s="165">
        <f ca="1">YEAR(OFFSET($E$269,D1824,0))</f>
        <v>1900</v>
      </c>
      <c r="E1825" s="165">
        <f ca="1">MONTH(OFFSET($E$269,D1824,0))</f>
        <v>1</v>
      </c>
      <c r="F1825" s="21">
        <f ca="1">12-$E1825</f>
        <v>11</v>
      </c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</row>
    <row r="1826" spans="1:24" hidden="1">
      <c r="A1826" s="328"/>
      <c r="B1826" s="21" t="s">
        <v>406</v>
      </c>
      <c r="C1826" s="21"/>
      <c r="D1826" s="387">
        <f ca="1">IF(E1826&lt;0,0,ROUND(E1826,0))</f>
        <v>0</v>
      </c>
      <c r="E1826" s="249">
        <f ca="1">OFFSET($D$269,D1824,0)</f>
        <v>0</v>
      </c>
      <c r="F1826" s="387">
        <f ca="1">IF(E1826&gt;10,ROUND(($D1827/12)*$F1825,0),$D1826)</f>
        <v>0</v>
      </c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</row>
    <row r="1827" spans="1:24" hidden="1">
      <c r="A1827" s="328"/>
      <c r="B1827" s="21" t="s">
        <v>415</v>
      </c>
      <c r="C1827" s="21"/>
      <c r="D1827" s="387">
        <f ca="1">IF(ISBLANK(OFFSET($E$269,D1824,0)),0,IF(E1826&gt;10,ROUND(D1826*am_maszyny,0),IF(D1826&lt;0,0,D1826)))</f>
        <v>0</v>
      </c>
      <c r="E1827" s="21"/>
      <c r="F1827" s="21"/>
      <c r="G1827" s="21"/>
      <c r="H1827" s="21"/>
      <c r="I1827" s="21"/>
      <c r="J1827" s="21"/>
      <c r="K1827" s="75">
        <f ca="1">ROUND(IF($D1825=LataProjekcji,$F1826,IF($D1825=LataProjekcji,$D1827,0)),0)</f>
        <v>0</v>
      </c>
      <c r="L1827" s="248">
        <f ca="1">ROUND(IF(OR(AND($D1825=LataProjekcji,$F1825&gt;0),AND($D1825=LataProjekcji,$F1825=0,$E1826&lt;=10)),$F1826,IF($D1825&lt;LataProjekcji,IF((SUM($K1827:K1827)+$D1827)&lt;$D1826,$D1827,$D1826-SUM($K1827:K1827)),0)),0)</f>
        <v>0</v>
      </c>
      <c r="M1827" s="248">
        <f ca="1">ROUND(IF(OR(AND($D1825=LataProjekcji,$F1825&gt;0),AND($D1825=LataProjekcji,$F1825=0,$E1826&lt;=10)),$F1826,IF($D1825&lt;LataProjekcji,IF((SUM($K1827:L1827)+$D1827)&lt;$D1826,$D1827,$D1826-SUM($K1827:L1827)),0)),0)</f>
        <v>0</v>
      </c>
      <c r="N1827" s="248">
        <f ca="1">ROUND(IF(OR(AND($D1825=LataProjekcji,$F1825&gt;0),AND($D1825=LataProjekcji,$F1825=0,$E1826&lt;=10)),$F1826,IF($D1825&lt;LataProjekcji,IF((SUM($K1827:M1827)+$D1827)&lt;$D1826,$D1827,$D1826-SUM($K1827:M1827)),0)),0)</f>
        <v>0</v>
      </c>
      <c r="O1827" s="248">
        <f ca="1">ROUND(IF(OR(AND($D1825=LataProjekcji,$F1825&gt;0),AND($D1825=LataProjekcji,$F1825=0,$E1826&lt;=10)),$F1826,IF($D1825&lt;LataProjekcji,IF((SUM($K1827:N1827)+$D1827)&lt;$D1826,$D1827,$D1826-SUM($K1827:N1827)),0)),0)</f>
        <v>0</v>
      </c>
      <c r="P1827" s="248">
        <f ca="1">ROUND(IF(OR(AND($D1825=LataProjekcji,$F1825&gt;0),AND($D1825=LataProjekcji,$F1825=0,$E1826&lt;=10)),$F1826,IF($D1825&lt;LataProjekcji,IF((SUM($K1827:O1827)+$D1827)&lt;$D1826,$D1827,$D1826-SUM($K1827:O1827)),0)),0)</f>
        <v>0</v>
      </c>
      <c r="Q1827" s="248">
        <f ca="1">ROUND(IF(OR(AND($D1825=LataProjekcji,$F1825&gt;0),AND($D1825=LataProjekcji,$F1825=0,$E1826&lt;=10)),$F1826,IF($D1825&lt;LataProjekcji,IF((SUM($K1827:P1827)+$D1827)&lt;$D1826,$D1827,$D1826-SUM($K1827:P1827)),0)),0)</f>
        <v>0</v>
      </c>
      <c r="R1827" s="248">
        <f ca="1">ROUND(IF(OR(AND($D1825=LataProjekcji,$F1825&gt;0),AND($D1825=LataProjekcji,$F1825=0,$E1826&lt;=10)),$F1826,IF($D1825&lt;LataProjekcji,IF((SUM($K1827:Q1827)+$D1827)&lt;$D1826,$D1827,$D1826-SUM($K1827:Q1827)),0)),0)</f>
        <v>0</v>
      </c>
      <c r="S1827" s="248">
        <f ca="1">ROUND(IF(OR(AND($D1825=LataProjekcji,$F1825&gt;0),AND($D1825=LataProjekcji,$F1825=0,$E1826&lt;=10)),$F1826,IF($D1825&lt;LataProjekcji,IF((SUM($K1827:R1827)+$D1827)&lt;$D1826,$D1827,$D1826-SUM($K1827:R1827)),0)),0)</f>
        <v>0</v>
      </c>
      <c r="T1827" s="248">
        <f ca="1">ROUND(IF(OR(AND($D1825=LataProjekcji,$F1825&gt;0),AND($D1825=LataProjekcji,$F1825=0,$E1826&lt;=10)),$F1826,IF($D1825&lt;LataProjekcji,IF((SUM($K1827:S1827)+$D1827)&lt;$D1826,$D1827,$D1826-SUM($K1827:S1827)),0)),0)</f>
        <v>0</v>
      </c>
      <c r="U1827" s="248">
        <f ca="1">ROUND(IF(OR(AND($D1825=LataProjekcji,$F1825&gt;0),AND($D1825=LataProjekcji,$F1825=0,$E1826&lt;=10)),$F1826,IF($D1825&lt;LataProjekcji,IF((SUM($K1827:T1827)+$D1827)&lt;$D1826,$D1827,$D1826-SUM($K1827:T1827)),0)),0)</f>
        <v>0</v>
      </c>
      <c r="V1827" s="248">
        <f ca="1">ROUND(IF(OR(AND($D1825=LataProjekcji,$F1825&gt;0),AND($D1825=LataProjekcji,$F1825=0,$E1826&lt;=10)),$F1826,IF($D1825&lt;LataProjekcji,IF((SUM($K1827:U1827)+$D1827)&lt;$D1826,$D1827,$D1826-SUM($K1827:U1827)),0)),0)</f>
        <v>0</v>
      </c>
      <c r="W1827" s="248">
        <f ca="1">ROUND(IF(OR(AND($D1825=LataProjekcji,$F1825&gt;0),AND($D1825=LataProjekcji,$F1825=0,$E1826&lt;=10)),$F1826,IF($D1825&lt;LataProjekcji,IF((SUM($K1827:V1827)+$D1827)&lt;$D1826,$D1827,$D1826-SUM($K1827:V1827)),0)),0)</f>
        <v>0</v>
      </c>
      <c r="X1827" s="248">
        <f ca="1">ROUND(IF(OR(AND($D1825=LataProjekcji,$F1825&gt;0),AND($D1825=LataProjekcji,$F1825=0,$E1826&lt;=10)),$F1826,IF($D1825&lt;LataProjekcji,IF((SUM($K1827:W1827)+$D1827)&lt;$D1826,$D1827,$D1826-SUM($K1827:W1827)),0)),0)</f>
        <v>0</v>
      </c>
    </row>
    <row r="1828" spans="1:24" hidden="1">
      <c r="A1828" s="328"/>
      <c r="B1828" s="21" t="s">
        <v>416</v>
      </c>
      <c r="C1828" s="21"/>
      <c r="D1828" s="22"/>
      <c r="E1828" s="21"/>
      <c r="F1828" s="21"/>
      <c r="G1828" s="21"/>
      <c r="H1828" s="21"/>
      <c r="I1828" s="21"/>
      <c r="J1828" s="21"/>
      <c r="K1828" s="22">
        <f ca="1">ROUND(K1827,0)</f>
        <v>0</v>
      </c>
      <c r="L1828" s="22">
        <f t="shared" ref="L1828:X1828" ca="1" si="1468">ROUND(K1828+L1827,0)</f>
        <v>0</v>
      </c>
      <c r="M1828" s="22">
        <f t="shared" ca="1" si="1468"/>
        <v>0</v>
      </c>
      <c r="N1828" s="22">
        <f t="shared" ca="1" si="1468"/>
        <v>0</v>
      </c>
      <c r="O1828" s="22">
        <f t="shared" ca="1" si="1468"/>
        <v>0</v>
      </c>
      <c r="P1828" s="22">
        <f t="shared" ca="1" si="1468"/>
        <v>0</v>
      </c>
      <c r="Q1828" s="22">
        <f t="shared" ca="1" si="1468"/>
        <v>0</v>
      </c>
      <c r="R1828" s="22">
        <f t="shared" ca="1" si="1468"/>
        <v>0</v>
      </c>
      <c r="S1828" s="22">
        <f t="shared" ca="1" si="1468"/>
        <v>0</v>
      </c>
      <c r="T1828" s="22">
        <f t="shared" ca="1" si="1468"/>
        <v>0</v>
      </c>
      <c r="U1828" s="22">
        <f t="shared" ca="1" si="1468"/>
        <v>0</v>
      </c>
      <c r="V1828" s="22">
        <f t="shared" ca="1" si="1468"/>
        <v>0</v>
      </c>
      <c r="W1828" s="22">
        <f t="shared" ca="1" si="1468"/>
        <v>0</v>
      </c>
      <c r="X1828" s="22">
        <f t="shared" ca="1" si="1468"/>
        <v>0</v>
      </c>
    </row>
    <row r="1829" spans="1:24" hidden="1">
      <c r="A1829" s="328"/>
      <c r="B1829" s="21" t="s">
        <v>406</v>
      </c>
      <c r="C1829" s="21"/>
      <c r="D1829" s="22"/>
      <c r="E1829" s="21"/>
      <c r="F1829" s="21"/>
      <c r="G1829" s="21"/>
      <c r="H1829" s="21"/>
      <c r="I1829" s="21"/>
      <c r="J1829" s="21"/>
      <c r="K1829" s="77">
        <f ca="1">IF($D1825=LataProjekcji,ROUND($D1826-K1828,0),ROUND(IF(K1827=0,0,$D1826-K1828),0))</f>
        <v>0</v>
      </c>
      <c r="L1829" s="254">
        <f t="shared" ref="L1829:X1829" ca="1" si="1469">IF($D1825=LataProjekcji,ROUND($D1826-L1828,0),ROUND(IF(AND(L1827=0,K1829&gt;0),$D1826-L1828,IF(L1827=0,0,$D1826-L1828)),0))</f>
        <v>0</v>
      </c>
      <c r="M1829" s="254">
        <f t="shared" ca="1" si="1469"/>
        <v>0</v>
      </c>
      <c r="N1829" s="254">
        <f t="shared" ca="1" si="1469"/>
        <v>0</v>
      </c>
      <c r="O1829" s="254">
        <f t="shared" ca="1" si="1469"/>
        <v>0</v>
      </c>
      <c r="P1829" s="254">
        <f t="shared" ca="1" si="1469"/>
        <v>0</v>
      </c>
      <c r="Q1829" s="254">
        <f t="shared" ca="1" si="1469"/>
        <v>0</v>
      </c>
      <c r="R1829" s="254">
        <f t="shared" ca="1" si="1469"/>
        <v>0</v>
      </c>
      <c r="S1829" s="254">
        <f t="shared" ca="1" si="1469"/>
        <v>0</v>
      </c>
      <c r="T1829" s="254">
        <f t="shared" ca="1" si="1469"/>
        <v>0</v>
      </c>
      <c r="U1829" s="254">
        <f t="shared" ca="1" si="1469"/>
        <v>0</v>
      </c>
      <c r="V1829" s="254">
        <f t="shared" ca="1" si="1469"/>
        <v>0</v>
      </c>
      <c r="W1829" s="254">
        <f t="shared" ca="1" si="1469"/>
        <v>0</v>
      </c>
      <c r="X1829" s="254">
        <f t="shared" ca="1" si="1469"/>
        <v>0</v>
      </c>
    </row>
    <row r="1830" spans="1:24" hidden="1">
      <c r="A1830" s="328"/>
      <c r="H1830" s="404">
        <f>H1823+1</f>
        <v>39</v>
      </c>
      <c r="I1830" s="483" cm="1">
        <f t="array" aca="1" ref="I1830" ca="1">OFFSET('Środki trwałe'!$C$418,H1830,,)</f>
        <v>0</v>
      </c>
      <c r="J1830" s="404" t="s">
        <v>427</v>
      </c>
      <c r="K1830" s="405">
        <f t="shared" ref="K1830:X1830" ca="1" si="1470">IF(AND(OFFSET($F$269,$D1824,0)="tak",OFFSET($G$269,$D1824,0)="tak",OFFSET($J$269,$D1824,0)="ok",LataProjekcji&lt;=Koniec_Projekt),ROUND(K1827*OFFSET($K$469,$H1830,(COLUMN()-11)),0),0)</f>
        <v>0</v>
      </c>
      <c r="L1830" s="405">
        <f t="shared" ca="1" si="1470"/>
        <v>0</v>
      </c>
      <c r="M1830" s="405">
        <f t="shared" ca="1" si="1470"/>
        <v>0</v>
      </c>
      <c r="N1830" s="405">
        <f t="shared" ca="1" si="1470"/>
        <v>0</v>
      </c>
      <c r="O1830" s="405">
        <f t="shared" ca="1" si="1470"/>
        <v>0</v>
      </c>
      <c r="P1830" s="405">
        <f t="shared" ca="1" si="1470"/>
        <v>0</v>
      </c>
      <c r="Q1830" s="405">
        <f t="shared" ca="1" si="1470"/>
        <v>0</v>
      </c>
      <c r="R1830" s="405">
        <f t="shared" ca="1" si="1470"/>
        <v>0</v>
      </c>
      <c r="S1830" s="405">
        <f t="shared" ca="1" si="1470"/>
        <v>0</v>
      </c>
      <c r="T1830" s="405">
        <f t="shared" ca="1" si="1470"/>
        <v>0</v>
      </c>
      <c r="U1830" s="405">
        <f t="shared" ca="1" si="1470"/>
        <v>0</v>
      </c>
      <c r="V1830" s="405">
        <f t="shared" ca="1" si="1470"/>
        <v>0</v>
      </c>
      <c r="W1830" s="405">
        <f t="shared" ca="1" si="1470"/>
        <v>0</v>
      </c>
      <c r="X1830" s="405">
        <f t="shared" ca="1" si="1470"/>
        <v>0</v>
      </c>
    </row>
    <row r="1831" spans="1:24" hidden="1">
      <c r="A1831" s="328"/>
      <c r="B1831" s="379" t="s">
        <v>432</v>
      </c>
      <c r="C1831" s="379"/>
    </row>
    <row r="1832" spans="1:24" ht="20.399999999999999" hidden="1">
      <c r="A1832" s="328"/>
      <c r="B1832" s="7" t="s">
        <v>433</v>
      </c>
      <c r="C1832" s="7"/>
      <c r="D1832" s="375" t="s">
        <v>406</v>
      </c>
      <c r="E1832" s="375" t="s">
        <v>421</v>
      </c>
      <c r="F1832" s="393" t="s">
        <v>336</v>
      </c>
      <c r="G1832" s="393" t="s">
        <v>422</v>
      </c>
      <c r="J1832" s="393" t="s">
        <v>423</v>
      </c>
    </row>
    <row r="1833" spans="1:24" hidden="1">
      <c r="A1833" s="328"/>
      <c r="B1833" s="37" t="str">
        <f>IF(ISBLANK(B565),"",B565)</f>
        <v/>
      </c>
      <c r="C1833" s="37"/>
      <c r="D1833" s="33">
        <f ca="1">IFERROR(SUM(INDIRECT(ADDRESS(ROW(K565),(MATCH(D565,LataProjekcji,0)+6))):INDIRECT(ADDRESS(ROW(K565),(MATCH(YEAR(E565),LataProjekcji,0)+6)))),0)</f>
        <v>0</v>
      </c>
      <c r="E1833" s="384" t="str">
        <f>IF(ISBLANK(E565),"",E565)</f>
        <v/>
      </c>
      <c r="F1833" s="74">
        <f t="shared" ref="F1833:G1837" si="1471">F565</f>
        <v>0</v>
      </c>
      <c r="G1833" s="74">
        <f t="shared" si="1471"/>
        <v>0</v>
      </c>
      <c r="J1833" s="74" t="str">
        <f>J565</f>
        <v>wstaw dane</v>
      </c>
      <c r="K1833" s="33">
        <f t="shared" ref="K1833:X1837" si="1472">IFERROR(ROUND(IF(YEAR($E1833)=LataProjekcji,$D1833,0),0),0)</f>
        <v>0</v>
      </c>
      <c r="L1833" s="33">
        <f t="shared" si="1472"/>
        <v>0</v>
      </c>
      <c r="M1833" s="33">
        <f t="shared" si="1472"/>
        <v>0</v>
      </c>
      <c r="N1833" s="33">
        <f t="shared" si="1472"/>
        <v>0</v>
      </c>
      <c r="O1833" s="33">
        <f t="shared" si="1472"/>
        <v>0</v>
      </c>
      <c r="P1833" s="33">
        <f t="shared" si="1472"/>
        <v>0</v>
      </c>
      <c r="Q1833" s="33">
        <f t="shared" si="1472"/>
        <v>0</v>
      </c>
      <c r="R1833" s="33">
        <f t="shared" si="1472"/>
        <v>0</v>
      </c>
      <c r="S1833" s="33">
        <f t="shared" si="1472"/>
        <v>0</v>
      </c>
      <c r="T1833" s="33">
        <f t="shared" si="1472"/>
        <v>0</v>
      </c>
      <c r="U1833" s="33">
        <f t="shared" si="1472"/>
        <v>0</v>
      </c>
      <c r="V1833" s="33">
        <f t="shared" si="1472"/>
        <v>0</v>
      </c>
      <c r="W1833" s="33">
        <f t="shared" si="1472"/>
        <v>0</v>
      </c>
      <c r="X1833" s="33">
        <f t="shared" si="1472"/>
        <v>0</v>
      </c>
    </row>
    <row r="1834" spans="1:24" hidden="1">
      <c r="A1834" s="328"/>
      <c r="B1834" s="37" t="str">
        <f>IF(ISBLANK(B566),"",B566)</f>
        <v/>
      </c>
      <c r="C1834" s="37"/>
      <c r="D1834" s="33">
        <f ca="1">IFERROR(SUM(INDIRECT(ADDRESS(ROW(K566),(MATCH(D566,LataProjekcji,0)+6))):INDIRECT(ADDRESS(ROW(K566),(MATCH(YEAR(E566),LataProjekcji,0)+6)))),0)</f>
        <v>0</v>
      </c>
      <c r="E1834" s="384" t="str">
        <f>IF(ISBLANK(E566),"",E566)</f>
        <v/>
      </c>
      <c r="F1834" s="74">
        <f t="shared" si="1471"/>
        <v>0</v>
      </c>
      <c r="G1834" s="74">
        <f t="shared" si="1471"/>
        <v>0</v>
      </c>
      <c r="J1834" s="74" t="str">
        <f>J566</f>
        <v>wstaw dane</v>
      </c>
      <c r="K1834" s="33">
        <f t="shared" si="1472"/>
        <v>0</v>
      </c>
      <c r="L1834" s="33">
        <f t="shared" si="1472"/>
        <v>0</v>
      </c>
      <c r="M1834" s="33">
        <f t="shared" si="1472"/>
        <v>0</v>
      </c>
      <c r="N1834" s="33">
        <f t="shared" si="1472"/>
        <v>0</v>
      </c>
      <c r="O1834" s="33">
        <f t="shared" si="1472"/>
        <v>0</v>
      </c>
      <c r="P1834" s="33">
        <f t="shared" si="1472"/>
        <v>0</v>
      </c>
      <c r="Q1834" s="33">
        <f t="shared" si="1472"/>
        <v>0</v>
      </c>
      <c r="R1834" s="33">
        <f t="shared" si="1472"/>
        <v>0</v>
      </c>
      <c r="S1834" s="33">
        <f t="shared" si="1472"/>
        <v>0</v>
      </c>
      <c r="T1834" s="33">
        <f t="shared" si="1472"/>
        <v>0</v>
      </c>
      <c r="U1834" s="33">
        <f t="shared" si="1472"/>
        <v>0</v>
      </c>
      <c r="V1834" s="33">
        <f t="shared" si="1472"/>
        <v>0</v>
      </c>
      <c r="W1834" s="33">
        <f t="shared" si="1472"/>
        <v>0</v>
      </c>
      <c r="X1834" s="33">
        <f t="shared" si="1472"/>
        <v>0</v>
      </c>
    </row>
    <row r="1835" spans="1:24" hidden="1">
      <c r="A1835" s="328"/>
      <c r="B1835" s="37" t="str">
        <f>IF(ISBLANK(B567),"",B567)</f>
        <v/>
      </c>
      <c r="C1835" s="37"/>
      <c r="D1835" s="33">
        <f ca="1">IFERROR(SUM(INDIRECT(ADDRESS(ROW(K567),(MATCH(D567,LataProjekcji,0)+6))):INDIRECT(ADDRESS(ROW(K567),(MATCH(YEAR(E567),LataProjekcji,0)+6)))),0)</f>
        <v>0</v>
      </c>
      <c r="E1835" s="384" t="str">
        <f>IF(ISBLANK(E567),"",E567)</f>
        <v/>
      </c>
      <c r="F1835" s="74">
        <f t="shared" si="1471"/>
        <v>0</v>
      </c>
      <c r="G1835" s="74">
        <f t="shared" si="1471"/>
        <v>0</v>
      </c>
      <c r="J1835" s="74" t="str">
        <f>J567</f>
        <v>wstaw dane</v>
      </c>
      <c r="K1835" s="33">
        <f t="shared" si="1472"/>
        <v>0</v>
      </c>
      <c r="L1835" s="33">
        <f t="shared" si="1472"/>
        <v>0</v>
      </c>
      <c r="M1835" s="33">
        <f t="shared" si="1472"/>
        <v>0</v>
      </c>
      <c r="N1835" s="33">
        <f t="shared" si="1472"/>
        <v>0</v>
      </c>
      <c r="O1835" s="33">
        <f t="shared" si="1472"/>
        <v>0</v>
      </c>
      <c r="P1835" s="33">
        <f t="shared" si="1472"/>
        <v>0</v>
      </c>
      <c r="Q1835" s="33">
        <f t="shared" si="1472"/>
        <v>0</v>
      </c>
      <c r="R1835" s="33">
        <f t="shared" si="1472"/>
        <v>0</v>
      </c>
      <c r="S1835" s="33">
        <f t="shared" si="1472"/>
        <v>0</v>
      </c>
      <c r="T1835" s="33">
        <f t="shared" si="1472"/>
        <v>0</v>
      </c>
      <c r="U1835" s="33">
        <f t="shared" si="1472"/>
        <v>0</v>
      </c>
      <c r="V1835" s="33">
        <f t="shared" si="1472"/>
        <v>0</v>
      </c>
      <c r="W1835" s="33">
        <f t="shared" si="1472"/>
        <v>0</v>
      </c>
      <c r="X1835" s="33">
        <f t="shared" si="1472"/>
        <v>0</v>
      </c>
    </row>
    <row r="1836" spans="1:24" hidden="1">
      <c r="A1836" s="328"/>
      <c r="B1836" s="37" t="str">
        <f>IF(ISBLANK(B568),"",B568)</f>
        <v/>
      </c>
      <c r="C1836" s="37"/>
      <c r="D1836" s="33">
        <f ca="1">IFERROR(SUM(INDIRECT(ADDRESS(ROW(K568),(MATCH(D568,LataProjekcji,0)+6))):INDIRECT(ADDRESS(ROW(K568),(MATCH(YEAR(E568),LataProjekcji,0)+6)))),0)</f>
        <v>0</v>
      </c>
      <c r="E1836" s="384" t="str">
        <f>IF(ISBLANK(E568),"",E568)</f>
        <v/>
      </c>
      <c r="F1836" s="74">
        <f t="shared" si="1471"/>
        <v>0</v>
      </c>
      <c r="G1836" s="74">
        <f t="shared" si="1471"/>
        <v>0</v>
      </c>
      <c r="J1836" s="74" t="str">
        <f>J568</f>
        <v>wstaw dane</v>
      </c>
      <c r="K1836" s="33">
        <f t="shared" si="1472"/>
        <v>0</v>
      </c>
      <c r="L1836" s="33">
        <f t="shared" si="1472"/>
        <v>0</v>
      </c>
      <c r="M1836" s="33">
        <f t="shared" si="1472"/>
        <v>0</v>
      </c>
      <c r="N1836" s="33">
        <f t="shared" si="1472"/>
        <v>0</v>
      </c>
      <c r="O1836" s="33">
        <f t="shared" si="1472"/>
        <v>0</v>
      </c>
      <c r="P1836" s="33">
        <f t="shared" si="1472"/>
        <v>0</v>
      </c>
      <c r="Q1836" s="33">
        <f t="shared" si="1472"/>
        <v>0</v>
      </c>
      <c r="R1836" s="33">
        <f t="shared" si="1472"/>
        <v>0</v>
      </c>
      <c r="S1836" s="33">
        <f t="shared" si="1472"/>
        <v>0</v>
      </c>
      <c r="T1836" s="33">
        <f t="shared" si="1472"/>
        <v>0</v>
      </c>
      <c r="U1836" s="33">
        <f t="shared" si="1472"/>
        <v>0</v>
      </c>
      <c r="V1836" s="33">
        <f t="shared" si="1472"/>
        <v>0</v>
      </c>
      <c r="W1836" s="33">
        <f t="shared" si="1472"/>
        <v>0</v>
      </c>
      <c r="X1836" s="33">
        <f t="shared" si="1472"/>
        <v>0</v>
      </c>
    </row>
    <row r="1837" spans="1:24" hidden="1">
      <c r="A1837" s="328"/>
      <c r="B1837" s="37" t="str">
        <f>IF(ISBLANK(B569),"",B569)</f>
        <v/>
      </c>
      <c r="C1837" s="37"/>
      <c r="D1837" s="33">
        <f ca="1">IFERROR(SUM(INDIRECT(ADDRESS(ROW(K569),(MATCH(D569,LataProjekcji,0)+6))):INDIRECT(ADDRESS(ROW(K569),(MATCH(YEAR(E569),LataProjekcji,0)+6)))),0)</f>
        <v>0</v>
      </c>
      <c r="E1837" s="384" t="str">
        <f>IF(ISBLANK(E569),"",E569)</f>
        <v/>
      </c>
      <c r="F1837" s="74">
        <f t="shared" si="1471"/>
        <v>0</v>
      </c>
      <c r="G1837" s="74">
        <f t="shared" si="1471"/>
        <v>0</v>
      </c>
      <c r="J1837" s="74" t="str">
        <f>J569</f>
        <v>wstaw dane</v>
      </c>
      <c r="K1837" s="33">
        <f t="shared" si="1472"/>
        <v>0</v>
      </c>
      <c r="L1837" s="33">
        <f t="shared" si="1472"/>
        <v>0</v>
      </c>
      <c r="M1837" s="33">
        <f t="shared" si="1472"/>
        <v>0</v>
      </c>
      <c r="N1837" s="33">
        <f t="shared" si="1472"/>
        <v>0</v>
      </c>
      <c r="O1837" s="33">
        <f t="shared" si="1472"/>
        <v>0</v>
      </c>
      <c r="P1837" s="33">
        <f t="shared" si="1472"/>
        <v>0</v>
      </c>
      <c r="Q1837" s="33">
        <f t="shared" si="1472"/>
        <v>0</v>
      </c>
      <c r="R1837" s="33">
        <f t="shared" si="1472"/>
        <v>0</v>
      </c>
      <c r="S1837" s="33">
        <f t="shared" si="1472"/>
        <v>0</v>
      </c>
      <c r="T1837" s="33">
        <f t="shared" si="1472"/>
        <v>0</v>
      </c>
      <c r="U1837" s="33">
        <f t="shared" si="1472"/>
        <v>0</v>
      </c>
      <c r="V1837" s="33">
        <f t="shared" si="1472"/>
        <v>0</v>
      </c>
      <c r="W1837" s="33">
        <f t="shared" si="1472"/>
        <v>0</v>
      </c>
      <c r="X1837" s="33">
        <f t="shared" si="1472"/>
        <v>0</v>
      </c>
    </row>
    <row r="1838" spans="1:24" hidden="1">
      <c r="A1838" s="328"/>
      <c r="B1838" s="17" t="s">
        <v>335</v>
      </c>
      <c r="C1838" s="17"/>
      <c r="D1838" s="18">
        <f ca="1">SUM(D1833:D1837)</f>
        <v>0</v>
      </c>
      <c r="E1838" s="377"/>
      <c r="F1838" s="19"/>
      <c r="G1838" s="18">
        <f>SUM(G1833:G1837)</f>
        <v>0</v>
      </c>
      <c r="H1838" s="19"/>
      <c r="I1838" s="19"/>
      <c r="J1838" s="19"/>
      <c r="K1838" s="18">
        <f t="shared" ref="K1838:X1838" si="1473">SUM(K1833:K1837)</f>
        <v>0</v>
      </c>
      <c r="L1838" s="18">
        <f t="shared" si="1473"/>
        <v>0</v>
      </c>
      <c r="M1838" s="18">
        <f t="shared" si="1473"/>
        <v>0</v>
      </c>
      <c r="N1838" s="18">
        <f t="shared" si="1473"/>
        <v>0</v>
      </c>
      <c r="O1838" s="18">
        <f t="shared" si="1473"/>
        <v>0</v>
      </c>
      <c r="P1838" s="18">
        <f t="shared" si="1473"/>
        <v>0</v>
      </c>
      <c r="Q1838" s="18">
        <f t="shared" si="1473"/>
        <v>0</v>
      </c>
      <c r="R1838" s="18">
        <f t="shared" si="1473"/>
        <v>0</v>
      </c>
      <c r="S1838" s="18">
        <f t="shared" si="1473"/>
        <v>0</v>
      </c>
      <c r="T1838" s="18">
        <f t="shared" si="1473"/>
        <v>0</v>
      </c>
      <c r="U1838" s="18">
        <f t="shared" si="1473"/>
        <v>0</v>
      </c>
      <c r="V1838" s="18">
        <f t="shared" si="1473"/>
        <v>0</v>
      </c>
      <c r="W1838" s="18">
        <f t="shared" si="1473"/>
        <v>0</v>
      </c>
      <c r="X1838" s="18">
        <f t="shared" si="1473"/>
        <v>0</v>
      </c>
    </row>
    <row r="1839" spans="1:24" hidden="1">
      <c r="A1839" s="328"/>
      <c r="B1839" s="8" t="s">
        <v>384</v>
      </c>
      <c r="C1839" s="8"/>
      <c r="K1839" s="5">
        <f ca="1">K1846+K1853+K1860+K1867+K1874</f>
        <v>0</v>
      </c>
      <c r="L1839" s="5">
        <f t="shared" ref="L1839:X1839" ca="1" si="1474">L1846+L1853+L1860+L1867+L1874</f>
        <v>0</v>
      </c>
      <c r="M1839" s="5">
        <f t="shared" ca="1" si="1474"/>
        <v>0</v>
      </c>
      <c r="N1839" s="5">
        <f t="shared" ca="1" si="1474"/>
        <v>0</v>
      </c>
      <c r="O1839" s="5">
        <f t="shared" ca="1" si="1474"/>
        <v>0</v>
      </c>
      <c r="P1839" s="5">
        <f t="shared" ca="1" si="1474"/>
        <v>0</v>
      </c>
      <c r="Q1839" s="5">
        <f t="shared" ca="1" si="1474"/>
        <v>0</v>
      </c>
      <c r="R1839" s="5">
        <f t="shared" ca="1" si="1474"/>
        <v>0</v>
      </c>
      <c r="S1839" s="5">
        <f t="shared" ca="1" si="1474"/>
        <v>0</v>
      </c>
      <c r="T1839" s="5">
        <f t="shared" ca="1" si="1474"/>
        <v>0</v>
      </c>
      <c r="U1839" s="5">
        <f t="shared" ca="1" si="1474"/>
        <v>0</v>
      </c>
      <c r="V1839" s="5">
        <f t="shared" ca="1" si="1474"/>
        <v>0</v>
      </c>
      <c r="W1839" s="5">
        <f t="shared" ca="1" si="1474"/>
        <v>0</v>
      </c>
      <c r="X1839" s="5">
        <f t="shared" ca="1" si="1474"/>
        <v>0</v>
      </c>
    </row>
    <row r="1840" spans="1:24" hidden="1">
      <c r="A1840" s="328"/>
      <c r="B1840" s="8" t="s">
        <v>385</v>
      </c>
      <c r="C1840" s="8"/>
      <c r="K1840" s="5">
        <f ca="1">K1847+K1854+K1861+K1868+K1875</f>
        <v>0</v>
      </c>
      <c r="L1840" s="5">
        <f t="shared" ref="L1840:X1840" ca="1" si="1475">L1847+L1854+L1861+L1868+L1875</f>
        <v>0</v>
      </c>
      <c r="M1840" s="5">
        <f t="shared" ca="1" si="1475"/>
        <v>0</v>
      </c>
      <c r="N1840" s="5">
        <f t="shared" ca="1" si="1475"/>
        <v>0</v>
      </c>
      <c r="O1840" s="5">
        <f t="shared" ca="1" si="1475"/>
        <v>0</v>
      </c>
      <c r="P1840" s="5">
        <f t="shared" ca="1" si="1475"/>
        <v>0</v>
      </c>
      <c r="Q1840" s="5">
        <f t="shared" ca="1" si="1475"/>
        <v>0</v>
      </c>
      <c r="R1840" s="5">
        <f t="shared" ca="1" si="1475"/>
        <v>0</v>
      </c>
      <c r="S1840" s="5">
        <f t="shared" ca="1" si="1475"/>
        <v>0</v>
      </c>
      <c r="T1840" s="5">
        <f t="shared" ca="1" si="1475"/>
        <v>0</v>
      </c>
      <c r="U1840" s="5">
        <f t="shared" ca="1" si="1475"/>
        <v>0</v>
      </c>
      <c r="V1840" s="5">
        <f t="shared" ca="1" si="1475"/>
        <v>0</v>
      </c>
      <c r="W1840" s="5">
        <f t="shared" ca="1" si="1475"/>
        <v>0</v>
      </c>
      <c r="X1840" s="5">
        <f t="shared" ca="1" si="1475"/>
        <v>0</v>
      </c>
    </row>
    <row r="1841" spans="1:24" hidden="1">
      <c r="A1841" s="328"/>
      <c r="B1841" s="376" t="s">
        <v>386</v>
      </c>
      <c r="C1841" s="376"/>
      <c r="K1841" s="13">
        <f ca="1">K1848+K1855+K1862+K1869+K1876</f>
        <v>0</v>
      </c>
      <c r="L1841" s="13">
        <f t="shared" ref="L1841:X1841" ca="1" si="1476">L1848+L1855+L1862+L1869+L1876</f>
        <v>0</v>
      </c>
      <c r="M1841" s="13">
        <f t="shared" ca="1" si="1476"/>
        <v>0</v>
      </c>
      <c r="N1841" s="13">
        <f t="shared" ca="1" si="1476"/>
        <v>0</v>
      </c>
      <c r="O1841" s="13">
        <f t="shared" ca="1" si="1476"/>
        <v>0</v>
      </c>
      <c r="P1841" s="13">
        <f t="shared" ca="1" si="1476"/>
        <v>0</v>
      </c>
      <c r="Q1841" s="13">
        <f t="shared" ca="1" si="1476"/>
        <v>0</v>
      </c>
      <c r="R1841" s="13">
        <f t="shared" ca="1" si="1476"/>
        <v>0</v>
      </c>
      <c r="S1841" s="13">
        <f t="shared" ca="1" si="1476"/>
        <v>0</v>
      </c>
      <c r="T1841" s="13">
        <f t="shared" ca="1" si="1476"/>
        <v>0</v>
      </c>
      <c r="U1841" s="13">
        <f t="shared" ca="1" si="1476"/>
        <v>0</v>
      </c>
      <c r="V1841" s="13">
        <f t="shared" ca="1" si="1476"/>
        <v>0</v>
      </c>
      <c r="W1841" s="13">
        <f t="shared" ca="1" si="1476"/>
        <v>0</v>
      </c>
      <c r="X1841" s="13">
        <f t="shared" ca="1" si="1476"/>
        <v>0</v>
      </c>
    </row>
    <row r="1842" spans="1:24" ht="12.6" hidden="1" thickBot="1">
      <c r="A1842" s="328"/>
    </row>
    <row r="1843" spans="1:24" ht="12.6" hidden="1" thickBot="1">
      <c r="A1843" s="328"/>
      <c r="B1843" s="20" t="str">
        <f ca="1">OFFSET($B$269,D1843,0)</f>
        <v/>
      </c>
      <c r="C1843" s="20"/>
      <c r="D1843" s="250">
        <v>1564</v>
      </c>
      <c r="E1843" s="21"/>
      <c r="F1843" s="21" t="s">
        <v>411</v>
      </c>
      <c r="G1843" s="48"/>
      <c r="H1843" s="50" t="s">
        <v>412</v>
      </c>
      <c r="I1843" s="21" t="s">
        <v>413</v>
      </c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</row>
    <row r="1844" spans="1:24" hidden="1">
      <c r="A1844" s="328"/>
      <c r="B1844" s="21" t="s">
        <v>414</v>
      </c>
      <c r="C1844" s="21"/>
      <c r="D1844" s="165">
        <f ca="1">IFERROR(YEAR(OFFSET($E$269,D1843,0)),0)</f>
        <v>0</v>
      </c>
      <c r="E1844" s="165">
        <f ca="1">IFERROR(MONTH(OFFSET($E$269,D1843,0)),0)</f>
        <v>0</v>
      </c>
      <c r="F1844" s="21">
        <f ca="1">12-$E1844</f>
        <v>12</v>
      </c>
      <c r="G1844" s="49"/>
      <c r="H1844" s="51">
        <f ca="1">D1838-G1844</f>
        <v>0</v>
      </c>
      <c r="I1844" s="22">
        <f ca="1">D1838-G1844-H1844</f>
        <v>0</v>
      </c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</row>
    <row r="1845" spans="1:24" hidden="1">
      <c r="A1845" s="328"/>
      <c r="B1845" s="21" t="s">
        <v>406</v>
      </c>
      <c r="C1845" s="21"/>
      <c r="D1845" s="247">
        <f ca="1">IF(E1845&lt;0,0,ROUND(E1845,0))</f>
        <v>0</v>
      </c>
      <c r="E1845" s="249">
        <f ca="1">OFFSET($D$269,D1843,0)</f>
        <v>0</v>
      </c>
      <c r="F1845" s="247">
        <f ca="1">IF(E1845&gt;10,ROUND(($D1846/12)*$F1844,0),$D1845)</f>
        <v>0</v>
      </c>
      <c r="G1845" s="21" t="s">
        <v>426</v>
      </c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</row>
    <row r="1846" spans="1:24" hidden="1">
      <c r="A1846" s="328"/>
      <c r="B1846" s="21" t="s">
        <v>415</v>
      </c>
      <c r="C1846" s="21"/>
      <c r="D1846" s="247">
        <f ca="1">IF(ISBLANK(OFFSET($E$269,D1843,0)),0,IF(E1845&gt;10,ROUND(D1845*am_maszyny,0),IF(D1845&lt;0,0,D1845)))</f>
        <v>0</v>
      </c>
      <c r="E1846" s="21"/>
      <c r="F1846" s="21"/>
      <c r="G1846" s="21"/>
      <c r="H1846" s="21"/>
      <c r="I1846" s="21"/>
      <c r="J1846" s="21"/>
      <c r="K1846" s="75">
        <f ca="1">ROUND(IF($D1844=LataProjekcji,$F1845,IF($D1844=LataProjekcji,$D1846,0)),0)</f>
        <v>0</v>
      </c>
      <c r="L1846" s="248">
        <f ca="1">ROUND(IF(OR(AND($D1844=LataProjekcji,$F1844&gt;0),AND($D1844=LataProjekcji,$F1844=0,$E1845&lt;=10)),$F1845,IF($D1844&lt;LataProjekcji,IF((SUM($K1846:K1846)+$D1846)&lt;$D1845,$D1846,$D1845-SUM($K1846:K1846)),0)),0)</f>
        <v>0</v>
      </c>
      <c r="M1846" s="248">
        <f ca="1">ROUND(IF(OR(AND($D1844=LataProjekcji,$F1844&gt;0),AND($D1844=LataProjekcji,$F1844=0,$E1845&lt;=10)),$F1845,IF($D1844&lt;LataProjekcji,IF((SUM($K1846:L1846)+$D1846)&lt;$D1845,$D1846,$D1845-SUM($K1846:L1846)),0)),0)</f>
        <v>0</v>
      </c>
      <c r="N1846" s="248">
        <f ca="1">ROUND(IF(OR(AND($D1844=LataProjekcji,$F1844&gt;0),AND($D1844=LataProjekcji,$F1844=0,$E1845&lt;=10)),$F1845,IF($D1844&lt;LataProjekcji,IF((SUM($K1846:M1846)+$D1846)&lt;$D1845,$D1846,$D1845-SUM($K1846:M1846)),0)),0)</f>
        <v>0</v>
      </c>
      <c r="O1846" s="248">
        <f ca="1">ROUND(IF(OR(AND($D1844=LataProjekcji,$F1844&gt;0),AND($D1844=LataProjekcji,$F1844=0,$E1845&lt;=10)),$F1845,IF($D1844&lt;LataProjekcji,IF((SUM($K1846:N1846)+$D1846)&lt;$D1845,$D1846,$D1845-SUM($K1846:N1846)),0)),0)</f>
        <v>0</v>
      </c>
      <c r="P1846" s="248">
        <f ca="1">ROUND(IF(OR(AND($D1844=LataProjekcji,$F1844&gt;0),AND($D1844=LataProjekcji,$F1844=0,$E1845&lt;=10)),$F1845,IF($D1844&lt;LataProjekcji,IF((SUM($K1846:O1846)+$D1846)&lt;$D1845,$D1846,$D1845-SUM($K1846:O1846)),0)),0)</f>
        <v>0</v>
      </c>
      <c r="Q1846" s="248">
        <f ca="1">ROUND(IF(OR(AND($D1844=LataProjekcji,$F1844&gt;0),AND($D1844=LataProjekcji,$F1844=0,$E1845&lt;=10)),$F1845,IF($D1844&lt;LataProjekcji,IF((SUM($K1846:P1846)+$D1846)&lt;$D1845,$D1846,$D1845-SUM($K1846:P1846)),0)),0)</f>
        <v>0</v>
      </c>
      <c r="R1846" s="248">
        <f ca="1">ROUND(IF(OR(AND($D1844=LataProjekcji,$F1844&gt;0),AND($D1844=LataProjekcji,$F1844=0,$E1845&lt;=10)),$F1845,IF($D1844&lt;LataProjekcji,IF((SUM($K1846:Q1846)+$D1846)&lt;$D1845,$D1846,$D1845-SUM($K1846:Q1846)),0)),0)</f>
        <v>0</v>
      </c>
      <c r="S1846" s="248">
        <f ca="1">ROUND(IF(OR(AND($D1844=LataProjekcji,$F1844&gt;0),AND($D1844=LataProjekcji,$F1844=0,$E1845&lt;=10)),$F1845,IF($D1844&lt;LataProjekcji,IF((SUM($K1846:R1846)+$D1846)&lt;$D1845,$D1846,$D1845-SUM($K1846:R1846)),0)),0)</f>
        <v>0</v>
      </c>
      <c r="T1846" s="248">
        <f ca="1">ROUND(IF(OR(AND($D1844=LataProjekcji,$F1844&gt;0),AND($D1844=LataProjekcji,$F1844=0,$E1845&lt;=10)),$F1845,IF($D1844&lt;LataProjekcji,IF((SUM($K1846:S1846)+$D1846)&lt;$D1845,$D1846,$D1845-SUM($K1846:S1846)),0)),0)</f>
        <v>0</v>
      </c>
      <c r="U1846" s="248">
        <f ca="1">ROUND(IF(OR(AND($D1844=LataProjekcji,$F1844&gt;0),AND($D1844=LataProjekcji,$F1844=0,$E1845&lt;=10)),$F1845,IF($D1844&lt;LataProjekcji,IF((SUM($K1846:T1846)+$D1846)&lt;$D1845,$D1846,$D1845-SUM($K1846:T1846)),0)),0)</f>
        <v>0</v>
      </c>
      <c r="V1846" s="248">
        <f ca="1">ROUND(IF(OR(AND($D1844=LataProjekcji,$F1844&gt;0),AND($D1844=LataProjekcji,$F1844=0,$E1845&lt;=10)),$F1845,IF($D1844&lt;LataProjekcji,IF((SUM($K1846:U1846)+$D1846)&lt;$D1845,$D1846,$D1845-SUM($K1846:U1846)),0)),0)</f>
        <v>0</v>
      </c>
      <c r="W1846" s="248">
        <f ca="1">ROUND(IF(OR(AND($D1844=LataProjekcji,$F1844&gt;0),AND($D1844=LataProjekcji,$F1844=0,$E1845&lt;=10)),$F1845,IF($D1844&lt;LataProjekcji,IF((SUM($K1846:V1846)+$D1846)&lt;$D1845,$D1846,$D1845-SUM($K1846:V1846)),0)),0)</f>
        <v>0</v>
      </c>
      <c r="X1846" s="248">
        <f ca="1">ROUND(IF(OR(AND($D1844=LataProjekcji,$F1844&gt;0),AND($D1844=LataProjekcji,$F1844=0,$E1845&lt;=10)),$F1845,IF($D1844&lt;LataProjekcji,IF((SUM($K1846:W1846)+$D1846)&lt;$D1845,$D1846,$D1845-SUM($K1846:W1846)),0)),0)</f>
        <v>0</v>
      </c>
    </row>
    <row r="1847" spans="1:24" hidden="1">
      <c r="A1847" s="328"/>
      <c r="B1847" s="21" t="s">
        <v>416</v>
      </c>
      <c r="C1847" s="21"/>
      <c r="D1847" s="22"/>
      <c r="E1847" s="21"/>
      <c r="F1847" s="21"/>
      <c r="G1847" s="21"/>
      <c r="H1847" s="21"/>
      <c r="I1847" s="21"/>
      <c r="J1847" s="21"/>
      <c r="K1847" s="22">
        <f ca="1">ROUND(K1846,0)</f>
        <v>0</v>
      </c>
      <c r="L1847" s="22">
        <f t="shared" ref="L1847:X1847" ca="1" si="1477">ROUND(K1847+L1846,0)</f>
        <v>0</v>
      </c>
      <c r="M1847" s="22">
        <f t="shared" ca="1" si="1477"/>
        <v>0</v>
      </c>
      <c r="N1847" s="22">
        <f t="shared" ca="1" si="1477"/>
        <v>0</v>
      </c>
      <c r="O1847" s="22">
        <f t="shared" ca="1" si="1477"/>
        <v>0</v>
      </c>
      <c r="P1847" s="22">
        <f t="shared" ca="1" si="1477"/>
        <v>0</v>
      </c>
      <c r="Q1847" s="22">
        <f t="shared" ca="1" si="1477"/>
        <v>0</v>
      </c>
      <c r="R1847" s="22">
        <f t="shared" ca="1" si="1477"/>
        <v>0</v>
      </c>
      <c r="S1847" s="22">
        <f t="shared" ca="1" si="1477"/>
        <v>0</v>
      </c>
      <c r="T1847" s="22">
        <f t="shared" ca="1" si="1477"/>
        <v>0</v>
      </c>
      <c r="U1847" s="22">
        <f t="shared" ca="1" si="1477"/>
        <v>0</v>
      </c>
      <c r="V1847" s="22">
        <f t="shared" ca="1" si="1477"/>
        <v>0</v>
      </c>
      <c r="W1847" s="22">
        <f t="shared" ca="1" si="1477"/>
        <v>0</v>
      </c>
      <c r="X1847" s="22">
        <f t="shared" ca="1" si="1477"/>
        <v>0</v>
      </c>
    </row>
    <row r="1848" spans="1:24" hidden="1">
      <c r="A1848" s="328"/>
      <c r="B1848" s="21" t="s">
        <v>406</v>
      </c>
      <c r="C1848" s="21"/>
      <c r="D1848" s="22"/>
      <c r="E1848" s="21"/>
      <c r="F1848" s="21"/>
      <c r="G1848" s="21"/>
      <c r="H1848" s="21"/>
      <c r="I1848" s="21"/>
      <c r="J1848" s="21"/>
      <c r="K1848" s="77">
        <f ca="1">IF($D1844=LataProjekcji,ROUND($D1845-K1847,0),ROUND(IF(K1846=0,0,$D1845-K1847),0))</f>
        <v>0</v>
      </c>
      <c r="L1848" s="254">
        <f t="shared" ref="L1848:X1848" ca="1" si="1478">IF($D1844=LataProjekcji,ROUND($D1845-L1847,0),ROUND(IF(AND(L1846=0,K1848&gt;0),$D1845-L1847,IF(L1846=0,0,$D1845-L1847)),0))</f>
        <v>0</v>
      </c>
      <c r="M1848" s="254">
        <f t="shared" ca="1" si="1478"/>
        <v>0</v>
      </c>
      <c r="N1848" s="254">
        <f t="shared" ca="1" si="1478"/>
        <v>0</v>
      </c>
      <c r="O1848" s="254">
        <f t="shared" ca="1" si="1478"/>
        <v>0</v>
      </c>
      <c r="P1848" s="254">
        <f t="shared" ca="1" si="1478"/>
        <v>0</v>
      </c>
      <c r="Q1848" s="254">
        <f t="shared" ca="1" si="1478"/>
        <v>0</v>
      </c>
      <c r="R1848" s="254">
        <f t="shared" ca="1" si="1478"/>
        <v>0</v>
      </c>
      <c r="S1848" s="254">
        <f t="shared" ca="1" si="1478"/>
        <v>0</v>
      </c>
      <c r="T1848" s="254">
        <f t="shared" ca="1" si="1478"/>
        <v>0</v>
      </c>
      <c r="U1848" s="254">
        <f t="shared" ca="1" si="1478"/>
        <v>0</v>
      </c>
      <c r="V1848" s="254">
        <f t="shared" ca="1" si="1478"/>
        <v>0</v>
      </c>
      <c r="W1848" s="254">
        <f t="shared" ca="1" si="1478"/>
        <v>0</v>
      </c>
      <c r="X1848" s="254">
        <f t="shared" ca="1" si="1478"/>
        <v>0</v>
      </c>
    </row>
    <row r="1849" spans="1:24" hidden="1">
      <c r="A1849" s="328"/>
      <c r="B1849" s="21"/>
      <c r="C1849" s="21"/>
      <c r="D1849" s="22"/>
      <c r="E1849" s="21"/>
      <c r="F1849" s="21"/>
      <c r="G1849" s="21"/>
      <c r="H1849" s="404">
        <v>40</v>
      </c>
      <c r="I1849" s="483" t="str" cm="1">
        <f t="array" aca="1" ref="I1849" ca="1">OFFSET('Środki trwałe'!$C$418,H1849,,)</f>
        <v/>
      </c>
      <c r="J1849" s="404" t="s">
        <v>427</v>
      </c>
      <c r="K1849" s="405">
        <f t="shared" ref="K1849:X1849" ca="1" si="1479">IF(AND(OFFSET($F$269,$D1843,0)="tak",OFFSET($G$269,$D1843,0)="tak",OFFSET($J$269,$D1843,0)="ok",LataProjekcji&lt;=Koniec_Projekt),ROUND(K1846*OFFSET($K$469,$H1849,(COLUMN()-11)),0),0)</f>
        <v>0</v>
      </c>
      <c r="L1849" s="405">
        <f t="shared" ca="1" si="1479"/>
        <v>0</v>
      </c>
      <c r="M1849" s="405">
        <f t="shared" ca="1" si="1479"/>
        <v>0</v>
      </c>
      <c r="N1849" s="405">
        <f t="shared" ca="1" si="1479"/>
        <v>0</v>
      </c>
      <c r="O1849" s="405">
        <f t="shared" ca="1" si="1479"/>
        <v>0</v>
      </c>
      <c r="P1849" s="405">
        <f t="shared" ca="1" si="1479"/>
        <v>0</v>
      </c>
      <c r="Q1849" s="405">
        <f t="shared" ca="1" si="1479"/>
        <v>0</v>
      </c>
      <c r="R1849" s="405">
        <f t="shared" ca="1" si="1479"/>
        <v>0</v>
      </c>
      <c r="S1849" s="405">
        <f t="shared" ca="1" si="1479"/>
        <v>0</v>
      </c>
      <c r="T1849" s="405">
        <f t="shared" ca="1" si="1479"/>
        <v>0</v>
      </c>
      <c r="U1849" s="405">
        <f t="shared" ca="1" si="1479"/>
        <v>0</v>
      </c>
      <c r="V1849" s="405">
        <f t="shared" ca="1" si="1479"/>
        <v>0</v>
      </c>
      <c r="W1849" s="405">
        <f t="shared" ca="1" si="1479"/>
        <v>0</v>
      </c>
      <c r="X1849" s="405">
        <f t="shared" ca="1" si="1479"/>
        <v>0</v>
      </c>
    </row>
    <row r="1850" spans="1:24" hidden="1">
      <c r="A1850" s="328"/>
      <c r="B1850" s="20" t="str">
        <f ca="1">OFFSET($B$269,D1850,0)</f>
        <v/>
      </c>
      <c r="C1850" s="20"/>
      <c r="D1850" s="21">
        <f>D1843+1</f>
        <v>1565</v>
      </c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</row>
    <row r="1851" spans="1:24" hidden="1">
      <c r="A1851" s="328"/>
      <c r="B1851" s="21" t="s">
        <v>414</v>
      </c>
      <c r="C1851" s="21"/>
      <c r="D1851" s="165">
        <f ca="1">IFERROR(YEAR(OFFSET($E$269,D1850,0)),0)</f>
        <v>0</v>
      </c>
      <c r="E1851" s="165">
        <f ca="1">IFERROR(MONTH(OFFSET($E$269,D1850,0)),0)</f>
        <v>0</v>
      </c>
      <c r="F1851" s="21">
        <f ca="1">12-$E1851</f>
        <v>12</v>
      </c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</row>
    <row r="1852" spans="1:24" hidden="1">
      <c r="A1852" s="328"/>
      <c r="B1852" s="21" t="s">
        <v>406</v>
      </c>
      <c r="C1852" s="21"/>
      <c r="D1852" s="385">
        <f ca="1">IF(E1852&lt;0,0,ROUND(E1852,0))</f>
        <v>0</v>
      </c>
      <c r="E1852" s="249">
        <f ca="1">OFFSET($D$269,D1850,0)</f>
        <v>0</v>
      </c>
      <c r="F1852" s="385">
        <f ca="1">IF(E1852&gt;10,ROUND(($D1853/12)*$F1851,0),$D1852)</f>
        <v>0</v>
      </c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</row>
    <row r="1853" spans="1:24" hidden="1">
      <c r="A1853" s="328"/>
      <c r="B1853" s="21" t="s">
        <v>415</v>
      </c>
      <c r="C1853" s="21"/>
      <c r="D1853" s="385">
        <f ca="1">IF(ISBLANK(OFFSET($E$269,D1850,0)),0,IF(E1852&gt;10,ROUND(D1852*am_maszyny,0),IF(D1852&lt;0,0,D1852)))</f>
        <v>0</v>
      </c>
      <c r="E1853" s="21"/>
      <c r="F1853" s="21"/>
      <c r="G1853" s="21"/>
      <c r="H1853" s="21"/>
      <c r="I1853" s="21"/>
      <c r="J1853" s="21"/>
      <c r="K1853" s="75">
        <f ca="1">ROUND(IF($D1851=LataProjekcji,$F1852,IF($D1851=LataProjekcji,$D1853,0)),0)</f>
        <v>0</v>
      </c>
      <c r="L1853" s="248">
        <f ca="1">ROUND(IF(OR(AND($D1851=LataProjekcji,$F1851&gt;0),AND($D1851=LataProjekcji,$F1851=0,$E1852&lt;=10)),$F1852,IF($D1851&lt;LataProjekcji,IF((SUM($K1853:K1853)+$D1853)&lt;$D1852,$D1853,$D1852-SUM($K1853:K1853)),0)),0)</f>
        <v>0</v>
      </c>
      <c r="M1853" s="248">
        <f ca="1">ROUND(IF(OR(AND($D1851=LataProjekcji,$F1851&gt;0),AND($D1851=LataProjekcji,$F1851=0,$E1852&lt;=10)),$F1852,IF($D1851&lt;LataProjekcji,IF((SUM($K1853:L1853)+$D1853)&lt;$D1852,$D1853,$D1852-SUM($K1853:L1853)),0)),0)</f>
        <v>0</v>
      </c>
      <c r="N1853" s="248">
        <f ca="1">ROUND(IF(OR(AND($D1851=LataProjekcji,$F1851&gt;0),AND($D1851=LataProjekcji,$F1851=0,$E1852&lt;=10)),$F1852,IF($D1851&lt;LataProjekcji,IF((SUM($K1853:M1853)+$D1853)&lt;$D1852,$D1853,$D1852-SUM($K1853:M1853)),0)),0)</f>
        <v>0</v>
      </c>
      <c r="O1853" s="248">
        <f ca="1">ROUND(IF(OR(AND($D1851=LataProjekcji,$F1851&gt;0),AND($D1851=LataProjekcji,$F1851=0,$E1852&lt;=10)),$F1852,IF($D1851&lt;LataProjekcji,IF((SUM($K1853:N1853)+$D1853)&lt;$D1852,$D1853,$D1852-SUM($K1853:N1853)),0)),0)</f>
        <v>0</v>
      </c>
      <c r="P1853" s="248">
        <f ca="1">ROUND(IF(OR(AND($D1851=LataProjekcji,$F1851&gt;0),AND($D1851=LataProjekcji,$F1851=0,$E1852&lt;=10)),$F1852,IF($D1851&lt;LataProjekcji,IF((SUM($K1853:O1853)+$D1853)&lt;$D1852,$D1853,$D1852-SUM($K1853:O1853)),0)),0)</f>
        <v>0</v>
      </c>
      <c r="Q1853" s="248">
        <f ca="1">ROUND(IF(OR(AND($D1851=LataProjekcji,$F1851&gt;0),AND($D1851=LataProjekcji,$F1851=0,$E1852&lt;=10)),$F1852,IF($D1851&lt;LataProjekcji,IF((SUM($K1853:P1853)+$D1853)&lt;$D1852,$D1853,$D1852-SUM($K1853:P1853)),0)),0)</f>
        <v>0</v>
      </c>
      <c r="R1853" s="248">
        <f ca="1">ROUND(IF(OR(AND($D1851=LataProjekcji,$F1851&gt;0),AND($D1851=LataProjekcji,$F1851=0,$E1852&lt;=10)),$F1852,IF($D1851&lt;LataProjekcji,IF((SUM($K1853:Q1853)+$D1853)&lt;$D1852,$D1853,$D1852-SUM($K1853:Q1853)),0)),0)</f>
        <v>0</v>
      </c>
      <c r="S1853" s="248">
        <f ca="1">ROUND(IF(OR(AND($D1851=LataProjekcji,$F1851&gt;0),AND($D1851=LataProjekcji,$F1851=0,$E1852&lt;=10)),$F1852,IF($D1851&lt;LataProjekcji,IF((SUM($K1853:R1853)+$D1853)&lt;$D1852,$D1853,$D1852-SUM($K1853:R1853)),0)),0)</f>
        <v>0</v>
      </c>
      <c r="T1853" s="248">
        <f ca="1">ROUND(IF(OR(AND($D1851=LataProjekcji,$F1851&gt;0),AND($D1851=LataProjekcji,$F1851=0,$E1852&lt;=10)),$F1852,IF($D1851&lt;LataProjekcji,IF((SUM($K1853:S1853)+$D1853)&lt;$D1852,$D1853,$D1852-SUM($K1853:S1853)),0)),0)</f>
        <v>0</v>
      </c>
      <c r="U1853" s="248">
        <f ca="1">ROUND(IF(OR(AND($D1851=LataProjekcji,$F1851&gt;0),AND($D1851=LataProjekcji,$F1851=0,$E1852&lt;=10)),$F1852,IF($D1851&lt;LataProjekcji,IF((SUM($K1853:T1853)+$D1853)&lt;$D1852,$D1853,$D1852-SUM($K1853:T1853)),0)),0)</f>
        <v>0</v>
      </c>
      <c r="V1853" s="248">
        <f ca="1">ROUND(IF(OR(AND($D1851=LataProjekcji,$F1851&gt;0),AND($D1851=LataProjekcji,$F1851=0,$E1852&lt;=10)),$F1852,IF($D1851&lt;LataProjekcji,IF((SUM($K1853:U1853)+$D1853)&lt;$D1852,$D1853,$D1852-SUM($K1853:U1853)),0)),0)</f>
        <v>0</v>
      </c>
      <c r="W1853" s="248">
        <f ca="1">ROUND(IF(OR(AND($D1851=LataProjekcji,$F1851&gt;0),AND($D1851=LataProjekcji,$F1851=0,$E1852&lt;=10)),$F1852,IF($D1851&lt;LataProjekcji,IF((SUM($K1853:V1853)+$D1853)&lt;$D1852,$D1853,$D1852-SUM($K1853:V1853)),0)),0)</f>
        <v>0</v>
      </c>
      <c r="X1853" s="248">
        <f ca="1">ROUND(IF(OR(AND($D1851=LataProjekcji,$F1851&gt;0),AND($D1851=LataProjekcji,$F1851=0,$E1852&lt;=10)),$F1852,IF($D1851&lt;LataProjekcji,IF((SUM($K1853:W1853)+$D1853)&lt;$D1852,$D1853,$D1852-SUM($K1853:W1853)),0)),0)</f>
        <v>0</v>
      </c>
    </row>
    <row r="1854" spans="1:24" hidden="1">
      <c r="A1854" s="328"/>
      <c r="B1854" s="21" t="s">
        <v>416</v>
      </c>
      <c r="C1854" s="21"/>
      <c r="D1854" s="22"/>
      <c r="E1854" s="21"/>
      <c r="F1854" s="21"/>
      <c r="G1854" s="21"/>
      <c r="H1854" s="21"/>
      <c r="I1854" s="21"/>
      <c r="J1854" s="21"/>
      <c r="K1854" s="22">
        <f ca="1">ROUND(K1853,0)</f>
        <v>0</v>
      </c>
      <c r="L1854" s="22">
        <f t="shared" ref="L1854:X1854" ca="1" si="1480">ROUND(K1854+L1853,0)</f>
        <v>0</v>
      </c>
      <c r="M1854" s="22">
        <f t="shared" ca="1" si="1480"/>
        <v>0</v>
      </c>
      <c r="N1854" s="22">
        <f t="shared" ca="1" si="1480"/>
        <v>0</v>
      </c>
      <c r="O1854" s="22">
        <f t="shared" ca="1" si="1480"/>
        <v>0</v>
      </c>
      <c r="P1854" s="22">
        <f t="shared" ca="1" si="1480"/>
        <v>0</v>
      </c>
      <c r="Q1854" s="22">
        <f t="shared" ca="1" si="1480"/>
        <v>0</v>
      </c>
      <c r="R1854" s="22">
        <f t="shared" ca="1" si="1480"/>
        <v>0</v>
      </c>
      <c r="S1854" s="22">
        <f t="shared" ca="1" si="1480"/>
        <v>0</v>
      </c>
      <c r="T1854" s="22">
        <f t="shared" ca="1" si="1480"/>
        <v>0</v>
      </c>
      <c r="U1854" s="22">
        <f t="shared" ca="1" si="1480"/>
        <v>0</v>
      </c>
      <c r="V1854" s="22">
        <f t="shared" ca="1" si="1480"/>
        <v>0</v>
      </c>
      <c r="W1854" s="22">
        <f t="shared" ca="1" si="1480"/>
        <v>0</v>
      </c>
      <c r="X1854" s="22">
        <f t="shared" ca="1" si="1480"/>
        <v>0</v>
      </c>
    </row>
    <row r="1855" spans="1:24" hidden="1">
      <c r="A1855" s="328"/>
      <c r="B1855" s="21" t="s">
        <v>406</v>
      </c>
      <c r="C1855" s="21"/>
      <c r="D1855" s="22"/>
      <c r="E1855" s="21"/>
      <c r="F1855" s="21"/>
      <c r="G1855" s="21"/>
      <c r="H1855" s="21"/>
      <c r="I1855" s="21"/>
      <c r="J1855" s="21"/>
      <c r="K1855" s="77">
        <f ca="1">IF($D1851=LataProjekcji,ROUND($D1852-K1854,0),ROUND(IF(K1853=0,0,$D1852-K1854),0))</f>
        <v>0</v>
      </c>
      <c r="L1855" s="254">
        <f t="shared" ref="L1855:X1855" ca="1" si="1481">IF($D1851=LataProjekcji,ROUND($D1852-L1854,0),ROUND(IF(AND(L1853=0,K1855&gt;0),$D1852-L1854,IF(L1853=0,0,$D1852-L1854)),0))</f>
        <v>0</v>
      </c>
      <c r="M1855" s="254">
        <f t="shared" ca="1" si="1481"/>
        <v>0</v>
      </c>
      <c r="N1855" s="254">
        <f t="shared" ca="1" si="1481"/>
        <v>0</v>
      </c>
      <c r="O1855" s="254">
        <f t="shared" ca="1" si="1481"/>
        <v>0</v>
      </c>
      <c r="P1855" s="254">
        <f t="shared" ca="1" si="1481"/>
        <v>0</v>
      </c>
      <c r="Q1855" s="254">
        <f t="shared" ca="1" si="1481"/>
        <v>0</v>
      </c>
      <c r="R1855" s="254">
        <f t="shared" ca="1" si="1481"/>
        <v>0</v>
      </c>
      <c r="S1855" s="254">
        <f t="shared" ca="1" si="1481"/>
        <v>0</v>
      </c>
      <c r="T1855" s="254">
        <f t="shared" ca="1" si="1481"/>
        <v>0</v>
      </c>
      <c r="U1855" s="254">
        <f t="shared" ca="1" si="1481"/>
        <v>0</v>
      </c>
      <c r="V1855" s="254">
        <f t="shared" ca="1" si="1481"/>
        <v>0</v>
      </c>
      <c r="W1855" s="254">
        <f t="shared" ca="1" si="1481"/>
        <v>0</v>
      </c>
      <c r="X1855" s="254">
        <f t="shared" ca="1" si="1481"/>
        <v>0</v>
      </c>
    </row>
    <row r="1856" spans="1:24" hidden="1">
      <c r="A1856" s="328"/>
      <c r="B1856" s="20"/>
      <c r="C1856" s="20"/>
      <c r="D1856" s="21"/>
      <c r="E1856" s="21"/>
      <c r="F1856" s="21"/>
      <c r="G1856" s="21"/>
      <c r="H1856" s="404">
        <f>H1849+1</f>
        <v>41</v>
      </c>
      <c r="I1856" s="483" t="str" cm="1">
        <f t="array" aca="1" ref="I1856" ca="1">OFFSET('Środki trwałe'!$C$418,H1856,,)</f>
        <v/>
      </c>
      <c r="J1856" s="404" t="s">
        <v>427</v>
      </c>
      <c r="K1856" s="405">
        <f t="shared" ref="K1856:X1856" ca="1" si="1482">IF(AND(OFFSET($F$269,$D1850,0)="tak",OFFSET($G$269,$D1850,0)="tak",OFFSET($J$269,$D1850,0)="ok",LataProjekcji&lt;=Koniec_Projekt),ROUND(K1853*OFFSET($K$469,$H1856,(COLUMN()-11)),0),0)</f>
        <v>0</v>
      </c>
      <c r="L1856" s="405">
        <f t="shared" ca="1" si="1482"/>
        <v>0</v>
      </c>
      <c r="M1856" s="405">
        <f t="shared" ca="1" si="1482"/>
        <v>0</v>
      </c>
      <c r="N1856" s="405">
        <f t="shared" ca="1" si="1482"/>
        <v>0</v>
      </c>
      <c r="O1856" s="405">
        <f t="shared" ca="1" si="1482"/>
        <v>0</v>
      </c>
      <c r="P1856" s="405">
        <f t="shared" ca="1" si="1482"/>
        <v>0</v>
      </c>
      <c r="Q1856" s="405">
        <f t="shared" ca="1" si="1482"/>
        <v>0</v>
      </c>
      <c r="R1856" s="405">
        <f t="shared" ca="1" si="1482"/>
        <v>0</v>
      </c>
      <c r="S1856" s="405">
        <f t="shared" ca="1" si="1482"/>
        <v>0</v>
      </c>
      <c r="T1856" s="405">
        <f t="shared" ca="1" si="1482"/>
        <v>0</v>
      </c>
      <c r="U1856" s="405">
        <f t="shared" ca="1" si="1482"/>
        <v>0</v>
      </c>
      <c r="V1856" s="405">
        <f t="shared" ca="1" si="1482"/>
        <v>0</v>
      </c>
      <c r="W1856" s="405">
        <f t="shared" ca="1" si="1482"/>
        <v>0</v>
      </c>
      <c r="X1856" s="405">
        <f t="shared" ca="1" si="1482"/>
        <v>0</v>
      </c>
    </row>
    <row r="1857" spans="1:24" hidden="1">
      <c r="A1857" s="328"/>
      <c r="B1857" s="20" t="str">
        <f ca="1">OFFSET($B$269,D1857,0)</f>
        <v/>
      </c>
      <c r="C1857" s="20"/>
      <c r="D1857" s="21">
        <f>D1850+1</f>
        <v>1566</v>
      </c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</row>
    <row r="1858" spans="1:24" hidden="1">
      <c r="A1858" s="328"/>
      <c r="B1858" s="21" t="s">
        <v>414</v>
      </c>
      <c r="C1858" s="21"/>
      <c r="D1858" s="165">
        <f ca="1">IFERROR(YEAR(OFFSET($E$269,D1857,0)),0)</f>
        <v>0</v>
      </c>
      <c r="E1858" s="165">
        <f ca="1">IFERROR(MONTH(OFFSET($E$269,D1857,0)),0)</f>
        <v>0</v>
      </c>
      <c r="F1858" s="21">
        <f ca="1">12-$E1858</f>
        <v>12</v>
      </c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</row>
    <row r="1859" spans="1:24" hidden="1">
      <c r="A1859" s="328"/>
      <c r="B1859" s="21" t="s">
        <v>406</v>
      </c>
      <c r="C1859" s="21"/>
      <c r="D1859" s="386">
        <f ca="1">IF(E1859&lt;0,0,ROUND(E1859,0))</f>
        <v>0</v>
      </c>
      <c r="E1859" s="249">
        <f ca="1">OFFSET($D$269,D1857,0)</f>
        <v>0</v>
      </c>
      <c r="F1859" s="386">
        <f ca="1">IF(E1859&gt;10,ROUND(($D1860/12)*$F1858,0),$D1859)</f>
        <v>0</v>
      </c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</row>
    <row r="1860" spans="1:24" hidden="1">
      <c r="A1860" s="328"/>
      <c r="B1860" s="21" t="s">
        <v>415</v>
      </c>
      <c r="C1860" s="21"/>
      <c r="D1860" s="386">
        <f ca="1">IF(ISBLANK(OFFSET($E$269,D1857,0)),0,IF(E1859&gt;10,ROUND(D1859*am_maszyny,0),IF(D1859&lt;0,0,D1859)))</f>
        <v>0</v>
      </c>
      <c r="E1860" s="21"/>
      <c r="F1860" s="21"/>
      <c r="G1860" s="21"/>
      <c r="H1860" s="21"/>
      <c r="I1860" s="21"/>
      <c r="J1860" s="21"/>
      <c r="K1860" s="75">
        <f ca="1">ROUND(IF($D1858=LataProjekcji,$F1859,IF($D1858=LataProjekcji,$D1860,0)),0)</f>
        <v>0</v>
      </c>
      <c r="L1860" s="248">
        <f ca="1">ROUND(IF(OR(AND($D1858=LataProjekcji,$F1858&gt;0),AND($D1858=LataProjekcji,$F1858=0,$E1859&lt;=10)),$F1859,IF($D1858&lt;LataProjekcji,IF((SUM($K1860:K1860)+$D1860)&lt;$D1859,$D1860,$D1859-SUM($K1860:K1860)),0)),0)</f>
        <v>0</v>
      </c>
      <c r="M1860" s="248">
        <f ca="1">ROUND(IF(OR(AND($D1858=LataProjekcji,$F1858&gt;0),AND($D1858=LataProjekcji,$F1858=0,$E1859&lt;=10)),$F1859,IF($D1858&lt;LataProjekcji,IF((SUM($K1860:L1860)+$D1860)&lt;$D1859,$D1860,$D1859-SUM($K1860:L1860)),0)),0)</f>
        <v>0</v>
      </c>
      <c r="N1860" s="248">
        <f ca="1">ROUND(IF(OR(AND($D1858=LataProjekcji,$F1858&gt;0),AND($D1858=LataProjekcji,$F1858=0,$E1859&lt;=10)),$F1859,IF($D1858&lt;LataProjekcji,IF((SUM($K1860:M1860)+$D1860)&lt;$D1859,$D1860,$D1859-SUM($K1860:M1860)),0)),0)</f>
        <v>0</v>
      </c>
      <c r="O1860" s="248">
        <f ca="1">ROUND(IF(OR(AND($D1858=LataProjekcji,$F1858&gt;0),AND($D1858=LataProjekcji,$F1858=0,$E1859&lt;=10)),$F1859,IF($D1858&lt;LataProjekcji,IF((SUM($K1860:N1860)+$D1860)&lt;$D1859,$D1860,$D1859-SUM($K1860:N1860)),0)),0)</f>
        <v>0</v>
      </c>
      <c r="P1860" s="248">
        <f ca="1">ROUND(IF(OR(AND($D1858=LataProjekcji,$F1858&gt;0),AND($D1858=LataProjekcji,$F1858=0,$E1859&lt;=10)),$F1859,IF($D1858&lt;LataProjekcji,IF((SUM($K1860:O1860)+$D1860)&lt;$D1859,$D1860,$D1859-SUM($K1860:O1860)),0)),0)</f>
        <v>0</v>
      </c>
      <c r="Q1860" s="248">
        <f ca="1">ROUND(IF(OR(AND($D1858=LataProjekcji,$F1858&gt;0),AND($D1858=LataProjekcji,$F1858=0,$E1859&lt;=10)),$F1859,IF($D1858&lt;LataProjekcji,IF((SUM($K1860:P1860)+$D1860)&lt;$D1859,$D1860,$D1859-SUM($K1860:P1860)),0)),0)</f>
        <v>0</v>
      </c>
      <c r="R1860" s="248">
        <f ca="1">ROUND(IF(OR(AND($D1858=LataProjekcji,$F1858&gt;0),AND($D1858=LataProjekcji,$F1858=0,$E1859&lt;=10)),$F1859,IF($D1858&lt;LataProjekcji,IF((SUM($K1860:Q1860)+$D1860)&lt;$D1859,$D1860,$D1859-SUM($K1860:Q1860)),0)),0)</f>
        <v>0</v>
      </c>
      <c r="S1860" s="248">
        <f ca="1">ROUND(IF(OR(AND($D1858=LataProjekcji,$F1858&gt;0),AND($D1858=LataProjekcji,$F1858=0,$E1859&lt;=10)),$F1859,IF($D1858&lt;LataProjekcji,IF((SUM($K1860:R1860)+$D1860)&lt;$D1859,$D1860,$D1859-SUM($K1860:R1860)),0)),0)</f>
        <v>0</v>
      </c>
      <c r="T1860" s="248">
        <f ca="1">ROUND(IF(OR(AND($D1858=LataProjekcji,$F1858&gt;0),AND($D1858=LataProjekcji,$F1858=0,$E1859&lt;=10)),$F1859,IF($D1858&lt;LataProjekcji,IF((SUM($K1860:S1860)+$D1860)&lt;$D1859,$D1860,$D1859-SUM($K1860:S1860)),0)),0)</f>
        <v>0</v>
      </c>
      <c r="U1860" s="248">
        <f ca="1">ROUND(IF(OR(AND($D1858=LataProjekcji,$F1858&gt;0),AND($D1858=LataProjekcji,$F1858=0,$E1859&lt;=10)),$F1859,IF($D1858&lt;LataProjekcji,IF((SUM($K1860:T1860)+$D1860)&lt;$D1859,$D1860,$D1859-SUM($K1860:T1860)),0)),0)</f>
        <v>0</v>
      </c>
      <c r="V1860" s="248">
        <f ca="1">ROUND(IF(OR(AND($D1858=LataProjekcji,$F1858&gt;0),AND($D1858=LataProjekcji,$F1858=0,$E1859&lt;=10)),$F1859,IF($D1858&lt;LataProjekcji,IF((SUM($K1860:U1860)+$D1860)&lt;$D1859,$D1860,$D1859-SUM($K1860:U1860)),0)),0)</f>
        <v>0</v>
      </c>
      <c r="W1860" s="248">
        <f ca="1">ROUND(IF(OR(AND($D1858=LataProjekcji,$F1858&gt;0),AND($D1858=LataProjekcji,$F1858=0,$E1859&lt;=10)),$F1859,IF($D1858&lt;LataProjekcji,IF((SUM($K1860:V1860)+$D1860)&lt;$D1859,$D1860,$D1859-SUM($K1860:V1860)),0)),0)</f>
        <v>0</v>
      </c>
      <c r="X1860" s="248">
        <f ca="1">ROUND(IF(OR(AND($D1858=LataProjekcji,$F1858&gt;0),AND($D1858=LataProjekcji,$F1858=0,$E1859&lt;=10)),$F1859,IF($D1858&lt;LataProjekcji,IF((SUM($K1860:W1860)+$D1860)&lt;$D1859,$D1860,$D1859-SUM($K1860:W1860)),0)),0)</f>
        <v>0</v>
      </c>
    </row>
    <row r="1861" spans="1:24" hidden="1">
      <c r="A1861" s="328"/>
      <c r="B1861" s="21" t="s">
        <v>416</v>
      </c>
      <c r="C1861" s="21"/>
      <c r="D1861" s="22"/>
      <c r="E1861" s="21"/>
      <c r="F1861" s="21"/>
      <c r="G1861" s="21"/>
      <c r="H1861" s="21"/>
      <c r="I1861" s="21"/>
      <c r="J1861" s="21"/>
      <c r="K1861" s="22">
        <f ca="1">ROUND(K1860,0)</f>
        <v>0</v>
      </c>
      <c r="L1861" s="22">
        <f t="shared" ref="L1861:X1861" ca="1" si="1483">ROUND(K1861+L1860,0)</f>
        <v>0</v>
      </c>
      <c r="M1861" s="22">
        <f t="shared" ca="1" si="1483"/>
        <v>0</v>
      </c>
      <c r="N1861" s="22">
        <f t="shared" ca="1" si="1483"/>
        <v>0</v>
      </c>
      <c r="O1861" s="22">
        <f t="shared" ca="1" si="1483"/>
        <v>0</v>
      </c>
      <c r="P1861" s="22">
        <f t="shared" ca="1" si="1483"/>
        <v>0</v>
      </c>
      <c r="Q1861" s="22">
        <f t="shared" ca="1" si="1483"/>
        <v>0</v>
      </c>
      <c r="R1861" s="22">
        <f t="shared" ca="1" si="1483"/>
        <v>0</v>
      </c>
      <c r="S1861" s="22">
        <f t="shared" ca="1" si="1483"/>
        <v>0</v>
      </c>
      <c r="T1861" s="22">
        <f t="shared" ca="1" si="1483"/>
        <v>0</v>
      </c>
      <c r="U1861" s="22">
        <f t="shared" ca="1" si="1483"/>
        <v>0</v>
      </c>
      <c r="V1861" s="22">
        <f t="shared" ca="1" si="1483"/>
        <v>0</v>
      </c>
      <c r="W1861" s="22">
        <f t="shared" ca="1" si="1483"/>
        <v>0</v>
      </c>
      <c r="X1861" s="22">
        <f t="shared" ca="1" si="1483"/>
        <v>0</v>
      </c>
    </row>
    <row r="1862" spans="1:24" hidden="1">
      <c r="A1862" s="328"/>
      <c r="B1862" s="21" t="s">
        <v>406</v>
      </c>
      <c r="C1862" s="21"/>
      <c r="D1862" s="22"/>
      <c r="E1862" s="21"/>
      <c r="F1862" s="21"/>
      <c r="G1862" s="21"/>
      <c r="H1862" s="21"/>
      <c r="I1862" s="21"/>
      <c r="J1862" s="21"/>
      <c r="K1862" s="77">
        <f ca="1">IF($D1858=LataProjekcji,ROUND($D1859-K1861,0),ROUND(IF(K1860=0,0,$D1859-K1861),0))</f>
        <v>0</v>
      </c>
      <c r="L1862" s="254">
        <f t="shared" ref="L1862:X1862" ca="1" si="1484">IF($D1858=LataProjekcji,ROUND($D1859-L1861,0),ROUND(IF(AND(L1860=0,K1862&gt;0),$D1859-L1861,IF(L1860=0,0,$D1859-L1861)),0))</f>
        <v>0</v>
      </c>
      <c r="M1862" s="254">
        <f t="shared" ca="1" si="1484"/>
        <v>0</v>
      </c>
      <c r="N1862" s="254">
        <f t="shared" ca="1" si="1484"/>
        <v>0</v>
      </c>
      <c r="O1862" s="254">
        <f t="shared" ca="1" si="1484"/>
        <v>0</v>
      </c>
      <c r="P1862" s="254">
        <f t="shared" ca="1" si="1484"/>
        <v>0</v>
      </c>
      <c r="Q1862" s="254">
        <f t="shared" ca="1" si="1484"/>
        <v>0</v>
      </c>
      <c r="R1862" s="254">
        <f t="shared" ca="1" si="1484"/>
        <v>0</v>
      </c>
      <c r="S1862" s="254">
        <f t="shared" ca="1" si="1484"/>
        <v>0</v>
      </c>
      <c r="T1862" s="254">
        <f t="shared" ca="1" si="1484"/>
        <v>0</v>
      </c>
      <c r="U1862" s="254">
        <f t="shared" ca="1" si="1484"/>
        <v>0</v>
      </c>
      <c r="V1862" s="254">
        <f t="shared" ca="1" si="1484"/>
        <v>0</v>
      </c>
      <c r="W1862" s="254">
        <f t="shared" ca="1" si="1484"/>
        <v>0</v>
      </c>
      <c r="X1862" s="254">
        <f t="shared" ca="1" si="1484"/>
        <v>0</v>
      </c>
    </row>
    <row r="1863" spans="1:24" hidden="1">
      <c r="A1863" s="328"/>
      <c r="B1863" s="21"/>
      <c r="C1863" s="21"/>
      <c r="D1863" s="22"/>
      <c r="E1863" s="21"/>
      <c r="F1863" s="21"/>
      <c r="G1863" s="21"/>
      <c r="H1863" s="404">
        <f>H1856+1</f>
        <v>42</v>
      </c>
      <c r="I1863" s="483" t="str" cm="1">
        <f t="array" aca="1" ref="I1863" ca="1">OFFSET('Środki trwałe'!$C$418,H1863,,)</f>
        <v/>
      </c>
      <c r="J1863" s="404" t="s">
        <v>427</v>
      </c>
      <c r="K1863" s="405">
        <f t="shared" ref="K1863:X1863" ca="1" si="1485">IF(AND(OFFSET($F$269,$D1857,0)="tak",OFFSET($G$269,$D1857,0)="tak",OFFSET($J$269,$D1857,0)="ok",LataProjekcji&lt;=Koniec_Projekt),ROUND(K1860*OFFSET($K$469,$H1863,(COLUMN()-11)),0),0)</f>
        <v>0</v>
      </c>
      <c r="L1863" s="405">
        <f t="shared" ca="1" si="1485"/>
        <v>0</v>
      </c>
      <c r="M1863" s="405">
        <f t="shared" ca="1" si="1485"/>
        <v>0</v>
      </c>
      <c r="N1863" s="405">
        <f t="shared" ca="1" si="1485"/>
        <v>0</v>
      </c>
      <c r="O1863" s="405">
        <f t="shared" ca="1" si="1485"/>
        <v>0</v>
      </c>
      <c r="P1863" s="405">
        <f t="shared" ca="1" si="1485"/>
        <v>0</v>
      </c>
      <c r="Q1863" s="405">
        <f t="shared" ca="1" si="1485"/>
        <v>0</v>
      </c>
      <c r="R1863" s="405">
        <f t="shared" ca="1" si="1485"/>
        <v>0</v>
      </c>
      <c r="S1863" s="405">
        <f t="shared" ca="1" si="1485"/>
        <v>0</v>
      </c>
      <c r="T1863" s="405">
        <f t="shared" ca="1" si="1485"/>
        <v>0</v>
      </c>
      <c r="U1863" s="405">
        <f t="shared" ca="1" si="1485"/>
        <v>0</v>
      </c>
      <c r="V1863" s="405">
        <f t="shared" ca="1" si="1485"/>
        <v>0</v>
      </c>
      <c r="W1863" s="405">
        <f t="shared" ca="1" si="1485"/>
        <v>0</v>
      </c>
      <c r="X1863" s="405">
        <f t="shared" ca="1" si="1485"/>
        <v>0</v>
      </c>
    </row>
    <row r="1864" spans="1:24" hidden="1">
      <c r="A1864" s="328"/>
      <c r="B1864" s="20" t="str">
        <f ca="1">OFFSET($B$269,D1864,0)</f>
        <v/>
      </c>
      <c r="C1864" s="20"/>
      <c r="D1864" s="21">
        <f>D1857+1</f>
        <v>1567</v>
      </c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</row>
    <row r="1865" spans="1:24" hidden="1">
      <c r="A1865" s="328"/>
      <c r="B1865" s="21" t="s">
        <v>414</v>
      </c>
      <c r="C1865" s="21"/>
      <c r="D1865" s="165">
        <f ca="1">IFERROR(YEAR(OFFSET($E$269,D1864,0)),0)</f>
        <v>0</v>
      </c>
      <c r="E1865" s="165">
        <f ca="1">IFERROR(MONTH(OFFSET($E$269,D1864,0)),0)</f>
        <v>0</v>
      </c>
      <c r="F1865" s="21">
        <f ca="1">12-$E1865</f>
        <v>12</v>
      </c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</row>
    <row r="1866" spans="1:24" hidden="1">
      <c r="A1866" s="328"/>
      <c r="B1866" s="21" t="s">
        <v>406</v>
      </c>
      <c r="C1866" s="21"/>
      <c r="D1866" s="387">
        <f ca="1">IF(E1866&lt;0,0,ROUND(E1866,0))</f>
        <v>0</v>
      </c>
      <c r="E1866" s="249">
        <f ca="1">OFFSET($D$269,D1864,0)</f>
        <v>0</v>
      </c>
      <c r="F1866" s="387">
        <f ca="1">IF(E1866&gt;10,ROUND(($D1867/12)*$F1865,0),$D1866)</f>
        <v>0</v>
      </c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</row>
    <row r="1867" spans="1:24" hidden="1">
      <c r="A1867" s="328"/>
      <c r="B1867" s="21" t="s">
        <v>415</v>
      </c>
      <c r="C1867" s="21"/>
      <c r="D1867" s="387">
        <f ca="1">IF(ISBLANK(OFFSET($E$269,D1864,0)),0,IF(E1866&gt;10,ROUND(D1866*am_maszyny,0),IF(D1866&lt;0,0,D1866)))</f>
        <v>0</v>
      </c>
      <c r="E1867" s="21"/>
      <c r="F1867" s="21"/>
      <c r="G1867" s="21"/>
      <c r="H1867" s="21"/>
      <c r="I1867" s="21"/>
      <c r="J1867" s="21"/>
      <c r="K1867" s="75">
        <f ca="1">ROUND(IF($D1865=LataProjekcji,$F1866,IF($D1865=LataProjekcji,$D1867,0)),0)</f>
        <v>0</v>
      </c>
      <c r="L1867" s="248">
        <f ca="1">ROUND(IF(OR(AND($D1865=LataProjekcji,$F1865&gt;0),AND($D1865=LataProjekcji,$F1865=0,$E1866&lt;=10)),$F1866,IF($D1865&lt;LataProjekcji,IF((SUM($K1867:K1867)+$D1867)&lt;$D1866,$D1867,$D1866-SUM($K1867:K1867)),0)),0)</f>
        <v>0</v>
      </c>
      <c r="M1867" s="248">
        <f ca="1">ROUND(IF(OR(AND($D1865=LataProjekcji,$F1865&gt;0),AND($D1865=LataProjekcji,$F1865=0,$E1866&lt;=10)),$F1866,IF($D1865&lt;LataProjekcji,IF((SUM($K1867:L1867)+$D1867)&lt;$D1866,$D1867,$D1866-SUM($K1867:L1867)),0)),0)</f>
        <v>0</v>
      </c>
      <c r="N1867" s="248">
        <f ca="1">ROUND(IF(OR(AND($D1865=LataProjekcji,$F1865&gt;0),AND($D1865=LataProjekcji,$F1865=0,$E1866&lt;=10)),$F1866,IF($D1865&lt;LataProjekcji,IF((SUM($K1867:M1867)+$D1867)&lt;$D1866,$D1867,$D1866-SUM($K1867:M1867)),0)),0)</f>
        <v>0</v>
      </c>
      <c r="O1867" s="248">
        <f ca="1">ROUND(IF(OR(AND($D1865=LataProjekcji,$F1865&gt;0),AND($D1865=LataProjekcji,$F1865=0,$E1866&lt;=10)),$F1866,IF($D1865&lt;LataProjekcji,IF((SUM($K1867:N1867)+$D1867)&lt;$D1866,$D1867,$D1866-SUM($K1867:N1867)),0)),0)</f>
        <v>0</v>
      </c>
      <c r="P1867" s="248">
        <f ca="1">ROUND(IF(OR(AND($D1865=LataProjekcji,$F1865&gt;0),AND($D1865=LataProjekcji,$F1865=0,$E1866&lt;=10)),$F1866,IF($D1865&lt;LataProjekcji,IF((SUM($K1867:O1867)+$D1867)&lt;$D1866,$D1867,$D1866-SUM($K1867:O1867)),0)),0)</f>
        <v>0</v>
      </c>
      <c r="Q1867" s="248">
        <f ca="1">ROUND(IF(OR(AND($D1865=LataProjekcji,$F1865&gt;0),AND($D1865=LataProjekcji,$F1865=0,$E1866&lt;=10)),$F1866,IF($D1865&lt;LataProjekcji,IF((SUM($K1867:P1867)+$D1867)&lt;$D1866,$D1867,$D1866-SUM($K1867:P1867)),0)),0)</f>
        <v>0</v>
      </c>
      <c r="R1867" s="248">
        <f ca="1">ROUND(IF(OR(AND($D1865=LataProjekcji,$F1865&gt;0),AND($D1865=LataProjekcji,$F1865=0,$E1866&lt;=10)),$F1866,IF($D1865&lt;LataProjekcji,IF((SUM($K1867:Q1867)+$D1867)&lt;$D1866,$D1867,$D1866-SUM($K1867:Q1867)),0)),0)</f>
        <v>0</v>
      </c>
      <c r="S1867" s="248">
        <f ca="1">ROUND(IF(OR(AND($D1865=LataProjekcji,$F1865&gt;0),AND($D1865=LataProjekcji,$F1865=0,$E1866&lt;=10)),$F1866,IF($D1865&lt;LataProjekcji,IF((SUM($K1867:R1867)+$D1867)&lt;$D1866,$D1867,$D1866-SUM($K1867:R1867)),0)),0)</f>
        <v>0</v>
      </c>
      <c r="T1867" s="248">
        <f ca="1">ROUND(IF(OR(AND($D1865=LataProjekcji,$F1865&gt;0),AND($D1865=LataProjekcji,$F1865=0,$E1866&lt;=10)),$F1866,IF($D1865&lt;LataProjekcji,IF((SUM($K1867:S1867)+$D1867)&lt;$D1866,$D1867,$D1866-SUM($K1867:S1867)),0)),0)</f>
        <v>0</v>
      </c>
      <c r="U1867" s="248">
        <f ca="1">ROUND(IF(OR(AND($D1865=LataProjekcji,$F1865&gt;0),AND($D1865=LataProjekcji,$F1865=0,$E1866&lt;=10)),$F1866,IF($D1865&lt;LataProjekcji,IF((SUM($K1867:T1867)+$D1867)&lt;$D1866,$D1867,$D1866-SUM($K1867:T1867)),0)),0)</f>
        <v>0</v>
      </c>
      <c r="V1867" s="248">
        <f ca="1">ROUND(IF(OR(AND($D1865=LataProjekcji,$F1865&gt;0),AND($D1865=LataProjekcji,$F1865=0,$E1866&lt;=10)),$F1866,IF($D1865&lt;LataProjekcji,IF((SUM($K1867:U1867)+$D1867)&lt;$D1866,$D1867,$D1866-SUM($K1867:U1867)),0)),0)</f>
        <v>0</v>
      </c>
      <c r="W1867" s="248">
        <f ca="1">ROUND(IF(OR(AND($D1865=LataProjekcji,$F1865&gt;0),AND($D1865=LataProjekcji,$F1865=0,$E1866&lt;=10)),$F1866,IF($D1865&lt;LataProjekcji,IF((SUM($K1867:V1867)+$D1867)&lt;$D1866,$D1867,$D1866-SUM($K1867:V1867)),0)),0)</f>
        <v>0</v>
      </c>
      <c r="X1867" s="248">
        <f ca="1">ROUND(IF(OR(AND($D1865=LataProjekcji,$F1865&gt;0),AND($D1865=LataProjekcji,$F1865=0,$E1866&lt;=10)),$F1866,IF($D1865&lt;LataProjekcji,IF((SUM($K1867:W1867)+$D1867)&lt;$D1866,$D1867,$D1866-SUM($K1867:W1867)),0)),0)</f>
        <v>0</v>
      </c>
    </row>
    <row r="1868" spans="1:24" hidden="1">
      <c r="A1868" s="328"/>
      <c r="B1868" s="21" t="s">
        <v>416</v>
      </c>
      <c r="C1868" s="21"/>
      <c r="D1868" s="22"/>
      <c r="E1868" s="21"/>
      <c r="F1868" s="21"/>
      <c r="G1868" s="21"/>
      <c r="H1868" s="21"/>
      <c r="I1868" s="21"/>
      <c r="J1868" s="21"/>
      <c r="K1868" s="22">
        <f ca="1">ROUND(K1867,0)</f>
        <v>0</v>
      </c>
      <c r="L1868" s="22">
        <f t="shared" ref="L1868:X1868" ca="1" si="1486">ROUND(K1868+L1867,0)</f>
        <v>0</v>
      </c>
      <c r="M1868" s="22">
        <f t="shared" ca="1" si="1486"/>
        <v>0</v>
      </c>
      <c r="N1868" s="22">
        <f t="shared" ca="1" si="1486"/>
        <v>0</v>
      </c>
      <c r="O1868" s="22">
        <f t="shared" ca="1" si="1486"/>
        <v>0</v>
      </c>
      <c r="P1868" s="22">
        <f t="shared" ca="1" si="1486"/>
        <v>0</v>
      </c>
      <c r="Q1868" s="22">
        <f t="shared" ca="1" si="1486"/>
        <v>0</v>
      </c>
      <c r="R1868" s="22">
        <f t="shared" ca="1" si="1486"/>
        <v>0</v>
      </c>
      <c r="S1868" s="22">
        <f t="shared" ca="1" si="1486"/>
        <v>0</v>
      </c>
      <c r="T1868" s="22">
        <f t="shared" ca="1" si="1486"/>
        <v>0</v>
      </c>
      <c r="U1868" s="22">
        <f t="shared" ca="1" si="1486"/>
        <v>0</v>
      </c>
      <c r="V1868" s="22">
        <f t="shared" ca="1" si="1486"/>
        <v>0</v>
      </c>
      <c r="W1868" s="22">
        <f t="shared" ca="1" si="1486"/>
        <v>0</v>
      </c>
      <c r="X1868" s="22">
        <f t="shared" ca="1" si="1486"/>
        <v>0</v>
      </c>
    </row>
    <row r="1869" spans="1:24" hidden="1">
      <c r="A1869" s="328"/>
      <c r="B1869" s="21" t="s">
        <v>406</v>
      </c>
      <c r="C1869" s="21"/>
      <c r="D1869" s="22"/>
      <c r="E1869" s="21"/>
      <c r="F1869" s="21"/>
      <c r="G1869" s="21"/>
      <c r="H1869" s="21"/>
      <c r="I1869" s="21"/>
      <c r="J1869" s="21"/>
      <c r="K1869" s="77">
        <f ca="1">IF($D1865=LataProjekcji,ROUND($D1866-K1868,0),ROUND(IF(K1867=0,0,$D1866-K1868),0))</f>
        <v>0</v>
      </c>
      <c r="L1869" s="254">
        <f t="shared" ref="L1869:X1869" ca="1" si="1487">IF($D1865=LataProjekcji,ROUND($D1866-L1868,0),ROUND(IF(AND(L1867=0,K1869&gt;0),$D1866-L1868,IF(L1867=0,0,$D1866-L1868)),0))</f>
        <v>0</v>
      </c>
      <c r="M1869" s="254">
        <f t="shared" ca="1" si="1487"/>
        <v>0</v>
      </c>
      <c r="N1869" s="254">
        <f t="shared" ca="1" si="1487"/>
        <v>0</v>
      </c>
      <c r="O1869" s="254">
        <f t="shared" ca="1" si="1487"/>
        <v>0</v>
      </c>
      <c r="P1869" s="254">
        <f t="shared" ca="1" si="1487"/>
        <v>0</v>
      </c>
      <c r="Q1869" s="254">
        <f t="shared" ca="1" si="1487"/>
        <v>0</v>
      </c>
      <c r="R1869" s="254">
        <f t="shared" ca="1" si="1487"/>
        <v>0</v>
      </c>
      <c r="S1869" s="254">
        <f t="shared" ca="1" si="1487"/>
        <v>0</v>
      </c>
      <c r="T1869" s="254">
        <f t="shared" ca="1" si="1487"/>
        <v>0</v>
      </c>
      <c r="U1869" s="254">
        <f t="shared" ca="1" si="1487"/>
        <v>0</v>
      </c>
      <c r="V1869" s="254">
        <f t="shared" ca="1" si="1487"/>
        <v>0</v>
      </c>
      <c r="W1869" s="254">
        <f t="shared" ca="1" si="1487"/>
        <v>0</v>
      </c>
      <c r="X1869" s="254">
        <f t="shared" ca="1" si="1487"/>
        <v>0</v>
      </c>
    </row>
    <row r="1870" spans="1:24" hidden="1">
      <c r="A1870" s="328"/>
      <c r="B1870" s="21"/>
      <c r="C1870" s="21"/>
      <c r="D1870" s="21"/>
      <c r="E1870" s="21"/>
      <c r="F1870" s="21"/>
      <c r="G1870" s="21"/>
      <c r="H1870" s="404">
        <f>H1863+1</f>
        <v>43</v>
      </c>
      <c r="I1870" s="483" t="str" cm="1">
        <f t="array" aca="1" ref="I1870" ca="1">OFFSET('Środki trwałe'!$C$418,H1870,,)</f>
        <v/>
      </c>
      <c r="J1870" s="404" t="s">
        <v>427</v>
      </c>
      <c r="K1870" s="405">
        <f t="shared" ref="K1870:X1870" ca="1" si="1488">IF(AND(OFFSET($F$269,$D1864,0)="tak",OFFSET($G$269,$D1864,0)="tak",OFFSET($J$269,$D1864,0)="ok",LataProjekcji&lt;=Koniec_Projekt),ROUND(K1867*OFFSET($K$469,$H1870,(COLUMN()-11)),0),0)</f>
        <v>0</v>
      </c>
      <c r="L1870" s="405">
        <f t="shared" ca="1" si="1488"/>
        <v>0</v>
      </c>
      <c r="M1870" s="405">
        <f t="shared" ca="1" si="1488"/>
        <v>0</v>
      </c>
      <c r="N1870" s="405">
        <f t="shared" ca="1" si="1488"/>
        <v>0</v>
      </c>
      <c r="O1870" s="405">
        <f t="shared" ca="1" si="1488"/>
        <v>0</v>
      </c>
      <c r="P1870" s="405">
        <f t="shared" ca="1" si="1488"/>
        <v>0</v>
      </c>
      <c r="Q1870" s="405">
        <f t="shared" ca="1" si="1488"/>
        <v>0</v>
      </c>
      <c r="R1870" s="405">
        <f t="shared" ca="1" si="1488"/>
        <v>0</v>
      </c>
      <c r="S1870" s="405">
        <f t="shared" ca="1" si="1488"/>
        <v>0</v>
      </c>
      <c r="T1870" s="405">
        <f t="shared" ca="1" si="1488"/>
        <v>0</v>
      </c>
      <c r="U1870" s="405">
        <f t="shared" ca="1" si="1488"/>
        <v>0</v>
      </c>
      <c r="V1870" s="405">
        <f t="shared" ca="1" si="1488"/>
        <v>0</v>
      </c>
      <c r="W1870" s="405">
        <f t="shared" ca="1" si="1488"/>
        <v>0</v>
      </c>
      <c r="X1870" s="405">
        <f t="shared" ca="1" si="1488"/>
        <v>0</v>
      </c>
    </row>
    <row r="1871" spans="1:24" hidden="1">
      <c r="A1871" s="328"/>
      <c r="B1871" s="20" t="str">
        <f ca="1">OFFSET($B$269,D1871,0)</f>
        <v/>
      </c>
      <c r="C1871" s="20"/>
      <c r="D1871" s="21">
        <f>D1864+1</f>
        <v>1568</v>
      </c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</row>
    <row r="1872" spans="1:24" hidden="1">
      <c r="A1872" s="328"/>
      <c r="B1872" s="21" t="s">
        <v>414</v>
      </c>
      <c r="C1872" s="21"/>
      <c r="D1872" s="165">
        <f ca="1">IFERROR(YEAR(OFFSET($E$269,D1871,0)),0)</f>
        <v>0</v>
      </c>
      <c r="E1872" s="165">
        <f ca="1">IFERROR(MONTH(OFFSET($E$269,D1871,0)),0)</f>
        <v>0</v>
      </c>
      <c r="F1872" s="21">
        <f ca="1">12-$E1872</f>
        <v>12</v>
      </c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</row>
    <row r="1873" spans="1:24" hidden="1">
      <c r="A1873" s="328"/>
      <c r="B1873" s="21" t="s">
        <v>406</v>
      </c>
      <c r="C1873" s="21"/>
      <c r="D1873" s="388">
        <f ca="1">IF(E1873&lt;0,0,ROUND(E1873,0))</f>
        <v>0</v>
      </c>
      <c r="E1873" s="249">
        <f ca="1">OFFSET($D$269,D1871,0)</f>
        <v>0</v>
      </c>
      <c r="F1873" s="388">
        <f ca="1">IF(E1873&gt;10,ROUND(($D1874/12)*$F1872,0),$D1873)</f>
        <v>0</v>
      </c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</row>
    <row r="1874" spans="1:24" hidden="1">
      <c r="A1874" s="328"/>
      <c r="B1874" s="21" t="s">
        <v>415</v>
      </c>
      <c r="C1874" s="21"/>
      <c r="D1874" s="388">
        <f ca="1">IF(ISBLANK(OFFSET($E$269,D1871,0)),0,IF(E1873&gt;10,ROUND(D1873*am_maszyny,0),IF(D1873&lt;0,0,D1873)))</f>
        <v>0</v>
      </c>
      <c r="E1874" s="21"/>
      <c r="F1874" s="21"/>
      <c r="G1874" s="21"/>
      <c r="H1874" s="21"/>
      <c r="I1874" s="21"/>
      <c r="J1874" s="21"/>
      <c r="K1874" s="75">
        <f ca="1">ROUND(IF($D1872=LataProjekcji,$F1873,IF($D1872=LataProjekcji,$D1874,0)),0)</f>
        <v>0</v>
      </c>
      <c r="L1874" s="248">
        <f ca="1">ROUND(IF(OR(AND($D1872=LataProjekcji,$F1872&gt;0),AND($D1872=LataProjekcji,$F1872=0,$E1873&lt;=10)),$F1873,IF($D1872&lt;LataProjekcji,IF((SUM($K1874:K1874)+$D1874)&lt;$D1873,$D1874,$D1873-SUM($K1874:K1874)),0)),0)</f>
        <v>0</v>
      </c>
      <c r="M1874" s="248">
        <f ca="1">ROUND(IF(OR(AND($D1872=LataProjekcji,$F1872&gt;0),AND($D1872=LataProjekcji,$F1872=0,$E1873&lt;=10)),$F1873,IF($D1872&lt;LataProjekcji,IF((SUM($K1874:L1874)+$D1874)&lt;$D1873,$D1874,$D1873-SUM($K1874:L1874)),0)),0)</f>
        <v>0</v>
      </c>
      <c r="N1874" s="248">
        <f ca="1">ROUND(IF(OR(AND($D1872=LataProjekcji,$F1872&gt;0),AND($D1872=LataProjekcji,$F1872=0,$E1873&lt;=10)),$F1873,IF($D1872&lt;LataProjekcji,IF((SUM($K1874:M1874)+$D1874)&lt;$D1873,$D1874,$D1873-SUM($K1874:M1874)),0)),0)</f>
        <v>0</v>
      </c>
      <c r="O1874" s="248">
        <f ca="1">ROUND(IF(OR(AND($D1872=LataProjekcji,$F1872&gt;0),AND($D1872=LataProjekcji,$F1872=0,$E1873&lt;=10)),$F1873,IF($D1872&lt;LataProjekcji,IF((SUM($K1874:N1874)+$D1874)&lt;$D1873,$D1874,$D1873-SUM($K1874:N1874)),0)),0)</f>
        <v>0</v>
      </c>
      <c r="P1874" s="248">
        <f ca="1">ROUND(IF(OR(AND($D1872=LataProjekcji,$F1872&gt;0),AND($D1872=LataProjekcji,$F1872=0,$E1873&lt;=10)),$F1873,IF($D1872&lt;LataProjekcji,IF((SUM($K1874:O1874)+$D1874)&lt;$D1873,$D1874,$D1873-SUM($K1874:O1874)),0)),0)</f>
        <v>0</v>
      </c>
      <c r="Q1874" s="248">
        <f ca="1">ROUND(IF(OR(AND($D1872=LataProjekcji,$F1872&gt;0),AND($D1872=LataProjekcji,$F1872=0,$E1873&lt;=10)),$F1873,IF($D1872&lt;LataProjekcji,IF((SUM($K1874:P1874)+$D1874)&lt;$D1873,$D1874,$D1873-SUM($K1874:P1874)),0)),0)</f>
        <v>0</v>
      </c>
      <c r="R1874" s="248">
        <f ca="1">ROUND(IF(OR(AND($D1872=LataProjekcji,$F1872&gt;0),AND($D1872=LataProjekcji,$F1872=0,$E1873&lt;=10)),$F1873,IF($D1872&lt;LataProjekcji,IF((SUM($K1874:Q1874)+$D1874)&lt;$D1873,$D1874,$D1873-SUM($K1874:Q1874)),0)),0)</f>
        <v>0</v>
      </c>
      <c r="S1874" s="248">
        <f ca="1">ROUND(IF(OR(AND($D1872=LataProjekcji,$F1872&gt;0),AND($D1872=LataProjekcji,$F1872=0,$E1873&lt;=10)),$F1873,IF($D1872&lt;LataProjekcji,IF((SUM($K1874:R1874)+$D1874)&lt;$D1873,$D1874,$D1873-SUM($K1874:R1874)),0)),0)</f>
        <v>0</v>
      </c>
      <c r="T1874" s="248">
        <f ca="1">ROUND(IF(OR(AND($D1872=LataProjekcji,$F1872&gt;0),AND($D1872=LataProjekcji,$F1872=0,$E1873&lt;=10)),$F1873,IF($D1872&lt;LataProjekcji,IF((SUM($K1874:S1874)+$D1874)&lt;$D1873,$D1874,$D1873-SUM($K1874:S1874)),0)),0)</f>
        <v>0</v>
      </c>
      <c r="U1874" s="248">
        <f ca="1">ROUND(IF(OR(AND($D1872=LataProjekcji,$F1872&gt;0),AND($D1872=LataProjekcji,$F1872=0,$E1873&lt;=10)),$F1873,IF($D1872&lt;LataProjekcji,IF((SUM($K1874:T1874)+$D1874)&lt;$D1873,$D1874,$D1873-SUM($K1874:T1874)),0)),0)</f>
        <v>0</v>
      </c>
      <c r="V1874" s="248">
        <f ca="1">ROUND(IF(OR(AND($D1872=LataProjekcji,$F1872&gt;0),AND($D1872=LataProjekcji,$F1872=0,$E1873&lt;=10)),$F1873,IF($D1872&lt;LataProjekcji,IF((SUM($K1874:U1874)+$D1874)&lt;$D1873,$D1874,$D1873-SUM($K1874:U1874)),0)),0)</f>
        <v>0</v>
      </c>
      <c r="W1874" s="248">
        <f ca="1">ROUND(IF(OR(AND($D1872=LataProjekcji,$F1872&gt;0),AND($D1872=LataProjekcji,$F1872=0,$E1873&lt;=10)),$F1873,IF($D1872&lt;LataProjekcji,IF((SUM($K1874:V1874)+$D1874)&lt;$D1873,$D1874,$D1873-SUM($K1874:V1874)),0)),0)</f>
        <v>0</v>
      </c>
      <c r="X1874" s="248">
        <f ca="1">ROUND(IF(OR(AND($D1872=LataProjekcji,$F1872&gt;0),AND($D1872=LataProjekcji,$F1872=0,$E1873&lt;=10)),$F1873,IF($D1872&lt;LataProjekcji,IF((SUM($K1874:W1874)+$D1874)&lt;$D1873,$D1874,$D1873-SUM($K1874:W1874)),0)),0)</f>
        <v>0</v>
      </c>
    </row>
    <row r="1875" spans="1:24" hidden="1">
      <c r="A1875" s="328"/>
      <c r="B1875" s="21" t="s">
        <v>416</v>
      </c>
      <c r="C1875" s="21"/>
      <c r="D1875" s="22"/>
      <c r="E1875" s="21"/>
      <c r="F1875" s="21"/>
      <c r="G1875" s="21"/>
      <c r="H1875" s="21"/>
      <c r="I1875" s="21"/>
      <c r="J1875" s="21"/>
      <c r="K1875" s="22">
        <f ca="1">ROUND(K1874,0)</f>
        <v>0</v>
      </c>
      <c r="L1875" s="22">
        <f t="shared" ref="L1875:X1875" ca="1" si="1489">ROUND(K1875+L1874,0)</f>
        <v>0</v>
      </c>
      <c r="M1875" s="22">
        <f t="shared" ca="1" si="1489"/>
        <v>0</v>
      </c>
      <c r="N1875" s="22">
        <f t="shared" ca="1" si="1489"/>
        <v>0</v>
      </c>
      <c r="O1875" s="22">
        <f t="shared" ca="1" si="1489"/>
        <v>0</v>
      </c>
      <c r="P1875" s="22">
        <f t="shared" ca="1" si="1489"/>
        <v>0</v>
      </c>
      <c r="Q1875" s="22">
        <f t="shared" ca="1" si="1489"/>
        <v>0</v>
      </c>
      <c r="R1875" s="22">
        <f t="shared" ca="1" si="1489"/>
        <v>0</v>
      </c>
      <c r="S1875" s="22">
        <f t="shared" ca="1" si="1489"/>
        <v>0</v>
      </c>
      <c r="T1875" s="22">
        <f t="shared" ca="1" si="1489"/>
        <v>0</v>
      </c>
      <c r="U1875" s="22">
        <f t="shared" ca="1" si="1489"/>
        <v>0</v>
      </c>
      <c r="V1875" s="22">
        <f t="shared" ca="1" si="1489"/>
        <v>0</v>
      </c>
      <c r="W1875" s="22">
        <f t="shared" ca="1" si="1489"/>
        <v>0</v>
      </c>
      <c r="X1875" s="22">
        <f t="shared" ca="1" si="1489"/>
        <v>0</v>
      </c>
    </row>
    <row r="1876" spans="1:24" hidden="1">
      <c r="A1876" s="328"/>
      <c r="B1876" s="21" t="s">
        <v>406</v>
      </c>
      <c r="C1876" s="21"/>
      <c r="D1876" s="22"/>
      <c r="E1876" s="21"/>
      <c r="F1876" s="21"/>
      <c r="G1876" s="21"/>
      <c r="H1876" s="21"/>
      <c r="I1876" s="21"/>
      <c r="J1876" s="21"/>
      <c r="K1876" s="77">
        <f ca="1">IF($D1872=LataProjekcji,ROUND($D1873-K1875,0),ROUND(IF(K1874=0,0,$D1873-K1875),0))</f>
        <v>0</v>
      </c>
      <c r="L1876" s="254">
        <f t="shared" ref="L1876:X1876" ca="1" si="1490">IF($D1872=LataProjekcji,ROUND($D1873-L1875,0),ROUND(IF(AND(L1874=0,K1876&gt;0),$D1873-L1875,IF(L1874=0,0,$D1873-L1875)),0))</f>
        <v>0</v>
      </c>
      <c r="M1876" s="254">
        <f t="shared" ca="1" si="1490"/>
        <v>0</v>
      </c>
      <c r="N1876" s="254">
        <f t="shared" ca="1" si="1490"/>
        <v>0</v>
      </c>
      <c r="O1876" s="254">
        <f t="shared" ca="1" si="1490"/>
        <v>0</v>
      </c>
      <c r="P1876" s="254">
        <f t="shared" ca="1" si="1490"/>
        <v>0</v>
      </c>
      <c r="Q1876" s="254">
        <f t="shared" ca="1" si="1490"/>
        <v>0</v>
      </c>
      <c r="R1876" s="254">
        <f t="shared" ca="1" si="1490"/>
        <v>0</v>
      </c>
      <c r="S1876" s="254">
        <f t="shared" ca="1" si="1490"/>
        <v>0</v>
      </c>
      <c r="T1876" s="254">
        <f t="shared" ca="1" si="1490"/>
        <v>0</v>
      </c>
      <c r="U1876" s="254">
        <f t="shared" ca="1" si="1490"/>
        <v>0</v>
      </c>
      <c r="V1876" s="254">
        <f t="shared" ca="1" si="1490"/>
        <v>0</v>
      </c>
      <c r="W1876" s="254">
        <f t="shared" ca="1" si="1490"/>
        <v>0</v>
      </c>
      <c r="X1876" s="254">
        <f t="shared" ca="1" si="1490"/>
        <v>0</v>
      </c>
    </row>
    <row r="1877" spans="1:24" hidden="1">
      <c r="A1877" s="328"/>
      <c r="H1877" s="404">
        <f>H1870+1</f>
        <v>44</v>
      </c>
      <c r="I1877" s="483" t="str" cm="1">
        <f t="array" aca="1" ref="I1877" ca="1">OFFSET('Środki trwałe'!$C$418,H1877,,)</f>
        <v/>
      </c>
      <c r="J1877" s="404" t="s">
        <v>427</v>
      </c>
      <c r="K1877" s="405">
        <f t="shared" ref="K1877:X1877" ca="1" si="1491">IF(AND(OFFSET($F$269,$D1871,0)="tak",OFFSET($G$269,$D1871,0)="tak",OFFSET($J$269,$D1871,0)="ok",LataProjekcji&lt;=Koniec_Projekt),ROUND(K1874*OFFSET($K$469,$H1877,(COLUMN()-11)),0),0)</f>
        <v>0</v>
      </c>
      <c r="L1877" s="405">
        <f t="shared" ca="1" si="1491"/>
        <v>0</v>
      </c>
      <c r="M1877" s="405">
        <f t="shared" ca="1" si="1491"/>
        <v>0</v>
      </c>
      <c r="N1877" s="405">
        <f t="shared" ca="1" si="1491"/>
        <v>0</v>
      </c>
      <c r="O1877" s="405">
        <f t="shared" ca="1" si="1491"/>
        <v>0</v>
      </c>
      <c r="P1877" s="405">
        <f t="shared" ca="1" si="1491"/>
        <v>0</v>
      </c>
      <c r="Q1877" s="405">
        <f t="shared" ca="1" si="1491"/>
        <v>0</v>
      </c>
      <c r="R1877" s="405">
        <f t="shared" ca="1" si="1491"/>
        <v>0</v>
      </c>
      <c r="S1877" s="405">
        <f t="shared" ca="1" si="1491"/>
        <v>0</v>
      </c>
      <c r="T1877" s="405">
        <f t="shared" ca="1" si="1491"/>
        <v>0</v>
      </c>
      <c r="U1877" s="405">
        <f t="shared" ca="1" si="1491"/>
        <v>0</v>
      </c>
      <c r="V1877" s="405">
        <f t="shared" ca="1" si="1491"/>
        <v>0</v>
      </c>
      <c r="W1877" s="405">
        <f t="shared" ca="1" si="1491"/>
        <v>0</v>
      </c>
      <c r="X1877" s="405">
        <f t="shared" ca="1" si="1491"/>
        <v>0</v>
      </c>
    </row>
    <row r="1878" spans="1:24" hidden="1">
      <c r="A1878" s="328"/>
    </row>
    <row r="1879" spans="1:24" hidden="1">
      <c r="A1879" s="328"/>
    </row>
    <row r="1880" spans="1:24" hidden="1">
      <c r="A1880" s="328"/>
    </row>
    <row r="1881" spans="1:24" hidden="1">
      <c r="A1881" s="328"/>
    </row>
    <row r="1882" spans="1:24" ht="12.6" hidden="1" thickBot="1">
      <c r="A1882" s="328"/>
      <c r="B1882" s="464" t="s">
        <v>749</v>
      </c>
      <c r="C1882" s="40"/>
      <c r="J1882" s="403"/>
      <c r="K1882" s="418"/>
      <c r="L1882" s="418"/>
      <c r="M1882" s="418"/>
      <c r="N1882" s="418"/>
      <c r="O1882" s="418"/>
      <c r="P1882" s="418"/>
      <c r="Q1882" s="418"/>
      <c r="R1882" s="418"/>
      <c r="S1882" s="418"/>
      <c r="T1882" s="418"/>
      <c r="U1882" s="418"/>
      <c r="V1882" s="418"/>
      <c r="W1882" s="418"/>
      <c r="X1882" s="418"/>
    </row>
    <row r="1883" spans="1:24" ht="12.6" hidden="1" thickBot="1">
      <c r="A1883" s="328"/>
      <c r="B1883" s="20">
        <f ca="1">OFFSET($B$269,D1883,0)</f>
        <v>0</v>
      </c>
      <c r="C1883" s="20"/>
      <c r="D1883" s="250">
        <v>305</v>
      </c>
      <c r="E1883" s="21"/>
      <c r="F1883" s="21" t="s">
        <v>411</v>
      </c>
      <c r="G1883" s="48"/>
      <c r="H1883" s="50" t="s">
        <v>412</v>
      </c>
      <c r="I1883" s="21" t="s">
        <v>413</v>
      </c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</row>
    <row r="1884" spans="1:24" hidden="1">
      <c r="A1884" s="328"/>
      <c r="B1884" s="21" t="s">
        <v>414</v>
      </c>
      <c r="C1884" s="21"/>
      <c r="D1884" s="165">
        <f ca="1">YEAR(OFFSET($E$269,D1883,0))</f>
        <v>1900</v>
      </c>
      <c r="E1884" s="165">
        <f ca="1">MONTH(OFFSET($E$269,D1883,0))</f>
        <v>1</v>
      </c>
      <c r="F1884" s="21">
        <f ca="1">12-$E1884</f>
        <v>11</v>
      </c>
      <c r="G1884" s="49"/>
      <c r="H1884" s="51">
        <f>D584-G1884</f>
        <v>0</v>
      </c>
      <c r="I1884" s="22">
        <f>D584-G1884-H1884</f>
        <v>0</v>
      </c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</row>
    <row r="1885" spans="1:24" hidden="1">
      <c r="A1885" s="328"/>
      <c r="B1885" s="21" t="s">
        <v>406</v>
      </c>
      <c r="C1885" s="21"/>
      <c r="D1885" s="247">
        <f ca="1">IF(E1885&lt;0,0,ROUND(E1885,0))</f>
        <v>0</v>
      </c>
      <c r="E1885" s="249">
        <f ca="1">OFFSET($D$269,D1883,0)</f>
        <v>0</v>
      </c>
      <c r="F1885" s="247">
        <f ca="1">IF(E1885&gt;10,ROUND(($D1886/12)*$F1884,0),$D1885)</f>
        <v>0</v>
      </c>
      <c r="G1885" s="21" t="s">
        <v>426</v>
      </c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</row>
    <row r="1886" spans="1:24" hidden="1">
      <c r="A1886" s="328"/>
      <c r="B1886" s="21" t="s">
        <v>415</v>
      </c>
      <c r="C1886" s="21"/>
      <c r="D1886" s="247">
        <f ca="1">IF(ISBLANK(OFFSET($E$269,D1883,0)),0,IF(E1885&gt;10,ROUND(D1885*am_transport,0),IF(D1885&lt;0,0,D1885)))</f>
        <v>0</v>
      </c>
      <c r="E1886" s="21"/>
      <c r="F1886" s="21"/>
      <c r="G1886" s="21"/>
      <c r="H1886" s="21"/>
      <c r="I1886" s="21"/>
      <c r="J1886" s="21"/>
      <c r="K1886" s="75">
        <f ca="1">ROUND(IF($D1884=LataProjekcji,$F1885,IF($D1884=LataProjekcji,$D1886,0)),0)</f>
        <v>0</v>
      </c>
      <c r="L1886" s="248">
        <f ca="1">ROUND(IF(OR(AND($D1884=LataProjekcji,$F1884&gt;0),AND($D1884=LataProjekcji,$F1884=0,$E1885&lt;=10)),$F1885,IF($D1884&lt;LataProjekcji,IF((SUM($K1886:K1886)+$D1886)&lt;$D1885,$D1886,$D1885-SUM($K1886:K1886)),0)),0)</f>
        <v>0</v>
      </c>
      <c r="M1886" s="248">
        <f ca="1">ROUND(IF(OR(AND($D1884=LataProjekcji,$F1884&gt;0),AND($D1884=LataProjekcji,$F1884=0,$E1885&lt;=10)),$F1885,IF($D1884&lt;LataProjekcji,IF((SUM($K1886:L1886)+$D1886)&lt;$D1885,$D1886,$D1885-SUM($K1886:L1886)),0)),0)</f>
        <v>0</v>
      </c>
      <c r="N1886" s="248">
        <f ca="1">ROUND(IF(OR(AND($D1884=LataProjekcji,$F1884&gt;0),AND($D1884=LataProjekcji,$F1884=0,$E1885&lt;=10)),$F1885,IF($D1884&lt;LataProjekcji,IF((SUM($K1886:M1886)+$D1886)&lt;$D1885,$D1886,$D1885-SUM($K1886:M1886)),0)),0)</f>
        <v>0</v>
      </c>
      <c r="O1886" s="248">
        <f ca="1">ROUND(IF(OR(AND($D1884=LataProjekcji,$F1884&gt;0),AND($D1884=LataProjekcji,$F1884=0,$E1885&lt;=10)),$F1885,IF($D1884&lt;LataProjekcji,IF((SUM($K1886:N1886)+$D1886)&lt;$D1885,$D1886,$D1885-SUM($K1886:N1886)),0)),0)</f>
        <v>0</v>
      </c>
      <c r="P1886" s="248">
        <f ca="1">ROUND(IF(OR(AND($D1884=LataProjekcji,$F1884&gt;0),AND($D1884=LataProjekcji,$F1884=0,$E1885&lt;=10)),$F1885,IF($D1884&lt;LataProjekcji,IF((SUM($K1886:O1886)+$D1886)&lt;$D1885,$D1886,$D1885-SUM($K1886:O1886)),0)),0)</f>
        <v>0</v>
      </c>
      <c r="Q1886" s="248">
        <f ca="1">ROUND(IF(OR(AND($D1884=LataProjekcji,$F1884&gt;0),AND($D1884=LataProjekcji,$F1884=0,$E1885&lt;=10)),$F1885,IF($D1884&lt;LataProjekcji,IF((SUM($K1886:P1886)+$D1886)&lt;$D1885,$D1886,$D1885-SUM($K1886:P1886)),0)),0)</f>
        <v>0</v>
      </c>
      <c r="R1886" s="248">
        <f ca="1">ROUND(IF(OR(AND($D1884=LataProjekcji,$F1884&gt;0),AND($D1884=LataProjekcji,$F1884=0,$E1885&lt;=10)),$F1885,IF($D1884&lt;LataProjekcji,IF((SUM($K1886:Q1886)+$D1886)&lt;$D1885,$D1886,$D1885-SUM($K1886:Q1886)),0)),0)</f>
        <v>0</v>
      </c>
      <c r="S1886" s="248">
        <f ca="1">ROUND(IF(OR(AND($D1884=LataProjekcji,$F1884&gt;0),AND($D1884=LataProjekcji,$F1884=0,$E1885&lt;=10)),$F1885,IF($D1884&lt;LataProjekcji,IF((SUM($K1886:R1886)+$D1886)&lt;$D1885,$D1886,$D1885-SUM($K1886:R1886)),0)),0)</f>
        <v>0</v>
      </c>
      <c r="T1886" s="248">
        <f ca="1">ROUND(IF(OR(AND($D1884=LataProjekcji,$F1884&gt;0),AND($D1884=LataProjekcji,$F1884=0,$E1885&lt;=10)),$F1885,IF($D1884&lt;LataProjekcji,IF((SUM($K1886:S1886)+$D1886)&lt;$D1885,$D1886,$D1885-SUM($K1886:S1886)),0)),0)</f>
        <v>0</v>
      </c>
      <c r="U1886" s="248">
        <f ca="1">ROUND(IF(OR(AND($D1884=LataProjekcji,$F1884&gt;0),AND($D1884=LataProjekcji,$F1884=0,$E1885&lt;=10)),$F1885,IF($D1884&lt;LataProjekcji,IF((SUM($K1886:T1886)+$D1886)&lt;$D1885,$D1886,$D1885-SUM($K1886:T1886)),0)),0)</f>
        <v>0</v>
      </c>
      <c r="V1886" s="248">
        <f ca="1">ROUND(IF(OR(AND($D1884=LataProjekcji,$F1884&gt;0),AND($D1884=LataProjekcji,$F1884=0,$E1885&lt;=10)),$F1885,IF($D1884&lt;LataProjekcji,IF((SUM($K1886:U1886)+$D1886)&lt;$D1885,$D1886,$D1885-SUM($K1886:U1886)),0)),0)</f>
        <v>0</v>
      </c>
      <c r="W1886" s="248">
        <f ca="1">ROUND(IF(OR(AND($D1884=LataProjekcji,$F1884&gt;0),AND($D1884=LataProjekcji,$F1884=0,$E1885&lt;=10)),$F1885,IF($D1884&lt;LataProjekcji,IF((SUM($K1886:V1886)+$D1886)&lt;$D1885,$D1886,$D1885-SUM($K1886:V1886)),0)),0)</f>
        <v>0</v>
      </c>
      <c r="X1886" s="248">
        <f ca="1">ROUND(IF(OR(AND($D1884=LataProjekcji,$F1884&gt;0),AND($D1884=LataProjekcji,$F1884=0,$E1885&lt;=10)),$F1885,IF($D1884&lt;LataProjekcji,IF((SUM($K1886:W1886)+$D1886)&lt;$D1885,$D1886,$D1885-SUM($K1886:W1886)),0)),0)</f>
        <v>0</v>
      </c>
    </row>
    <row r="1887" spans="1:24" hidden="1">
      <c r="A1887" s="328"/>
      <c r="B1887" s="21" t="s">
        <v>416</v>
      </c>
      <c r="C1887" s="21"/>
      <c r="D1887" s="22"/>
      <c r="E1887" s="21"/>
      <c r="F1887" s="21"/>
      <c r="G1887" s="21"/>
      <c r="H1887" s="21"/>
      <c r="I1887" s="21"/>
      <c r="J1887" s="21"/>
      <c r="K1887" s="22">
        <f ca="1">ROUND(K1886,0)</f>
        <v>0</v>
      </c>
      <c r="L1887" s="22">
        <f t="shared" ref="L1887:X1887" ca="1" si="1492">ROUND(K1887+L1886,0)</f>
        <v>0</v>
      </c>
      <c r="M1887" s="22">
        <f t="shared" ca="1" si="1492"/>
        <v>0</v>
      </c>
      <c r="N1887" s="22">
        <f t="shared" ca="1" si="1492"/>
        <v>0</v>
      </c>
      <c r="O1887" s="22">
        <f t="shared" ca="1" si="1492"/>
        <v>0</v>
      </c>
      <c r="P1887" s="22">
        <f t="shared" ca="1" si="1492"/>
        <v>0</v>
      </c>
      <c r="Q1887" s="22">
        <f t="shared" ca="1" si="1492"/>
        <v>0</v>
      </c>
      <c r="R1887" s="22">
        <f t="shared" ca="1" si="1492"/>
        <v>0</v>
      </c>
      <c r="S1887" s="22">
        <f t="shared" ca="1" si="1492"/>
        <v>0</v>
      </c>
      <c r="T1887" s="22">
        <f t="shared" ca="1" si="1492"/>
        <v>0</v>
      </c>
      <c r="U1887" s="22">
        <f t="shared" ca="1" si="1492"/>
        <v>0</v>
      </c>
      <c r="V1887" s="22">
        <f t="shared" ca="1" si="1492"/>
        <v>0</v>
      </c>
      <c r="W1887" s="22">
        <f t="shared" ca="1" si="1492"/>
        <v>0</v>
      </c>
      <c r="X1887" s="22">
        <f t="shared" ca="1" si="1492"/>
        <v>0</v>
      </c>
    </row>
    <row r="1888" spans="1:24" hidden="1">
      <c r="A1888" s="328"/>
      <c r="B1888" s="21" t="s">
        <v>406</v>
      </c>
      <c r="C1888" s="21"/>
      <c r="D1888" s="22"/>
      <c r="E1888" s="21"/>
      <c r="F1888" s="21"/>
      <c r="G1888" s="21"/>
      <c r="H1888" s="21"/>
      <c r="I1888" s="21"/>
      <c r="J1888" s="21"/>
      <c r="K1888" s="77">
        <f ca="1">IF($D1884=LataProjekcji,ROUND($D1885-K1887,0),ROUND(IF(K1886=0,0,$D1885-K1887),0))</f>
        <v>0</v>
      </c>
      <c r="L1888" s="254">
        <f t="shared" ref="L1888:X1888" ca="1" si="1493">IF($D1884=LataProjekcji,ROUND($D1885-L1887,0),ROUND(IF(AND(L1886=0,K1888&gt;0),$D1885-L1887,IF(L1886=0,0,$D1885-L1887)),0))</f>
        <v>0</v>
      </c>
      <c r="M1888" s="254">
        <f t="shared" ca="1" si="1493"/>
        <v>0</v>
      </c>
      <c r="N1888" s="254">
        <f t="shared" ca="1" si="1493"/>
        <v>0</v>
      </c>
      <c r="O1888" s="254">
        <f t="shared" ca="1" si="1493"/>
        <v>0</v>
      </c>
      <c r="P1888" s="254">
        <f t="shared" ca="1" si="1493"/>
        <v>0</v>
      </c>
      <c r="Q1888" s="254">
        <f t="shared" ca="1" si="1493"/>
        <v>0</v>
      </c>
      <c r="R1888" s="254">
        <f t="shared" ca="1" si="1493"/>
        <v>0</v>
      </c>
      <c r="S1888" s="254">
        <f t="shared" ca="1" si="1493"/>
        <v>0</v>
      </c>
      <c r="T1888" s="254">
        <f t="shared" ca="1" si="1493"/>
        <v>0</v>
      </c>
      <c r="U1888" s="254">
        <f t="shared" ca="1" si="1493"/>
        <v>0</v>
      </c>
      <c r="V1888" s="254">
        <f t="shared" ca="1" si="1493"/>
        <v>0</v>
      </c>
      <c r="W1888" s="254">
        <f t="shared" ca="1" si="1493"/>
        <v>0</v>
      </c>
      <c r="X1888" s="254">
        <f t="shared" ca="1" si="1493"/>
        <v>0</v>
      </c>
    </row>
    <row r="1889" spans="1:24" hidden="1">
      <c r="A1889" s="328"/>
      <c r="B1889" s="21"/>
      <c r="C1889" s="21"/>
      <c r="D1889" s="22"/>
      <c r="E1889" s="21"/>
      <c r="F1889" s="21"/>
      <c r="G1889" s="21"/>
      <c r="H1889" s="404">
        <v>0</v>
      </c>
      <c r="I1889" s="483" cm="1">
        <f t="array" aca="1" ref="I1889" ca="1">OFFSET('Środki trwałe'!$C$574,H1889,,)</f>
        <v>0</v>
      </c>
      <c r="J1889" s="404" t="s">
        <v>427</v>
      </c>
      <c r="K1889" s="405">
        <f t="shared" ref="K1889:X1889" ca="1" si="1494">IF(AND(OFFSET($F$269,$D1883,0)="tak",OFFSET($G$269,$D1883,0)="tak",OFFSET($J$269,$D1883,0)="ok",LataProjekcji&lt;=Koniec_Projekt),ROUND(K1886*OFFSET($K$590,$H1889,(COLUMN()-11)),0),0)</f>
        <v>0</v>
      </c>
      <c r="L1889" s="405">
        <f t="shared" ca="1" si="1494"/>
        <v>0</v>
      </c>
      <c r="M1889" s="405">
        <f t="shared" ca="1" si="1494"/>
        <v>0</v>
      </c>
      <c r="N1889" s="405">
        <f t="shared" ca="1" si="1494"/>
        <v>0</v>
      </c>
      <c r="O1889" s="405">
        <f t="shared" ca="1" si="1494"/>
        <v>0</v>
      </c>
      <c r="P1889" s="405">
        <f t="shared" ca="1" si="1494"/>
        <v>0</v>
      </c>
      <c r="Q1889" s="405">
        <f t="shared" ca="1" si="1494"/>
        <v>0</v>
      </c>
      <c r="R1889" s="405">
        <f t="shared" ca="1" si="1494"/>
        <v>0</v>
      </c>
      <c r="S1889" s="405">
        <f t="shared" ca="1" si="1494"/>
        <v>0</v>
      </c>
      <c r="T1889" s="405">
        <f t="shared" ca="1" si="1494"/>
        <v>0</v>
      </c>
      <c r="U1889" s="405">
        <f t="shared" ca="1" si="1494"/>
        <v>0</v>
      </c>
      <c r="V1889" s="405">
        <f t="shared" ca="1" si="1494"/>
        <v>0</v>
      </c>
      <c r="W1889" s="405">
        <f t="shared" ca="1" si="1494"/>
        <v>0</v>
      </c>
      <c r="X1889" s="405">
        <f t="shared" ca="1" si="1494"/>
        <v>0</v>
      </c>
    </row>
    <row r="1890" spans="1:24" hidden="1">
      <c r="A1890" s="328"/>
      <c r="B1890" s="20">
        <f ca="1">OFFSET($B$269,D1890,0)</f>
        <v>0</v>
      </c>
      <c r="C1890" s="20"/>
      <c r="D1890" s="21">
        <f>D1883+1</f>
        <v>306</v>
      </c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</row>
    <row r="1891" spans="1:24" hidden="1">
      <c r="A1891" s="328"/>
      <c r="B1891" s="21" t="s">
        <v>414</v>
      </c>
      <c r="C1891" s="21"/>
      <c r="D1891" s="165">
        <f ca="1">YEAR(OFFSET($E$269,D1890,0))</f>
        <v>1900</v>
      </c>
      <c r="E1891" s="165">
        <f ca="1">MONTH(OFFSET($E$269,D1890,0))</f>
        <v>1</v>
      </c>
      <c r="F1891" s="21">
        <f ca="1">12-$E1891</f>
        <v>11</v>
      </c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</row>
    <row r="1892" spans="1:24" hidden="1">
      <c r="A1892" s="328"/>
      <c r="B1892" s="21" t="s">
        <v>406</v>
      </c>
      <c r="C1892" s="21"/>
      <c r="D1892" s="385">
        <f ca="1">IF(E1892&lt;0,0,ROUND(E1892,0))</f>
        <v>0</v>
      </c>
      <c r="E1892" s="249">
        <f ca="1">OFFSET($D$269,D1890,0)</f>
        <v>0</v>
      </c>
      <c r="F1892" s="385">
        <f ca="1">IF(E1892&gt;10,ROUND(($D1893/12)*$F1891,0),$D1892)</f>
        <v>0</v>
      </c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</row>
    <row r="1893" spans="1:24" hidden="1">
      <c r="A1893" s="328"/>
      <c r="B1893" s="21" t="s">
        <v>415</v>
      </c>
      <c r="C1893" s="21"/>
      <c r="D1893" s="385">
        <f ca="1">IF(ISBLANK(OFFSET($E$269,D1890,0)),0,IF(E1892&gt;10,ROUND(D1892*am_transport,0),IF(D1892&lt;0,0,D1892)))</f>
        <v>0</v>
      </c>
      <c r="E1893" s="21"/>
      <c r="F1893" s="21"/>
      <c r="G1893" s="21"/>
      <c r="H1893" s="21"/>
      <c r="I1893" s="21"/>
      <c r="J1893" s="21"/>
      <c r="K1893" s="75">
        <f ca="1">ROUND(IF($D1891=LataProjekcji,$F1892,IF($D1891=LataProjekcji,$D1893,0)),0)</f>
        <v>0</v>
      </c>
      <c r="L1893" s="248">
        <f ca="1">ROUND(IF(OR(AND($D1891=LataProjekcji,$F1891&gt;0),AND($D1891=LataProjekcji,$F1891=0,$E1892&lt;=10)),$F1892,IF($D1891&lt;LataProjekcji,IF((SUM($K1893:K1893)+$D1893)&lt;$D1892,$D1893,$D1892-SUM($K1893:K1893)),0)),0)</f>
        <v>0</v>
      </c>
      <c r="M1893" s="248">
        <f ca="1">ROUND(IF(OR(AND($D1891=LataProjekcji,$F1891&gt;0),AND($D1891=LataProjekcji,$F1891=0,$E1892&lt;=10)),$F1892,IF($D1891&lt;LataProjekcji,IF((SUM($K1893:L1893)+$D1893)&lt;$D1892,$D1893,$D1892-SUM($K1893:L1893)),0)),0)</f>
        <v>0</v>
      </c>
      <c r="N1893" s="248">
        <f ca="1">ROUND(IF(OR(AND($D1891=LataProjekcji,$F1891&gt;0),AND($D1891=LataProjekcji,$F1891=0,$E1892&lt;=10)),$F1892,IF($D1891&lt;LataProjekcji,IF((SUM($K1893:M1893)+$D1893)&lt;$D1892,$D1893,$D1892-SUM($K1893:M1893)),0)),0)</f>
        <v>0</v>
      </c>
      <c r="O1893" s="248">
        <f ca="1">ROUND(IF(OR(AND($D1891=LataProjekcji,$F1891&gt;0),AND($D1891=LataProjekcji,$F1891=0,$E1892&lt;=10)),$F1892,IF($D1891&lt;LataProjekcji,IF((SUM($K1893:N1893)+$D1893)&lt;$D1892,$D1893,$D1892-SUM($K1893:N1893)),0)),0)</f>
        <v>0</v>
      </c>
      <c r="P1893" s="248">
        <f ca="1">ROUND(IF(OR(AND($D1891=LataProjekcji,$F1891&gt;0),AND($D1891=LataProjekcji,$F1891=0,$E1892&lt;=10)),$F1892,IF($D1891&lt;LataProjekcji,IF((SUM($K1893:O1893)+$D1893)&lt;$D1892,$D1893,$D1892-SUM($K1893:O1893)),0)),0)</f>
        <v>0</v>
      </c>
      <c r="Q1893" s="248">
        <f ca="1">ROUND(IF(OR(AND($D1891=LataProjekcji,$F1891&gt;0),AND($D1891=LataProjekcji,$F1891=0,$E1892&lt;=10)),$F1892,IF($D1891&lt;LataProjekcji,IF((SUM($K1893:P1893)+$D1893)&lt;$D1892,$D1893,$D1892-SUM($K1893:P1893)),0)),0)</f>
        <v>0</v>
      </c>
      <c r="R1893" s="248">
        <f ca="1">ROUND(IF(OR(AND($D1891=LataProjekcji,$F1891&gt;0),AND($D1891=LataProjekcji,$F1891=0,$E1892&lt;=10)),$F1892,IF($D1891&lt;LataProjekcji,IF((SUM($K1893:Q1893)+$D1893)&lt;$D1892,$D1893,$D1892-SUM($K1893:Q1893)),0)),0)</f>
        <v>0</v>
      </c>
      <c r="S1893" s="248">
        <f ca="1">ROUND(IF(OR(AND($D1891=LataProjekcji,$F1891&gt;0),AND($D1891=LataProjekcji,$F1891=0,$E1892&lt;=10)),$F1892,IF($D1891&lt;LataProjekcji,IF((SUM($K1893:R1893)+$D1893)&lt;$D1892,$D1893,$D1892-SUM($K1893:R1893)),0)),0)</f>
        <v>0</v>
      </c>
      <c r="T1893" s="248">
        <f ca="1">ROUND(IF(OR(AND($D1891=LataProjekcji,$F1891&gt;0),AND($D1891=LataProjekcji,$F1891=0,$E1892&lt;=10)),$F1892,IF($D1891&lt;LataProjekcji,IF((SUM($K1893:S1893)+$D1893)&lt;$D1892,$D1893,$D1892-SUM($K1893:S1893)),0)),0)</f>
        <v>0</v>
      </c>
      <c r="U1893" s="248">
        <f ca="1">ROUND(IF(OR(AND($D1891=LataProjekcji,$F1891&gt;0),AND($D1891=LataProjekcji,$F1891=0,$E1892&lt;=10)),$F1892,IF($D1891&lt;LataProjekcji,IF((SUM($K1893:T1893)+$D1893)&lt;$D1892,$D1893,$D1892-SUM($K1893:T1893)),0)),0)</f>
        <v>0</v>
      </c>
      <c r="V1893" s="248">
        <f ca="1">ROUND(IF(OR(AND($D1891=LataProjekcji,$F1891&gt;0),AND($D1891=LataProjekcji,$F1891=0,$E1892&lt;=10)),$F1892,IF($D1891&lt;LataProjekcji,IF((SUM($K1893:U1893)+$D1893)&lt;$D1892,$D1893,$D1892-SUM($K1893:U1893)),0)),0)</f>
        <v>0</v>
      </c>
      <c r="W1893" s="248">
        <f ca="1">ROUND(IF(OR(AND($D1891=LataProjekcji,$F1891&gt;0),AND($D1891=LataProjekcji,$F1891=0,$E1892&lt;=10)),$F1892,IF($D1891&lt;LataProjekcji,IF((SUM($K1893:V1893)+$D1893)&lt;$D1892,$D1893,$D1892-SUM($K1893:V1893)),0)),0)</f>
        <v>0</v>
      </c>
      <c r="X1893" s="248">
        <f ca="1">ROUND(IF(OR(AND($D1891=LataProjekcji,$F1891&gt;0),AND($D1891=LataProjekcji,$F1891=0,$E1892&lt;=10)),$F1892,IF($D1891&lt;LataProjekcji,IF((SUM($K1893:W1893)+$D1893)&lt;$D1892,$D1893,$D1892-SUM($K1893:W1893)),0)),0)</f>
        <v>0</v>
      </c>
    </row>
    <row r="1894" spans="1:24" hidden="1">
      <c r="A1894" s="328"/>
      <c r="B1894" s="21" t="s">
        <v>416</v>
      </c>
      <c r="C1894" s="21"/>
      <c r="D1894" s="22"/>
      <c r="E1894" s="21"/>
      <c r="F1894" s="21"/>
      <c r="G1894" s="21"/>
      <c r="H1894" s="21"/>
      <c r="I1894" s="21"/>
      <c r="J1894" s="21"/>
      <c r="K1894" s="22">
        <f ca="1">ROUND(K1893,0)</f>
        <v>0</v>
      </c>
      <c r="L1894" s="22">
        <f t="shared" ref="L1894:X1894" ca="1" si="1495">ROUND(K1894+L1893,0)</f>
        <v>0</v>
      </c>
      <c r="M1894" s="22">
        <f t="shared" ca="1" si="1495"/>
        <v>0</v>
      </c>
      <c r="N1894" s="22">
        <f t="shared" ca="1" si="1495"/>
        <v>0</v>
      </c>
      <c r="O1894" s="22">
        <f t="shared" ca="1" si="1495"/>
        <v>0</v>
      </c>
      <c r="P1894" s="22">
        <f t="shared" ca="1" si="1495"/>
        <v>0</v>
      </c>
      <c r="Q1894" s="22">
        <f t="shared" ca="1" si="1495"/>
        <v>0</v>
      </c>
      <c r="R1894" s="22">
        <f t="shared" ca="1" si="1495"/>
        <v>0</v>
      </c>
      <c r="S1894" s="22">
        <f t="shared" ca="1" si="1495"/>
        <v>0</v>
      </c>
      <c r="T1894" s="22">
        <f t="shared" ca="1" si="1495"/>
        <v>0</v>
      </c>
      <c r="U1894" s="22">
        <f t="shared" ca="1" si="1495"/>
        <v>0</v>
      </c>
      <c r="V1894" s="22">
        <f t="shared" ca="1" si="1495"/>
        <v>0</v>
      </c>
      <c r="W1894" s="22">
        <f t="shared" ca="1" si="1495"/>
        <v>0</v>
      </c>
      <c r="X1894" s="22">
        <f t="shared" ca="1" si="1495"/>
        <v>0</v>
      </c>
    </row>
    <row r="1895" spans="1:24" hidden="1">
      <c r="A1895" s="328"/>
      <c r="B1895" s="21" t="s">
        <v>406</v>
      </c>
      <c r="C1895" s="21"/>
      <c r="D1895" s="22"/>
      <c r="E1895" s="21"/>
      <c r="F1895" s="21"/>
      <c r="G1895" s="21"/>
      <c r="H1895" s="21"/>
      <c r="I1895" s="21"/>
      <c r="J1895" s="21"/>
      <c r="K1895" s="77">
        <f ca="1">IF($D1891=LataProjekcji,ROUND($D1892-K1894,0),ROUND(IF(K1893=0,0,$D1892-K1894),0))</f>
        <v>0</v>
      </c>
      <c r="L1895" s="254">
        <f t="shared" ref="L1895:X1895" ca="1" si="1496">IF($D1891=LataProjekcji,ROUND($D1892-L1894,0),ROUND(IF(AND(L1893=0,K1895&gt;0),$D1892-L1894,IF(L1893=0,0,$D1892-L1894)),0))</f>
        <v>0</v>
      </c>
      <c r="M1895" s="254">
        <f t="shared" ca="1" si="1496"/>
        <v>0</v>
      </c>
      <c r="N1895" s="254">
        <f t="shared" ca="1" si="1496"/>
        <v>0</v>
      </c>
      <c r="O1895" s="254">
        <f t="shared" ca="1" si="1496"/>
        <v>0</v>
      </c>
      <c r="P1895" s="254">
        <f t="shared" ca="1" si="1496"/>
        <v>0</v>
      </c>
      <c r="Q1895" s="254">
        <f t="shared" ca="1" si="1496"/>
        <v>0</v>
      </c>
      <c r="R1895" s="254">
        <f t="shared" ca="1" si="1496"/>
        <v>0</v>
      </c>
      <c r="S1895" s="254">
        <f t="shared" ca="1" si="1496"/>
        <v>0</v>
      </c>
      <c r="T1895" s="254">
        <f t="shared" ca="1" si="1496"/>
        <v>0</v>
      </c>
      <c r="U1895" s="254">
        <f t="shared" ca="1" si="1496"/>
        <v>0</v>
      </c>
      <c r="V1895" s="254">
        <f t="shared" ca="1" si="1496"/>
        <v>0</v>
      </c>
      <c r="W1895" s="254">
        <f t="shared" ca="1" si="1496"/>
        <v>0</v>
      </c>
      <c r="X1895" s="254">
        <f t="shared" ca="1" si="1496"/>
        <v>0</v>
      </c>
    </row>
    <row r="1896" spans="1:24" hidden="1">
      <c r="A1896" s="328"/>
      <c r="B1896" s="20"/>
      <c r="C1896" s="20"/>
      <c r="D1896" s="21"/>
      <c r="E1896" s="21"/>
      <c r="F1896" s="21"/>
      <c r="G1896" s="21"/>
      <c r="H1896" s="404">
        <f>H1889+1</f>
        <v>1</v>
      </c>
      <c r="I1896" s="483" cm="1">
        <f t="array" aca="1" ref="I1896" ca="1">OFFSET('Środki trwałe'!$C$574,H1896,,)</f>
        <v>0</v>
      </c>
      <c r="J1896" s="404" t="s">
        <v>427</v>
      </c>
      <c r="K1896" s="405">
        <f t="shared" ref="K1896:X1896" ca="1" si="1497">IF(AND(OFFSET($F$269,$D1890,0)="tak",OFFSET($G$269,$D1890,0)="tak",OFFSET($J$269,$D1890,0)="ok",LataProjekcji&lt;=Koniec_Projekt),ROUND(K1893*OFFSET($K$590,$H1896,(COLUMN()-11)),0),0)</f>
        <v>0</v>
      </c>
      <c r="L1896" s="405">
        <f t="shared" ca="1" si="1497"/>
        <v>0</v>
      </c>
      <c r="M1896" s="405">
        <f t="shared" ca="1" si="1497"/>
        <v>0</v>
      </c>
      <c r="N1896" s="405">
        <f t="shared" ca="1" si="1497"/>
        <v>0</v>
      </c>
      <c r="O1896" s="405">
        <f t="shared" ca="1" si="1497"/>
        <v>0</v>
      </c>
      <c r="P1896" s="405">
        <f t="shared" ca="1" si="1497"/>
        <v>0</v>
      </c>
      <c r="Q1896" s="405">
        <f t="shared" ca="1" si="1497"/>
        <v>0</v>
      </c>
      <c r="R1896" s="405">
        <f t="shared" ca="1" si="1497"/>
        <v>0</v>
      </c>
      <c r="S1896" s="405">
        <f t="shared" ca="1" si="1497"/>
        <v>0</v>
      </c>
      <c r="T1896" s="405">
        <f t="shared" ca="1" si="1497"/>
        <v>0</v>
      </c>
      <c r="U1896" s="405">
        <f t="shared" ca="1" si="1497"/>
        <v>0</v>
      </c>
      <c r="V1896" s="405">
        <f t="shared" ca="1" si="1497"/>
        <v>0</v>
      </c>
      <c r="W1896" s="405">
        <f t="shared" ca="1" si="1497"/>
        <v>0</v>
      </c>
      <c r="X1896" s="405">
        <f t="shared" ca="1" si="1497"/>
        <v>0</v>
      </c>
    </row>
    <row r="1897" spans="1:24" hidden="1">
      <c r="A1897" s="328"/>
      <c r="B1897" s="20">
        <f ca="1">OFFSET($B$269,D1897,0)</f>
        <v>0</v>
      </c>
      <c r="C1897" s="20"/>
      <c r="D1897" s="21">
        <f>D1890+1</f>
        <v>307</v>
      </c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</row>
    <row r="1898" spans="1:24" hidden="1">
      <c r="A1898" s="328"/>
      <c r="B1898" s="21" t="s">
        <v>414</v>
      </c>
      <c r="C1898" s="21"/>
      <c r="D1898" s="165">
        <f ca="1">YEAR(OFFSET($E$269,D1897,0))</f>
        <v>1900</v>
      </c>
      <c r="E1898" s="165">
        <f ca="1">MONTH(OFFSET($E$269,D1897,0))</f>
        <v>1</v>
      </c>
      <c r="F1898" s="21">
        <f ca="1">12-$E1898</f>
        <v>11</v>
      </c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</row>
    <row r="1899" spans="1:24" hidden="1">
      <c r="A1899" s="328"/>
      <c r="B1899" s="21" t="s">
        <v>406</v>
      </c>
      <c r="C1899" s="21"/>
      <c r="D1899" s="386">
        <f ca="1">IF(E1899&lt;0,0,ROUND(E1899,0))</f>
        <v>0</v>
      </c>
      <c r="E1899" s="249">
        <f ca="1">OFFSET($D$269,D1897,0)</f>
        <v>0</v>
      </c>
      <c r="F1899" s="386">
        <f ca="1">IF(E1899&gt;10,ROUND(($D1900/12)*$F1898,0),$D1899)</f>
        <v>0</v>
      </c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</row>
    <row r="1900" spans="1:24" hidden="1">
      <c r="A1900" s="328"/>
      <c r="B1900" s="21" t="s">
        <v>415</v>
      </c>
      <c r="C1900" s="21"/>
      <c r="D1900" s="386">
        <f ca="1">IF(ISBLANK(OFFSET($E$269,D1897,0)),0,IF(E1899&gt;10,ROUND(D1899*am_transport,0),IF(D1899&lt;0,0,D1899)))</f>
        <v>0</v>
      </c>
      <c r="E1900" s="21"/>
      <c r="F1900" s="21"/>
      <c r="G1900" s="21"/>
      <c r="H1900" s="21"/>
      <c r="I1900" s="21"/>
      <c r="J1900" s="21"/>
      <c r="K1900" s="75">
        <f ca="1">ROUND(IF($D1898=LataProjekcji,$F1899,IF($D1898=LataProjekcji,$D1900,0)),0)</f>
        <v>0</v>
      </c>
      <c r="L1900" s="248">
        <f ca="1">ROUND(IF(OR(AND($D1898=LataProjekcji,$F1898&gt;0),AND($D1898=LataProjekcji,$F1898=0,$E1899&lt;=10)),$F1899,IF($D1898&lt;LataProjekcji,IF((SUM($K1900:K1900)+$D1900)&lt;$D1899,$D1900,$D1899-SUM($K1900:K1900)),0)),0)</f>
        <v>0</v>
      </c>
      <c r="M1900" s="248">
        <f ca="1">ROUND(IF(OR(AND($D1898=LataProjekcji,$F1898&gt;0),AND($D1898=LataProjekcji,$F1898=0,$E1899&lt;=10)),$F1899,IF($D1898&lt;LataProjekcji,IF((SUM($K1900:L1900)+$D1900)&lt;$D1899,$D1900,$D1899-SUM($K1900:L1900)),0)),0)</f>
        <v>0</v>
      </c>
      <c r="N1900" s="248">
        <f ca="1">ROUND(IF(OR(AND($D1898=LataProjekcji,$F1898&gt;0),AND($D1898=LataProjekcji,$F1898=0,$E1899&lt;=10)),$F1899,IF($D1898&lt;LataProjekcji,IF((SUM($K1900:M1900)+$D1900)&lt;$D1899,$D1900,$D1899-SUM($K1900:M1900)),0)),0)</f>
        <v>0</v>
      </c>
      <c r="O1900" s="248">
        <f ca="1">ROUND(IF(OR(AND($D1898=LataProjekcji,$F1898&gt;0),AND($D1898=LataProjekcji,$F1898=0,$E1899&lt;=10)),$F1899,IF($D1898&lt;LataProjekcji,IF((SUM($K1900:N1900)+$D1900)&lt;$D1899,$D1900,$D1899-SUM($K1900:N1900)),0)),0)</f>
        <v>0</v>
      </c>
      <c r="P1900" s="248">
        <f ca="1">ROUND(IF(OR(AND($D1898=LataProjekcji,$F1898&gt;0),AND($D1898=LataProjekcji,$F1898=0,$E1899&lt;=10)),$F1899,IF($D1898&lt;LataProjekcji,IF((SUM($K1900:O1900)+$D1900)&lt;$D1899,$D1900,$D1899-SUM($K1900:O1900)),0)),0)</f>
        <v>0</v>
      </c>
      <c r="Q1900" s="248">
        <f ca="1">ROUND(IF(OR(AND($D1898=LataProjekcji,$F1898&gt;0),AND($D1898=LataProjekcji,$F1898=0,$E1899&lt;=10)),$F1899,IF($D1898&lt;LataProjekcji,IF((SUM($K1900:P1900)+$D1900)&lt;$D1899,$D1900,$D1899-SUM($K1900:P1900)),0)),0)</f>
        <v>0</v>
      </c>
      <c r="R1900" s="248">
        <f ca="1">ROUND(IF(OR(AND($D1898=LataProjekcji,$F1898&gt;0),AND($D1898=LataProjekcji,$F1898=0,$E1899&lt;=10)),$F1899,IF($D1898&lt;LataProjekcji,IF((SUM($K1900:Q1900)+$D1900)&lt;$D1899,$D1900,$D1899-SUM($K1900:Q1900)),0)),0)</f>
        <v>0</v>
      </c>
      <c r="S1900" s="248">
        <f ca="1">ROUND(IF(OR(AND($D1898=LataProjekcji,$F1898&gt;0),AND($D1898=LataProjekcji,$F1898=0,$E1899&lt;=10)),$F1899,IF($D1898&lt;LataProjekcji,IF((SUM($K1900:R1900)+$D1900)&lt;$D1899,$D1900,$D1899-SUM($K1900:R1900)),0)),0)</f>
        <v>0</v>
      </c>
      <c r="T1900" s="248">
        <f ca="1">ROUND(IF(OR(AND($D1898=LataProjekcji,$F1898&gt;0),AND($D1898=LataProjekcji,$F1898=0,$E1899&lt;=10)),$F1899,IF($D1898&lt;LataProjekcji,IF((SUM($K1900:S1900)+$D1900)&lt;$D1899,$D1900,$D1899-SUM($K1900:S1900)),0)),0)</f>
        <v>0</v>
      </c>
      <c r="U1900" s="248">
        <f ca="1">ROUND(IF(OR(AND($D1898=LataProjekcji,$F1898&gt;0),AND($D1898=LataProjekcji,$F1898=0,$E1899&lt;=10)),$F1899,IF($D1898&lt;LataProjekcji,IF((SUM($K1900:T1900)+$D1900)&lt;$D1899,$D1900,$D1899-SUM($K1900:T1900)),0)),0)</f>
        <v>0</v>
      </c>
      <c r="V1900" s="248">
        <f ca="1">ROUND(IF(OR(AND($D1898=LataProjekcji,$F1898&gt;0),AND($D1898=LataProjekcji,$F1898=0,$E1899&lt;=10)),$F1899,IF($D1898&lt;LataProjekcji,IF((SUM($K1900:U1900)+$D1900)&lt;$D1899,$D1900,$D1899-SUM($K1900:U1900)),0)),0)</f>
        <v>0</v>
      </c>
      <c r="W1900" s="248">
        <f ca="1">ROUND(IF(OR(AND($D1898=LataProjekcji,$F1898&gt;0),AND($D1898=LataProjekcji,$F1898=0,$E1899&lt;=10)),$F1899,IF($D1898&lt;LataProjekcji,IF((SUM($K1900:V1900)+$D1900)&lt;$D1899,$D1900,$D1899-SUM($K1900:V1900)),0)),0)</f>
        <v>0</v>
      </c>
      <c r="X1900" s="248">
        <f ca="1">ROUND(IF(OR(AND($D1898=LataProjekcji,$F1898&gt;0),AND($D1898=LataProjekcji,$F1898=0,$E1899&lt;=10)),$F1899,IF($D1898&lt;LataProjekcji,IF((SUM($K1900:W1900)+$D1900)&lt;$D1899,$D1900,$D1899-SUM($K1900:W1900)),0)),0)</f>
        <v>0</v>
      </c>
    </row>
    <row r="1901" spans="1:24" hidden="1">
      <c r="A1901" s="328"/>
      <c r="B1901" s="21" t="s">
        <v>416</v>
      </c>
      <c r="C1901" s="21"/>
      <c r="D1901" s="22"/>
      <c r="E1901" s="21"/>
      <c r="F1901" s="21"/>
      <c r="G1901" s="21"/>
      <c r="H1901" s="21"/>
      <c r="I1901" s="21"/>
      <c r="J1901" s="21"/>
      <c r="K1901" s="22">
        <f ca="1">ROUND(K1900,0)</f>
        <v>0</v>
      </c>
      <c r="L1901" s="22">
        <f t="shared" ref="L1901:X1901" ca="1" si="1498">ROUND(K1901+L1900,0)</f>
        <v>0</v>
      </c>
      <c r="M1901" s="22">
        <f t="shared" ca="1" si="1498"/>
        <v>0</v>
      </c>
      <c r="N1901" s="22">
        <f t="shared" ca="1" si="1498"/>
        <v>0</v>
      </c>
      <c r="O1901" s="22">
        <f t="shared" ca="1" si="1498"/>
        <v>0</v>
      </c>
      <c r="P1901" s="22">
        <f t="shared" ca="1" si="1498"/>
        <v>0</v>
      </c>
      <c r="Q1901" s="22">
        <f t="shared" ca="1" si="1498"/>
        <v>0</v>
      </c>
      <c r="R1901" s="22">
        <f t="shared" ca="1" si="1498"/>
        <v>0</v>
      </c>
      <c r="S1901" s="22">
        <f t="shared" ca="1" si="1498"/>
        <v>0</v>
      </c>
      <c r="T1901" s="22">
        <f t="shared" ca="1" si="1498"/>
        <v>0</v>
      </c>
      <c r="U1901" s="22">
        <f t="shared" ca="1" si="1498"/>
        <v>0</v>
      </c>
      <c r="V1901" s="22">
        <f t="shared" ca="1" si="1498"/>
        <v>0</v>
      </c>
      <c r="W1901" s="22">
        <f t="shared" ca="1" si="1498"/>
        <v>0</v>
      </c>
      <c r="X1901" s="22">
        <f t="shared" ca="1" si="1498"/>
        <v>0</v>
      </c>
    </row>
    <row r="1902" spans="1:24" hidden="1">
      <c r="A1902" s="328"/>
      <c r="B1902" s="21" t="s">
        <v>406</v>
      </c>
      <c r="C1902" s="21"/>
      <c r="D1902" s="22"/>
      <c r="E1902" s="21"/>
      <c r="F1902" s="21"/>
      <c r="G1902" s="21"/>
      <c r="H1902" s="21"/>
      <c r="I1902" s="21"/>
      <c r="J1902" s="21"/>
      <c r="K1902" s="77">
        <f ca="1">IF($D1898=LataProjekcji,ROUND($D1899-K1901,0),ROUND(IF(K1900=0,0,$D1899-K1901),0))</f>
        <v>0</v>
      </c>
      <c r="L1902" s="254">
        <f t="shared" ref="L1902:X1902" ca="1" si="1499">IF($D1898=LataProjekcji,ROUND($D1899-L1901,0),ROUND(IF(AND(L1900=0,K1902&gt;0),$D1899-L1901,IF(L1900=0,0,$D1899-L1901)),0))</f>
        <v>0</v>
      </c>
      <c r="M1902" s="254">
        <f t="shared" ca="1" si="1499"/>
        <v>0</v>
      </c>
      <c r="N1902" s="254">
        <f t="shared" ca="1" si="1499"/>
        <v>0</v>
      </c>
      <c r="O1902" s="254">
        <f t="shared" ca="1" si="1499"/>
        <v>0</v>
      </c>
      <c r="P1902" s="254">
        <f t="shared" ca="1" si="1499"/>
        <v>0</v>
      </c>
      <c r="Q1902" s="254">
        <f t="shared" ca="1" si="1499"/>
        <v>0</v>
      </c>
      <c r="R1902" s="254">
        <f t="shared" ca="1" si="1499"/>
        <v>0</v>
      </c>
      <c r="S1902" s="254">
        <f t="shared" ca="1" si="1499"/>
        <v>0</v>
      </c>
      <c r="T1902" s="254">
        <f t="shared" ca="1" si="1499"/>
        <v>0</v>
      </c>
      <c r="U1902" s="254">
        <f t="shared" ca="1" si="1499"/>
        <v>0</v>
      </c>
      <c r="V1902" s="254">
        <f t="shared" ca="1" si="1499"/>
        <v>0</v>
      </c>
      <c r="W1902" s="254">
        <f t="shared" ca="1" si="1499"/>
        <v>0</v>
      </c>
      <c r="X1902" s="254">
        <f t="shared" ca="1" si="1499"/>
        <v>0</v>
      </c>
    </row>
    <row r="1903" spans="1:24" hidden="1">
      <c r="A1903" s="328"/>
      <c r="B1903" s="21"/>
      <c r="C1903" s="21"/>
      <c r="D1903" s="22"/>
      <c r="E1903" s="21"/>
      <c r="F1903" s="21"/>
      <c r="G1903" s="21"/>
      <c r="H1903" s="404">
        <f>H1896+1</f>
        <v>2</v>
      </c>
      <c r="I1903" s="483" cm="1">
        <f t="array" aca="1" ref="I1903" ca="1">OFFSET('Środki trwałe'!$C$574,H1903,,)</f>
        <v>0</v>
      </c>
      <c r="J1903" s="404" t="s">
        <v>427</v>
      </c>
      <c r="K1903" s="405">
        <f t="shared" ref="K1903:X1903" ca="1" si="1500">IF(AND(OFFSET($F$269,$D1897,0)="tak",OFFSET($G$269,$D1897,0)="tak",OFFSET($J$269,$D1897,0)="ok",LataProjekcji&lt;=Koniec_Projekt),ROUND(K1900*OFFSET($K$590,$H1903,(COLUMN()-11)),0),0)</f>
        <v>0</v>
      </c>
      <c r="L1903" s="405">
        <f t="shared" ca="1" si="1500"/>
        <v>0</v>
      </c>
      <c r="M1903" s="405">
        <f t="shared" ca="1" si="1500"/>
        <v>0</v>
      </c>
      <c r="N1903" s="405">
        <f t="shared" ca="1" si="1500"/>
        <v>0</v>
      </c>
      <c r="O1903" s="405">
        <f t="shared" ca="1" si="1500"/>
        <v>0</v>
      </c>
      <c r="P1903" s="405">
        <f t="shared" ca="1" si="1500"/>
        <v>0</v>
      </c>
      <c r="Q1903" s="405">
        <f t="shared" ca="1" si="1500"/>
        <v>0</v>
      </c>
      <c r="R1903" s="405">
        <f t="shared" ca="1" si="1500"/>
        <v>0</v>
      </c>
      <c r="S1903" s="405">
        <f t="shared" ca="1" si="1500"/>
        <v>0</v>
      </c>
      <c r="T1903" s="405">
        <f t="shared" ca="1" si="1500"/>
        <v>0</v>
      </c>
      <c r="U1903" s="405">
        <f t="shared" ca="1" si="1500"/>
        <v>0</v>
      </c>
      <c r="V1903" s="405">
        <f t="shared" ca="1" si="1500"/>
        <v>0</v>
      </c>
      <c r="W1903" s="405">
        <f t="shared" ca="1" si="1500"/>
        <v>0</v>
      </c>
      <c r="X1903" s="405">
        <f t="shared" ca="1" si="1500"/>
        <v>0</v>
      </c>
    </row>
    <row r="1904" spans="1:24" hidden="1">
      <c r="A1904" s="328"/>
      <c r="B1904" s="20">
        <f ca="1">OFFSET($B$269,D1904,0)</f>
        <v>0</v>
      </c>
      <c r="C1904" s="20"/>
      <c r="D1904" s="21">
        <f>D1897+1</f>
        <v>308</v>
      </c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</row>
    <row r="1905" spans="1:24" hidden="1">
      <c r="A1905" s="328"/>
      <c r="B1905" s="21" t="s">
        <v>414</v>
      </c>
      <c r="C1905" s="21"/>
      <c r="D1905" s="165">
        <f ca="1">YEAR(OFFSET($E$269,D1904,0))</f>
        <v>1900</v>
      </c>
      <c r="E1905" s="165">
        <f ca="1">MONTH(OFFSET($E$269,D1904,0))</f>
        <v>1</v>
      </c>
      <c r="F1905" s="21">
        <f ca="1">12-$E1905</f>
        <v>11</v>
      </c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</row>
    <row r="1906" spans="1:24" hidden="1">
      <c r="A1906" s="328"/>
      <c r="B1906" s="21" t="s">
        <v>406</v>
      </c>
      <c r="C1906" s="21"/>
      <c r="D1906" s="387">
        <f ca="1">IF(E1906&lt;0,0,ROUND(E1906,0))</f>
        <v>0</v>
      </c>
      <c r="E1906" s="249">
        <f ca="1">OFFSET($D$269,D1904,0)</f>
        <v>0</v>
      </c>
      <c r="F1906" s="387">
        <f ca="1">IF(E1906&gt;10,ROUND(($D1907/12)*$F1905,0),$D1906)</f>
        <v>0</v>
      </c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</row>
    <row r="1907" spans="1:24" hidden="1">
      <c r="A1907" s="328"/>
      <c r="B1907" s="21" t="s">
        <v>415</v>
      </c>
      <c r="C1907" s="21"/>
      <c r="D1907" s="387">
        <f ca="1">IF(ISBLANK(OFFSET($E$269,D1904,0)),0,IF(E1906&gt;10,ROUND(D1906*am_transport,0),IF(D1906&lt;0,0,D1906)))</f>
        <v>0</v>
      </c>
      <c r="E1907" s="21"/>
      <c r="F1907" s="21"/>
      <c r="G1907" s="21"/>
      <c r="H1907" s="21"/>
      <c r="I1907" s="21"/>
      <c r="J1907" s="21"/>
      <c r="K1907" s="75">
        <f ca="1">ROUND(IF($D1905=LataProjekcji,$F1906,IF($D1905=LataProjekcji,$D1907,0)),0)</f>
        <v>0</v>
      </c>
      <c r="L1907" s="248">
        <f ca="1">ROUND(IF(OR(AND($D1905=LataProjekcji,$F1905&gt;0),AND($D1905=LataProjekcji,$F1905=0,$E1906&lt;=10)),$F1906,IF($D1905&lt;LataProjekcji,IF((SUM($K1907:K1907)+$D1907)&lt;$D1906,$D1907,$D1906-SUM($K1907:K1907)),0)),0)</f>
        <v>0</v>
      </c>
      <c r="M1907" s="248">
        <f ca="1">ROUND(IF(OR(AND($D1905=LataProjekcji,$F1905&gt;0),AND($D1905=LataProjekcji,$F1905=0,$E1906&lt;=10)),$F1906,IF($D1905&lt;LataProjekcji,IF((SUM($K1907:L1907)+$D1907)&lt;$D1906,$D1907,$D1906-SUM($K1907:L1907)),0)),0)</f>
        <v>0</v>
      </c>
      <c r="N1907" s="248">
        <f ca="1">ROUND(IF(OR(AND($D1905=LataProjekcji,$F1905&gt;0),AND($D1905=LataProjekcji,$F1905=0,$E1906&lt;=10)),$F1906,IF($D1905&lt;LataProjekcji,IF((SUM($K1907:M1907)+$D1907)&lt;$D1906,$D1907,$D1906-SUM($K1907:M1907)),0)),0)</f>
        <v>0</v>
      </c>
      <c r="O1907" s="248">
        <f ca="1">ROUND(IF(OR(AND($D1905=LataProjekcji,$F1905&gt;0),AND($D1905=LataProjekcji,$F1905=0,$E1906&lt;=10)),$F1906,IF($D1905&lt;LataProjekcji,IF((SUM($K1907:N1907)+$D1907)&lt;$D1906,$D1907,$D1906-SUM($K1907:N1907)),0)),0)</f>
        <v>0</v>
      </c>
      <c r="P1907" s="248">
        <f ca="1">ROUND(IF(OR(AND($D1905=LataProjekcji,$F1905&gt;0),AND($D1905=LataProjekcji,$F1905=0,$E1906&lt;=10)),$F1906,IF($D1905&lt;LataProjekcji,IF((SUM($K1907:O1907)+$D1907)&lt;$D1906,$D1907,$D1906-SUM($K1907:O1907)),0)),0)</f>
        <v>0</v>
      </c>
      <c r="Q1907" s="248">
        <f ca="1">ROUND(IF(OR(AND($D1905=LataProjekcji,$F1905&gt;0),AND($D1905=LataProjekcji,$F1905=0,$E1906&lt;=10)),$F1906,IF($D1905&lt;LataProjekcji,IF((SUM($K1907:P1907)+$D1907)&lt;$D1906,$D1907,$D1906-SUM($K1907:P1907)),0)),0)</f>
        <v>0</v>
      </c>
      <c r="R1907" s="248">
        <f ca="1">ROUND(IF(OR(AND($D1905=LataProjekcji,$F1905&gt;0),AND($D1905=LataProjekcji,$F1905=0,$E1906&lt;=10)),$F1906,IF($D1905&lt;LataProjekcji,IF((SUM($K1907:Q1907)+$D1907)&lt;$D1906,$D1907,$D1906-SUM($K1907:Q1907)),0)),0)</f>
        <v>0</v>
      </c>
      <c r="S1907" s="248">
        <f ca="1">ROUND(IF(OR(AND($D1905=LataProjekcji,$F1905&gt;0),AND($D1905=LataProjekcji,$F1905=0,$E1906&lt;=10)),$F1906,IF($D1905&lt;LataProjekcji,IF((SUM($K1907:R1907)+$D1907)&lt;$D1906,$D1907,$D1906-SUM($K1907:R1907)),0)),0)</f>
        <v>0</v>
      </c>
      <c r="T1907" s="248">
        <f ca="1">ROUND(IF(OR(AND($D1905=LataProjekcji,$F1905&gt;0),AND($D1905=LataProjekcji,$F1905=0,$E1906&lt;=10)),$F1906,IF($D1905&lt;LataProjekcji,IF((SUM($K1907:S1907)+$D1907)&lt;$D1906,$D1907,$D1906-SUM($K1907:S1907)),0)),0)</f>
        <v>0</v>
      </c>
      <c r="U1907" s="248">
        <f ca="1">ROUND(IF(OR(AND($D1905=LataProjekcji,$F1905&gt;0),AND($D1905=LataProjekcji,$F1905=0,$E1906&lt;=10)),$F1906,IF($D1905&lt;LataProjekcji,IF((SUM($K1907:T1907)+$D1907)&lt;$D1906,$D1907,$D1906-SUM($K1907:T1907)),0)),0)</f>
        <v>0</v>
      </c>
      <c r="V1907" s="248">
        <f ca="1">ROUND(IF(OR(AND($D1905=LataProjekcji,$F1905&gt;0),AND($D1905=LataProjekcji,$F1905=0,$E1906&lt;=10)),$F1906,IF($D1905&lt;LataProjekcji,IF((SUM($K1907:U1907)+$D1907)&lt;$D1906,$D1907,$D1906-SUM($K1907:U1907)),0)),0)</f>
        <v>0</v>
      </c>
      <c r="W1907" s="248">
        <f ca="1">ROUND(IF(OR(AND($D1905=LataProjekcji,$F1905&gt;0),AND($D1905=LataProjekcji,$F1905=0,$E1906&lt;=10)),$F1906,IF($D1905&lt;LataProjekcji,IF((SUM($K1907:V1907)+$D1907)&lt;$D1906,$D1907,$D1906-SUM($K1907:V1907)),0)),0)</f>
        <v>0</v>
      </c>
      <c r="X1907" s="248">
        <f ca="1">ROUND(IF(OR(AND($D1905=LataProjekcji,$F1905&gt;0),AND($D1905=LataProjekcji,$F1905=0,$E1906&lt;=10)),$F1906,IF($D1905&lt;LataProjekcji,IF((SUM($K1907:W1907)+$D1907)&lt;$D1906,$D1907,$D1906-SUM($K1907:W1907)),0)),0)</f>
        <v>0</v>
      </c>
    </row>
    <row r="1908" spans="1:24" hidden="1">
      <c r="A1908" s="328"/>
      <c r="B1908" s="21" t="s">
        <v>416</v>
      </c>
      <c r="C1908" s="21"/>
      <c r="D1908" s="22"/>
      <c r="E1908" s="21"/>
      <c r="F1908" s="21"/>
      <c r="G1908" s="21"/>
      <c r="H1908" s="21"/>
      <c r="I1908" s="21"/>
      <c r="J1908" s="21"/>
      <c r="K1908" s="22">
        <f ca="1">ROUND(K1907,0)</f>
        <v>0</v>
      </c>
      <c r="L1908" s="22">
        <f t="shared" ref="L1908:X1908" ca="1" si="1501">ROUND(K1908+L1907,0)</f>
        <v>0</v>
      </c>
      <c r="M1908" s="22">
        <f t="shared" ca="1" si="1501"/>
        <v>0</v>
      </c>
      <c r="N1908" s="22">
        <f t="shared" ca="1" si="1501"/>
        <v>0</v>
      </c>
      <c r="O1908" s="22">
        <f t="shared" ca="1" si="1501"/>
        <v>0</v>
      </c>
      <c r="P1908" s="22">
        <f t="shared" ca="1" si="1501"/>
        <v>0</v>
      </c>
      <c r="Q1908" s="22">
        <f t="shared" ca="1" si="1501"/>
        <v>0</v>
      </c>
      <c r="R1908" s="22">
        <f t="shared" ca="1" si="1501"/>
        <v>0</v>
      </c>
      <c r="S1908" s="22">
        <f t="shared" ca="1" si="1501"/>
        <v>0</v>
      </c>
      <c r="T1908" s="22">
        <f t="shared" ca="1" si="1501"/>
        <v>0</v>
      </c>
      <c r="U1908" s="22">
        <f t="shared" ca="1" si="1501"/>
        <v>0</v>
      </c>
      <c r="V1908" s="22">
        <f t="shared" ca="1" si="1501"/>
        <v>0</v>
      </c>
      <c r="W1908" s="22">
        <f t="shared" ca="1" si="1501"/>
        <v>0</v>
      </c>
      <c r="X1908" s="22">
        <f t="shared" ca="1" si="1501"/>
        <v>0</v>
      </c>
    </row>
    <row r="1909" spans="1:24" hidden="1">
      <c r="A1909" s="328"/>
      <c r="B1909" s="21" t="s">
        <v>406</v>
      </c>
      <c r="C1909" s="21"/>
      <c r="D1909" s="22"/>
      <c r="E1909" s="21"/>
      <c r="F1909" s="21"/>
      <c r="G1909" s="21"/>
      <c r="H1909" s="21"/>
      <c r="I1909" s="21"/>
      <c r="J1909" s="21"/>
      <c r="K1909" s="77">
        <f ca="1">IF($D1905=LataProjekcji,ROUND($D1906-K1908,0),ROUND(IF(K1907=0,0,$D1906-K1908),0))</f>
        <v>0</v>
      </c>
      <c r="L1909" s="254">
        <f t="shared" ref="L1909:X1909" ca="1" si="1502">IF($D1905=LataProjekcji,ROUND($D1906-L1908,0),ROUND(IF(AND(L1907=0,K1909&gt;0),$D1906-L1908,IF(L1907=0,0,$D1906-L1908)),0))</f>
        <v>0</v>
      </c>
      <c r="M1909" s="254">
        <f t="shared" ca="1" si="1502"/>
        <v>0</v>
      </c>
      <c r="N1909" s="254">
        <f t="shared" ca="1" si="1502"/>
        <v>0</v>
      </c>
      <c r="O1909" s="254">
        <f t="shared" ca="1" si="1502"/>
        <v>0</v>
      </c>
      <c r="P1909" s="254">
        <f t="shared" ca="1" si="1502"/>
        <v>0</v>
      </c>
      <c r="Q1909" s="254">
        <f t="shared" ca="1" si="1502"/>
        <v>0</v>
      </c>
      <c r="R1909" s="254">
        <f t="shared" ca="1" si="1502"/>
        <v>0</v>
      </c>
      <c r="S1909" s="254">
        <f t="shared" ca="1" si="1502"/>
        <v>0</v>
      </c>
      <c r="T1909" s="254">
        <f t="shared" ca="1" si="1502"/>
        <v>0</v>
      </c>
      <c r="U1909" s="254">
        <f t="shared" ca="1" si="1502"/>
        <v>0</v>
      </c>
      <c r="V1909" s="254">
        <f t="shared" ca="1" si="1502"/>
        <v>0</v>
      </c>
      <c r="W1909" s="254">
        <f t="shared" ca="1" si="1502"/>
        <v>0</v>
      </c>
      <c r="X1909" s="254">
        <f t="shared" ca="1" si="1502"/>
        <v>0</v>
      </c>
    </row>
    <row r="1910" spans="1:24" hidden="1">
      <c r="A1910" s="328"/>
      <c r="B1910" s="21"/>
      <c r="C1910" s="21"/>
      <c r="D1910" s="21"/>
      <c r="E1910" s="21"/>
      <c r="F1910" s="21"/>
      <c r="G1910" s="21"/>
      <c r="H1910" s="404">
        <f>H1903+1</f>
        <v>3</v>
      </c>
      <c r="I1910" s="483" cm="1">
        <f t="array" aca="1" ref="I1910" ca="1">OFFSET('Środki trwałe'!$C$574,H1910,,)</f>
        <v>0</v>
      </c>
      <c r="J1910" s="404" t="s">
        <v>427</v>
      </c>
      <c r="K1910" s="405">
        <f t="shared" ref="K1910:X1910" ca="1" si="1503">IF(AND(OFFSET($F$269,$D1904,0)="tak",OFFSET($G$269,$D1904,0)="tak",OFFSET($J$269,$D1904,0)="ok",LataProjekcji&lt;=Koniec_Projekt),ROUND(K1907*OFFSET($K$590,$H1910,(COLUMN()-11)),0),0)</f>
        <v>0</v>
      </c>
      <c r="L1910" s="405">
        <f t="shared" ca="1" si="1503"/>
        <v>0</v>
      </c>
      <c r="M1910" s="405">
        <f t="shared" ca="1" si="1503"/>
        <v>0</v>
      </c>
      <c r="N1910" s="405">
        <f t="shared" ca="1" si="1503"/>
        <v>0</v>
      </c>
      <c r="O1910" s="405">
        <f t="shared" ca="1" si="1503"/>
        <v>0</v>
      </c>
      <c r="P1910" s="405">
        <f t="shared" ca="1" si="1503"/>
        <v>0</v>
      </c>
      <c r="Q1910" s="405">
        <f t="shared" ca="1" si="1503"/>
        <v>0</v>
      </c>
      <c r="R1910" s="405">
        <f t="shared" ca="1" si="1503"/>
        <v>0</v>
      </c>
      <c r="S1910" s="405">
        <f t="shared" ca="1" si="1503"/>
        <v>0</v>
      </c>
      <c r="T1910" s="405">
        <f t="shared" ca="1" si="1503"/>
        <v>0</v>
      </c>
      <c r="U1910" s="405">
        <f t="shared" ca="1" si="1503"/>
        <v>0</v>
      </c>
      <c r="V1910" s="405">
        <f t="shared" ca="1" si="1503"/>
        <v>0</v>
      </c>
      <c r="W1910" s="405">
        <f t="shared" ca="1" si="1503"/>
        <v>0</v>
      </c>
      <c r="X1910" s="405">
        <f t="shared" ca="1" si="1503"/>
        <v>0</v>
      </c>
    </row>
    <row r="1911" spans="1:24" hidden="1">
      <c r="A1911" s="328"/>
      <c r="B1911" s="20">
        <f ca="1">OFFSET($B$269,D1911,0)</f>
        <v>0</v>
      </c>
      <c r="C1911" s="20"/>
      <c r="D1911" s="21">
        <f>D1904+1</f>
        <v>309</v>
      </c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</row>
    <row r="1912" spans="1:24" hidden="1">
      <c r="A1912" s="328"/>
      <c r="B1912" s="21" t="s">
        <v>414</v>
      </c>
      <c r="C1912" s="21"/>
      <c r="D1912" s="165">
        <f ca="1">YEAR(OFFSET($E$269,D1911,0))</f>
        <v>1900</v>
      </c>
      <c r="E1912" s="165">
        <f ca="1">MONTH(OFFSET($E$269,D1911,0))</f>
        <v>1</v>
      </c>
      <c r="F1912" s="21">
        <f ca="1">12-$E1912</f>
        <v>11</v>
      </c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</row>
    <row r="1913" spans="1:24" hidden="1">
      <c r="A1913" s="328"/>
      <c r="B1913" s="21" t="s">
        <v>406</v>
      </c>
      <c r="C1913" s="21"/>
      <c r="D1913" s="388">
        <f ca="1">IF(E1913&lt;0,0,ROUND(E1913,0))</f>
        <v>0</v>
      </c>
      <c r="E1913" s="249">
        <f ca="1">OFFSET($D$269,D1911,0)</f>
        <v>0</v>
      </c>
      <c r="F1913" s="388">
        <f ca="1">IF(E1913&gt;10,ROUND(($D1914/12)*$F1912,0),$D1913)</f>
        <v>0</v>
      </c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</row>
    <row r="1914" spans="1:24" hidden="1">
      <c r="A1914" s="328"/>
      <c r="B1914" s="21" t="s">
        <v>415</v>
      </c>
      <c r="C1914" s="21"/>
      <c r="D1914" s="388">
        <f ca="1">IF(ISBLANK(OFFSET($E$269,D1911,0)),0,IF(E1913&gt;10,ROUND(D1913*am_transport,0),IF(D1913&lt;0,0,D1913)))</f>
        <v>0</v>
      </c>
      <c r="E1914" s="21"/>
      <c r="F1914" s="21"/>
      <c r="G1914" s="21"/>
      <c r="H1914" s="21"/>
      <c r="I1914" s="21"/>
      <c r="J1914" s="21"/>
      <c r="K1914" s="75">
        <f ca="1">ROUND(IF($D1912=LataProjekcji,$F1913,IF($D1912=LataProjekcji,$D1914,0)),0)</f>
        <v>0</v>
      </c>
      <c r="L1914" s="248">
        <f ca="1">ROUND(IF(OR(AND($D1912=LataProjekcji,$F1912&gt;0),AND($D1912=LataProjekcji,$F1912=0,$E1913&lt;=10)),$F1913,IF($D1912&lt;LataProjekcji,IF((SUM($K1914:K1914)+$D1914)&lt;$D1913,$D1914,$D1913-SUM($K1914:K1914)),0)),0)</f>
        <v>0</v>
      </c>
      <c r="M1914" s="248">
        <f ca="1">ROUND(IF(OR(AND($D1912=LataProjekcji,$F1912&gt;0),AND($D1912=LataProjekcji,$F1912=0,$E1913&lt;=10)),$F1913,IF($D1912&lt;LataProjekcji,IF((SUM($K1914:L1914)+$D1914)&lt;$D1913,$D1914,$D1913-SUM($K1914:L1914)),0)),0)</f>
        <v>0</v>
      </c>
      <c r="N1914" s="248">
        <f ca="1">ROUND(IF(OR(AND($D1912=LataProjekcji,$F1912&gt;0),AND($D1912=LataProjekcji,$F1912=0,$E1913&lt;=10)),$F1913,IF($D1912&lt;LataProjekcji,IF((SUM($K1914:M1914)+$D1914)&lt;$D1913,$D1914,$D1913-SUM($K1914:M1914)),0)),0)</f>
        <v>0</v>
      </c>
      <c r="O1914" s="248">
        <f ca="1">ROUND(IF(OR(AND($D1912=LataProjekcji,$F1912&gt;0),AND($D1912=LataProjekcji,$F1912=0,$E1913&lt;=10)),$F1913,IF($D1912&lt;LataProjekcji,IF((SUM($K1914:N1914)+$D1914)&lt;$D1913,$D1914,$D1913-SUM($K1914:N1914)),0)),0)</f>
        <v>0</v>
      </c>
      <c r="P1914" s="248">
        <f ca="1">ROUND(IF(OR(AND($D1912=LataProjekcji,$F1912&gt;0),AND($D1912=LataProjekcji,$F1912=0,$E1913&lt;=10)),$F1913,IF($D1912&lt;LataProjekcji,IF((SUM($K1914:O1914)+$D1914)&lt;$D1913,$D1914,$D1913-SUM($K1914:O1914)),0)),0)</f>
        <v>0</v>
      </c>
      <c r="Q1914" s="248">
        <f ca="1">ROUND(IF(OR(AND($D1912=LataProjekcji,$F1912&gt;0),AND($D1912=LataProjekcji,$F1912=0,$E1913&lt;=10)),$F1913,IF($D1912&lt;LataProjekcji,IF((SUM($K1914:P1914)+$D1914)&lt;$D1913,$D1914,$D1913-SUM($K1914:P1914)),0)),0)</f>
        <v>0</v>
      </c>
      <c r="R1914" s="248">
        <f ca="1">ROUND(IF(OR(AND($D1912=LataProjekcji,$F1912&gt;0),AND($D1912=LataProjekcji,$F1912=0,$E1913&lt;=10)),$F1913,IF($D1912&lt;LataProjekcji,IF((SUM($K1914:Q1914)+$D1914)&lt;$D1913,$D1914,$D1913-SUM($K1914:Q1914)),0)),0)</f>
        <v>0</v>
      </c>
      <c r="S1914" s="248">
        <f ca="1">ROUND(IF(OR(AND($D1912=LataProjekcji,$F1912&gt;0),AND($D1912=LataProjekcji,$F1912=0,$E1913&lt;=10)),$F1913,IF($D1912&lt;LataProjekcji,IF((SUM($K1914:R1914)+$D1914)&lt;$D1913,$D1914,$D1913-SUM($K1914:R1914)),0)),0)</f>
        <v>0</v>
      </c>
      <c r="T1914" s="248">
        <f ca="1">ROUND(IF(OR(AND($D1912=LataProjekcji,$F1912&gt;0),AND($D1912=LataProjekcji,$F1912=0,$E1913&lt;=10)),$F1913,IF($D1912&lt;LataProjekcji,IF((SUM($K1914:S1914)+$D1914)&lt;$D1913,$D1914,$D1913-SUM($K1914:S1914)),0)),0)</f>
        <v>0</v>
      </c>
      <c r="U1914" s="248">
        <f ca="1">ROUND(IF(OR(AND($D1912=LataProjekcji,$F1912&gt;0),AND($D1912=LataProjekcji,$F1912=0,$E1913&lt;=10)),$F1913,IF($D1912&lt;LataProjekcji,IF((SUM($K1914:T1914)+$D1914)&lt;$D1913,$D1914,$D1913-SUM($K1914:T1914)),0)),0)</f>
        <v>0</v>
      </c>
      <c r="V1914" s="248">
        <f ca="1">ROUND(IF(OR(AND($D1912=LataProjekcji,$F1912&gt;0),AND($D1912=LataProjekcji,$F1912=0,$E1913&lt;=10)),$F1913,IF($D1912&lt;LataProjekcji,IF((SUM($K1914:U1914)+$D1914)&lt;$D1913,$D1914,$D1913-SUM($K1914:U1914)),0)),0)</f>
        <v>0</v>
      </c>
      <c r="W1914" s="248">
        <f ca="1">ROUND(IF(OR(AND($D1912=LataProjekcji,$F1912&gt;0),AND($D1912=LataProjekcji,$F1912=0,$E1913&lt;=10)),$F1913,IF($D1912&lt;LataProjekcji,IF((SUM($K1914:V1914)+$D1914)&lt;$D1913,$D1914,$D1913-SUM($K1914:V1914)),0)),0)</f>
        <v>0</v>
      </c>
      <c r="X1914" s="248">
        <f ca="1">ROUND(IF(OR(AND($D1912=LataProjekcji,$F1912&gt;0),AND($D1912=LataProjekcji,$F1912=0,$E1913&lt;=10)),$F1913,IF($D1912&lt;LataProjekcji,IF((SUM($K1914:W1914)+$D1914)&lt;$D1913,$D1914,$D1913-SUM($K1914:W1914)),0)),0)</f>
        <v>0</v>
      </c>
    </row>
    <row r="1915" spans="1:24" hidden="1">
      <c r="A1915" s="328"/>
      <c r="B1915" s="21" t="s">
        <v>416</v>
      </c>
      <c r="C1915" s="21"/>
      <c r="D1915" s="22"/>
      <c r="E1915" s="21"/>
      <c r="F1915" s="21"/>
      <c r="G1915" s="21"/>
      <c r="H1915" s="21"/>
      <c r="I1915" s="21"/>
      <c r="J1915" s="21"/>
      <c r="K1915" s="22">
        <f ca="1">ROUND(K1914,0)</f>
        <v>0</v>
      </c>
      <c r="L1915" s="22">
        <f t="shared" ref="L1915:X1915" ca="1" si="1504">ROUND(K1915+L1914,0)</f>
        <v>0</v>
      </c>
      <c r="M1915" s="22">
        <f t="shared" ca="1" si="1504"/>
        <v>0</v>
      </c>
      <c r="N1915" s="22">
        <f t="shared" ca="1" si="1504"/>
        <v>0</v>
      </c>
      <c r="O1915" s="22">
        <f t="shared" ca="1" si="1504"/>
        <v>0</v>
      </c>
      <c r="P1915" s="22">
        <f t="shared" ca="1" si="1504"/>
        <v>0</v>
      </c>
      <c r="Q1915" s="22">
        <f t="shared" ca="1" si="1504"/>
        <v>0</v>
      </c>
      <c r="R1915" s="22">
        <f t="shared" ca="1" si="1504"/>
        <v>0</v>
      </c>
      <c r="S1915" s="22">
        <f t="shared" ca="1" si="1504"/>
        <v>0</v>
      </c>
      <c r="T1915" s="22">
        <f t="shared" ca="1" si="1504"/>
        <v>0</v>
      </c>
      <c r="U1915" s="22">
        <f t="shared" ca="1" si="1504"/>
        <v>0</v>
      </c>
      <c r="V1915" s="22">
        <f t="shared" ca="1" si="1504"/>
        <v>0</v>
      </c>
      <c r="W1915" s="22">
        <f t="shared" ca="1" si="1504"/>
        <v>0</v>
      </c>
      <c r="X1915" s="22">
        <f t="shared" ca="1" si="1504"/>
        <v>0</v>
      </c>
    </row>
    <row r="1916" spans="1:24" hidden="1">
      <c r="A1916" s="328"/>
      <c r="B1916" s="21" t="s">
        <v>406</v>
      </c>
      <c r="C1916" s="21"/>
      <c r="D1916" s="22"/>
      <c r="E1916" s="21"/>
      <c r="F1916" s="21"/>
      <c r="G1916" s="21"/>
      <c r="H1916" s="21"/>
      <c r="I1916" s="21"/>
      <c r="J1916" s="21"/>
      <c r="K1916" s="77">
        <f ca="1">IF($D1912=LataProjekcji,ROUND($D1913-K1915,0),ROUND(IF(K1914=0,0,$D1913-K1915),0))</f>
        <v>0</v>
      </c>
      <c r="L1916" s="254">
        <f t="shared" ref="L1916:X1916" ca="1" si="1505">IF($D1912=LataProjekcji,ROUND($D1913-L1915,0),ROUND(IF(AND(L1914=0,K1916&gt;0),$D1913-L1915,IF(L1914=0,0,$D1913-L1915)),0))</f>
        <v>0</v>
      </c>
      <c r="M1916" s="254">
        <f t="shared" ca="1" si="1505"/>
        <v>0</v>
      </c>
      <c r="N1916" s="254">
        <f t="shared" ca="1" si="1505"/>
        <v>0</v>
      </c>
      <c r="O1916" s="254">
        <f t="shared" ca="1" si="1505"/>
        <v>0</v>
      </c>
      <c r="P1916" s="254">
        <f t="shared" ca="1" si="1505"/>
        <v>0</v>
      </c>
      <c r="Q1916" s="254">
        <f t="shared" ca="1" si="1505"/>
        <v>0</v>
      </c>
      <c r="R1916" s="254">
        <f t="shared" ca="1" si="1505"/>
        <v>0</v>
      </c>
      <c r="S1916" s="254">
        <f t="shared" ca="1" si="1505"/>
        <v>0</v>
      </c>
      <c r="T1916" s="254">
        <f t="shared" ca="1" si="1505"/>
        <v>0</v>
      </c>
      <c r="U1916" s="254">
        <f t="shared" ca="1" si="1505"/>
        <v>0</v>
      </c>
      <c r="V1916" s="254">
        <f t="shared" ca="1" si="1505"/>
        <v>0</v>
      </c>
      <c r="W1916" s="254">
        <f t="shared" ca="1" si="1505"/>
        <v>0</v>
      </c>
      <c r="X1916" s="254">
        <f t="shared" ca="1" si="1505"/>
        <v>0</v>
      </c>
    </row>
    <row r="1917" spans="1:24" hidden="1">
      <c r="A1917" s="328"/>
      <c r="B1917" s="21"/>
      <c r="C1917" s="21"/>
      <c r="D1917" s="22"/>
      <c r="E1917" s="21"/>
      <c r="F1917" s="21"/>
      <c r="G1917" s="21"/>
      <c r="H1917" s="404">
        <f>H1910+1</f>
        <v>4</v>
      </c>
      <c r="I1917" s="483" cm="1">
        <f t="array" aca="1" ref="I1917" ca="1">OFFSET('Środki trwałe'!$C$574,H1917,,)</f>
        <v>0</v>
      </c>
      <c r="J1917" s="404" t="s">
        <v>427</v>
      </c>
      <c r="K1917" s="405">
        <f t="shared" ref="K1917:X1917" ca="1" si="1506">IF(AND(OFFSET($F$269,$D1911,0)="tak",OFFSET($G$269,$D1911,0)="tak",OFFSET($J$269,$D1911,0)="ok",LataProjekcji&lt;=Koniec_Projekt),ROUND(K1914*OFFSET($K$590,$H1917,(COLUMN()-11)),0),0)</f>
        <v>0</v>
      </c>
      <c r="L1917" s="405">
        <f t="shared" ca="1" si="1506"/>
        <v>0</v>
      </c>
      <c r="M1917" s="405">
        <f t="shared" ca="1" si="1506"/>
        <v>0</v>
      </c>
      <c r="N1917" s="405">
        <f t="shared" ca="1" si="1506"/>
        <v>0</v>
      </c>
      <c r="O1917" s="405">
        <f t="shared" ca="1" si="1506"/>
        <v>0</v>
      </c>
      <c r="P1917" s="405">
        <f t="shared" ca="1" si="1506"/>
        <v>0</v>
      </c>
      <c r="Q1917" s="405">
        <f t="shared" ca="1" si="1506"/>
        <v>0</v>
      </c>
      <c r="R1917" s="405">
        <f t="shared" ca="1" si="1506"/>
        <v>0</v>
      </c>
      <c r="S1917" s="405">
        <f t="shared" ca="1" si="1506"/>
        <v>0</v>
      </c>
      <c r="T1917" s="405">
        <f t="shared" ca="1" si="1506"/>
        <v>0</v>
      </c>
      <c r="U1917" s="405">
        <f t="shared" ca="1" si="1506"/>
        <v>0</v>
      </c>
      <c r="V1917" s="405">
        <f t="shared" ca="1" si="1506"/>
        <v>0</v>
      </c>
      <c r="W1917" s="405">
        <f t="shared" ca="1" si="1506"/>
        <v>0</v>
      </c>
      <c r="X1917" s="405">
        <f t="shared" ca="1" si="1506"/>
        <v>0</v>
      </c>
    </row>
    <row r="1918" spans="1:24" hidden="1">
      <c r="A1918" s="328"/>
      <c r="B1918" s="20">
        <f ca="1">OFFSET($B$269,D1918,0)</f>
        <v>0</v>
      </c>
      <c r="C1918" s="20"/>
      <c r="D1918" s="21">
        <f>D1911+1</f>
        <v>310</v>
      </c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</row>
    <row r="1919" spans="1:24" hidden="1">
      <c r="A1919" s="328"/>
      <c r="B1919" s="21" t="s">
        <v>414</v>
      </c>
      <c r="C1919" s="21"/>
      <c r="D1919" s="165">
        <f ca="1">YEAR(OFFSET($E$269,D1918,0))</f>
        <v>1900</v>
      </c>
      <c r="E1919" s="165">
        <f ca="1">MONTH(OFFSET($E$269,D1918,0))</f>
        <v>1</v>
      </c>
      <c r="F1919" s="21">
        <f ca="1">12-$E1919</f>
        <v>11</v>
      </c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</row>
    <row r="1920" spans="1:24" hidden="1">
      <c r="A1920" s="328"/>
      <c r="B1920" s="21" t="s">
        <v>406</v>
      </c>
      <c r="C1920" s="21"/>
      <c r="D1920" s="385">
        <f ca="1">IF(E1920&lt;0,0,ROUND(E1920,0))</f>
        <v>0</v>
      </c>
      <c r="E1920" s="249">
        <f ca="1">OFFSET($D$269,D1918,0)</f>
        <v>0</v>
      </c>
      <c r="F1920" s="385">
        <f ca="1">IF(E1920&gt;10,ROUND(($D1921/12)*$F1919,0),$D1920)</f>
        <v>0</v>
      </c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</row>
    <row r="1921" spans="1:24" hidden="1">
      <c r="A1921" s="328"/>
      <c r="B1921" s="21" t="s">
        <v>415</v>
      </c>
      <c r="C1921" s="21"/>
      <c r="D1921" s="385">
        <f ca="1">IF(ISBLANK(OFFSET($E$269,D1918,0)),0,IF(E1920&gt;10,ROUND(D1920*am_transport,0),IF(D1920&lt;0,0,D1920)))</f>
        <v>0</v>
      </c>
      <c r="E1921" s="21"/>
      <c r="F1921" s="21"/>
      <c r="G1921" s="21"/>
      <c r="H1921" s="21"/>
      <c r="I1921" s="21"/>
      <c r="J1921" s="21"/>
      <c r="K1921" s="75">
        <f ca="1">ROUND(IF($D1919=LataProjekcji,$F1920,IF($D1919=LataProjekcji,$D1921,0)),0)</f>
        <v>0</v>
      </c>
      <c r="L1921" s="248">
        <f ca="1">ROUND(IF(OR(AND($D1919=LataProjekcji,$F1919&gt;0),AND($D1919=LataProjekcji,$F1919=0,$E1920&lt;=10)),$F1920,IF($D1919&lt;LataProjekcji,IF((SUM($K1921:K1921)+$D1921)&lt;$D1920,$D1921,$D1920-SUM($K1921:K1921)),0)),0)</f>
        <v>0</v>
      </c>
      <c r="M1921" s="248">
        <f ca="1">ROUND(IF(OR(AND($D1919=LataProjekcji,$F1919&gt;0),AND($D1919=LataProjekcji,$F1919=0,$E1920&lt;=10)),$F1920,IF($D1919&lt;LataProjekcji,IF((SUM($K1921:L1921)+$D1921)&lt;$D1920,$D1921,$D1920-SUM($K1921:L1921)),0)),0)</f>
        <v>0</v>
      </c>
      <c r="N1921" s="248">
        <f ca="1">ROUND(IF(OR(AND($D1919=LataProjekcji,$F1919&gt;0),AND($D1919=LataProjekcji,$F1919=0,$E1920&lt;=10)),$F1920,IF($D1919&lt;LataProjekcji,IF((SUM($K1921:M1921)+$D1921)&lt;$D1920,$D1921,$D1920-SUM($K1921:M1921)),0)),0)</f>
        <v>0</v>
      </c>
      <c r="O1921" s="248">
        <f ca="1">ROUND(IF(OR(AND($D1919=LataProjekcji,$F1919&gt;0),AND($D1919=LataProjekcji,$F1919=0,$E1920&lt;=10)),$F1920,IF($D1919&lt;LataProjekcji,IF((SUM($K1921:N1921)+$D1921)&lt;$D1920,$D1921,$D1920-SUM($K1921:N1921)),0)),0)</f>
        <v>0</v>
      </c>
      <c r="P1921" s="248">
        <f ca="1">ROUND(IF(OR(AND($D1919=LataProjekcji,$F1919&gt;0),AND($D1919=LataProjekcji,$F1919=0,$E1920&lt;=10)),$F1920,IF($D1919&lt;LataProjekcji,IF((SUM($K1921:O1921)+$D1921)&lt;$D1920,$D1921,$D1920-SUM($K1921:O1921)),0)),0)</f>
        <v>0</v>
      </c>
      <c r="Q1921" s="248">
        <f ca="1">ROUND(IF(OR(AND($D1919=LataProjekcji,$F1919&gt;0),AND($D1919=LataProjekcji,$F1919=0,$E1920&lt;=10)),$F1920,IF($D1919&lt;LataProjekcji,IF((SUM($K1921:P1921)+$D1921)&lt;$D1920,$D1921,$D1920-SUM($K1921:P1921)),0)),0)</f>
        <v>0</v>
      </c>
      <c r="R1921" s="248">
        <f ca="1">ROUND(IF(OR(AND($D1919=LataProjekcji,$F1919&gt;0),AND($D1919=LataProjekcji,$F1919=0,$E1920&lt;=10)),$F1920,IF($D1919&lt;LataProjekcji,IF((SUM($K1921:Q1921)+$D1921)&lt;$D1920,$D1921,$D1920-SUM($K1921:Q1921)),0)),0)</f>
        <v>0</v>
      </c>
      <c r="S1921" s="248">
        <f ca="1">ROUND(IF(OR(AND($D1919=LataProjekcji,$F1919&gt;0),AND($D1919=LataProjekcji,$F1919=0,$E1920&lt;=10)),$F1920,IF($D1919&lt;LataProjekcji,IF((SUM($K1921:R1921)+$D1921)&lt;$D1920,$D1921,$D1920-SUM($K1921:R1921)),0)),0)</f>
        <v>0</v>
      </c>
      <c r="T1921" s="248">
        <f ca="1">ROUND(IF(OR(AND($D1919=LataProjekcji,$F1919&gt;0),AND($D1919=LataProjekcji,$F1919=0,$E1920&lt;=10)),$F1920,IF($D1919&lt;LataProjekcji,IF((SUM($K1921:S1921)+$D1921)&lt;$D1920,$D1921,$D1920-SUM($K1921:S1921)),0)),0)</f>
        <v>0</v>
      </c>
      <c r="U1921" s="248">
        <f ca="1">ROUND(IF(OR(AND($D1919=LataProjekcji,$F1919&gt;0),AND($D1919=LataProjekcji,$F1919=0,$E1920&lt;=10)),$F1920,IF($D1919&lt;LataProjekcji,IF((SUM($K1921:T1921)+$D1921)&lt;$D1920,$D1921,$D1920-SUM($K1921:T1921)),0)),0)</f>
        <v>0</v>
      </c>
      <c r="V1921" s="248">
        <f ca="1">ROUND(IF(OR(AND($D1919=LataProjekcji,$F1919&gt;0),AND($D1919=LataProjekcji,$F1919=0,$E1920&lt;=10)),$F1920,IF($D1919&lt;LataProjekcji,IF((SUM($K1921:U1921)+$D1921)&lt;$D1920,$D1921,$D1920-SUM($K1921:U1921)),0)),0)</f>
        <v>0</v>
      </c>
      <c r="W1921" s="248">
        <f ca="1">ROUND(IF(OR(AND($D1919=LataProjekcji,$F1919&gt;0),AND($D1919=LataProjekcji,$F1919=0,$E1920&lt;=10)),$F1920,IF($D1919&lt;LataProjekcji,IF((SUM($K1921:V1921)+$D1921)&lt;$D1920,$D1921,$D1920-SUM($K1921:V1921)),0)),0)</f>
        <v>0</v>
      </c>
      <c r="X1921" s="248">
        <f ca="1">ROUND(IF(OR(AND($D1919=LataProjekcji,$F1919&gt;0),AND($D1919=LataProjekcji,$F1919=0,$E1920&lt;=10)),$F1920,IF($D1919&lt;LataProjekcji,IF((SUM($K1921:W1921)+$D1921)&lt;$D1920,$D1921,$D1920-SUM($K1921:W1921)),0)),0)</f>
        <v>0</v>
      </c>
    </row>
    <row r="1922" spans="1:24" hidden="1">
      <c r="A1922" s="328"/>
      <c r="B1922" s="21" t="s">
        <v>416</v>
      </c>
      <c r="C1922" s="21"/>
      <c r="D1922" s="22"/>
      <c r="E1922" s="21"/>
      <c r="F1922" s="21"/>
      <c r="G1922" s="21"/>
      <c r="H1922" s="21"/>
      <c r="I1922" s="21"/>
      <c r="J1922" s="21"/>
      <c r="K1922" s="22">
        <f ca="1">ROUND(K1921,0)</f>
        <v>0</v>
      </c>
      <c r="L1922" s="22">
        <f t="shared" ref="L1922:X1922" ca="1" si="1507">ROUND(K1922+L1921,0)</f>
        <v>0</v>
      </c>
      <c r="M1922" s="22">
        <f t="shared" ca="1" si="1507"/>
        <v>0</v>
      </c>
      <c r="N1922" s="22">
        <f t="shared" ca="1" si="1507"/>
        <v>0</v>
      </c>
      <c r="O1922" s="22">
        <f t="shared" ca="1" si="1507"/>
        <v>0</v>
      </c>
      <c r="P1922" s="22">
        <f t="shared" ca="1" si="1507"/>
        <v>0</v>
      </c>
      <c r="Q1922" s="22">
        <f t="shared" ca="1" si="1507"/>
        <v>0</v>
      </c>
      <c r="R1922" s="22">
        <f t="shared" ca="1" si="1507"/>
        <v>0</v>
      </c>
      <c r="S1922" s="22">
        <f t="shared" ca="1" si="1507"/>
        <v>0</v>
      </c>
      <c r="T1922" s="22">
        <f t="shared" ca="1" si="1507"/>
        <v>0</v>
      </c>
      <c r="U1922" s="22">
        <f t="shared" ca="1" si="1507"/>
        <v>0</v>
      </c>
      <c r="V1922" s="22">
        <f t="shared" ca="1" si="1507"/>
        <v>0</v>
      </c>
      <c r="W1922" s="22">
        <f t="shared" ca="1" si="1507"/>
        <v>0</v>
      </c>
      <c r="X1922" s="22">
        <f t="shared" ca="1" si="1507"/>
        <v>0</v>
      </c>
    </row>
    <row r="1923" spans="1:24" hidden="1">
      <c r="A1923" s="328"/>
      <c r="B1923" s="21" t="s">
        <v>406</v>
      </c>
      <c r="C1923" s="21"/>
      <c r="D1923" s="22"/>
      <c r="E1923" s="21"/>
      <c r="F1923" s="21"/>
      <c r="G1923" s="21"/>
      <c r="H1923" s="21"/>
      <c r="I1923" s="21"/>
      <c r="J1923" s="21"/>
      <c r="K1923" s="77">
        <f ca="1">IF($D1919=LataProjekcji,ROUND($D1920-K1922,0),ROUND(IF(K1921=0,0,$D1920-K1922),0))</f>
        <v>0</v>
      </c>
      <c r="L1923" s="254">
        <f t="shared" ref="L1923:X1923" ca="1" si="1508">IF($D1919=LataProjekcji,ROUND($D1920-L1922,0),ROUND(IF(AND(L1921=0,K1923&gt;0),$D1920-L1922,IF(L1921=0,0,$D1920-L1922)),0))</f>
        <v>0</v>
      </c>
      <c r="M1923" s="254">
        <f t="shared" ca="1" si="1508"/>
        <v>0</v>
      </c>
      <c r="N1923" s="254">
        <f t="shared" ca="1" si="1508"/>
        <v>0</v>
      </c>
      <c r="O1923" s="254">
        <f t="shared" ca="1" si="1508"/>
        <v>0</v>
      </c>
      <c r="P1923" s="254">
        <f t="shared" ca="1" si="1508"/>
        <v>0</v>
      </c>
      <c r="Q1923" s="254">
        <f t="shared" ca="1" si="1508"/>
        <v>0</v>
      </c>
      <c r="R1923" s="254">
        <f t="shared" ca="1" si="1508"/>
        <v>0</v>
      </c>
      <c r="S1923" s="254">
        <f t="shared" ca="1" si="1508"/>
        <v>0</v>
      </c>
      <c r="T1923" s="254">
        <f t="shared" ca="1" si="1508"/>
        <v>0</v>
      </c>
      <c r="U1923" s="254">
        <f t="shared" ca="1" si="1508"/>
        <v>0</v>
      </c>
      <c r="V1923" s="254">
        <f t="shared" ca="1" si="1508"/>
        <v>0</v>
      </c>
      <c r="W1923" s="254">
        <f t="shared" ca="1" si="1508"/>
        <v>0</v>
      </c>
      <c r="X1923" s="254">
        <f t="shared" ca="1" si="1508"/>
        <v>0</v>
      </c>
    </row>
    <row r="1924" spans="1:24" hidden="1">
      <c r="A1924" s="328"/>
      <c r="B1924" s="20"/>
      <c r="C1924" s="20"/>
      <c r="D1924" s="21"/>
      <c r="E1924" s="21"/>
      <c r="F1924" s="21"/>
      <c r="G1924" s="21"/>
      <c r="H1924" s="404">
        <f>H1917+1</f>
        <v>5</v>
      </c>
      <c r="I1924" s="483" cm="1">
        <f t="array" aca="1" ref="I1924" ca="1">OFFSET('Środki trwałe'!$C$574,H1924,,)</f>
        <v>0</v>
      </c>
      <c r="J1924" s="404" t="s">
        <v>427</v>
      </c>
      <c r="K1924" s="405">
        <f t="shared" ref="K1924:X1924" ca="1" si="1509">IF(AND(OFFSET($F$269,$D1918,0)="tak",OFFSET($G$269,$D1918,0)="tak",OFFSET($J$269,$D1918,0)="ok",LataProjekcji&lt;=Koniec_Projekt),ROUND(K1921*OFFSET($K$590,$H1924,(COLUMN()-11)),0),0)</f>
        <v>0</v>
      </c>
      <c r="L1924" s="405">
        <f t="shared" ca="1" si="1509"/>
        <v>0</v>
      </c>
      <c r="M1924" s="405">
        <f t="shared" ca="1" si="1509"/>
        <v>0</v>
      </c>
      <c r="N1924" s="405">
        <f t="shared" ca="1" si="1509"/>
        <v>0</v>
      </c>
      <c r="O1924" s="405">
        <f t="shared" ca="1" si="1509"/>
        <v>0</v>
      </c>
      <c r="P1924" s="405">
        <f t="shared" ca="1" si="1509"/>
        <v>0</v>
      </c>
      <c r="Q1924" s="405">
        <f t="shared" ca="1" si="1509"/>
        <v>0</v>
      </c>
      <c r="R1924" s="405">
        <f t="shared" ca="1" si="1509"/>
        <v>0</v>
      </c>
      <c r="S1924" s="405">
        <f t="shared" ca="1" si="1509"/>
        <v>0</v>
      </c>
      <c r="T1924" s="405">
        <f t="shared" ca="1" si="1509"/>
        <v>0</v>
      </c>
      <c r="U1924" s="405">
        <f t="shared" ca="1" si="1509"/>
        <v>0</v>
      </c>
      <c r="V1924" s="405">
        <f t="shared" ca="1" si="1509"/>
        <v>0</v>
      </c>
      <c r="W1924" s="405">
        <f t="shared" ca="1" si="1509"/>
        <v>0</v>
      </c>
      <c r="X1924" s="405">
        <f t="shared" ca="1" si="1509"/>
        <v>0</v>
      </c>
    </row>
    <row r="1925" spans="1:24" hidden="1">
      <c r="A1925" s="328"/>
      <c r="B1925" s="20">
        <f ca="1">OFFSET($B$269,D1925,0)</f>
        <v>0</v>
      </c>
      <c r="C1925" s="20"/>
      <c r="D1925" s="21">
        <f>D1918+1</f>
        <v>311</v>
      </c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</row>
    <row r="1926" spans="1:24" hidden="1">
      <c r="A1926" s="328"/>
      <c r="B1926" s="21" t="s">
        <v>414</v>
      </c>
      <c r="C1926" s="21"/>
      <c r="D1926" s="165">
        <f ca="1">YEAR(OFFSET($E$269,D1925,0))</f>
        <v>1900</v>
      </c>
      <c r="E1926" s="165">
        <f ca="1">MONTH(OFFSET($E$269,D1925,0))</f>
        <v>1</v>
      </c>
      <c r="F1926" s="21">
        <f ca="1">12-$E1926</f>
        <v>11</v>
      </c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</row>
    <row r="1927" spans="1:24" hidden="1">
      <c r="A1927" s="328"/>
      <c r="B1927" s="21" t="s">
        <v>406</v>
      </c>
      <c r="C1927" s="21"/>
      <c r="D1927" s="386">
        <f ca="1">IF(E1927&lt;0,0,ROUND(E1927,0))</f>
        <v>0</v>
      </c>
      <c r="E1927" s="249">
        <f ca="1">OFFSET($D$269,D1925,0)</f>
        <v>0</v>
      </c>
      <c r="F1927" s="386">
        <f ca="1">IF(E1927&gt;10,ROUND(($D1928/12)*$F1926,0),$D1927)</f>
        <v>0</v>
      </c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</row>
    <row r="1928" spans="1:24" hidden="1">
      <c r="A1928" s="328"/>
      <c r="B1928" s="21" t="s">
        <v>415</v>
      </c>
      <c r="C1928" s="21"/>
      <c r="D1928" s="386">
        <f ca="1">IF(ISBLANK(OFFSET($E$269,D1925,0)),0,IF(E1927&gt;10,ROUND(D1927*am_transport,0),IF(D1927&lt;0,0,D1927)))</f>
        <v>0</v>
      </c>
      <c r="E1928" s="21"/>
      <c r="F1928" s="21"/>
      <c r="G1928" s="21"/>
      <c r="H1928" s="21"/>
      <c r="I1928" s="21"/>
      <c r="J1928" s="21"/>
      <c r="K1928" s="75">
        <f ca="1">ROUND(IF($D1926=LataProjekcji,$F1927,IF($D1926=LataProjekcji,$D1928,0)),0)</f>
        <v>0</v>
      </c>
      <c r="L1928" s="248">
        <f ca="1">ROUND(IF(OR(AND($D1926=LataProjekcji,$F1926&gt;0),AND($D1926=LataProjekcji,$F1926=0,$E1927&lt;=10)),$F1927,IF($D1926&lt;LataProjekcji,IF((SUM($K1928:K1928)+$D1928)&lt;$D1927,$D1928,$D1927-SUM($K1928:K1928)),0)),0)</f>
        <v>0</v>
      </c>
      <c r="M1928" s="248">
        <f ca="1">ROUND(IF(OR(AND($D1926=LataProjekcji,$F1926&gt;0),AND($D1926=LataProjekcji,$F1926=0,$E1927&lt;=10)),$F1927,IF($D1926&lt;LataProjekcji,IF((SUM($K1928:L1928)+$D1928)&lt;$D1927,$D1928,$D1927-SUM($K1928:L1928)),0)),0)</f>
        <v>0</v>
      </c>
      <c r="N1928" s="248">
        <f ca="1">ROUND(IF(OR(AND($D1926=LataProjekcji,$F1926&gt;0),AND($D1926=LataProjekcji,$F1926=0,$E1927&lt;=10)),$F1927,IF($D1926&lt;LataProjekcji,IF((SUM($K1928:M1928)+$D1928)&lt;$D1927,$D1928,$D1927-SUM($K1928:M1928)),0)),0)</f>
        <v>0</v>
      </c>
      <c r="O1928" s="248">
        <f ca="1">ROUND(IF(OR(AND($D1926=LataProjekcji,$F1926&gt;0),AND($D1926=LataProjekcji,$F1926=0,$E1927&lt;=10)),$F1927,IF($D1926&lt;LataProjekcji,IF((SUM($K1928:N1928)+$D1928)&lt;$D1927,$D1928,$D1927-SUM($K1928:N1928)),0)),0)</f>
        <v>0</v>
      </c>
      <c r="P1928" s="248">
        <f ca="1">ROUND(IF(OR(AND($D1926=LataProjekcji,$F1926&gt;0),AND($D1926=LataProjekcji,$F1926=0,$E1927&lt;=10)),$F1927,IF($D1926&lt;LataProjekcji,IF((SUM($K1928:O1928)+$D1928)&lt;$D1927,$D1928,$D1927-SUM($K1928:O1928)),0)),0)</f>
        <v>0</v>
      </c>
      <c r="Q1928" s="248">
        <f ca="1">ROUND(IF(OR(AND($D1926=LataProjekcji,$F1926&gt;0),AND($D1926=LataProjekcji,$F1926=0,$E1927&lt;=10)),$F1927,IF($D1926&lt;LataProjekcji,IF((SUM($K1928:P1928)+$D1928)&lt;$D1927,$D1928,$D1927-SUM($K1928:P1928)),0)),0)</f>
        <v>0</v>
      </c>
      <c r="R1928" s="248">
        <f ca="1">ROUND(IF(OR(AND($D1926=LataProjekcji,$F1926&gt;0),AND($D1926=LataProjekcji,$F1926=0,$E1927&lt;=10)),$F1927,IF($D1926&lt;LataProjekcji,IF((SUM($K1928:Q1928)+$D1928)&lt;$D1927,$D1928,$D1927-SUM($K1928:Q1928)),0)),0)</f>
        <v>0</v>
      </c>
      <c r="S1928" s="248">
        <f ca="1">ROUND(IF(OR(AND($D1926=LataProjekcji,$F1926&gt;0),AND($D1926=LataProjekcji,$F1926=0,$E1927&lt;=10)),$F1927,IF($D1926&lt;LataProjekcji,IF((SUM($K1928:R1928)+$D1928)&lt;$D1927,$D1928,$D1927-SUM($K1928:R1928)),0)),0)</f>
        <v>0</v>
      </c>
      <c r="T1928" s="248">
        <f ca="1">ROUND(IF(OR(AND($D1926=LataProjekcji,$F1926&gt;0),AND($D1926=LataProjekcji,$F1926=0,$E1927&lt;=10)),$F1927,IF($D1926&lt;LataProjekcji,IF((SUM($K1928:S1928)+$D1928)&lt;$D1927,$D1928,$D1927-SUM($K1928:S1928)),0)),0)</f>
        <v>0</v>
      </c>
      <c r="U1928" s="248">
        <f ca="1">ROUND(IF(OR(AND($D1926=LataProjekcji,$F1926&gt;0),AND($D1926=LataProjekcji,$F1926=0,$E1927&lt;=10)),$F1927,IF($D1926&lt;LataProjekcji,IF((SUM($K1928:T1928)+$D1928)&lt;$D1927,$D1928,$D1927-SUM($K1928:T1928)),0)),0)</f>
        <v>0</v>
      </c>
      <c r="V1928" s="248">
        <f ca="1">ROUND(IF(OR(AND($D1926=LataProjekcji,$F1926&gt;0),AND($D1926=LataProjekcji,$F1926=0,$E1927&lt;=10)),$F1927,IF($D1926&lt;LataProjekcji,IF((SUM($K1928:U1928)+$D1928)&lt;$D1927,$D1928,$D1927-SUM($K1928:U1928)),0)),0)</f>
        <v>0</v>
      </c>
      <c r="W1928" s="248">
        <f ca="1">ROUND(IF(OR(AND($D1926=LataProjekcji,$F1926&gt;0),AND($D1926=LataProjekcji,$F1926=0,$E1927&lt;=10)),$F1927,IF($D1926&lt;LataProjekcji,IF((SUM($K1928:V1928)+$D1928)&lt;$D1927,$D1928,$D1927-SUM($K1928:V1928)),0)),0)</f>
        <v>0</v>
      </c>
      <c r="X1928" s="248">
        <f ca="1">ROUND(IF(OR(AND($D1926=LataProjekcji,$F1926&gt;0),AND($D1926=LataProjekcji,$F1926=0,$E1927&lt;=10)),$F1927,IF($D1926&lt;LataProjekcji,IF((SUM($K1928:W1928)+$D1928)&lt;$D1927,$D1928,$D1927-SUM($K1928:W1928)),0)),0)</f>
        <v>0</v>
      </c>
    </row>
    <row r="1929" spans="1:24" hidden="1">
      <c r="A1929" s="328"/>
      <c r="B1929" s="21" t="s">
        <v>416</v>
      </c>
      <c r="C1929" s="21"/>
      <c r="D1929" s="22"/>
      <c r="E1929" s="21"/>
      <c r="F1929" s="21"/>
      <c r="G1929" s="21"/>
      <c r="H1929" s="21"/>
      <c r="I1929" s="21"/>
      <c r="J1929" s="21"/>
      <c r="K1929" s="22">
        <f ca="1">ROUND(K1928,0)</f>
        <v>0</v>
      </c>
      <c r="L1929" s="22">
        <f t="shared" ref="L1929:X1929" ca="1" si="1510">ROUND(K1929+L1928,0)</f>
        <v>0</v>
      </c>
      <c r="M1929" s="22">
        <f t="shared" ca="1" si="1510"/>
        <v>0</v>
      </c>
      <c r="N1929" s="22">
        <f t="shared" ca="1" si="1510"/>
        <v>0</v>
      </c>
      <c r="O1929" s="22">
        <f t="shared" ca="1" si="1510"/>
        <v>0</v>
      </c>
      <c r="P1929" s="22">
        <f t="shared" ca="1" si="1510"/>
        <v>0</v>
      </c>
      <c r="Q1929" s="22">
        <f t="shared" ca="1" si="1510"/>
        <v>0</v>
      </c>
      <c r="R1929" s="22">
        <f t="shared" ca="1" si="1510"/>
        <v>0</v>
      </c>
      <c r="S1929" s="22">
        <f t="shared" ca="1" si="1510"/>
        <v>0</v>
      </c>
      <c r="T1929" s="22">
        <f t="shared" ca="1" si="1510"/>
        <v>0</v>
      </c>
      <c r="U1929" s="22">
        <f t="shared" ca="1" si="1510"/>
        <v>0</v>
      </c>
      <c r="V1929" s="22">
        <f t="shared" ca="1" si="1510"/>
        <v>0</v>
      </c>
      <c r="W1929" s="22">
        <f t="shared" ca="1" si="1510"/>
        <v>0</v>
      </c>
      <c r="X1929" s="22">
        <f t="shared" ca="1" si="1510"/>
        <v>0</v>
      </c>
    </row>
    <row r="1930" spans="1:24" hidden="1">
      <c r="A1930" s="328"/>
      <c r="B1930" s="21" t="s">
        <v>406</v>
      </c>
      <c r="C1930" s="21"/>
      <c r="D1930" s="22"/>
      <c r="E1930" s="21"/>
      <c r="F1930" s="21"/>
      <c r="G1930" s="21"/>
      <c r="H1930" s="21"/>
      <c r="I1930" s="21"/>
      <c r="J1930" s="21"/>
      <c r="K1930" s="77">
        <f ca="1">IF($D1926=LataProjekcji,ROUND($D1927-K1929,0),ROUND(IF(K1928=0,0,$D1927-K1929),0))</f>
        <v>0</v>
      </c>
      <c r="L1930" s="254">
        <f t="shared" ref="L1930:X1930" ca="1" si="1511">IF($D1926=LataProjekcji,ROUND($D1927-L1929,0),ROUND(IF(AND(L1928=0,K1930&gt;0),$D1927-L1929,IF(L1928=0,0,$D1927-L1929)),0))</f>
        <v>0</v>
      </c>
      <c r="M1930" s="254">
        <f t="shared" ca="1" si="1511"/>
        <v>0</v>
      </c>
      <c r="N1930" s="254">
        <f t="shared" ca="1" si="1511"/>
        <v>0</v>
      </c>
      <c r="O1930" s="254">
        <f t="shared" ca="1" si="1511"/>
        <v>0</v>
      </c>
      <c r="P1930" s="254">
        <f t="shared" ca="1" si="1511"/>
        <v>0</v>
      </c>
      <c r="Q1930" s="254">
        <f t="shared" ca="1" si="1511"/>
        <v>0</v>
      </c>
      <c r="R1930" s="254">
        <f t="shared" ca="1" si="1511"/>
        <v>0</v>
      </c>
      <c r="S1930" s="254">
        <f t="shared" ca="1" si="1511"/>
        <v>0</v>
      </c>
      <c r="T1930" s="254">
        <f t="shared" ca="1" si="1511"/>
        <v>0</v>
      </c>
      <c r="U1930" s="254">
        <f t="shared" ca="1" si="1511"/>
        <v>0</v>
      </c>
      <c r="V1930" s="254">
        <f t="shared" ca="1" si="1511"/>
        <v>0</v>
      </c>
      <c r="W1930" s="254">
        <f t="shared" ca="1" si="1511"/>
        <v>0</v>
      </c>
      <c r="X1930" s="254">
        <f t="shared" ca="1" si="1511"/>
        <v>0</v>
      </c>
    </row>
    <row r="1931" spans="1:24" hidden="1">
      <c r="A1931" s="328"/>
      <c r="B1931" s="21"/>
      <c r="C1931" s="21"/>
      <c r="D1931" s="22"/>
      <c r="E1931" s="21"/>
      <c r="F1931" s="21"/>
      <c r="G1931" s="21"/>
      <c r="H1931" s="404">
        <f>H1924+1</f>
        <v>6</v>
      </c>
      <c r="I1931" s="483" cm="1">
        <f t="array" aca="1" ref="I1931" ca="1">OFFSET('Środki trwałe'!$C$574,H1931,,)</f>
        <v>0</v>
      </c>
      <c r="J1931" s="404" t="s">
        <v>427</v>
      </c>
      <c r="K1931" s="405">
        <f t="shared" ref="K1931:X1931" ca="1" si="1512">IF(AND(OFFSET($F$269,$D1925,0)="tak",OFFSET($G$269,$D1925,0)="tak",OFFSET($J$269,$D1925,0)="ok",LataProjekcji&lt;=Koniec_Projekt),ROUND(K1928*OFFSET($K$590,$H1931,(COLUMN()-11)),0),0)</f>
        <v>0</v>
      </c>
      <c r="L1931" s="405">
        <f t="shared" ca="1" si="1512"/>
        <v>0</v>
      </c>
      <c r="M1931" s="405">
        <f t="shared" ca="1" si="1512"/>
        <v>0</v>
      </c>
      <c r="N1931" s="405">
        <f t="shared" ca="1" si="1512"/>
        <v>0</v>
      </c>
      <c r="O1931" s="405">
        <f t="shared" ca="1" si="1512"/>
        <v>0</v>
      </c>
      <c r="P1931" s="405">
        <f t="shared" ca="1" si="1512"/>
        <v>0</v>
      </c>
      <c r="Q1931" s="405">
        <f t="shared" ca="1" si="1512"/>
        <v>0</v>
      </c>
      <c r="R1931" s="405">
        <f t="shared" ca="1" si="1512"/>
        <v>0</v>
      </c>
      <c r="S1931" s="405">
        <f t="shared" ca="1" si="1512"/>
        <v>0</v>
      </c>
      <c r="T1931" s="405">
        <f t="shared" ca="1" si="1512"/>
        <v>0</v>
      </c>
      <c r="U1931" s="405">
        <f t="shared" ca="1" si="1512"/>
        <v>0</v>
      </c>
      <c r="V1931" s="405">
        <f t="shared" ca="1" si="1512"/>
        <v>0</v>
      </c>
      <c r="W1931" s="405">
        <f t="shared" ca="1" si="1512"/>
        <v>0</v>
      </c>
      <c r="X1931" s="405">
        <f t="shared" ca="1" si="1512"/>
        <v>0</v>
      </c>
    </row>
    <row r="1932" spans="1:24" hidden="1">
      <c r="A1932" s="328"/>
      <c r="B1932" s="20">
        <f ca="1">OFFSET($B$269,D1932,0)</f>
        <v>0</v>
      </c>
      <c r="C1932" s="20"/>
      <c r="D1932" s="21">
        <f>D1925+1</f>
        <v>312</v>
      </c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</row>
    <row r="1933" spans="1:24" hidden="1">
      <c r="A1933" s="328"/>
      <c r="B1933" s="21" t="s">
        <v>414</v>
      </c>
      <c r="C1933" s="21"/>
      <c r="D1933" s="165">
        <f ca="1">YEAR(OFFSET($E$269,D1932,0))</f>
        <v>1900</v>
      </c>
      <c r="E1933" s="165">
        <f ca="1">MONTH(OFFSET($E$269,D1932,0))</f>
        <v>1</v>
      </c>
      <c r="F1933" s="21">
        <f ca="1">12-$E1933</f>
        <v>11</v>
      </c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</row>
    <row r="1934" spans="1:24" hidden="1">
      <c r="A1934" s="328"/>
      <c r="B1934" s="21" t="s">
        <v>406</v>
      </c>
      <c r="C1934" s="21"/>
      <c r="D1934" s="387">
        <f ca="1">IF(E1934&lt;0,0,ROUND(E1934,0))</f>
        <v>0</v>
      </c>
      <c r="E1934" s="249">
        <f ca="1">OFFSET($D$269,D1932,0)</f>
        <v>0</v>
      </c>
      <c r="F1934" s="387">
        <f ca="1">IF(E1934&gt;10,ROUND(($D1935/12)*$F1933,0),$D1934)</f>
        <v>0</v>
      </c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</row>
    <row r="1935" spans="1:24" hidden="1">
      <c r="A1935" s="328"/>
      <c r="B1935" s="21" t="s">
        <v>415</v>
      </c>
      <c r="C1935" s="21"/>
      <c r="D1935" s="387">
        <f ca="1">IF(ISBLANK(OFFSET($E$269,D1932,0)),0,IF(E1934&gt;10,ROUND(D1934*am_transport,0),IF(D1934&lt;0,0,D1934)))</f>
        <v>0</v>
      </c>
      <c r="E1935" s="21"/>
      <c r="F1935" s="21"/>
      <c r="G1935" s="21"/>
      <c r="H1935" s="21"/>
      <c r="I1935" s="21"/>
      <c r="J1935" s="21"/>
      <c r="K1935" s="75">
        <f ca="1">ROUND(IF($D1933=LataProjekcji,$F1934,IF($D1933=LataProjekcji,$D1935,0)),0)</f>
        <v>0</v>
      </c>
      <c r="L1935" s="248">
        <f ca="1">ROUND(IF(OR(AND($D1933=LataProjekcji,$F1933&gt;0),AND($D1933=LataProjekcji,$F1933=0,$E1934&lt;=10)),$F1934,IF($D1933&lt;LataProjekcji,IF((SUM($K1935:K1935)+$D1935)&lt;$D1934,$D1935,$D1934-SUM($K1935:K1935)),0)),0)</f>
        <v>0</v>
      </c>
      <c r="M1935" s="248">
        <f ca="1">ROUND(IF(OR(AND($D1933=LataProjekcji,$F1933&gt;0),AND($D1933=LataProjekcji,$F1933=0,$E1934&lt;=10)),$F1934,IF($D1933&lt;LataProjekcji,IF((SUM($K1935:L1935)+$D1935)&lt;$D1934,$D1935,$D1934-SUM($K1935:L1935)),0)),0)</f>
        <v>0</v>
      </c>
      <c r="N1935" s="248">
        <f ca="1">ROUND(IF(OR(AND($D1933=LataProjekcji,$F1933&gt;0),AND($D1933=LataProjekcji,$F1933=0,$E1934&lt;=10)),$F1934,IF($D1933&lt;LataProjekcji,IF((SUM($K1935:M1935)+$D1935)&lt;$D1934,$D1935,$D1934-SUM($K1935:M1935)),0)),0)</f>
        <v>0</v>
      </c>
      <c r="O1935" s="248">
        <f ca="1">ROUND(IF(OR(AND($D1933=LataProjekcji,$F1933&gt;0),AND($D1933=LataProjekcji,$F1933=0,$E1934&lt;=10)),$F1934,IF($D1933&lt;LataProjekcji,IF((SUM($K1935:N1935)+$D1935)&lt;$D1934,$D1935,$D1934-SUM($K1935:N1935)),0)),0)</f>
        <v>0</v>
      </c>
      <c r="P1935" s="248">
        <f ca="1">ROUND(IF(OR(AND($D1933=LataProjekcji,$F1933&gt;0),AND($D1933=LataProjekcji,$F1933=0,$E1934&lt;=10)),$F1934,IF($D1933&lt;LataProjekcji,IF((SUM($K1935:O1935)+$D1935)&lt;$D1934,$D1935,$D1934-SUM($K1935:O1935)),0)),0)</f>
        <v>0</v>
      </c>
      <c r="Q1935" s="248">
        <f ca="1">ROUND(IF(OR(AND($D1933=LataProjekcji,$F1933&gt;0),AND($D1933=LataProjekcji,$F1933=0,$E1934&lt;=10)),$F1934,IF($D1933&lt;LataProjekcji,IF((SUM($K1935:P1935)+$D1935)&lt;$D1934,$D1935,$D1934-SUM($K1935:P1935)),0)),0)</f>
        <v>0</v>
      </c>
      <c r="R1935" s="248">
        <f ca="1">ROUND(IF(OR(AND($D1933=LataProjekcji,$F1933&gt;0),AND($D1933=LataProjekcji,$F1933=0,$E1934&lt;=10)),$F1934,IF($D1933&lt;LataProjekcji,IF((SUM($K1935:Q1935)+$D1935)&lt;$D1934,$D1935,$D1934-SUM($K1935:Q1935)),0)),0)</f>
        <v>0</v>
      </c>
      <c r="S1935" s="248">
        <f ca="1">ROUND(IF(OR(AND($D1933=LataProjekcji,$F1933&gt;0),AND($D1933=LataProjekcji,$F1933=0,$E1934&lt;=10)),$F1934,IF($D1933&lt;LataProjekcji,IF((SUM($K1935:R1935)+$D1935)&lt;$D1934,$D1935,$D1934-SUM($K1935:R1935)),0)),0)</f>
        <v>0</v>
      </c>
      <c r="T1935" s="248">
        <f ca="1">ROUND(IF(OR(AND($D1933=LataProjekcji,$F1933&gt;0),AND($D1933=LataProjekcji,$F1933=0,$E1934&lt;=10)),$F1934,IF($D1933&lt;LataProjekcji,IF((SUM($K1935:S1935)+$D1935)&lt;$D1934,$D1935,$D1934-SUM($K1935:S1935)),0)),0)</f>
        <v>0</v>
      </c>
      <c r="U1935" s="248">
        <f ca="1">ROUND(IF(OR(AND($D1933=LataProjekcji,$F1933&gt;0),AND($D1933=LataProjekcji,$F1933=0,$E1934&lt;=10)),$F1934,IF($D1933&lt;LataProjekcji,IF((SUM($K1935:T1935)+$D1935)&lt;$D1934,$D1935,$D1934-SUM($K1935:T1935)),0)),0)</f>
        <v>0</v>
      </c>
      <c r="V1935" s="248">
        <f ca="1">ROUND(IF(OR(AND($D1933=LataProjekcji,$F1933&gt;0),AND($D1933=LataProjekcji,$F1933=0,$E1934&lt;=10)),$F1934,IF($D1933&lt;LataProjekcji,IF((SUM($K1935:U1935)+$D1935)&lt;$D1934,$D1935,$D1934-SUM($K1935:U1935)),0)),0)</f>
        <v>0</v>
      </c>
      <c r="W1935" s="248">
        <f ca="1">ROUND(IF(OR(AND($D1933=LataProjekcji,$F1933&gt;0),AND($D1933=LataProjekcji,$F1933=0,$E1934&lt;=10)),$F1934,IF($D1933&lt;LataProjekcji,IF((SUM($K1935:V1935)+$D1935)&lt;$D1934,$D1935,$D1934-SUM($K1935:V1935)),0)),0)</f>
        <v>0</v>
      </c>
      <c r="X1935" s="248">
        <f ca="1">ROUND(IF(OR(AND($D1933=LataProjekcji,$F1933&gt;0),AND($D1933=LataProjekcji,$F1933=0,$E1934&lt;=10)),$F1934,IF($D1933&lt;LataProjekcji,IF((SUM($K1935:W1935)+$D1935)&lt;$D1934,$D1935,$D1934-SUM($K1935:W1935)),0)),0)</f>
        <v>0</v>
      </c>
    </row>
    <row r="1936" spans="1:24" hidden="1">
      <c r="A1936" s="328"/>
      <c r="B1936" s="21" t="s">
        <v>416</v>
      </c>
      <c r="C1936" s="21"/>
      <c r="D1936" s="22"/>
      <c r="E1936" s="21"/>
      <c r="F1936" s="21"/>
      <c r="G1936" s="21"/>
      <c r="H1936" s="21"/>
      <c r="I1936" s="21"/>
      <c r="J1936" s="21"/>
      <c r="K1936" s="22">
        <f ca="1">ROUND(K1935,0)</f>
        <v>0</v>
      </c>
      <c r="L1936" s="22">
        <f t="shared" ref="L1936:X1936" ca="1" si="1513">ROUND(K1936+L1935,0)</f>
        <v>0</v>
      </c>
      <c r="M1936" s="22">
        <f t="shared" ca="1" si="1513"/>
        <v>0</v>
      </c>
      <c r="N1936" s="22">
        <f t="shared" ca="1" si="1513"/>
        <v>0</v>
      </c>
      <c r="O1936" s="22">
        <f t="shared" ca="1" si="1513"/>
        <v>0</v>
      </c>
      <c r="P1936" s="22">
        <f t="shared" ca="1" si="1513"/>
        <v>0</v>
      </c>
      <c r="Q1936" s="22">
        <f t="shared" ca="1" si="1513"/>
        <v>0</v>
      </c>
      <c r="R1936" s="22">
        <f t="shared" ca="1" si="1513"/>
        <v>0</v>
      </c>
      <c r="S1936" s="22">
        <f t="shared" ca="1" si="1513"/>
        <v>0</v>
      </c>
      <c r="T1936" s="22">
        <f t="shared" ca="1" si="1513"/>
        <v>0</v>
      </c>
      <c r="U1936" s="22">
        <f t="shared" ca="1" si="1513"/>
        <v>0</v>
      </c>
      <c r="V1936" s="22">
        <f t="shared" ca="1" si="1513"/>
        <v>0</v>
      </c>
      <c r="W1936" s="22">
        <f t="shared" ca="1" si="1513"/>
        <v>0</v>
      </c>
      <c r="X1936" s="22">
        <f t="shared" ca="1" si="1513"/>
        <v>0</v>
      </c>
    </row>
    <row r="1937" spans="1:24" hidden="1">
      <c r="A1937" s="328"/>
      <c r="B1937" s="21" t="s">
        <v>406</v>
      </c>
      <c r="C1937" s="21"/>
      <c r="D1937" s="22"/>
      <c r="E1937" s="21"/>
      <c r="F1937" s="21"/>
      <c r="G1937" s="21"/>
      <c r="H1937" s="21"/>
      <c r="I1937" s="21"/>
      <c r="J1937" s="21"/>
      <c r="K1937" s="77">
        <f ca="1">IF($D1933=LataProjekcji,ROUND($D1934-K1936,0),ROUND(IF(K1935=0,0,$D1934-K1936),0))</f>
        <v>0</v>
      </c>
      <c r="L1937" s="254">
        <f t="shared" ref="L1937:X1937" ca="1" si="1514">IF($D1933=LataProjekcji,ROUND($D1934-L1936,0),ROUND(IF(AND(L1935=0,K1937&gt;0),$D1934-L1936,IF(L1935=0,0,$D1934-L1936)),0))</f>
        <v>0</v>
      </c>
      <c r="M1937" s="254">
        <f t="shared" ca="1" si="1514"/>
        <v>0</v>
      </c>
      <c r="N1937" s="254">
        <f t="shared" ca="1" si="1514"/>
        <v>0</v>
      </c>
      <c r="O1937" s="254">
        <f t="shared" ca="1" si="1514"/>
        <v>0</v>
      </c>
      <c r="P1937" s="254">
        <f t="shared" ca="1" si="1514"/>
        <v>0</v>
      </c>
      <c r="Q1937" s="254">
        <f t="shared" ca="1" si="1514"/>
        <v>0</v>
      </c>
      <c r="R1937" s="254">
        <f t="shared" ca="1" si="1514"/>
        <v>0</v>
      </c>
      <c r="S1937" s="254">
        <f t="shared" ca="1" si="1514"/>
        <v>0</v>
      </c>
      <c r="T1937" s="254">
        <f t="shared" ca="1" si="1514"/>
        <v>0</v>
      </c>
      <c r="U1937" s="254">
        <f t="shared" ca="1" si="1514"/>
        <v>0</v>
      </c>
      <c r="V1937" s="254">
        <f t="shared" ca="1" si="1514"/>
        <v>0</v>
      </c>
      <c r="W1937" s="254">
        <f t="shared" ca="1" si="1514"/>
        <v>0</v>
      </c>
      <c r="X1937" s="254">
        <f t="shared" ca="1" si="1514"/>
        <v>0</v>
      </c>
    </row>
    <row r="1938" spans="1:24" hidden="1">
      <c r="A1938" s="328"/>
      <c r="B1938" s="21"/>
      <c r="C1938" s="21"/>
      <c r="D1938" s="21"/>
      <c r="E1938" s="21"/>
      <c r="F1938" s="21"/>
      <c r="G1938" s="21"/>
      <c r="H1938" s="404">
        <f>H1931+1</f>
        <v>7</v>
      </c>
      <c r="I1938" s="483" cm="1">
        <f t="array" aca="1" ref="I1938" ca="1">OFFSET('Środki trwałe'!$C$574,H1938,,)</f>
        <v>0</v>
      </c>
      <c r="J1938" s="404" t="s">
        <v>427</v>
      </c>
      <c r="K1938" s="405">
        <f t="shared" ref="K1938:X1938" ca="1" si="1515">IF(AND(OFFSET($F$269,$D1932,0)="tak",OFFSET($G$269,$D1932,0)="tak",OFFSET($J$269,$D1932,0)="ok",LataProjekcji&lt;=Koniec_Projekt),ROUND(K1935*OFFSET($K$590,$H1938,(COLUMN()-11)),0),0)</f>
        <v>0</v>
      </c>
      <c r="L1938" s="405">
        <f t="shared" ca="1" si="1515"/>
        <v>0</v>
      </c>
      <c r="M1938" s="405">
        <f t="shared" ca="1" si="1515"/>
        <v>0</v>
      </c>
      <c r="N1938" s="405">
        <f t="shared" ca="1" si="1515"/>
        <v>0</v>
      </c>
      <c r="O1938" s="405">
        <f t="shared" ca="1" si="1515"/>
        <v>0</v>
      </c>
      <c r="P1938" s="405">
        <f t="shared" ca="1" si="1515"/>
        <v>0</v>
      </c>
      <c r="Q1938" s="405">
        <f t="shared" ca="1" si="1515"/>
        <v>0</v>
      </c>
      <c r="R1938" s="405">
        <f t="shared" ca="1" si="1515"/>
        <v>0</v>
      </c>
      <c r="S1938" s="405">
        <f t="shared" ca="1" si="1515"/>
        <v>0</v>
      </c>
      <c r="T1938" s="405">
        <f t="shared" ca="1" si="1515"/>
        <v>0</v>
      </c>
      <c r="U1938" s="405">
        <f t="shared" ca="1" si="1515"/>
        <v>0</v>
      </c>
      <c r="V1938" s="405">
        <f t="shared" ca="1" si="1515"/>
        <v>0</v>
      </c>
      <c r="W1938" s="405">
        <f t="shared" ca="1" si="1515"/>
        <v>0</v>
      </c>
      <c r="X1938" s="405">
        <f t="shared" ca="1" si="1515"/>
        <v>0</v>
      </c>
    </row>
    <row r="1939" spans="1:24" hidden="1">
      <c r="A1939" s="328"/>
      <c r="B1939" s="20">
        <f ca="1">OFFSET($B$269,D1939,0)</f>
        <v>0</v>
      </c>
      <c r="C1939" s="20"/>
      <c r="D1939" s="21">
        <f>D1932+1</f>
        <v>313</v>
      </c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</row>
    <row r="1940" spans="1:24" hidden="1">
      <c r="A1940" s="328"/>
      <c r="B1940" s="21" t="s">
        <v>414</v>
      </c>
      <c r="C1940" s="21"/>
      <c r="D1940" s="165">
        <f ca="1">YEAR(OFFSET($E$269,D1939,0))</f>
        <v>1900</v>
      </c>
      <c r="E1940" s="165">
        <f ca="1">MONTH(OFFSET($E$269,D1939,0))</f>
        <v>1</v>
      </c>
      <c r="F1940" s="21">
        <f ca="1">12-$E1940</f>
        <v>11</v>
      </c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</row>
    <row r="1941" spans="1:24" hidden="1">
      <c r="A1941" s="328"/>
      <c r="B1941" s="21" t="s">
        <v>406</v>
      </c>
      <c r="C1941" s="21"/>
      <c r="D1941" s="388">
        <f ca="1">IF(E1941&lt;0,0,ROUND(E1941,0))</f>
        <v>0</v>
      </c>
      <c r="E1941" s="249">
        <f ca="1">OFFSET($D$269,D1939,0)</f>
        <v>0</v>
      </c>
      <c r="F1941" s="388">
        <f ca="1">IF(E1941&gt;10,ROUND(($D1942/12)*$F1940,0),$D1941)</f>
        <v>0</v>
      </c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</row>
    <row r="1942" spans="1:24" hidden="1">
      <c r="A1942" s="328"/>
      <c r="B1942" s="21" t="s">
        <v>415</v>
      </c>
      <c r="C1942" s="21"/>
      <c r="D1942" s="388">
        <f ca="1">IF(ISBLANK(OFFSET($E$269,D1939,0)),0,IF(E1941&gt;10,ROUND(D1941*am_transport,0),IF(D1941&lt;0,0,D1941)))</f>
        <v>0</v>
      </c>
      <c r="E1942" s="21"/>
      <c r="F1942" s="21"/>
      <c r="G1942" s="21"/>
      <c r="H1942" s="21"/>
      <c r="I1942" s="21"/>
      <c r="J1942" s="21"/>
      <c r="K1942" s="75">
        <f ca="1">ROUND(IF($D1940=LataProjekcji,$F1941,IF($D1940=LataProjekcji,$D1942,0)),0)</f>
        <v>0</v>
      </c>
      <c r="L1942" s="248">
        <f ca="1">ROUND(IF(OR(AND($D1940=LataProjekcji,$F1940&gt;0),AND($D1940=LataProjekcji,$F1940=0,$E1941&lt;=10)),$F1941,IF($D1940&lt;LataProjekcji,IF((SUM($K1942:K1942)+$D1942)&lt;$D1941,$D1942,$D1941-SUM($K1942:K1942)),0)),0)</f>
        <v>0</v>
      </c>
      <c r="M1942" s="248">
        <f ca="1">ROUND(IF(OR(AND($D1940=LataProjekcji,$F1940&gt;0),AND($D1940=LataProjekcji,$F1940=0,$E1941&lt;=10)),$F1941,IF($D1940&lt;LataProjekcji,IF((SUM($K1942:L1942)+$D1942)&lt;$D1941,$D1942,$D1941-SUM($K1942:L1942)),0)),0)</f>
        <v>0</v>
      </c>
      <c r="N1942" s="248">
        <f ca="1">ROUND(IF(OR(AND($D1940=LataProjekcji,$F1940&gt;0),AND($D1940=LataProjekcji,$F1940=0,$E1941&lt;=10)),$F1941,IF($D1940&lt;LataProjekcji,IF((SUM($K1942:M1942)+$D1942)&lt;$D1941,$D1942,$D1941-SUM($K1942:M1942)),0)),0)</f>
        <v>0</v>
      </c>
      <c r="O1942" s="248">
        <f ca="1">ROUND(IF(OR(AND($D1940=LataProjekcji,$F1940&gt;0),AND($D1940=LataProjekcji,$F1940=0,$E1941&lt;=10)),$F1941,IF($D1940&lt;LataProjekcji,IF((SUM($K1942:N1942)+$D1942)&lt;$D1941,$D1942,$D1941-SUM($K1942:N1942)),0)),0)</f>
        <v>0</v>
      </c>
      <c r="P1942" s="248">
        <f ca="1">ROUND(IF(OR(AND($D1940=LataProjekcji,$F1940&gt;0),AND($D1940=LataProjekcji,$F1940=0,$E1941&lt;=10)),$F1941,IF($D1940&lt;LataProjekcji,IF((SUM($K1942:O1942)+$D1942)&lt;$D1941,$D1942,$D1941-SUM($K1942:O1942)),0)),0)</f>
        <v>0</v>
      </c>
      <c r="Q1942" s="248">
        <f ca="1">ROUND(IF(OR(AND($D1940=LataProjekcji,$F1940&gt;0),AND($D1940=LataProjekcji,$F1940=0,$E1941&lt;=10)),$F1941,IF($D1940&lt;LataProjekcji,IF((SUM($K1942:P1942)+$D1942)&lt;$D1941,$D1942,$D1941-SUM($K1942:P1942)),0)),0)</f>
        <v>0</v>
      </c>
      <c r="R1942" s="248">
        <f ca="1">ROUND(IF(OR(AND($D1940=LataProjekcji,$F1940&gt;0),AND($D1940=LataProjekcji,$F1940=0,$E1941&lt;=10)),$F1941,IF($D1940&lt;LataProjekcji,IF((SUM($K1942:Q1942)+$D1942)&lt;$D1941,$D1942,$D1941-SUM($K1942:Q1942)),0)),0)</f>
        <v>0</v>
      </c>
      <c r="S1942" s="248">
        <f ca="1">ROUND(IF(OR(AND($D1940=LataProjekcji,$F1940&gt;0),AND($D1940=LataProjekcji,$F1940=0,$E1941&lt;=10)),$F1941,IF($D1940&lt;LataProjekcji,IF((SUM($K1942:R1942)+$D1942)&lt;$D1941,$D1942,$D1941-SUM($K1942:R1942)),0)),0)</f>
        <v>0</v>
      </c>
      <c r="T1942" s="248">
        <f ca="1">ROUND(IF(OR(AND($D1940=LataProjekcji,$F1940&gt;0),AND($D1940=LataProjekcji,$F1940=0,$E1941&lt;=10)),$F1941,IF($D1940&lt;LataProjekcji,IF((SUM($K1942:S1942)+$D1942)&lt;$D1941,$D1942,$D1941-SUM($K1942:S1942)),0)),0)</f>
        <v>0</v>
      </c>
      <c r="U1942" s="248">
        <f ca="1">ROUND(IF(OR(AND($D1940=LataProjekcji,$F1940&gt;0),AND($D1940=LataProjekcji,$F1940=0,$E1941&lt;=10)),$F1941,IF($D1940&lt;LataProjekcji,IF((SUM($K1942:T1942)+$D1942)&lt;$D1941,$D1942,$D1941-SUM($K1942:T1942)),0)),0)</f>
        <v>0</v>
      </c>
      <c r="V1942" s="248">
        <f ca="1">ROUND(IF(OR(AND($D1940=LataProjekcji,$F1940&gt;0),AND($D1940=LataProjekcji,$F1940=0,$E1941&lt;=10)),$F1941,IF($D1940&lt;LataProjekcji,IF((SUM($K1942:U1942)+$D1942)&lt;$D1941,$D1942,$D1941-SUM($K1942:U1942)),0)),0)</f>
        <v>0</v>
      </c>
      <c r="W1942" s="248">
        <f ca="1">ROUND(IF(OR(AND($D1940=LataProjekcji,$F1940&gt;0),AND($D1940=LataProjekcji,$F1940=0,$E1941&lt;=10)),$F1941,IF($D1940&lt;LataProjekcji,IF((SUM($K1942:V1942)+$D1942)&lt;$D1941,$D1942,$D1941-SUM($K1942:V1942)),0)),0)</f>
        <v>0</v>
      </c>
      <c r="X1942" s="248">
        <f ca="1">ROUND(IF(OR(AND($D1940=LataProjekcji,$F1940&gt;0),AND($D1940=LataProjekcji,$F1940=0,$E1941&lt;=10)),$F1941,IF($D1940&lt;LataProjekcji,IF((SUM($K1942:W1942)+$D1942)&lt;$D1941,$D1942,$D1941-SUM($K1942:W1942)),0)),0)</f>
        <v>0</v>
      </c>
    </row>
    <row r="1943" spans="1:24" hidden="1">
      <c r="A1943" s="328"/>
      <c r="B1943" s="21" t="s">
        <v>416</v>
      </c>
      <c r="C1943" s="21"/>
      <c r="D1943" s="22"/>
      <c r="E1943" s="21"/>
      <c r="F1943" s="21"/>
      <c r="G1943" s="21"/>
      <c r="H1943" s="21"/>
      <c r="I1943" s="21"/>
      <c r="J1943" s="21"/>
      <c r="K1943" s="22">
        <f ca="1">ROUND(K1942,0)</f>
        <v>0</v>
      </c>
      <c r="L1943" s="22">
        <f t="shared" ref="L1943:X1943" ca="1" si="1516">ROUND(K1943+L1942,0)</f>
        <v>0</v>
      </c>
      <c r="M1943" s="22">
        <f t="shared" ca="1" si="1516"/>
        <v>0</v>
      </c>
      <c r="N1943" s="22">
        <f t="shared" ca="1" si="1516"/>
        <v>0</v>
      </c>
      <c r="O1943" s="22">
        <f t="shared" ca="1" si="1516"/>
        <v>0</v>
      </c>
      <c r="P1943" s="22">
        <f t="shared" ca="1" si="1516"/>
        <v>0</v>
      </c>
      <c r="Q1943" s="22">
        <f t="shared" ca="1" si="1516"/>
        <v>0</v>
      </c>
      <c r="R1943" s="22">
        <f t="shared" ca="1" si="1516"/>
        <v>0</v>
      </c>
      <c r="S1943" s="22">
        <f t="shared" ca="1" si="1516"/>
        <v>0</v>
      </c>
      <c r="T1943" s="22">
        <f t="shared" ca="1" si="1516"/>
        <v>0</v>
      </c>
      <c r="U1943" s="22">
        <f t="shared" ca="1" si="1516"/>
        <v>0</v>
      </c>
      <c r="V1943" s="22">
        <f t="shared" ca="1" si="1516"/>
        <v>0</v>
      </c>
      <c r="W1943" s="22">
        <f t="shared" ca="1" si="1516"/>
        <v>0</v>
      </c>
      <c r="X1943" s="22">
        <f t="shared" ca="1" si="1516"/>
        <v>0</v>
      </c>
    </row>
    <row r="1944" spans="1:24" hidden="1">
      <c r="A1944" s="328"/>
      <c r="B1944" s="21" t="s">
        <v>406</v>
      </c>
      <c r="C1944" s="21"/>
      <c r="D1944" s="22"/>
      <c r="E1944" s="21"/>
      <c r="F1944" s="21"/>
      <c r="G1944" s="21"/>
      <c r="H1944" s="21"/>
      <c r="I1944" s="21"/>
      <c r="J1944" s="21"/>
      <c r="K1944" s="77">
        <f ca="1">IF($D1940=LataProjekcji,ROUND($D1941-K1943,0),ROUND(IF(K1942=0,0,$D1941-K1943),0))</f>
        <v>0</v>
      </c>
      <c r="L1944" s="254">
        <f t="shared" ref="L1944:X1944" ca="1" si="1517">IF($D1940=LataProjekcji,ROUND($D1941-L1943,0),ROUND(IF(AND(L1942=0,K1944&gt;0),$D1941-L1943,IF(L1942=0,0,$D1941-L1943)),0))</f>
        <v>0</v>
      </c>
      <c r="M1944" s="254">
        <f t="shared" ca="1" si="1517"/>
        <v>0</v>
      </c>
      <c r="N1944" s="254">
        <f t="shared" ca="1" si="1517"/>
        <v>0</v>
      </c>
      <c r="O1944" s="254">
        <f t="shared" ca="1" si="1517"/>
        <v>0</v>
      </c>
      <c r="P1944" s="254">
        <f t="shared" ca="1" si="1517"/>
        <v>0</v>
      </c>
      <c r="Q1944" s="254">
        <f t="shared" ca="1" si="1517"/>
        <v>0</v>
      </c>
      <c r="R1944" s="254">
        <f t="shared" ca="1" si="1517"/>
        <v>0</v>
      </c>
      <c r="S1944" s="254">
        <f t="shared" ca="1" si="1517"/>
        <v>0</v>
      </c>
      <c r="T1944" s="254">
        <f t="shared" ca="1" si="1517"/>
        <v>0</v>
      </c>
      <c r="U1944" s="254">
        <f t="shared" ca="1" si="1517"/>
        <v>0</v>
      </c>
      <c r="V1944" s="254">
        <f t="shared" ca="1" si="1517"/>
        <v>0</v>
      </c>
      <c r="W1944" s="254">
        <f t="shared" ca="1" si="1517"/>
        <v>0</v>
      </c>
      <c r="X1944" s="254">
        <f t="shared" ca="1" si="1517"/>
        <v>0</v>
      </c>
    </row>
    <row r="1945" spans="1:24" hidden="1">
      <c r="A1945" s="328"/>
      <c r="B1945" s="21"/>
      <c r="C1945" s="21"/>
      <c r="D1945" s="21"/>
      <c r="E1945" s="21"/>
      <c r="F1945" s="21"/>
      <c r="G1945" s="21"/>
      <c r="H1945" s="404">
        <f>H1938+1</f>
        <v>8</v>
      </c>
      <c r="I1945" s="483" cm="1">
        <f t="array" aca="1" ref="I1945" ca="1">OFFSET('Środki trwałe'!$C$574,H1945,,)</f>
        <v>0</v>
      </c>
      <c r="J1945" s="404" t="s">
        <v>427</v>
      </c>
      <c r="K1945" s="405">
        <f t="shared" ref="K1945:X1945" ca="1" si="1518">IF(AND(OFFSET($F$269,$D1939,0)="tak",OFFSET($G$269,$D1939,0)="tak",OFFSET($J$269,$D1939,0)="ok",LataProjekcji&lt;=Koniec_Projekt),ROUND(K1942*OFFSET($K$590,$H1945,(COLUMN()-11)),0),0)</f>
        <v>0</v>
      </c>
      <c r="L1945" s="405">
        <f t="shared" ca="1" si="1518"/>
        <v>0</v>
      </c>
      <c r="M1945" s="405">
        <f t="shared" ca="1" si="1518"/>
        <v>0</v>
      </c>
      <c r="N1945" s="405">
        <f t="shared" ca="1" si="1518"/>
        <v>0</v>
      </c>
      <c r="O1945" s="405">
        <f t="shared" ca="1" si="1518"/>
        <v>0</v>
      </c>
      <c r="P1945" s="405">
        <f t="shared" ca="1" si="1518"/>
        <v>0</v>
      </c>
      <c r="Q1945" s="405">
        <f t="shared" ca="1" si="1518"/>
        <v>0</v>
      </c>
      <c r="R1945" s="405">
        <f t="shared" ca="1" si="1518"/>
        <v>0</v>
      </c>
      <c r="S1945" s="405">
        <f t="shared" ca="1" si="1518"/>
        <v>0</v>
      </c>
      <c r="T1945" s="405">
        <f t="shared" ca="1" si="1518"/>
        <v>0</v>
      </c>
      <c r="U1945" s="405">
        <f t="shared" ca="1" si="1518"/>
        <v>0</v>
      </c>
      <c r="V1945" s="405">
        <f t="shared" ca="1" si="1518"/>
        <v>0</v>
      </c>
      <c r="W1945" s="405">
        <f t="shared" ca="1" si="1518"/>
        <v>0</v>
      </c>
      <c r="X1945" s="405">
        <f t="shared" ca="1" si="1518"/>
        <v>0</v>
      </c>
    </row>
    <row r="1946" spans="1:24" hidden="1">
      <c r="A1946" s="328"/>
      <c r="B1946" s="20">
        <f ca="1">OFFSET($B$269,D1946,0)</f>
        <v>0</v>
      </c>
      <c r="C1946" s="20"/>
      <c r="D1946" s="21">
        <f>D1939+1</f>
        <v>314</v>
      </c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</row>
    <row r="1947" spans="1:24" hidden="1">
      <c r="A1947" s="328"/>
      <c r="B1947" s="21" t="s">
        <v>414</v>
      </c>
      <c r="C1947" s="21"/>
      <c r="D1947" s="165">
        <f ca="1">YEAR(OFFSET($E$269,D1946,0))</f>
        <v>1900</v>
      </c>
      <c r="E1947" s="165">
        <f ca="1">MONTH(OFFSET($E$269,D1946,0))</f>
        <v>1</v>
      </c>
      <c r="F1947" s="21">
        <f ca="1">12-$E1947</f>
        <v>11</v>
      </c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</row>
    <row r="1948" spans="1:24" hidden="1">
      <c r="A1948" s="328"/>
      <c r="B1948" s="21" t="s">
        <v>406</v>
      </c>
      <c r="C1948" s="21"/>
      <c r="D1948" s="388">
        <f ca="1">IF(E1948&lt;0,0,ROUND(E1948,0))</f>
        <v>0</v>
      </c>
      <c r="E1948" s="249">
        <f ca="1">OFFSET($D$269,D1946,0)</f>
        <v>0</v>
      </c>
      <c r="F1948" s="388">
        <f ca="1">IF(E1948&gt;10,ROUND(($D1949/12)*$F1947,0),$D1948)</f>
        <v>0</v>
      </c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</row>
    <row r="1949" spans="1:24" hidden="1">
      <c r="A1949" s="328"/>
      <c r="B1949" s="21" t="s">
        <v>415</v>
      </c>
      <c r="C1949" s="21"/>
      <c r="D1949" s="388">
        <f ca="1">IF(ISBLANK(OFFSET($E$269,D1946,0)),0,IF(E1948&gt;10,ROUND(D1948*am_transport,0),IF(D1948&lt;0,0,D1948)))</f>
        <v>0</v>
      </c>
      <c r="E1949" s="21"/>
      <c r="F1949" s="21"/>
      <c r="G1949" s="21"/>
      <c r="H1949" s="21"/>
      <c r="I1949" s="21"/>
      <c r="J1949" s="21"/>
      <c r="K1949" s="75">
        <f ca="1">ROUND(IF($D1947=LataProjekcji,$F1948,IF($D1947=LataProjekcji,$D1949,0)),0)</f>
        <v>0</v>
      </c>
      <c r="L1949" s="248">
        <f ca="1">ROUND(IF(OR(AND($D1947=LataProjekcji,$F1947&gt;0),AND($D1947=LataProjekcji,$F1947=0,$E1948&lt;=10)),$F1948,IF($D1947&lt;LataProjekcji,IF((SUM($K1949:K1949)+$D1949)&lt;$D1948,$D1949,$D1948-SUM($K1949:K1949)),0)),0)</f>
        <v>0</v>
      </c>
      <c r="M1949" s="248">
        <f ca="1">ROUND(IF(OR(AND($D1947=LataProjekcji,$F1947&gt;0),AND($D1947=LataProjekcji,$F1947=0,$E1948&lt;=10)),$F1948,IF($D1947&lt;LataProjekcji,IF((SUM($K1949:L1949)+$D1949)&lt;$D1948,$D1949,$D1948-SUM($K1949:L1949)),0)),0)</f>
        <v>0</v>
      </c>
      <c r="N1949" s="248">
        <f ca="1">ROUND(IF(OR(AND($D1947=LataProjekcji,$F1947&gt;0),AND($D1947=LataProjekcji,$F1947=0,$E1948&lt;=10)),$F1948,IF($D1947&lt;LataProjekcji,IF((SUM($K1949:M1949)+$D1949)&lt;$D1948,$D1949,$D1948-SUM($K1949:M1949)),0)),0)</f>
        <v>0</v>
      </c>
      <c r="O1949" s="248">
        <f ca="1">ROUND(IF(OR(AND($D1947=LataProjekcji,$F1947&gt;0),AND($D1947=LataProjekcji,$F1947=0,$E1948&lt;=10)),$F1948,IF($D1947&lt;LataProjekcji,IF((SUM($K1949:N1949)+$D1949)&lt;$D1948,$D1949,$D1948-SUM($K1949:N1949)),0)),0)</f>
        <v>0</v>
      </c>
      <c r="P1949" s="248">
        <f ca="1">ROUND(IF(OR(AND($D1947=LataProjekcji,$F1947&gt;0),AND($D1947=LataProjekcji,$F1947=0,$E1948&lt;=10)),$F1948,IF($D1947&lt;LataProjekcji,IF((SUM($K1949:O1949)+$D1949)&lt;$D1948,$D1949,$D1948-SUM($K1949:O1949)),0)),0)</f>
        <v>0</v>
      </c>
      <c r="Q1949" s="248">
        <f ca="1">ROUND(IF(OR(AND($D1947=LataProjekcji,$F1947&gt;0),AND($D1947=LataProjekcji,$F1947=0,$E1948&lt;=10)),$F1948,IF($D1947&lt;LataProjekcji,IF((SUM($K1949:P1949)+$D1949)&lt;$D1948,$D1949,$D1948-SUM($K1949:P1949)),0)),0)</f>
        <v>0</v>
      </c>
      <c r="R1949" s="248">
        <f ca="1">ROUND(IF(OR(AND($D1947=LataProjekcji,$F1947&gt;0),AND($D1947=LataProjekcji,$F1947=0,$E1948&lt;=10)),$F1948,IF($D1947&lt;LataProjekcji,IF((SUM($K1949:Q1949)+$D1949)&lt;$D1948,$D1949,$D1948-SUM($K1949:Q1949)),0)),0)</f>
        <v>0</v>
      </c>
      <c r="S1949" s="248">
        <f ca="1">ROUND(IF(OR(AND($D1947=LataProjekcji,$F1947&gt;0),AND($D1947=LataProjekcji,$F1947=0,$E1948&lt;=10)),$F1948,IF($D1947&lt;LataProjekcji,IF((SUM($K1949:R1949)+$D1949)&lt;$D1948,$D1949,$D1948-SUM($K1949:R1949)),0)),0)</f>
        <v>0</v>
      </c>
      <c r="T1949" s="248">
        <f ca="1">ROUND(IF(OR(AND($D1947=LataProjekcji,$F1947&gt;0),AND($D1947=LataProjekcji,$F1947=0,$E1948&lt;=10)),$F1948,IF($D1947&lt;LataProjekcji,IF((SUM($K1949:S1949)+$D1949)&lt;$D1948,$D1949,$D1948-SUM($K1949:S1949)),0)),0)</f>
        <v>0</v>
      </c>
      <c r="U1949" s="248">
        <f ca="1">ROUND(IF(OR(AND($D1947=LataProjekcji,$F1947&gt;0),AND($D1947=LataProjekcji,$F1947=0,$E1948&lt;=10)),$F1948,IF($D1947&lt;LataProjekcji,IF((SUM($K1949:T1949)+$D1949)&lt;$D1948,$D1949,$D1948-SUM($K1949:T1949)),0)),0)</f>
        <v>0</v>
      </c>
      <c r="V1949" s="248">
        <f ca="1">ROUND(IF(OR(AND($D1947=LataProjekcji,$F1947&gt;0),AND($D1947=LataProjekcji,$F1947=0,$E1948&lt;=10)),$F1948,IF($D1947&lt;LataProjekcji,IF((SUM($K1949:U1949)+$D1949)&lt;$D1948,$D1949,$D1948-SUM($K1949:U1949)),0)),0)</f>
        <v>0</v>
      </c>
      <c r="W1949" s="248">
        <f ca="1">ROUND(IF(OR(AND($D1947=LataProjekcji,$F1947&gt;0),AND($D1947=LataProjekcji,$F1947=0,$E1948&lt;=10)),$F1948,IF($D1947&lt;LataProjekcji,IF((SUM($K1949:V1949)+$D1949)&lt;$D1948,$D1949,$D1948-SUM($K1949:V1949)),0)),0)</f>
        <v>0</v>
      </c>
      <c r="X1949" s="248">
        <f ca="1">ROUND(IF(OR(AND($D1947=LataProjekcji,$F1947&gt;0),AND($D1947=LataProjekcji,$F1947=0,$E1948&lt;=10)),$F1948,IF($D1947&lt;LataProjekcji,IF((SUM($K1949:W1949)+$D1949)&lt;$D1948,$D1949,$D1948-SUM($K1949:W1949)),0)),0)</f>
        <v>0</v>
      </c>
    </row>
    <row r="1950" spans="1:24" hidden="1">
      <c r="A1950" s="328"/>
      <c r="B1950" s="21" t="s">
        <v>416</v>
      </c>
      <c r="C1950" s="21"/>
      <c r="D1950" s="22"/>
      <c r="E1950" s="21"/>
      <c r="F1950" s="21"/>
      <c r="G1950" s="21"/>
      <c r="H1950" s="21"/>
      <c r="I1950" s="21"/>
      <c r="J1950" s="21"/>
      <c r="K1950" s="22">
        <f ca="1">ROUND(K1949,0)</f>
        <v>0</v>
      </c>
      <c r="L1950" s="22">
        <f t="shared" ref="L1950:X1950" ca="1" si="1519">ROUND(K1950+L1949,0)</f>
        <v>0</v>
      </c>
      <c r="M1950" s="22">
        <f t="shared" ca="1" si="1519"/>
        <v>0</v>
      </c>
      <c r="N1950" s="22">
        <f t="shared" ca="1" si="1519"/>
        <v>0</v>
      </c>
      <c r="O1950" s="22">
        <f t="shared" ca="1" si="1519"/>
        <v>0</v>
      </c>
      <c r="P1950" s="22">
        <f t="shared" ca="1" si="1519"/>
        <v>0</v>
      </c>
      <c r="Q1950" s="22">
        <f t="shared" ca="1" si="1519"/>
        <v>0</v>
      </c>
      <c r="R1950" s="22">
        <f t="shared" ca="1" si="1519"/>
        <v>0</v>
      </c>
      <c r="S1950" s="22">
        <f t="shared" ca="1" si="1519"/>
        <v>0</v>
      </c>
      <c r="T1950" s="22">
        <f t="shared" ca="1" si="1519"/>
        <v>0</v>
      </c>
      <c r="U1950" s="22">
        <f t="shared" ca="1" si="1519"/>
        <v>0</v>
      </c>
      <c r="V1950" s="22">
        <f t="shared" ca="1" si="1519"/>
        <v>0</v>
      </c>
      <c r="W1950" s="22">
        <f t="shared" ca="1" si="1519"/>
        <v>0</v>
      </c>
      <c r="X1950" s="22">
        <f t="shared" ca="1" si="1519"/>
        <v>0</v>
      </c>
    </row>
    <row r="1951" spans="1:24" hidden="1">
      <c r="A1951" s="328"/>
      <c r="B1951" s="21" t="s">
        <v>406</v>
      </c>
      <c r="C1951" s="21"/>
      <c r="D1951" s="22"/>
      <c r="E1951" s="21"/>
      <c r="F1951" s="21"/>
      <c r="G1951" s="21"/>
      <c r="H1951" s="21"/>
      <c r="I1951" s="21"/>
      <c r="J1951" s="21"/>
      <c r="K1951" s="77">
        <f ca="1">IF($D1947=LataProjekcji,ROUND($D1948-K1950,0),ROUND(IF(K1949=0,0,$D1948-K1950),0))</f>
        <v>0</v>
      </c>
      <c r="L1951" s="254">
        <f t="shared" ref="L1951:X1951" ca="1" si="1520">IF($D1947=LataProjekcji,ROUND($D1948-L1950,0),ROUND(IF(AND(L1949=0,K1951&gt;0),$D1948-L1950,IF(L1949=0,0,$D1948-L1950)),0))</f>
        <v>0</v>
      </c>
      <c r="M1951" s="254">
        <f t="shared" ca="1" si="1520"/>
        <v>0</v>
      </c>
      <c r="N1951" s="254">
        <f t="shared" ca="1" si="1520"/>
        <v>0</v>
      </c>
      <c r="O1951" s="254">
        <f t="shared" ca="1" si="1520"/>
        <v>0</v>
      </c>
      <c r="P1951" s="254">
        <f t="shared" ca="1" si="1520"/>
        <v>0</v>
      </c>
      <c r="Q1951" s="254">
        <f t="shared" ca="1" si="1520"/>
        <v>0</v>
      </c>
      <c r="R1951" s="254">
        <f t="shared" ca="1" si="1520"/>
        <v>0</v>
      </c>
      <c r="S1951" s="254">
        <f t="shared" ca="1" si="1520"/>
        <v>0</v>
      </c>
      <c r="T1951" s="254">
        <f t="shared" ca="1" si="1520"/>
        <v>0</v>
      </c>
      <c r="U1951" s="254">
        <f t="shared" ca="1" si="1520"/>
        <v>0</v>
      </c>
      <c r="V1951" s="254">
        <f t="shared" ca="1" si="1520"/>
        <v>0</v>
      </c>
      <c r="W1951" s="254">
        <f t="shared" ca="1" si="1520"/>
        <v>0</v>
      </c>
      <c r="X1951" s="254">
        <f t="shared" ca="1" si="1520"/>
        <v>0</v>
      </c>
    </row>
    <row r="1952" spans="1:24" hidden="1">
      <c r="A1952" s="328"/>
      <c r="H1952" s="404">
        <f>H1945+1</f>
        <v>9</v>
      </c>
      <c r="I1952" s="483" cm="1">
        <f t="array" aca="1" ref="I1952" ca="1">OFFSET('Środki trwałe'!$C$574,H1952,,)</f>
        <v>0</v>
      </c>
      <c r="J1952" s="404" t="s">
        <v>427</v>
      </c>
      <c r="K1952" s="405">
        <f t="shared" ref="K1952:X1952" ca="1" si="1521">IF(AND(OFFSET($F$269,$D1946,0)="tak",OFFSET($G$269,$D1946,0)="tak",OFFSET($J$269,$D1946,0)="ok",LataProjekcji&lt;=Koniec_Projekt),ROUND(K1949*OFFSET($K$590,$H1952,(COLUMN()-11)),0),0)</f>
        <v>0</v>
      </c>
      <c r="L1952" s="405">
        <f t="shared" ca="1" si="1521"/>
        <v>0</v>
      </c>
      <c r="M1952" s="405">
        <f t="shared" ca="1" si="1521"/>
        <v>0</v>
      </c>
      <c r="N1952" s="405">
        <f t="shared" ca="1" si="1521"/>
        <v>0</v>
      </c>
      <c r="O1952" s="405">
        <f t="shared" ca="1" si="1521"/>
        <v>0</v>
      </c>
      <c r="P1952" s="405">
        <f t="shared" ca="1" si="1521"/>
        <v>0</v>
      </c>
      <c r="Q1952" s="405">
        <f t="shared" ca="1" si="1521"/>
        <v>0</v>
      </c>
      <c r="R1952" s="405">
        <f t="shared" ca="1" si="1521"/>
        <v>0</v>
      </c>
      <c r="S1952" s="405">
        <f t="shared" ca="1" si="1521"/>
        <v>0</v>
      </c>
      <c r="T1952" s="405">
        <f t="shared" ca="1" si="1521"/>
        <v>0</v>
      </c>
      <c r="U1952" s="405">
        <f t="shared" ca="1" si="1521"/>
        <v>0</v>
      </c>
      <c r="V1952" s="405">
        <f t="shared" ca="1" si="1521"/>
        <v>0</v>
      </c>
      <c r="W1952" s="405">
        <f t="shared" ca="1" si="1521"/>
        <v>0</v>
      </c>
      <c r="X1952" s="405">
        <f t="shared" ca="1" si="1521"/>
        <v>0</v>
      </c>
    </row>
    <row r="1953" spans="1:24" hidden="1">
      <c r="A1953" s="328"/>
    </row>
    <row r="1954" spans="1:24" hidden="1">
      <c r="A1954" s="328"/>
    </row>
    <row r="1955" spans="1:24" hidden="1">
      <c r="A1955" s="328"/>
    </row>
    <row r="1956" spans="1:24" hidden="1">
      <c r="A1956" s="328"/>
    </row>
    <row r="1957" spans="1:24" ht="12.6" hidden="1" thickBot="1">
      <c r="A1957" s="328"/>
      <c r="B1957" s="464" t="s">
        <v>748</v>
      </c>
      <c r="C1957" s="40"/>
      <c r="J1957" s="403"/>
      <c r="K1957" s="418"/>
      <c r="L1957" s="418"/>
      <c r="M1957" s="418"/>
      <c r="N1957" s="418"/>
      <c r="O1957" s="418"/>
      <c r="P1957" s="418"/>
      <c r="Q1957" s="418"/>
      <c r="R1957" s="418"/>
      <c r="S1957" s="418"/>
      <c r="T1957" s="418"/>
      <c r="U1957" s="418"/>
      <c r="V1957" s="418"/>
      <c r="W1957" s="418"/>
      <c r="X1957" s="418"/>
    </row>
    <row r="1958" spans="1:24" ht="12.6" hidden="1" thickBot="1">
      <c r="A1958" s="328"/>
      <c r="B1958" s="20">
        <f ca="1">OFFSET($B$269,D1958,0)</f>
        <v>0</v>
      </c>
      <c r="C1958" s="20"/>
      <c r="D1958" s="250">
        <v>347</v>
      </c>
      <c r="E1958" s="21"/>
      <c r="F1958" s="21" t="s">
        <v>411</v>
      </c>
      <c r="G1958" s="48"/>
      <c r="H1958" s="50" t="s">
        <v>412</v>
      </c>
      <c r="I1958" s="21" t="s">
        <v>413</v>
      </c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</row>
    <row r="1959" spans="1:24" hidden="1">
      <c r="A1959" s="328"/>
      <c r="B1959" s="21" t="s">
        <v>414</v>
      </c>
      <c r="C1959" s="21"/>
      <c r="D1959" s="165">
        <f ca="1">YEAR(OFFSET($E$269,D1958,0))</f>
        <v>1900</v>
      </c>
      <c r="E1959" s="165">
        <f ca="1">MONTH(OFFSET($E$269,D1958,0))</f>
        <v>1</v>
      </c>
      <c r="F1959" s="21">
        <f ca="1">12-$E1959</f>
        <v>11</v>
      </c>
      <c r="G1959" s="49"/>
      <c r="H1959" s="51">
        <f>D626-G1959</f>
        <v>0</v>
      </c>
      <c r="I1959" s="22">
        <f>D626-G1959-H1959</f>
        <v>0</v>
      </c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</row>
    <row r="1960" spans="1:24" hidden="1">
      <c r="A1960" s="328"/>
      <c r="B1960" s="21" t="s">
        <v>406</v>
      </c>
      <c r="C1960" s="21"/>
      <c r="D1960" s="247">
        <f ca="1">IF(E1960&lt;0,0,ROUND(E1960,0))</f>
        <v>0</v>
      </c>
      <c r="E1960" s="249">
        <f ca="1">OFFSET($D$269,D1958,0)</f>
        <v>0</v>
      </c>
      <c r="F1960" s="247">
        <f ca="1">IF(E1960&gt;10,ROUND(($D1961/12)*$F1959,0),$D1960)</f>
        <v>0</v>
      </c>
      <c r="G1960" s="21" t="s">
        <v>426</v>
      </c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</row>
    <row r="1961" spans="1:24" hidden="1">
      <c r="A1961" s="328"/>
      <c r="B1961" s="21" t="s">
        <v>415</v>
      </c>
      <c r="C1961" s="21"/>
      <c r="D1961" s="247">
        <f ca="1">IF(ISBLANK(OFFSET($E$269,D1958,0)),0,IF(E1960&gt;10,ROUND(D1960*am_inneST,0),IF(D1960&lt;0,0,D1960)))</f>
        <v>0</v>
      </c>
      <c r="E1961" s="21"/>
      <c r="F1961" s="21"/>
      <c r="G1961" s="21"/>
      <c r="H1961" s="21"/>
      <c r="I1961" s="21"/>
      <c r="J1961" s="21"/>
      <c r="K1961" s="75">
        <f ca="1">ROUND(IF($D1959=LataProjekcji,$F1960,IF($D1959=LataProjekcji,$D1961,0)),0)</f>
        <v>0</v>
      </c>
      <c r="L1961" s="248">
        <f ca="1">ROUND(IF(OR(AND($D1959=LataProjekcji,$F1959&gt;0),AND($D1959=LataProjekcji,$F1959=0,$E1960&lt;=10)),$F1960,IF($D1959&lt;LataProjekcji,IF((SUM($K1961:K1961)+$D1961)&lt;$D1960,$D1961,$D1960-SUM($K1961:K1961)),0)),0)</f>
        <v>0</v>
      </c>
      <c r="M1961" s="248">
        <f ca="1">ROUND(IF(OR(AND($D1959=LataProjekcji,$F1959&gt;0),AND($D1959=LataProjekcji,$F1959=0,$E1960&lt;=10)),$F1960,IF($D1959&lt;LataProjekcji,IF((SUM($K1961:L1961)+$D1961)&lt;$D1960,$D1961,$D1960-SUM($K1961:L1961)),0)),0)</f>
        <v>0</v>
      </c>
      <c r="N1961" s="248">
        <f ca="1">ROUND(IF(OR(AND($D1959=LataProjekcji,$F1959&gt;0),AND($D1959=LataProjekcji,$F1959=0,$E1960&lt;=10)),$F1960,IF($D1959&lt;LataProjekcji,IF((SUM($K1961:M1961)+$D1961)&lt;$D1960,$D1961,$D1960-SUM($K1961:M1961)),0)),0)</f>
        <v>0</v>
      </c>
      <c r="O1961" s="248">
        <f ca="1">ROUND(IF(OR(AND($D1959=LataProjekcji,$F1959&gt;0),AND($D1959=LataProjekcji,$F1959=0,$E1960&lt;=10)),$F1960,IF($D1959&lt;LataProjekcji,IF((SUM($K1961:N1961)+$D1961)&lt;$D1960,$D1961,$D1960-SUM($K1961:N1961)),0)),0)</f>
        <v>0</v>
      </c>
      <c r="P1961" s="248">
        <f ca="1">ROUND(IF(OR(AND($D1959=LataProjekcji,$F1959&gt;0),AND($D1959=LataProjekcji,$F1959=0,$E1960&lt;=10)),$F1960,IF($D1959&lt;LataProjekcji,IF((SUM($K1961:O1961)+$D1961)&lt;$D1960,$D1961,$D1960-SUM($K1961:O1961)),0)),0)</f>
        <v>0</v>
      </c>
      <c r="Q1961" s="248">
        <f ca="1">ROUND(IF(OR(AND($D1959=LataProjekcji,$F1959&gt;0),AND($D1959=LataProjekcji,$F1959=0,$E1960&lt;=10)),$F1960,IF($D1959&lt;LataProjekcji,IF((SUM($K1961:P1961)+$D1961)&lt;$D1960,$D1961,$D1960-SUM($K1961:P1961)),0)),0)</f>
        <v>0</v>
      </c>
      <c r="R1961" s="248">
        <f ca="1">ROUND(IF(OR(AND($D1959=LataProjekcji,$F1959&gt;0),AND($D1959=LataProjekcji,$F1959=0,$E1960&lt;=10)),$F1960,IF($D1959&lt;LataProjekcji,IF((SUM($K1961:Q1961)+$D1961)&lt;$D1960,$D1961,$D1960-SUM($K1961:Q1961)),0)),0)</f>
        <v>0</v>
      </c>
      <c r="S1961" s="248">
        <f ca="1">ROUND(IF(OR(AND($D1959=LataProjekcji,$F1959&gt;0),AND($D1959=LataProjekcji,$F1959=0,$E1960&lt;=10)),$F1960,IF($D1959&lt;LataProjekcji,IF((SUM($K1961:R1961)+$D1961)&lt;$D1960,$D1961,$D1960-SUM($K1961:R1961)),0)),0)</f>
        <v>0</v>
      </c>
      <c r="T1961" s="248">
        <f ca="1">ROUND(IF(OR(AND($D1959=LataProjekcji,$F1959&gt;0),AND($D1959=LataProjekcji,$F1959=0,$E1960&lt;=10)),$F1960,IF($D1959&lt;LataProjekcji,IF((SUM($K1961:S1961)+$D1961)&lt;$D1960,$D1961,$D1960-SUM($K1961:S1961)),0)),0)</f>
        <v>0</v>
      </c>
      <c r="U1961" s="248">
        <f ca="1">ROUND(IF(OR(AND($D1959=LataProjekcji,$F1959&gt;0),AND($D1959=LataProjekcji,$F1959=0,$E1960&lt;=10)),$F1960,IF($D1959&lt;LataProjekcji,IF((SUM($K1961:T1961)+$D1961)&lt;$D1960,$D1961,$D1960-SUM($K1961:T1961)),0)),0)</f>
        <v>0</v>
      </c>
      <c r="V1961" s="248">
        <f ca="1">ROUND(IF(OR(AND($D1959=LataProjekcji,$F1959&gt;0),AND($D1959=LataProjekcji,$F1959=0,$E1960&lt;=10)),$F1960,IF($D1959&lt;LataProjekcji,IF((SUM($K1961:U1961)+$D1961)&lt;$D1960,$D1961,$D1960-SUM($K1961:U1961)),0)),0)</f>
        <v>0</v>
      </c>
      <c r="W1961" s="248">
        <f ca="1">ROUND(IF(OR(AND($D1959=LataProjekcji,$F1959&gt;0),AND($D1959=LataProjekcji,$F1959=0,$E1960&lt;=10)),$F1960,IF($D1959&lt;LataProjekcji,IF((SUM($K1961:V1961)+$D1961)&lt;$D1960,$D1961,$D1960-SUM($K1961:V1961)),0)),0)</f>
        <v>0</v>
      </c>
      <c r="X1961" s="248">
        <f ca="1">ROUND(IF(OR(AND($D1959=LataProjekcji,$F1959&gt;0),AND($D1959=LataProjekcji,$F1959=0,$E1960&lt;=10)),$F1960,IF($D1959&lt;LataProjekcji,IF((SUM($K1961:W1961)+$D1961)&lt;$D1960,$D1961,$D1960-SUM($K1961:W1961)),0)),0)</f>
        <v>0</v>
      </c>
    </row>
    <row r="1962" spans="1:24" hidden="1">
      <c r="A1962" s="328"/>
      <c r="B1962" s="21" t="s">
        <v>416</v>
      </c>
      <c r="C1962" s="21"/>
      <c r="D1962" s="22"/>
      <c r="E1962" s="21"/>
      <c r="F1962" s="21"/>
      <c r="G1962" s="21"/>
      <c r="H1962" s="21"/>
      <c r="I1962" s="21"/>
      <c r="J1962" s="21"/>
      <c r="K1962" s="22">
        <f ca="1">ROUND(K1961,0)</f>
        <v>0</v>
      </c>
      <c r="L1962" s="22">
        <f t="shared" ref="L1962:X1962" ca="1" si="1522">ROUND(K1962+L1961,0)</f>
        <v>0</v>
      </c>
      <c r="M1962" s="22">
        <f t="shared" ca="1" si="1522"/>
        <v>0</v>
      </c>
      <c r="N1962" s="22">
        <f t="shared" ca="1" si="1522"/>
        <v>0</v>
      </c>
      <c r="O1962" s="22">
        <f t="shared" ca="1" si="1522"/>
        <v>0</v>
      </c>
      <c r="P1962" s="22">
        <f t="shared" ca="1" si="1522"/>
        <v>0</v>
      </c>
      <c r="Q1962" s="22">
        <f t="shared" ca="1" si="1522"/>
        <v>0</v>
      </c>
      <c r="R1962" s="22">
        <f t="shared" ca="1" si="1522"/>
        <v>0</v>
      </c>
      <c r="S1962" s="22">
        <f t="shared" ca="1" si="1522"/>
        <v>0</v>
      </c>
      <c r="T1962" s="22">
        <f t="shared" ca="1" si="1522"/>
        <v>0</v>
      </c>
      <c r="U1962" s="22">
        <f t="shared" ca="1" si="1522"/>
        <v>0</v>
      </c>
      <c r="V1962" s="22">
        <f t="shared" ca="1" si="1522"/>
        <v>0</v>
      </c>
      <c r="W1962" s="22">
        <f t="shared" ca="1" si="1522"/>
        <v>0</v>
      </c>
      <c r="X1962" s="22">
        <f t="shared" ca="1" si="1522"/>
        <v>0</v>
      </c>
    </row>
    <row r="1963" spans="1:24" hidden="1">
      <c r="A1963" s="328"/>
      <c r="B1963" s="21" t="s">
        <v>406</v>
      </c>
      <c r="C1963" s="21"/>
      <c r="D1963" s="22"/>
      <c r="E1963" s="21"/>
      <c r="F1963" s="21"/>
      <c r="G1963" s="21"/>
      <c r="H1963" s="21"/>
      <c r="I1963" s="21"/>
      <c r="J1963" s="21"/>
      <c r="K1963" s="77">
        <f ca="1">IF($D1959=LataProjekcji,ROUND($D1960-K1962,0),ROUND(IF(K1961=0,0,$D1960-K1962),0))</f>
        <v>0</v>
      </c>
      <c r="L1963" s="254">
        <f t="shared" ref="L1963:X1963" ca="1" si="1523">IF($D1959=LataProjekcji,ROUND($D1960-L1962,0),ROUND(IF(AND(L1961=0,K1963&gt;0),$D1960-L1962,IF(L1961=0,0,$D1960-L1962)),0))</f>
        <v>0</v>
      </c>
      <c r="M1963" s="254">
        <f t="shared" ca="1" si="1523"/>
        <v>0</v>
      </c>
      <c r="N1963" s="254">
        <f t="shared" ca="1" si="1523"/>
        <v>0</v>
      </c>
      <c r="O1963" s="254">
        <f t="shared" ca="1" si="1523"/>
        <v>0</v>
      </c>
      <c r="P1963" s="254">
        <f t="shared" ca="1" si="1523"/>
        <v>0</v>
      </c>
      <c r="Q1963" s="254">
        <f t="shared" ca="1" si="1523"/>
        <v>0</v>
      </c>
      <c r="R1963" s="254">
        <f t="shared" ca="1" si="1523"/>
        <v>0</v>
      </c>
      <c r="S1963" s="254">
        <f t="shared" ca="1" si="1523"/>
        <v>0</v>
      </c>
      <c r="T1963" s="254">
        <f t="shared" ca="1" si="1523"/>
        <v>0</v>
      </c>
      <c r="U1963" s="254">
        <f t="shared" ca="1" si="1523"/>
        <v>0</v>
      </c>
      <c r="V1963" s="254">
        <f t="shared" ca="1" si="1523"/>
        <v>0</v>
      </c>
      <c r="W1963" s="254">
        <f t="shared" ca="1" si="1523"/>
        <v>0</v>
      </c>
      <c r="X1963" s="254">
        <f t="shared" ca="1" si="1523"/>
        <v>0</v>
      </c>
    </row>
    <row r="1964" spans="1:24" hidden="1">
      <c r="A1964" s="328"/>
      <c r="B1964" s="21"/>
      <c r="C1964" s="21"/>
      <c r="D1964" s="22"/>
      <c r="E1964" s="21"/>
      <c r="F1964" s="21"/>
      <c r="G1964" s="21"/>
      <c r="H1964" s="404">
        <v>0</v>
      </c>
      <c r="I1964" s="483" cm="1">
        <f t="array" aca="1" ref="I1964" ca="1">OFFSET('Środki trwałe'!$C$616,H1964,,)</f>
        <v>0</v>
      </c>
      <c r="J1964" s="404" t="s">
        <v>427</v>
      </c>
      <c r="K1964" s="405">
        <f t="shared" ref="K1964:X1964" ca="1" si="1524">IF(AND(OFFSET($F$269,$D1958,0)="tak",OFFSET($G$269,$D1958,0)="tak",OFFSET($J$269,$D1958,0)="ok",LataProjekcji&lt;=Koniec_Projekt),ROUND(K1961*OFFSET($K$632,$H1964,(COLUMN()-11)),0),0)</f>
        <v>0</v>
      </c>
      <c r="L1964" s="405">
        <f t="shared" ca="1" si="1524"/>
        <v>0</v>
      </c>
      <c r="M1964" s="405">
        <f t="shared" ca="1" si="1524"/>
        <v>0</v>
      </c>
      <c r="N1964" s="405">
        <f t="shared" ca="1" si="1524"/>
        <v>0</v>
      </c>
      <c r="O1964" s="405">
        <f t="shared" ca="1" si="1524"/>
        <v>0</v>
      </c>
      <c r="P1964" s="405">
        <f t="shared" ca="1" si="1524"/>
        <v>0</v>
      </c>
      <c r="Q1964" s="405">
        <f t="shared" ca="1" si="1524"/>
        <v>0</v>
      </c>
      <c r="R1964" s="405">
        <f t="shared" ca="1" si="1524"/>
        <v>0</v>
      </c>
      <c r="S1964" s="405">
        <f t="shared" ca="1" si="1524"/>
        <v>0</v>
      </c>
      <c r="T1964" s="405">
        <f t="shared" ca="1" si="1524"/>
        <v>0</v>
      </c>
      <c r="U1964" s="405">
        <f t="shared" ca="1" si="1524"/>
        <v>0</v>
      </c>
      <c r="V1964" s="405">
        <f t="shared" ca="1" si="1524"/>
        <v>0</v>
      </c>
      <c r="W1964" s="405">
        <f t="shared" ca="1" si="1524"/>
        <v>0</v>
      </c>
      <c r="X1964" s="405">
        <f t="shared" ca="1" si="1524"/>
        <v>0</v>
      </c>
    </row>
    <row r="1965" spans="1:24" hidden="1">
      <c r="A1965" s="328"/>
      <c r="B1965" s="20">
        <f ca="1">OFFSET($B$269,D1965,0)</f>
        <v>0</v>
      </c>
      <c r="C1965" s="20"/>
      <c r="D1965" s="21">
        <f>D1958+1</f>
        <v>348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</row>
    <row r="1966" spans="1:24" hidden="1">
      <c r="A1966" s="328"/>
      <c r="B1966" s="21" t="s">
        <v>414</v>
      </c>
      <c r="C1966" s="21"/>
      <c r="D1966" s="165">
        <f ca="1">YEAR(OFFSET($E$269,D1965,0))</f>
        <v>1900</v>
      </c>
      <c r="E1966" s="165">
        <f ca="1">MONTH(OFFSET($E$269,D1965,0))</f>
        <v>1</v>
      </c>
      <c r="F1966" s="21">
        <f ca="1">12-$E1966</f>
        <v>11</v>
      </c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</row>
    <row r="1967" spans="1:24" hidden="1">
      <c r="A1967" s="328"/>
      <c r="B1967" s="21" t="s">
        <v>406</v>
      </c>
      <c r="C1967" s="21"/>
      <c r="D1967" s="385">
        <f ca="1">IF(E1967&lt;0,0,ROUND(E1967,0))</f>
        <v>0</v>
      </c>
      <c r="E1967" s="249">
        <f ca="1">OFFSET($D$269,D1965,0)</f>
        <v>0</v>
      </c>
      <c r="F1967" s="385">
        <f ca="1">IF(E1967&gt;10,ROUND(($D1968/12)*$F1966,0),$D1967)</f>
        <v>0</v>
      </c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</row>
    <row r="1968" spans="1:24" hidden="1">
      <c r="A1968" s="328"/>
      <c r="B1968" s="21" t="s">
        <v>415</v>
      </c>
      <c r="C1968" s="21"/>
      <c r="D1968" s="385">
        <f ca="1">IF(ISBLANK(OFFSET($E$269,D1965,0)),0,IF(E1967&gt;10,ROUND(D1967*am_inneST,0),IF(D1967&lt;0,0,D1967)))</f>
        <v>0</v>
      </c>
      <c r="E1968" s="21"/>
      <c r="F1968" s="21"/>
      <c r="G1968" s="21"/>
      <c r="H1968" s="21"/>
      <c r="I1968" s="21"/>
      <c r="J1968" s="21"/>
      <c r="K1968" s="75">
        <f ca="1">ROUND(IF($D1966=LataProjekcji,$F1967,IF($D1966=LataProjekcji,$D1968,0)),0)</f>
        <v>0</v>
      </c>
      <c r="L1968" s="248">
        <f ca="1">ROUND(IF(OR(AND($D1966=LataProjekcji,$F1966&gt;0),AND($D1966=LataProjekcji,$F1966=0,$E1967&lt;=10)),$F1967,IF($D1966&lt;LataProjekcji,IF((SUM($K1968:K1968)+$D1968)&lt;$D1967,$D1968,$D1967-SUM($K1968:K1968)),0)),0)</f>
        <v>0</v>
      </c>
      <c r="M1968" s="248">
        <f ca="1">ROUND(IF(OR(AND($D1966=LataProjekcji,$F1966&gt;0),AND($D1966=LataProjekcji,$F1966=0,$E1967&lt;=10)),$F1967,IF($D1966&lt;LataProjekcji,IF((SUM($K1968:L1968)+$D1968)&lt;$D1967,$D1968,$D1967-SUM($K1968:L1968)),0)),0)</f>
        <v>0</v>
      </c>
      <c r="N1968" s="248">
        <f ca="1">ROUND(IF(OR(AND($D1966=LataProjekcji,$F1966&gt;0),AND($D1966=LataProjekcji,$F1966=0,$E1967&lt;=10)),$F1967,IF($D1966&lt;LataProjekcji,IF((SUM($K1968:M1968)+$D1968)&lt;$D1967,$D1968,$D1967-SUM($K1968:M1968)),0)),0)</f>
        <v>0</v>
      </c>
      <c r="O1968" s="248">
        <f ca="1">ROUND(IF(OR(AND($D1966=LataProjekcji,$F1966&gt;0),AND($D1966=LataProjekcji,$F1966=0,$E1967&lt;=10)),$F1967,IF($D1966&lt;LataProjekcji,IF((SUM($K1968:N1968)+$D1968)&lt;$D1967,$D1968,$D1967-SUM($K1968:N1968)),0)),0)</f>
        <v>0</v>
      </c>
      <c r="P1968" s="248">
        <f ca="1">ROUND(IF(OR(AND($D1966=LataProjekcji,$F1966&gt;0),AND($D1966=LataProjekcji,$F1966=0,$E1967&lt;=10)),$F1967,IF($D1966&lt;LataProjekcji,IF((SUM($K1968:O1968)+$D1968)&lt;$D1967,$D1968,$D1967-SUM($K1968:O1968)),0)),0)</f>
        <v>0</v>
      </c>
      <c r="Q1968" s="248">
        <f ca="1">ROUND(IF(OR(AND($D1966=LataProjekcji,$F1966&gt;0),AND($D1966=LataProjekcji,$F1966=0,$E1967&lt;=10)),$F1967,IF($D1966&lt;LataProjekcji,IF((SUM($K1968:P1968)+$D1968)&lt;$D1967,$D1968,$D1967-SUM($K1968:P1968)),0)),0)</f>
        <v>0</v>
      </c>
      <c r="R1968" s="248">
        <f ca="1">ROUND(IF(OR(AND($D1966=LataProjekcji,$F1966&gt;0),AND($D1966=LataProjekcji,$F1966=0,$E1967&lt;=10)),$F1967,IF($D1966&lt;LataProjekcji,IF((SUM($K1968:Q1968)+$D1968)&lt;$D1967,$D1968,$D1967-SUM($K1968:Q1968)),0)),0)</f>
        <v>0</v>
      </c>
      <c r="S1968" s="248">
        <f ca="1">ROUND(IF(OR(AND($D1966=LataProjekcji,$F1966&gt;0),AND($D1966=LataProjekcji,$F1966=0,$E1967&lt;=10)),$F1967,IF($D1966&lt;LataProjekcji,IF((SUM($K1968:R1968)+$D1968)&lt;$D1967,$D1968,$D1967-SUM($K1968:R1968)),0)),0)</f>
        <v>0</v>
      </c>
      <c r="T1968" s="248">
        <f ca="1">ROUND(IF(OR(AND($D1966=LataProjekcji,$F1966&gt;0),AND($D1966=LataProjekcji,$F1966=0,$E1967&lt;=10)),$F1967,IF($D1966&lt;LataProjekcji,IF((SUM($K1968:S1968)+$D1968)&lt;$D1967,$D1968,$D1967-SUM($K1968:S1968)),0)),0)</f>
        <v>0</v>
      </c>
      <c r="U1968" s="248">
        <f ca="1">ROUND(IF(OR(AND($D1966=LataProjekcji,$F1966&gt;0),AND($D1966=LataProjekcji,$F1966=0,$E1967&lt;=10)),$F1967,IF($D1966&lt;LataProjekcji,IF((SUM($K1968:T1968)+$D1968)&lt;$D1967,$D1968,$D1967-SUM($K1968:T1968)),0)),0)</f>
        <v>0</v>
      </c>
      <c r="V1968" s="248">
        <f ca="1">ROUND(IF(OR(AND($D1966=LataProjekcji,$F1966&gt;0),AND($D1966=LataProjekcji,$F1966=0,$E1967&lt;=10)),$F1967,IF($D1966&lt;LataProjekcji,IF((SUM($K1968:U1968)+$D1968)&lt;$D1967,$D1968,$D1967-SUM($K1968:U1968)),0)),0)</f>
        <v>0</v>
      </c>
      <c r="W1968" s="248">
        <f ca="1">ROUND(IF(OR(AND($D1966=LataProjekcji,$F1966&gt;0),AND($D1966=LataProjekcji,$F1966=0,$E1967&lt;=10)),$F1967,IF($D1966&lt;LataProjekcji,IF((SUM($K1968:V1968)+$D1968)&lt;$D1967,$D1968,$D1967-SUM($K1968:V1968)),0)),0)</f>
        <v>0</v>
      </c>
      <c r="X1968" s="248">
        <f ca="1">ROUND(IF(OR(AND($D1966=LataProjekcji,$F1966&gt;0),AND($D1966=LataProjekcji,$F1966=0,$E1967&lt;=10)),$F1967,IF($D1966&lt;LataProjekcji,IF((SUM($K1968:W1968)+$D1968)&lt;$D1967,$D1968,$D1967-SUM($K1968:W1968)),0)),0)</f>
        <v>0</v>
      </c>
    </row>
    <row r="1969" spans="1:24" hidden="1">
      <c r="A1969" s="328"/>
      <c r="B1969" s="21" t="s">
        <v>416</v>
      </c>
      <c r="C1969" s="21"/>
      <c r="D1969" s="22"/>
      <c r="E1969" s="21"/>
      <c r="F1969" s="21"/>
      <c r="G1969" s="21"/>
      <c r="H1969" s="21"/>
      <c r="I1969" s="21"/>
      <c r="J1969" s="21"/>
      <c r="K1969" s="22">
        <f ca="1">ROUND(K1968,0)</f>
        <v>0</v>
      </c>
      <c r="L1969" s="22">
        <f t="shared" ref="L1969:X1969" ca="1" si="1525">ROUND(K1969+L1968,0)</f>
        <v>0</v>
      </c>
      <c r="M1969" s="22">
        <f t="shared" ca="1" si="1525"/>
        <v>0</v>
      </c>
      <c r="N1969" s="22">
        <f t="shared" ca="1" si="1525"/>
        <v>0</v>
      </c>
      <c r="O1969" s="22">
        <f t="shared" ca="1" si="1525"/>
        <v>0</v>
      </c>
      <c r="P1969" s="22">
        <f t="shared" ca="1" si="1525"/>
        <v>0</v>
      </c>
      <c r="Q1969" s="22">
        <f t="shared" ca="1" si="1525"/>
        <v>0</v>
      </c>
      <c r="R1969" s="22">
        <f t="shared" ca="1" si="1525"/>
        <v>0</v>
      </c>
      <c r="S1969" s="22">
        <f t="shared" ca="1" si="1525"/>
        <v>0</v>
      </c>
      <c r="T1969" s="22">
        <f t="shared" ca="1" si="1525"/>
        <v>0</v>
      </c>
      <c r="U1969" s="22">
        <f t="shared" ca="1" si="1525"/>
        <v>0</v>
      </c>
      <c r="V1969" s="22">
        <f t="shared" ca="1" si="1525"/>
        <v>0</v>
      </c>
      <c r="W1969" s="22">
        <f t="shared" ca="1" si="1525"/>
        <v>0</v>
      </c>
      <c r="X1969" s="22">
        <f t="shared" ca="1" si="1525"/>
        <v>0</v>
      </c>
    </row>
    <row r="1970" spans="1:24" hidden="1">
      <c r="A1970" s="328"/>
      <c r="B1970" s="21" t="s">
        <v>406</v>
      </c>
      <c r="C1970" s="21"/>
      <c r="D1970" s="22"/>
      <c r="E1970" s="21"/>
      <c r="F1970" s="21"/>
      <c r="G1970" s="21"/>
      <c r="H1970" s="21"/>
      <c r="I1970" s="21"/>
      <c r="J1970" s="21"/>
      <c r="K1970" s="77">
        <f ca="1">IF($D1966=LataProjekcji,ROUND($D1967-K1969,0),ROUND(IF(K1968=0,0,$D1967-K1969),0))</f>
        <v>0</v>
      </c>
      <c r="L1970" s="254">
        <f t="shared" ref="L1970:X1970" ca="1" si="1526">IF($D1966=LataProjekcji,ROUND($D1967-L1969,0),ROUND(IF(AND(L1968=0,K1970&gt;0),$D1967-L1969,IF(L1968=0,0,$D1967-L1969)),0))</f>
        <v>0</v>
      </c>
      <c r="M1970" s="254">
        <f t="shared" ca="1" si="1526"/>
        <v>0</v>
      </c>
      <c r="N1970" s="254">
        <f t="shared" ca="1" si="1526"/>
        <v>0</v>
      </c>
      <c r="O1970" s="254">
        <f t="shared" ca="1" si="1526"/>
        <v>0</v>
      </c>
      <c r="P1970" s="254">
        <f t="shared" ca="1" si="1526"/>
        <v>0</v>
      </c>
      <c r="Q1970" s="254">
        <f t="shared" ca="1" si="1526"/>
        <v>0</v>
      </c>
      <c r="R1970" s="254">
        <f t="shared" ca="1" si="1526"/>
        <v>0</v>
      </c>
      <c r="S1970" s="254">
        <f t="shared" ca="1" si="1526"/>
        <v>0</v>
      </c>
      <c r="T1970" s="254">
        <f t="shared" ca="1" si="1526"/>
        <v>0</v>
      </c>
      <c r="U1970" s="254">
        <f t="shared" ca="1" si="1526"/>
        <v>0</v>
      </c>
      <c r="V1970" s="254">
        <f t="shared" ca="1" si="1526"/>
        <v>0</v>
      </c>
      <c r="W1970" s="254">
        <f t="shared" ca="1" si="1526"/>
        <v>0</v>
      </c>
      <c r="X1970" s="254">
        <f t="shared" ca="1" si="1526"/>
        <v>0</v>
      </c>
    </row>
    <row r="1971" spans="1:24" hidden="1">
      <c r="A1971" s="328"/>
      <c r="B1971" s="20"/>
      <c r="C1971" s="20"/>
      <c r="D1971" s="21"/>
      <c r="E1971" s="21"/>
      <c r="F1971" s="21"/>
      <c r="G1971" s="21"/>
      <c r="H1971" s="404">
        <f>H1964+1</f>
        <v>1</v>
      </c>
      <c r="I1971" s="483" cm="1">
        <f t="array" aca="1" ref="I1971" ca="1">OFFSET('Środki trwałe'!$C$616,H1971,,)</f>
        <v>0</v>
      </c>
      <c r="J1971" s="404" t="s">
        <v>427</v>
      </c>
      <c r="K1971" s="405">
        <f t="shared" ref="K1971:X1971" ca="1" si="1527">IF(AND(OFFSET($F$269,$D1965,0)="tak",OFFSET($G$269,$D1965,0)="tak",OFFSET($J$269,$D1965,0)="ok",LataProjekcji&lt;=Koniec_Projekt),ROUND(K1968*OFFSET($K$632,$H1971,(COLUMN()-11)),0),0)</f>
        <v>0</v>
      </c>
      <c r="L1971" s="405">
        <f t="shared" ca="1" si="1527"/>
        <v>0</v>
      </c>
      <c r="M1971" s="405">
        <f t="shared" ca="1" si="1527"/>
        <v>0</v>
      </c>
      <c r="N1971" s="405">
        <f t="shared" ca="1" si="1527"/>
        <v>0</v>
      </c>
      <c r="O1971" s="405">
        <f t="shared" ca="1" si="1527"/>
        <v>0</v>
      </c>
      <c r="P1971" s="405">
        <f t="shared" ca="1" si="1527"/>
        <v>0</v>
      </c>
      <c r="Q1971" s="405">
        <f t="shared" ca="1" si="1527"/>
        <v>0</v>
      </c>
      <c r="R1971" s="405">
        <f t="shared" ca="1" si="1527"/>
        <v>0</v>
      </c>
      <c r="S1971" s="405">
        <f t="shared" ca="1" si="1527"/>
        <v>0</v>
      </c>
      <c r="T1971" s="405">
        <f t="shared" ca="1" si="1527"/>
        <v>0</v>
      </c>
      <c r="U1971" s="405">
        <f t="shared" ca="1" si="1527"/>
        <v>0</v>
      </c>
      <c r="V1971" s="405">
        <f t="shared" ca="1" si="1527"/>
        <v>0</v>
      </c>
      <c r="W1971" s="405">
        <f t="shared" ca="1" si="1527"/>
        <v>0</v>
      </c>
      <c r="X1971" s="405">
        <f t="shared" ca="1" si="1527"/>
        <v>0</v>
      </c>
    </row>
    <row r="1972" spans="1:24" hidden="1">
      <c r="A1972" s="328"/>
      <c r="B1972" s="20">
        <f ca="1">OFFSET($B$269,D1972,0)</f>
        <v>0</v>
      </c>
      <c r="C1972" s="20"/>
      <c r="D1972" s="21">
        <f>D1965+1</f>
        <v>349</v>
      </c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</row>
    <row r="1973" spans="1:24" hidden="1">
      <c r="A1973" s="328"/>
      <c r="B1973" s="21" t="s">
        <v>414</v>
      </c>
      <c r="C1973" s="21"/>
      <c r="D1973" s="165">
        <f ca="1">YEAR(OFFSET($E$269,D1972,0))</f>
        <v>1900</v>
      </c>
      <c r="E1973" s="165">
        <f ca="1">MONTH(OFFSET($E$269,D1972,0))</f>
        <v>1</v>
      </c>
      <c r="F1973" s="21">
        <f ca="1">12-$E1973</f>
        <v>11</v>
      </c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</row>
    <row r="1974" spans="1:24" hidden="1">
      <c r="A1974" s="328"/>
      <c r="B1974" s="21" t="s">
        <v>406</v>
      </c>
      <c r="C1974" s="21"/>
      <c r="D1974" s="386">
        <f ca="1">IF(E1974&lt;0,0,ROUND(E1974,0))</f>
        <v>0</v>
      </c>
      <c r="E1974" s="249">
        <f ca="1">OFFSET($D$269,D1972,0)</f>
        <v>0</v>
      </c>
      <c r="F1974" s="386">
        <f ca="1">IF(E1974&gt;10,ROUND(($D1975/12)*$F1973,0),$D1974)</f>
        <v>0</v>
      </c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</row>
    <row r="1975" spans="1:24" hidden="1">
      <c r="A1975" s="328"/>
      <c r="B1975" s="21" t="s">
        <v>415</v>
      </c>
      <c r="C1975" s="21"/>
      <c r="D1975" s="386">
        <f ca="1">IF(ISBLANK(OFFSET($E$269,D1972,0)),0,IF(E1974&gt;10,ROUND(D1974*am_inneST,0),IF(D1974&lt;0,0,D1974)))</f>
        <v>0</v>
      </c>
      <c r="E1975" s="21"/>
      <c r="F1975" s="21"/>
      <c r="G1975" s="21"/>
      <c r="H1975" s="21"/>
      <c r="I1975" s="21"/>
      <c r="J1975" s="21"/>
      <c r="K1975" s="75">
        <f ca="1">ROUND(IF($D1973=LataProjekcji,$F1974,IF($D1973=LataProjekcji,$D1975,0)),0)</f>
        <v>0</v>
      </c>
      <c r="L1975" s="248">
        <f ca="1">ROUND(IF(OR(AND($D1973=LataProjekcji,$F1973&gt;0),AND($D1973=LataProjekcji,$F1973=0,$E1974&lt;=10)),$F1974,IF($D1973&lt;LataProjekcji,IF((SUM($K1975:K1975)+$D1975)&lt;$D1974,$D1975,$D1974-SUM($K1975:K1975)),0)),0)</f>
        <v>0</v>
      </c>
      <c r="M1975" s="248">
        <f ca="1">ROUND(IF(OR(AND($D1973=LataProjekcji,$F1973&gt;0),AND($D1973=LataProjekcji,$F1973=0,$E1974&lt;=10)),$F1974,IF($D1973&lt;LataProjekcji,IF((SUM($K1975:L1975)+$D1975)&lt;$D1974,$D1975,$D1974-SUM($K1975:L1975)),0)),0)</f>
        <v>0</v>
      </c>
      <c r="N1975" s="248">
        <f ca="1">ROUND(IF(OR(AND($D1973=LataProjekcji,$F1973&gt;0),AND($D1973=LataProjekcji,$F1973=0,$E1974&lt;=10)),$F1974,IF($D1973&lt;LataProjekcji,IF((SUM($K1975:M1975)+$D1975)&lt;$D1974,$D1975,$D1974-SUM($K1975:M1975)),0)),0)</f>
        <v>0</v>
      </c>
      <c r="O1975" s="248">
        <f ca="1">ROUND(IF(OR(AND($D1973=LataProjekcji,$F1973&gt;0),AND($D1973=LataProjekcji,$F1973=0,$E1974&lt;=10)),$F1974,IF($D1973&lt;LataProjekcji,IF((SUM($K1975:N1975)+$D1975)&lt;$D1974,$D1975,$D1974-SUM($K1975:N1975)),0)),0)</f>
        <v>0</v>
      </c>
      <c r="P1975" s="248">
        <f ca="1">ROUND(IF(OR(AND($D1973=LataProjekcji,$F1973&gt;0),AND($D1973=LataProjekcji,$F1973=0,$E1974&lt;=10)),$F1974,IF($D1973&lt;LataProjekcji,IF((SUM($K1975:O1975)+$D1975)&lt;$D1974,$D1975,$D1974-SUM($K1975:O1975)),0)),0)</f>
        <v>0</v>
      </c>
      <c r="Q1975" s="248">
        <f ca="1">ROUND(IF(OR(AND($D1973=LataProjekcji,$F1973&gt;0),AND($D1973=LataProjekcji,$F1973=0,$E1974&lt;=10)),$F1974,IF($D1973&lt;LataProjekcji,IF((SUM($K1975:P1975)+$D1975)&lt;$D1974,$D1975,$D1974-SUM($K1975:P1975)),0)),0)</f>
        <v>0</v>
      </c>
      <c r="R1975" s="248">
        <f ca="1">ROUND(IF(OR(AND($D1973=LataProjekcji,$F1973&gt;0),AND($D1973=LataProjekcji,$F1973=0,$E1974&lt;=10)),$F1974,IF($D1973&lt;LataProjekcji,IF((SUM($K1975:Q1975)+$D1975)&lt;$D1974,$D1975,$D1974-SUM($K1975:Q1975)),0)),0)</f>
        <v>0</v>
      </c>
      <c r="S1975" s="248">
        <f ca="1">ROUND(IF(OR(AND($D1973=LataProjekcji,$F1973&gt;0),AND($D1973=LataProjekcji,$F1973=0,$E1974&lt;=10)),$F1974,IF($D1973&lt;LataProjekcji,IF((SUM($K1975:R1975)+$D1975)&lt;$D1974,$D1975,$D1974-SUM($K1975:R1975)),0)),0)</f>
        <v>0</v>
      </c>
      <c r="T1975" s="248">
        <f ca="1">ROUND(IF(OR(AND($D1973=LataProjekcji,$F1973&gt;0),AND($D1973=LataProjekcji,$F1973=0,$E1974&lt;=10)),$F1974,IF($D1973&lt;LataProjekcji,IF((SUM($K1975:S1975)+$D1975)&lt;$D1974,$D1975,$D1974-SUM($K1975:S1975)),0)),0)</f>
        <v>0</v>
      </c>
      <c r="U1975" s="248">
        <f ca="1">ROUND(IF(OR(AND($D1973=LataProjekcji,$F1973&gt;0),AND($D1973=LataProjekcji,$F1973=0,$E1974&lt;=10)),$F1974,IF($D1973&lt;LataProjekcji,IF((SUM($K1975:T1975)+$D1975)&lt;$D1974,$D1975,$D1974-SUM($K1975:T1975)),0)),0)</f>
        <v>0</v>
      </c>
      <c r="V1975" s="248">
        <f ca="1">ROUND(IF(OR(AND($D1973=LataProjekcji,$F1973&gt;0),AND($D1973=LataProjekcji,$F1973=0,$E1974&lt;=10)),$F1974,IF($D1973&lt;LataProjekcji,IF((SUM($K1975:U1975)+$D1975)&lt;$D1974,$D1975,$D1974-SUM($K1975:U1975)),0)),0)</f>
        <v>0</v>
      </c>
      <c r="W1975" s="248">
        <f ca="1">ROUND(IF(OR(AND($D1973=LataProjekcji,$F1973&gt;0),AND($D1973=LataProjekcji,$F1973=0,$E1974&lt;=10)),$F1974,IF($D1973&lt;LataProjekcji,IF((SUM($K1975:V1975)+$D1975)&lt;$D1974,$D1975,$D1974-SUM($K1975:V1975)),0)),0)</f>
        <v>0</v>
      </c>
      <c r="X1975" s="248">
        <f ca="1">ROUND(IF(OR(AND($D1973=LataProjekcji,$F1973&gt;0),AND($D1973=LataProjekcji,$F1973=0,$E1974&lt;=10)),$F1974,IF($D1973&lt;LataProjekcji,IF((SUM($K1975:W1975)+$D1975)&lt;$D1974,$D1975,$D1974-SUM($K1975:W1975)),0)),0)</f>
        <v>0</v>
      </c>
    </row>
    <row r="1976" spans="1:24" hidden="1">
      <c r="A1976" s="328"/>
      <c r="B1976" s="21" t="s">
        <v>416</v>
      </c>
      <c r="C1976" s="21"/>
      <c r="D1976" s="22"/>
      <c r="E1976" s="21"/>
      <c r="F1976" s="21"/>
      <c r="G1976" s="21"/>
      <c r="H1976" s="21"/>
      <c r="I1976" s="21"/>
      <c r="J1976" s="21"/>
      <c r="K1976" s="22">
        <f ca="1">ROUND(K1975,0)</f>
        <v>0</v>
      </c>
      <c r="L1976" s="22">
        <f t="shared" ref="L1976:X1976" ca="1" si="1528">ROUND(K1976+L1975,0)</f>
        <v>0</v>
      </c>
      <c r="M1976" s="22">
        <f t="shared" ca="1" si="1528"/>
        <v>0</v>
      </c>
      <c r="N1976" s="22">
        <f t="shared" ca="1" si="1528"/>
        <v>0</v>
      </c>
      <c r="O1976" s="22">
        <f t="shared" ca="1" si="1528"/>
        <v>0</v>
      </c>
      <c r="P1976" s="22">
        <f t="shared" ca="1" si="1528"/>
        <v>0</v>
      </c>
      <c r="Q1976" s="22">
        <f t="shared" ca="1" si="1528"/>
        <v>0</v>
      </c>
      <c r="R1976" s="22">
        <f t="shared" ca="1" si="1528"/>
        <v>0</v>
      </c>
      <c r="S1976" s="22">
        <f t="shared" ca="1" si="1528"/>
        <v>0</v>
      </c>
      <c r="T1976" s="22">
        <f t="shared" ca="1" si="1528"/>
        <v>0</v>
      </c>
      <c r="U1976" s="22">
        <f t="shared" ca="1" si="1528"/>
        <v>0</v>
      </c>
      <c r="V1976" s="22">
        <f t="shared" ca="1" si="1528"/>
        <v>0</v>
      </c>
      <c r="W1976" s="22">
        <f t="shared" ca="1" si="1528"/>
        <v>0</v>
      </c>
      <c r="X1976" s="22">
        <f t="shared" ca="1" si="1528"/>
        <v>0</v>
      </c>
    </row>
    <row r="1977" spans="1:24" hidden="1">
      <c r="A1977" s="328"/>
      <c r="B1977" s="21" t="s">
        <v>406</v>
      </c>
      <c r="C1977" s="21"/>
      <c r="D1977" s="22"/>
      <c r="E1977" s="21"/>
      <c r="F1977" s="21"/>
      <c r="G1977" s="21"/>
      <c r="H1977" s="21"/>
      <c r="I1977" s="21"/>
      <c r="J1977" s="21"/>
      <c r="K1977" s="77">
        <f ca="1">IF($D1973=LataProjekcji,ROUND($D1974-K1976,0),ROUND(IF(K1975=0,0,$D1974-K1976),0))</f>
        <v>0</v>
      </c>
      <c r="L1977" s="254">
        <f t="shared" ref="L1977:X1977" ca="1" si="1529">IF($D1973=LataProjekcji,ROUND($D1974-L1976,0),ROUND(IF(AND(L1975=0,K1977&gt;0),$D1974-L1976,IF(L1975=0,0,$D1974-L1976)),0))</f>
        <v>0</v>
      </c>
      <c r="M1977" s="254">
        <f t="shared" ca="1" si="1529"/>
        <v>0</v>
      </c>
      <c r="N1977" s="254">
        <f t="shared" ca="1" si="1529"/>
        <v>0</v>
      </c>
      <c r="O1977" s="254">
        <f t="shared" ca="1" si="1529"/>
        <v>0</v>
      </c>
      <c r="P1977" s="254">
        <f t="shared" ca="1" si="1529"/>
        <v>0</v>
      </c>
      <c r="Q1977" s="254">
        <f t="shared" ca="1" si="1529"/>
        <v>0</v>
      </c>
      <c r="R1977" s="254">
        <f t="shared" ca="1" si="1529"/>
        <v>0</v>
      </c>
      <c r="S1977" s="254">
        <f t="shared" ca="1" si="1529"/>
        <v>0</v>
      </c>
      <c r="T1977" s="254">
        <f t="shared" ca="1" si="1529"/>
        <v>0</v>
      </c>
      <c r="U1977" s="254">
        <f t="shared" ca="1" si="1529"/>
        <v>0</v>
      </c>
      <c r="V1977" s="254">
        <f t="shared" ca="1" si="1529"/>
        <v>0</v>
      </c>
      <c r="W1977" s="254">
        <f t="shared" ca="1" si="1529"/>
        <v>0</v>
      </c>
      <c r="X1977" s="254">
        <f t="shared" ca="1" si="1529"/>
        <v>0</v>
      </c>
    </row>
    <row r="1978" spans="1:24" hidden="1">
      <c r="A1978" s="328"/>
      <c r="B1978" s="21"/>
      <c r="C1978" s="21"/>
      <c r="D1978" s="22"/>
      <c r="E1978" s="21"/>
      <c r="F1978" s="21"/>
      <c r="G1978" s="21"/>
      <c r="H1978" s="404">
        <f>H1971+1</f>
        <v>2</v>
      </c>
      <c r="I1978" s="483" cm="1">
        <f t="array" aca="1" ref="I1978" ca="1">OFFSET('Środki trwałe'!$C$616,H1978,,)</f>
        <v>0</v>
      </c>
      <c r="J1978" s="404" t="s">
        <v>427</v>
      </c>
      <c r="K1978" s="405">
        <f t="shared" ref="K1978:X1978" ca="1" si="1530">IF(AND(OFFSET($F$269,$D1972,0)="tak",OFFSET($G$269,$D1972,0)="tak",OFFSET($J$269,$D1972,0)="ok",LataProjekcji&lt;=Koniec_Projekt),ROUND(K1975*OFFSET($K$632,$H1978,(COLUMN()-11)),0),0)</f>
        <v>0</v>
      </c>
      <c r="L1978" s="405">
        <f t="shared" ca="1" si="1530"/>
        <v>0</v>
      </c>
      <c r="M1978" s="405">
        <f t="shared" ca="1" si="1530"/>
        <v>0</v>
      </c>
      <c r="N1978" s="405">
        <f t="shared" ca="1" si="1530"/>
        <v>0</v>
      </c>
      <c r="O1978" s="405">
        <f t="shared" ca="1" si="1530"/>
        <v>0</v>
      </c>
      <c r="P1978" s="405">
        <f t="shared" ca="1" si="1530"/>
        <v>0</v>
      </c>
      <c r="Q1978" s="405">
        <f t="shared" ca="1" si="1530"/>
        <v>0</v>
      </c>
      <c r="R1978" s="405">
        <f t="shared" ca="1" si="1530"/>
        <v>0</v>
      </c>
      <c r="S1978" s="405">
        <f t="shared" ca="1" si="1530"/>
        <v>0</v>
      </c>
      <c r="T1978" s="405">
        <f t="shared" ca="1" si="1530"/>
        <v>0</v>
      </c>
      <c r="U1978" s="405">
        <f t="shared" ca="1" si="1530"/>
        <v>0</v>
      </c>
      <c r="V1978" s="405">
        <f t="shared" ca="1" si="1530"/>
        <v>0</v>
      </c>
      <c r="W1978" s="405">
        <f t="shared" ca="1" si="1530"/>
        <v>0</v>
      </c>
      <c r="X1978" s="405">
        <f t="shared" ca="1" si="1530"/>
        <v>0</v>
      </c>
    </row>
    <row r="1979" spans="1:24" hidden="1">
      <c r="A1979" s="328"/>
      <c r="B1979" s="20">
        <f ca="1">OFFSET($B$269,D1979,0)</f>
        <v>0</v>
      </c>
      <c r="C1979" s="20"/>
      <c r="D1979" s="21">
        <f>D1972+1</f>
        <v>350</v>
      </c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</row>
    <row r="1980" spans="1:24" hidden="1">
      <c r="A1980" s="328"/>
      <c r="B1980" s="21" t="s">
        <v>414</v>
      </c>
      <c r="C1980" s="21"/>
      <c r="D1980" s="165">
        <f ca="1">YEAR(OFFSET($E$269,D1979,0))</f>
        <v>1900</v>
      </c>
      <c r="E1980" s="165">
        <f ca="1">MONTH(OFFSET($E$269,D1979,0))</f>
        <v>1</v>
      </c>
      <c r="F1980" s="21">
        <f ca="1">12-$E1980</f>
        <v>11</v>
      </c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</row>
    <row r="1981" spans="1:24" hidden="1">
      <c r="A1981" s="328"/>
      <c r="B1981" s="21" t="s">
        <v>406</v>
      </c>
      <c r="C1981" s="21"/>
      <c r="D1981" s="387">
        <f ca="1">IF(E1981&lt;0,0,ROUND(E1981,0))</f>
        <v>0</v>
      </c>
      <c r="E1981" s="249">
        <f ca="1">OFFSET($D$269,D1979,0)</f>
        <v>0</v>
      </c>
      <c r="F1981" s="387">
        <f ca="1">IF(E1981&gt;10,ROUND(($D1982/12)*$F1980,0),$D1981)</f>
        <v>0</v>
      </c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</row>
    <row r="1982" spans="1:24" hidden="1">
      <c r="A1982" s="328"/>
      <c r="B1982" s="21" t="s">
        <v>415</v>
      </c>
      <c r="C1982" s="21"/>
      <c r="D1982" s="387">
        <f ca="1">IF(ISBLANK(OFFSET($E$269,D1979,0)),0,IF(E1981&gt;10,ROUND(D1981*am_inneST,0),IF(D1981&lt;0,0,D1981)))</f>
        <v>0</v>
      </c>
      <c r="E1982" s="21"/>
      <c r="F1982" s="21"/>
      <c r="G1982" s="21"/>
      <c r="H1982" s="21"/>
      <c r="I1982" s="21"/>
      <c r="J1982" s="21"/>
      <c r="K1982" s="75">
        <f ca="1">ROUND(IF($D1980=LataProjekcji,$F1981,IF($D1980=LataProjekcji,$D1982,0)),0)</f>
        <v>0</v>
      </c>
      <c r="L1982" s="248">
        <f ca="1">ROUND(IF(OR(AND($D1980=LataProjekcji,$F1980&gt;0),AND($D1980=LataProjekcji,$F1980=0,$E1981&lt;=10)),$F1981,IF($D1980&lt;LataProjekcji,IF((SUM($K1982:K1982)+$D1982)&lt;$D1981,$D1982,$D1981-SUM($K1982:K1982)),0)),0)</f>
        <v>0</v>
      </c>
      <c r="M1982" s="248">
        <f ca="1">ROUND(IF(OR(AND($D1980=LataProjekcji,$F1980&gt;0),AND($D1980=LataProjekcji,$F1980=0,$E1981&lt;=10)),$F1981,IF($D1980&lt;LataProjekcji,IF((SUM($K1982:L1982)+$D1982)&lt;$D1981,$D1982,$D1981-SUM($K1982:L1982)),0)),0)</f>
        <v>0</v>
      </c>
      <c r="N1982" s="248">
        <f ca="1">ROUND(IF(OR(AND($D1980=LataProjekcji,$F1980&gt;0),AND($D1980=LataProjekcji,$F1980=0,$E1981&lt;=10)),$F1981,IF($D1980&lt;LataProjekcji,IF((SUM($K1982:M1982)+$D1982)&lt;$D1981,$D1982,$D1981-SUM($K1982:M1982)),0)),0)</f>
        <v>0</v>
      </c>
      <c r="O1982" s="248">
        <f ca="1">ROUND(IF(OR(AND($D1980=LataProjekcji,$F1980&gt;0),AND($D1980=LataProjekcji,$F1980=0,$E1981&lt;=10)),$F1981,IF($D1980&lt;LataProjekcji,IF((SUM($K1982:N1982)+$D1982)&lt;$D1981,$D1982,$D1981-SUM($K1982:N1982)),0)),0)</f>
        <v>0</v>
      </c>
      <c r="P1982" s="248">
        <f ca="1">ROUND(IF(OR(AND($D1980=LataProjekcji,$F1980&gt;0),AND($D1980=LataProjekcji,$F1980=0,$E1981&lt;=10)),$F1981,IF($D1980&lt;LataProjekcji,IF((SUM($K1982:O1982)+$D1982)&lt;$D1981,$D1982,$D1981-SUM($K1982:O1982)),0)),0)</f>
        <v>0</v>
      </c>
      <c r="Q1982" s="248">
        <f ca="1">ROUND(IF(OR(AND($D1980=LataProjekcji,$F1980&gt;0),AND($D1980=LataProjekcji,$F1980=0,$E1981&lt;=10)),$F1981,IF($D1980&lt;LataProjekcji,IF((SUM($K1982:P1982)+$D1982)&lt;$D1981,$D1982,$D1981-SUM($K1982:P1982)),0)),0)</f>
        <v>0</v>
      </c>
      <c r="R1982" s="248">
        <f ca="1">ROUND(IF(OR(AND($D1980=LataProjekcji,$F1980&gt;0),AND($D1980=LataProjekcji,$F1980=0,$E1981&lt;=10)),$F1981,IF($D1980&lt;LataProjekcji,IF((SUM($K1982:Q1982)+$D1982)&lt;$D1981,$D1982,$D1981-SUM($K1982:Q1982)),0)),0)</f>
        <v>0</v>
      </c>
      <c r="S1982" s="248">
        <f ca="1">ROUND(IF(OR(AND($D1980=LataProjekcji,$F1980&gt;0),AND($D1980=LataProjekcji,$F1980=0,$E1981&lt;=10)),$F1981,IF($D1980&lt;LataProjekcji,IF((SUM($K1982:R1982)+$D1982)&lt;$D1981,$D1982,$D1981-SUM($K1982:R1982)),0)),0)</f>
        <v>0</v>
      </c>
      <c r="T1982" s="248">
        <f ca="1">ROUND(IF(OR(AND($D1980=LataProjekcji,$F1980&gt;0),AND($D1980=LataProjekcji,$F1980=0,$E1981&lt;=10)),$F1981,IF($D1980&lt;LataProjekcji,IF((SUM($K1982:S1982)+$D1982)&lt;$D1981,$D1982,$D1981-SUM($K1982:S1982)),0)),0)</f>
        <v>0</v>
      </c>
      <c r="U1982" s="248">
        <f ca="1">ROUND(IF(OR(AND($D1980=LataProjekcji,$F1980&gt;0),AND($D1980=LataProjekcji,$F1980=0,$E1981&lt;=10)),$F1981,IF($D1980&lt;LataProjekcji,IF((SUM($K1982:T1982)+$D1982)&lt;$D1981,$D1982,$D1981-SUM($K1982:T1982)),0)),0)</f>
        <v>0</v>
      </c>
      <c r="V1982" s="248">
        <f ca="1">ROUND(IF(OR(AND($D1980=LataProjekcji,$F1980&gt;0),AND($D1980=LataProjekcji,$F1980=0,$E1981&lt;=10)),$F1981,IF($D1980&lt;LataProjekcji,IF((SUM($K1982:U1982)+$D1982)&lt;$D1981,$D1982,$D1981-SUM($K1982:U1982)),0)),0)</f>
        <v>0</v>
      </c>
      <c r="W1982" s="248">
        <f ca="1">ROUND(IF(OR(AND($D1980=LataProjekcji,$F1980&gt;0),AND($D1980=LataProjekcji,$F1980=0,$E1981&lt;=10)),$F1981,IF($D1980&lt;LataProjekcji,IF((SUM($K1982:V1982)+$D1982)&lt;$D1981,$D1982,$D1981-SUM($K1982:V1982)),0)),0)</f>
        <v>0</v>
      </c>
      <c r="X1982" s="248">
        <f ca="1">ROUND(IF(OR(AND($D1980=LataProjekcji,$F1980&gt;0),AND($D1980=LataProjekcji,$F1980=0,$E1981&lt;=10)),$F1981,IF($D1980&lt;LataProjekcji,IF((SUM($K1982:W1982)+$D1982)&lt;$D1981,$D1982,$D1981-SUM($K1982:W1982)),0)),0)</f>
        <v>0</v>
      </c>
    </row>
    <row r="1983" spans="1:24" hidden="1">
      <c r="A1983" s="328"/>
      <c r="B1983" s="21" t="s">
        <v>416</v>
      </c>
      <c r="C1983" s="21"/>
      <c r="D1983" s="22"/>
      <c r="E1983" s="21"/>
      <c r="F1983" s="21"/>
      <c r="G1983" s="21"/>
      <c r="H1983" s="21"/>
      <c r="I1983" s="21"/>
      <c r="J1983" s="21"/>
      <c r="K1983" s="22">
        <f ca="1">ROUND(K1982,0)</f>
        <v>0</v>
      </c>
      <c r="L1983" s="22">
        <f t="shared" ref="L1983:X1983" ca="1" si="1531">ROUND(K1983+L1982,0)</f>
        <v>0</v>
      </c>
      <c r="M1983" s="22">
        <f t="shared" ca="1" si="1531"/>
        <v>0</v>
      </c>
      <c r="N1983" s="22">
        <f t="shared" ca="1" si="1531"/>
        <v>0</v>
      </c>
      <c r="O1983" s="22">
        <f t="shared" ca="1" si="1531"/>
        <v>0</v>
      </c>
      <c r="P1983" s="22">
        <f t="shared" ca="1" si="1531"/>
        <v>0</v>
      </c>
      <c r="Q1983" s="22">
        <f t="shared" ca="1" si="1531"/>
        <v>0</v>
      </c>
      <c r="R1983" s="22">
        <f t="shared" ca="1" si="1531"/>
        <v>0</v>
      </c>
      <c r="S1983" s="22">
        <f t="shared" ca="1" si="1531"/>
        <v>0</v>
      </c>
      <c r="T1983" s="22">
        <f t="shared" ca="1" si="1531"/>
        <v>0</v>
      </c>
      <c r="U1983" s="22">
        <f t="shared" ca="1" si="1531"/>
        <v>0</v>
      </c>
      <c r="V1983" s="22">
        <f t="shared" ca="1" si="1531"/>
        <v>0</v>
      </c>
      <c r="W1983" s="22">
        <f t="shared" ca="1" si="1531"/>
        <v>0</v>
      </c>
      <c r="X1983" s="22">
        <f t="shared" ca="1" si="1531"/>
        <v>0</v>
      </c>
    </row>
    <row r="1984" spans="1:24" hidden="1">
      <c r="A1984" s="328"/>
      <c r="B1984" s="21" t="s">
        <v>406</v>
      </c>
      <c r="C1984" s="21"/>
      <c r="D1984" s="22"/>
      <c r="E1984" s="21"/>
      <c r="F1984" s="21"/>
      <c r="G1984" s="21"/>
      <c r="H1984" s="21"/>
      <c r="I1984" s="21"/>
      <c r="J1984" s="21"/>
      <c r="K1984" s="77">
        <f ca="1">IF($D1980=LataProjekcji,ROUND($D1981-K1983,0),ROUND(IF(K1982=0,0,$D1981-K1983),0))</f>
        <v>0</v>
      </c>
      <c r="L1984" s="254">
        <f t="shared" ref="L1984:X1984" ca="1" si="1532">IF($D1980=LataProjekcji,ROUND($D1981-L1983,0),ROUND(IF(AND(L1982=0,K1984&gt;0),$D1981-L1983,IF(L1982=0,0,$D1981-L1983)),0))</f>
        <v>0</v>
      </c>
      <c r="M1984" s="254">
        <f t="shared" ca="1" si="1532"/>
        <v>0</v>
      </c>
      <c r="N1984" s="254">
        <f t="shared" ca="1" si="1532"/>
        <v>0</v>
      </c>
      <c r="O1984" s="254">
        <f t="shared" ca="1" si="1532"/>
        <v>0</v>
      </c>
      <c r="P1984" s="254">
        <f t="shared" ca="1" si="1532"/>
        <v>0</v>
      </c>
      <c r="Q1984" s="254">
        <f t="shared" ca="1" si="1532"/>
        <v>0</v>
      </c>
      <c r="R1984" s="254">
        <f t="shared" ca="1" si="1532"/>
        <v>0</v>
      </c>
      <c r="S1984" s="254">
        <f t="shared" ca="1" si="1532"/>
        <v>0</v>
      </c>
      <c r="T1984" s="254">
        <f t="shared" ca="1" si="1532"/>
        <v>0</v>
      </c>
      <c r="U1984" s="254">
        <f t="shared" ca="1" si="1532"/>
        <v>0</v>
      </c>
      <c r="V1984" s="254">
        <f t="shared" ca="1" si="1532"/>
        <v>0</v>
      </c>
      <c r="W1984" s="254">
        <f t="shared" ca="1" si="1532"/>
        <v>0</v>
      </c>
      <c r="X1984" s="254">
        <f t="shared" ca="1" si="1532"/>
        <v>0</v>
      </c>
    </row>
    <row r="1985" spans="1:24" hidden="1">
      <c r="A1985" s="328"/>
      <c r="B1985" s="21"/>
      <c r="C1985" s="21"/>
      <c r="D1985" s="21"/>
      <c r="E1985" s="21"/>
      <c r="F1985" s="21"/>
      <c r="G1985" s="21"/>
      <c r="H1985" s="404">
        <f>H1978+1</f>
        <v>3</v>
      </c>
      <c r="I1985" s="483" cm="1">
        <f t="array" aca="1" ref="I1985" ca="1">OFFSET('Środki trwałe'!$C$616,H1985,,)</f>
        <v>0</v>
      </c>
      <c r="J1985" s="404" t="s">
        <v>427</v>
      </c>
      <c r="K1985" s="405">
        <f t="shared" ref="K1985:X1985" ca="1" si="1533">IF(AND(OFFSET($F$269,$D1979,0)="tak",OFFSET($G$269,$D1979,0)="tak",OFFSET($J$269,$D1979,0)="ok",LataProjekcji&lt;=Koniec_Projekt),ROUND(K1982*OFFSET($K$632,$H1985,(COLUMN()-11)),0),0)</f>
        <v>0</v>
      </c>
      <c r="L1985" s="405">
        <f t="shared" ca="1" si="1533"/>
        <v>0</v>
      </c>
      <c r="M1985" s="405">
        <f t="shared" ca="1" si="1533"/>
        <v>0</v>
      </c>
      <c r="N1985" s="405">
        <f t="shared" ca="1" si="1533"/>
        <v>0</v>
      </c>
      <c r="O1985" s="405">
        <f t="shared" ca="1" si="1533"/>
        <v>0</v>
      </c>
      <c r="P1985" s="405">
        <f t="shared" ca="1" si="1533"/>
        <v>0</v>
      </c>
      <c r="Q1985" s="405">
        <f t="shared" ca="1" si="1533"/>
        <v>0</v>
      </c>
      <c r="R1985" s="405">
        <f t="shared" ca="1" si="1533"/>
        <v>0</v>
      </c>
      <c r="S1985" s="405">
        <f t="shared" ca="1" si="1533"/>
        <v>0</v>
      </c>
      <c r="T1985" s="405">
        <f t="shared" ca="1" si="1533"/>
        <v>0</v>
      </c>
      <c r="U1985" s="405">
        <f t="shared" ca="1" si="1533"/>
        <v>0</v>
      </c>
      <c r="V1985" s="405">
        <f t="shared" ca="1" si="1533"/>
        <v>0</v>
      </c>
      <c r="W1985" s="405">
        <f t="shared" ca="1" si="1533"/>
        <v>0</v>
      </c>
      <c r="X1985" s="405">
        <f t="shared" ca="1" si="1533"/>
        <v>0</v>
      </c>
    </row>
    <row r="1986" spans="1:24" hidden="1">
      <c r="A1986" s="328"/>
      <c r="B1986" s="20">
        <f ca="1">OFFSET($B$269,D1986,0)</f>
        <v>0</v>
      </c>
      <c r="C1986" s="20"/>
      <c r="D1986" s="21">
        <f>D1979+1</f>
        <v>351</v>
      </c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</row>
    <row r="1987" spans="1:24" hidden="1">
      <c r="A1987" s="328"/>
      <c r="B1987" s="21" t="s">
        <v>414</v>
      </c>
      <c r="C1987" s="21"/>
      <c r="D1987" s="165">
        <f ca="1">YEAR(OFFSET($E$269,D1986,0))</f>
        <v>1900</v>
      </c>
      <c r="E1987" s="165">
        <f ca="1">MONTH(OFFSET($E$269,D1986,0))</f>
        <v>1</v>
      </c>
      <c r="F1987" s="21">
        <f ca="1">12-$E1987</f>
        <v>11</v>
      </c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</row>
    <row r="1988" spans="1:24" hidden="1">
      <c r="A1988" s="328"/>
      <c r="B1988" s="21" t="s">
        <v>406</v>
      </c>
      <c r="C1988" s="21"/>
      <c r="D1988" s="388">
        <f ca="1">IF(E1988&lt;0,0,ROUND(E1988,0))</f>
        <v>0</v>
      </c>
      <c r="E1988" s="249">
        <f ca="1">OFFSET($D$269,D1986,0)</f>
        <v>0</v>
      </c>
      <c r="F1988" s="388">
        <f ca="1">IF(E1988&gt;10,ROUND(($D1989/12)*$F1987,0),$D1988)</f>
        <v>0</v>
      </c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</row>
    <row r="1989" spans="1:24" hidden="1">
      <c r="A1989" s="328"/>
      <c r="B1989" s="21" t="s">
        <v>415</v>
      </c>
      <c r="C1989" s="21"/>
      <c r="D1989" s="388">
        <f ca="1">IF(ISBLANK(OFFSET($E$269,D1986,0)),0,IF(E1988&gt;10,ROUND(D1988*am_inneST,0),IF(D1988&lt;0,0,D1988)))</f>
        <v>0</v>
      </c>
      <c r="E1989" s="21"/>
      <c r="F1989" s="21"/>
      <c r="G1989" s="21"/>
      <c r="H1989" s="21"/>
      <c r="I1989" s="21"/>
      <c r="J1989" s="21"/>
      <c r="K1989" s="75">
        <f ca="1">ROUND(IF($D1987=LataProjekcji,$F1988,IF($D1987=LataProjekcji,$D1989,0)),0)</f>
        <v>0</v>
      </c>
      <c r="L1989" s="248">
        <f ca="1">ROUND(IF(OR(AND($D1987=LataProjekcji,$F1987&gt;0),AND($D1987=LataProjekcji,$F1987=0,$E1988&lt;=10)),$F1988,IF($D1987&lt;LataProjekcji,IF((SUM($K1989:K1989)+$D1989)&lt;$D1988,$D1989,$D1988-SUM($K1989:K1989)),0)),0)</f>
        <v>0</v>
      </c>
      <c r="M1989" s="248">
        <f ca="1">ROUND(IF(OR(AND($D1987=LataProjekcji,$F1987&gt;0),AND($D1987=LataProjekcji,$F1987=0,$E1988&lt;=10)),$F1988,IF($D1987&lt;LataProjekcji,IF((SUM($K1989:L1989)+$D1989)&lt;$D1988,$D1989,$D1988-SUM($K1989:L1989)),0)),0)</f>
        <v>0</v>
      </c>
      <c r="N1989" s="248">
        <f ca="1">ROUND(IF(OR(AND($D1987=LataProjekcji,$F1987&gt;0),AND($D1987=LataProjekcji,$F1987=0,$E1988&lt;=10)),$F1988,IF($D1987&lt;LataProjekcji,IF((SUM($K1989:M1989)+$D1989)&lt;$D1988,$D1989,$D1988-SUM($K1989:M1989)),0)),0)</f>
        <v>0</v>
      </c>
      <c r="O1989" s="248">
        <f ca="1">ROUND(IF(OR(AND($D1987=LataProjekcji,$F1987&gt;0),AND($D1987=LataProjekcji,$F1987=0,$E1988&lt;=10)),$F1988,IF($D1987&lt;LataProjekcji,IF((SUM($K1989:N1989)+$D1989)&lt;$D1988,$D1989,$D1988-SUM($K1989:N1989)),0)),0)</f>
        <v>0</v>
      </c>
      <c r="P1989" s="248">
        <f ca="1">ROUND(IF(OR(AND($D1987=LataProjekcji,$F1987&gt;0),AND($D1987=LataProjekcji,$F1987=0,$E1988&lt;=10)),$F1988,IF($D1987&lt;LataProjekcji,IF((SUM($K1989:O1989)+$D1989)&lt;$D1988,$D1989,$D1988-SUM($K1989:O1989)),0)),0)</f>
        <v>0</v>
      </c>
      <c r="Q1989" s="248">
        <f ca="1">ROUND(IF(OR(AND($D1987=LataProjekcji,$F1987&gt;0),AND($D1987=LataProjekcji,$F1987=0,$E1988&lt;=10)),$F1988,IF($D1987&lt;LataProjekcji,IF((SUM($K1989:P1989)+$D1989)&lt;$D1988,$D1989,$D1988-SUM($K1989:P1989)),0)),0)</f>
        <v>0</v>
      </c>
      <c r="R1989" s="248">
        <f ca="1">ROUND(IF(OR(AND($D1987=LataProjekcji,$F1987&gt;0),AND($D1987=LataProjekcji,$F1987=0,$E1988&lt;=10)),$F1988,IF($D1987&lt;LataProjekcji,IF((SUM($K1989:Q1989)+$D1989)&lt;$D1988,$D1989,$D1988-SUM($K1989:Q1989)),0)),0)</f>
        <v>0</v>
      </c>
      <c r="S1989" s="248">
        <f ca="1">ROUND(IF(OR(AND($D1987=LataProjekcji,$F1987&gt;0),AND($D1987=LataProjekcji,$F1987=0,$E1988&lt;=10)),$F1988,IF($D1987&lt;LataProjekcji,IF((SUM($K1989:R1989)+$D1989)&lt;$D1988,$D1989,$D1988-SUM($K1989:R1989)),0)),0)</f>
        <v>0</v>
      </c>
      <c r="T1989" s="248">
        <f ca="1">ROUND(IF(OR(AND($D1987=LataProjekcji,$F1987&gt;0),AND($D1987=LataProjekcji,$F1987=0,$E1988&lt;=10)),$F1988,IF($D1987&lt;LataProjekcji,IF((SUM($K1989:S1989)+$D1989)&lt;$D1988,$D1989,$D1988-SUM($K1989:S1989)),0)),0)</f>
        <v>0</v>
      </c>
      <c r="U1989" s="248">
        <f ca="1">ROUND(IF(OR(AND($D1987=LataProjekcji,$F1987&gt;0),AND($D1987=LataProjekcji,$F1987=0,$E1988&lt;=10)),$F1988,IF($D1987&lt;LataProjekcji,IF((SUM($K1989:T1989)+$D1989)&lt;$D1988,$D1989,$D1988-SUM($K1989:T1989)),0)),0)</f>
        <v>0</v>
      </c>
      <c r="V1989" s="248">
        <f ca="1">ROUND(IF(OR(AND($D1987=LataProjekcji,$F1987&gt;0),AND($D1987=LataProjekcji,$F1987=0,$E1988&lt;=10)),$F1988,IF($D1987&lt;LataProjekcji,IF((SUM($K1989:U1989)+$D1989)&lt;$D1988,$D1989,$D1988-SUM($K1989:U1989)),0)),0)</f>
        <v>0</v>
      </c>
      <c r="W1989" s="248">
        <f ca="1">ROUND(IF(OR(AND($D1987=LataProjekcji,$F1987&gt;0),AND($D1987=LataProjekcji,$F1987=0,$E1988&lt;=10)),$F1988,IF($D1987&lt;LataProjekcji,IF((SUM($K1989:V1989)+$D1989)&lt;$D1988,$D1989,$D1988-SUM($K1989:V1989)),0)),0)</f>
        <v>0</v>
      </c>
      <c r="X1989" s="248">
        <f ca="1">ROUND(IF(OR(AND($D1987=LataProjekcji,$F1987&gt;0),AND($D1987=LataProjekcji,$F1987=0,$E1988&lt;=10)),$F1988,IF($D1987&lt;LataProjekcji,IF((SUM($K1989:W1989)+$D1989)&lt;$D1988,$D1989,$D1988-SUM($K1989:W1989)),0)),0)</f>
        <v>0</v>
      </c>
    </row>
    <row r="1990" spans="1:24" hidden="1">
      <c r="A1990" s="328"/>
      <c r="B1990" s="21" t="s">
        <v>416</v>
      </c>
      <c r="C1990" s="21"/>
      <c r="D1990" s="22"/>
      <c r="E1990" s="21"/>
      <c r="F1990" s="21"/>
      <c r="G1990" s="21"/>
      <c r="H1990" s="21"/>
      <c r="I1990" s="21"/>
      <c r="J1990" s="21"/>
      <c r="K1990" s="22">
        <f ca="1">ROUND(K1989,0)</f>
        <v>0</v>
      </c>
      <c r="L1990" s="22">
        <f t="shared" ref="L1990:X1990" ca="1" si="1534">ROUND(K1990+L1989,0)</f>
        <v>0</v>
      </c>
      <c r="M1990" s="22">
        <f t="shared" ca="1" si="1534"/>
        <v>0</v>
      </c>
      <c r="N1990" s="22">
        <f t="shared" ca="1" si="1534"/>
        <v>0</v>
      </c>
      <c r="O1990" s="22">
        <f t="shared" ca="1" si="1534"/>
        <v>0</v>
      </c>
      <c r="P1990" s="22">
        <f t="shared" ca="1" si="1534"/>
        <v>0</v>
      </c>
      <c r="Q1990" s="22">
        <f t="shared" ca="1" si="1534"/>
        <v>0</v>
      </c>
      <c r="R1990" s="22">
        <f t="shared" ca="1" si="1534"/>
        <v>0</v>
      </c>
      <c r="S1990" s="22">
        <f t="shared" ca="1" si="1534"/>
        <v>0</v>
      </c>
      <c r="T1990" s="22">
        <f t="shared" ca="1" si="1534"/>
        <v>0</v>
      </c>
      <c r="U1990" s="22">
        <f t="shared" ca="1" si="1534"/>
        <v>0</v>
      </c>
      <c r="V1990" s="22">
        <f t="shared" ca="1" si="1534"/>
        <v>0</v>
      </c>
      <c r="W1990" s="22">
        <f t="shared" ca="1" si="1534"/>
        <v>0</v>
      </c>
      <c r="X1990" s="22">
        <f t="shared" ca="1" si="1534"/>
        <v>0</v>
      </c>
    </row>
    <row r="1991" spans="1:24" hidden="1">
      <c r="A1991" s="328"/>
      <c r="B1991" s="21" t="s">
        <v>406</v>
      </c>
      <c r="C1991" s="21"/>
      <c r="D1991" s="22"/>
      <c r="E1991" s="21"/>
      <c r="F1991" s="21"/>
      <c r="G1991" s="21"/>
      <c r="H1991" s="21"/>
      <c r="I1991" s="21"/>
      <c r="J1991" s="21"/>
      <c r="K1991" s="77">
        <f ca="1">IF($D1987=LataProjekcji,ROUND($D1988-K1990,0),ROUND(IF(K1989=0,0,$D1988-K1990),0))</f>
        <v>0</v>
      </c>
      <c r="L1991" s="254">
        <f t="shared" ref="L1991:X1991" ca="1" si="1535">IF($D1987=LataProjekcji,ROUND($D1988-L1990,0),ROUND(IF(AND(L1989=0,K1991&gt;0),$D1988-L1990,IF(L1989=0,0,$D1988-L1990)),0))</f>
        <v>0</v>
      </c>
      <c r="M1991" s="254">
        <f t="shared" ca="1" si="1535"/>
        <v>0</v>
      </c>
      <c r="N1991" s="254">
        <f t="shared" ca="1" si="1535"/>
        <v>0</v>
      </c>
      <c r="O1991" s="254">
        <f t="shared" ca="1" si="1535"/>
        <v>0</v>
      </c>
      <c r="P1991" s="254">
        <f t="shared" ca="1" si="1535"/>
        <v>0</v>
      </c>
      <c r="Q1991" s="254">
        <f t="shared" ca="1" si="1535"/>
        <v>0</v>
      </c>
      <c r="R1991" s="254">
        <f t="shared" ca="1" si="1535"/>
        <v>0</v>
      </c>
      <c r="S1991" s="254">
        <f t="shared" ca="1" si="1535"/>
        <v>0</v>
      </c>
      <c r="T1991" s="254">
        <f t="shared" ca="1" si="1535"/>
        <v>0</v>
      </c>
      <c r="U1991" s="254">
        <f t="shared" ca="1" si="1535"/>
        <v>0</v>
      </c>
      <c r="V1991" s="254">
        <f t="shared" ca="1" si="1535"/>
        <v>0</v>
      </c>
      <c r="W1991" s="254">
        <f t="shared" ca="1" si="1535"/>
        <v>0</v>
      </c>
      <c r="X1991" s="254">
        <f t="shared" ca="1" si="1535"/>
        <v>0</v>
      </c>
    </row>
    <row r="1992" spans="1:24" hidden="1">
      <c r="A1992" s="328"/>
      <c r="B1992" s="21"/>
      <c r="C1992" s="21"/>
      <c r="D1992" s="22"/>
      <c r="E1992" s="21"/>
      <c r="F1992" s="21"/>
      <c r="G1992" s="21"/>
      <c r="H1992" s="404">
        <f>H1985+1</f>
        <v>4</v>
      </c>
      <c r="I1992" s="483" cm="1">
        <f t="array" aca="1" ref="I1992" ca="1">OFFSET('Środki trwałe'!$C$616,H1992,,)</f>
        <v>0</v>
      </c>
      <c r="J1992" s="404" t="s">
        <v>427</v>
      </c>
      <c r="K1992" s="405">
        <f t="shared" ref="K1992:X1992" ca="1" si="1536">IF(AND(OFFSET($F$269,$D1986,0)="tak",OFFSET($G$269,$D1986,0)="tak",OFFSET($J$269,$D1986,0)="ok",LataProjekcji&lt;=Koniec_Projekt),ROUND(K1989*OFFSET($K$632,$H1992,(COLUMN()-11)),0),0)</f>
        <v>0</v>
      </c>
      <c r="L1992" s="405">
        <f t="shared" ca="1" si="1536"/>
        <v>0</v>
      </c>
      <c r="M1992" s="405">
        <f t="shared" ca="1" si="1536"/>
        <v>0</v>
      </c>
      <c r="N1992" s="405">
        <f t="shared" ca="1" si="1536"/>
        <v>0</v>
      </c>
      <c r="O1992" s="405">
        <f t="shared" ca="1" si="1536"/>
        <v>0</v>
      </c>
      <c r="P1992" s="405">
        <f t="shared" ca="1" si="1536"/>
        <v>0</v>
      </c>
      <c r="Q1992" s="405">
        <f t="shared" ca="1" si="1536"/>
        <v>0</v>
      </c>
      <c r="R1992" s="405">
        <f t="shared" ca="1" si="1536"/>
        <v>0</v>
      </c>
      <c r="S1992" s="405">
        <f t="shared" ca="1" si="1536"/>
        <v>0</v>
      </c>
      <c r="T1992" s="405">
        <f t="shared" ca="1" si="1536"/>
        <v>0</v>
      </c>
      <c r="U1992" s="405">
        <f t="shared" ca="1" si="1536"/>
        <v>0</v>
      </c>
      <c r="V1992" s="405">
        <f t="shared" ca="1" si="1536"/>
        <v>0</v>
      </c>
      <c r="W1992" s="405">
        <f t="shared" ca="1" si="1536"/>
        <v>0</v>
      </c>
      <c r="X1992" s="405">
        <f t="shared" ca="1" si="1536"/>
        <v>0</v>
      </c>
    </row>
    <row r="1993" spans="1:24" hidden="1">
      <c r="A1993" s="328"/>
      <c r="B1993" s="20">
        <f ca="1">OFFSET($B$269,D1993,0)</f>
        <v>0</v>
      </c>
      <c r="C1993" s="20"/>
      <c r="D1993" s="21">
        <f>D1986+1</f>
        <v>352</v>
      </c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</row>
    <row r="1994" spans="1:24" hidden="1">
      <c r="A1994" s="328"/>
      <c r="B1994" s="21" t="s">
        <v>414</v>
      </c>
      <c r="C1994" s="21"/>
      <c r="D1994" s="165">
        <f ca="1">YEAR(OFFSET($E$269,D1993,0))</f>
        <v>1900</v>
      </c>
      <c r="E1994" s="165">
        <f ca="1">MONTH(OFFSET($E$269,D1993,0))</f>
        <v>1</v>
      </c>
      <c r="F1994" s="21">
        <f ca="1">12-$E1994</f>
        <v>11</v>
      </c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</row>
    <row r="1995" spans="1:24" hidden="1">
      <c r="A1995" s="328"/>
      <c r="B1995" s="21" t="s">
        <v>406</v>
      </c>
      <c r="C1995" s="21"/>
      <c r="D1995" s="385">
        <f ca="1">IF(E1995&lt;0,0,ROUND(E1995,0))</f>
        <v>0</v>
      </c>
      <c r="E1995" s="249">
        <f ca="1">OFFSET($D$269,D1993,0)</f>
        <v>0</v>
      </c>
      <c r="F1995" s="385">
        <f ca="1">IF(E1995&gt;10,ROUND(($D1996/12)*$F1994,0),$D1995)</f>
        <v>0</v>
      </c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</row>
    <row r="1996" spans="1:24" hidden="1">
      <c r="A1996" s="328"/>
      <c r="B1996" s="21" t="s">
        <v>415</v>
      </c>
      <c r="C1996" s="21"/>
      <c r="D1996" s="385">
        <f ca="1">IF(ISBLANK(OFFSET($E$269,D1993,0)),0,IF(E1995&gt;10,ROUND(D1995*am_inneST,0),IF(D1995&lt;0,0,D1995)))</f>
        <v>0</v>
      </c>
      <c r="E1996" s="21"/>
      <c r="F1996" s="21"/>
      <c r="G1996" s="21"/>
      <c r="H1996" s="21"/>
      <c r="I1996" s="21"/>
      <c r="J1996" s="21"/>
      <c r="K1996" s="75">
        <f ca="1">ROUND(IF($D1994=LataProjekcji,$F1995,IF($D1994=LataProjekcji,$D1996,0)),0)</f>
        <v>0</v>
      </c>
      <c r="L1996" s="248">
        <f ca="1">ROUND(IF(OR(AND($D1994=LataProjekcji,$F1994&gt;0),AND($D1994=LataProjekcji,$F1994=0,$E1995&lt;=10)),$F1995,IF($D1994&lt;LataProjekcji,IF((SUM($K1996:K1996)+$D1996)&lt;$D1995,$D1996,$D1995-SUM($K1996:K1996)),0)),0)</f>
        <v>0</v>
      </c>
      <c r="M1996" s="248">
        <f ca="1">ROUND(IF(OR(AND($D1994=LataProjekcji,$F1994&gt;0),AND($D1994=LataProjekcji,$F1994=0,$E1995&lt;=10)),$F1995,IF($D1994&lt;LataProjekcji,IF((SUM($K1996:L1996)+$D1996)&lt;$D1995,$D1996,$D1995-SUM($K1996:L1996)),0)),0)</f>
        <v>0</v>
      </c>
      <c r="N1996" s="248">
        <f ca="1">ROUND(IF(OR(AND($D1994=LataProjekcji,$F1994&gt;0),AND($D1994=LataProjekcji,$F1994=0,$E1995&lt;=10)),$F1995,IF($D1994&lt;LataProjekcji,IF((SUM($K1996:M1996)+$D1996)&lt;$D1995,$D1996,$D1995-SUM($K1996:M1996)),0)),0)</f>
        <v>0</v>
      </c>
      <c r="O1996" s="248">
        <f ca="1">ROUND(IF(OR(AND($D1994=LataProjekcji,$F1994&gt;0),AND($D1994=LataProjekcji,$F1994=0,$E1995&lt;=10)),$F1995,IF($D1994&lt;LataProjekcji,IF((SUM($K1996:N1996)+$D1996)&lt;$D1995,$D1996,$D1995-SUM($K1996:N1996)),0)),0)</f>
        <v>0</v>
      </c>
      <c r="P1996" s="248">
        <f ca="1">ROUND(IF(OR(AND($D1994=LataProjekcji,$F1994&gt;0),AND($D1994=LataProjekcji,$F1994=0,$E1995&lt;=10)),$F1995,IF($D1994&lt;LataProjekcji,IF((SUM($K1996:O1996)+$D1996)&lt;$D1995,$D1996,$D1995-SUM($K1996:O1996)),0)),0)</f>
        <v>0</v>
      </c>
      <c r="Q1996" s="248">
        <f ca="1">ROUND(IF(OR(AND($D1994=LataProjekcji,$F1994&gt;0),AND($D1994=LataProjekcji,$F1994=0,$E1995&lt;=10)),$F1995,IF($D1994&lt;LataProjekcji,IF((SUM($K1996:P1996)+$D1996)&lt;$D1995,$D1996,$D1995-SUM($K1996:P1996)),0)),0)</f>
        <v>0</v>
      </c>
      <c r="R1996" s="248">
        <f ca="1">ROUND(IF(OR(AND($D1994=LataProjekcji,$F1994&gt;0),AND($D1994=LataProjekcji,$F1994=0,$E1995&lt;=10)),$F1995,IF($D1994&lt;LataProjekcji,IF((SUM($K1996:Q1996)+$D1996)&lt;$D1995,$D1996,$D1995-SUM($K1996:Q1996)),0)),0)</f>
        <v>0</v>
      </c>
      <c r="S1996" s="248">
        <f ca="1">ROUND(IF(OR(AND($D1994=LataProjekcji,$F1994&gt;0),AND($D1994=LataProjekcji,$F1994=0,$E1995&lt;=10)),$F1995,IF($D1994&lt;LataProjekcji,IF((SUM($K1996:R1996)+$D1996)&lt;$D1995,$D1996,$D1995-SUM($K1996:R1996)),0)),0)</f>
        <v>0</v>
      </c>
      <c r="T1996" s="248">
        <f ca="1">ROUND(IF(OR(AND($D1994=LataProjekcji,$F1994&gt;0),AND($D1994=LataProjekcji,$F1994=0,$E1995&lt;=10)),$F1995,IF($D1994&lt;LataProjekcji,IF((SUM($K1996:S1996)+$D1996)&lt;$D1995,$D1996,$D1995-SUM($K1996:S1996)),0)),0)</f>
        <v>0</v>
      </c>
      <c r="U1996" s="248">
        <f ca="1">ROUND(IF(OR(AND($D1994=LataProjekcji,$F1994&gt;0),AND($D1994=LataProjekcji,$F1994=0,$E1995&lt;=10)),$F1995,IF($D1994&lt;LataProjekcji,IF((SUM($K1996:T1996)+$D1996)&lt;$D1995,$D1996,$D1995-SUM($K1996:T1996)),0)),0)</f>
        <v>0</v>
      </c>
      <c r="V1996" s="248">
        <f ca="1">ROUND(IF(OR(AND($D1994=LataProjekcji,$F1994&gt;0),AND($D1994=LataProjekcji,$F1994=0,$E1995&lt;=10)),$F1995,IF($D1994&lt;LataProjekcji,IF((SUM($K1996:U1996)+$D1996)&lt;$D1995,$D1996,$D1995-SUM($K1996:U1996)),0)),0)</f>
        <v>0</v>
      </c>
      <c r="W1996" s="248">
        <f ca="1">ROUND(IF(OR(AND($D1994=LataProjekcji,$F1994&gt;0),AND($D1994=LataProjekcji,$F1994=0,$E1995&lt;=10)),$F1995,IF($D1994&lt;LataProjekcji,IF((SUM($K1996:V1996)+$D1996)&lt;$D1995,$D1996,$D1995-SUM($K1996:V1996)),0)),0)</f>
        <v>0</v>
      </c>
      <c r="X1996" s="248">
        <f ca="1">ROUND(IF(OR(AND($D1994=LataProjekcji,$F1994&gt;0),AND($D1994=LataProjekcji,$F1994=0,$E1995&lt;=10)),$F1995,IF($D1994&lt;LataProjekcji,IF((SUM($K1996:W1996)+$D1996)&lt;$D1995,$D1996,$D1995-SUM($K1996:W1996)),0)),0)</f>
        <v>0</v>
      </c>
    </row>
    <row r="1997" spans="1:24" hidden="1">
      <c r="A1997" s="328"/>
      <c r="B1997" s="21" t="s">
        <v>416</v>
      </c>
      <c r="C1997" s="21"/>
      <c r="D1997" s="22"/>
      <c r="E1997" s="21"/>
      <c r="F1997" s="21"/>
      <c r="G1997" s="21"/>
      <c r="H1997" s="21"/>
      <c r="I1997" s="21"/>
      <c r="J1997" s="21"/>
      <c r="K1997" s="22">
        <f ca="1">ROUND(K1996,0)</f>
        <v>0</v>
      </c>
      <c r="L1997" s="22">
        <f t="shared" ref="L1997:X1997" ca="1" si="1537">ROUND(K1997+L1996,0)</f>
        <v>0</v>
      </c>
      <c r="M1997" s="22">
        <f t="shared" ca="1" si="1537"/>
        <v>0</v>
      </c>
      <c r="N1997" s="22">
        <f t="shared" ca="1" si="1537"/>
        <v>0</v>
      </c>
      <c r="O1997" s="22">
        <f t="shared" ca="1" si="1537"/>
        <v>0</v>
      </c>
      <c r="P1997" s="22">
        <f t="shared" ca="1" si="1537"/>
        <v>0</v>
      </c>
      <c r="Q1997" s="22">
        <f t="shared" ca="1" si="1537"/>
        <v>0</v>
      </c>
      <c r="R1997" s="22">
        <f t="shared" ca="1" si="1537"/>
        <v>0</v>
      </c>
      <c r="S1997" s="22">
        <f t="shared" ca="1" si="1537"/>
        <v>0</v>
      </c>
      <c r="T1997" s="22">
        <f t="shared" ca="1" si="1537"/>
        <v>0</v>
      </c>
      <c r="U1997" s="22">
        <f t="shared" ca="1" si="1537"/>
        <v>0</v>
      </c>
      <c r="V1997" s="22">
        <f t="shared" ca="1" si="1537"/>
        <v>0</v>
      </c>
      <c r="W1997" s="22">
        <f t="shared" ca="1" si="1537"/>
        <v>0</v>
      </c>
      <c r="X1997" s="22">
        <f t="shared" ca="1" si="1537"/>
        <v>0</v>
      </c>
    </row>
    <row r="1998" spans="1:24" hidden="1">
      <c r="A1998" s="328"/>
      <c r="B1998" s="21" t="s">
        <v>406</v>
      </c>
      <c r="C1998" s="21"/>
      <c r="D1998" s="22"/>
      <c r="E1998" s="21"/>
      <c r="F1998" s="21"/>
      <c r="G1998" s="21"/>
      <c r="H1998" s="21"/>
      <c r="I1998" s="21"/>
      <c r="J1998" s="21"/>
      <c r="K1998" s="77">
        <f ca="1">IF($D1994=LataProjekcji,ROUND($D1995-K1997,0),ROUND(IF(K1996=0,0,$D1995-K1997),0))</f>
        <v>0</v>
      </c>
      <c r="L1998" s="254">
        <f t="shared" ref="L1998:X1998" ca="1" si="1538">IF($D1994=LataProjekcji,ROUND($D1995-L1997,0),ROUND(IF(AND(L1996=0,K1998&gt;0),$D1995-L1997,IF(L1996=0,0,$D1995-L1997)),0))</f>
        <v>0</v>
      </c>
      <c r="M1998" s="254">
        <f t="shared" ca="1" si="1538"/>
        <v>0</v>
      </c>
      <c r="N1998" s="254">
        <f t="shared" ca="1" si="1538"/>
        <v>0</v>
      </c>
      <c r="O1998" s="254">
        <f t="shared" ca="1" si="1538"/>
        <v>0</v>
      </c>
      <c r="P1998" s="254">
        <f t="shared" ca="1" si="1538"/>
        <v>0</v>
      </c>
      <c r="Q1998" s="254">
        <f t="shared" ca="1" si="1538"/>
        <v>0</v>
      </c>
      <c r="R1998" s="254">
        <f t="shared" ca="1" si="1538"/>
        <v>0</v>
      </c>
      <c r="S1998" s="254">
        <f t="shared" ca="1" si="1538"/>
        <v>0</v>
      </c>
      <c r="T1998" s="254">
        <f t="shared" ca="1" si="1538"/>
        <v>0</v>
      </c>
      <c r="U1998" s="254">
        <f t="shared" ca="1" si="1538"/>
        <v>0</v>
      </c>
      <c r="V1998" s="254">
        <f t="shared" ca="1" si="1538"/>
        <v>0</v>
      </c>
      <c r="W1998" s="254">
        <f t="shared" ca="1" si="1538"/>
        <v>0</v>
      </c>
      <c r="X1998" s="254">
        <f t="shared" ca="1" si="1538"/>
        <v>0</v>
      </c>
    </row>
    <row r="1999" spans="1:24" hidden="1">
      <c r="A1999" s="328"/>
      <c r="B1999" s="20"/>
      <c r="C1999" s="20"/>
      <c r="D1999" s="21"/>
      <c r="E1999" s="21"/>
      <c r="F1999" s="21"/>
      <c r="G1999" s="21"/>
      <c r="H1999" s="404">
        <f>H1992+1</f>
        <v>5</v>
      </c>
      <c r="I1999" s="483" cm="1">
        <f t="array" aca="1" ref="I1999" ca="1">OFFSET('Środki trwałe'!$C$616,H1999,,)</f>
        <v>0</v>
      </c>
      <c r="J1999" s="404" t="s">
        <v>427</v>
      </c>
      <c r="K1999" s="405">
        <f t="shared" ref="K1999:X1999" ca="1" si="1539">IF(AND(OFFSET($F$269,$D1993,0)="tak",OFFSET($G$269,$D1993,0)="tak",OFFSET($J$269,$D1993,0)="ok",LataProjekcji&lt;=Koniec_Projekt),ROUND(K1996*OFFSET($K$632,$H1999,(COLUMN()-11)),0),0)</f>
        <v>0</v>
      </c>
      <c r="L1999" s="405">
        <f t="shared" ca="1" si="1539"/>
        <v>0</v>
      </c>
      <c r="M1999" s="405">
        <f t="shared" ca="1" si="1539"/>
        <v>0</v>
      </c>
      <c r="N1999" s="405">
        <f t="shared" ca="1" si="1539"/>
        <v>0</v>
      </c>
      <c r="O1999" s="405">
        <f t="shared" ca="1" si="1539"/>
        <v>0</v>
      </c>
      <c r="P1999" s="405">
        <f t="shared" ca="1" si="1539"/>
        <v>0</v>
      </c>
      <c r="Q1999" s="405">
        <f t="shared" ca="1" si="1539"/>
        <v>0</v>
      </c>
      <c r="R1999" s="405">
        <f t="shared" ca="1" si="1539"/>
        <v>0</v>
      </c>
      <c r="S1999" s="405">
        <f t="shared" ca="1" si="1539"/>
        <v>0</v>
      </c>
      <c r="T1999" s="405">
        <f t="shared" ca="1" si="1539"/>
        <v>0</v>
      </c>
      <c r="U1999" s="405">
        <f t="shared" ca="1" si="1539"/>
        <v>0</v>
      </c>
      <c r="V1999" s="405">
        <f t="shared" ca="1" si="1539"/>
        <v>0</v>
      </c>
      <c r="W1999" s="405">
        <f t="shared" ca="1" si="1539"/>
        <v>0</v>
      </c>
      <c r="X1999" s="405">
        <f t="shared" ca="1" si="1539"/>
        <v>0</v>
      </c>
    </row>
    <row r="2000" spans="1:24" hidden="1">
      <c r="A2000" s="328"/>
      <c r="B2000" s="20">
        <f ca="1">OFFSET($B$269,D2000,0)</f>
        <v>0</v>
      </c>
      <c r="C2000" s="20"/>
      <c r="D2000" s="21">
        <f>D1993+1</f>
        <v>353</v>
      </c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</row>
    <row r="2001" spans="1:24" hidden="1">
      <c r="A2001" s="328"/>
      <c r="B2001" s="21" t="s">
        <v>414</v>
      </c>
      <c r="C2001" s="21"/>
      <c r="D2001" s="165">
        <f ca="1">YEAR(OFFSET($E$269,D2000,0))</f>
        <v>1900</v>
      </c>
      <c r="E2001" s="165">
        <f ca="1">MONTH(OFFSET($E$269,D2000,0))</f>
        <v>1</v>
      </c>
      <c r="F2001" s="21">
        <f ca="1">12-$E2001</f>
        <v>11</v>
      </c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</row>
    <row r="2002" spans="1:24" hidden="1">
      <c r="A2002" s="328"/>
      <c r="B2002" s="21" t="s">
        <v>406</v>
      </c>
      <c r="C2002" s="21"/>
      <c r="D2002" s="386">
        <f ca="1">IF(E2002&lt;0,0,ROUND(E2002,0))</f>
        <v>0</v>
      </c>
      <c r="E2002" s="249">
        <f ca="1">OFFSET($D$269,D2000,0)</f>
        <v>0</v>
      </c>
      <c r="F2002" s="386">
        <f ca="1">IF(E2002&gt;10,ROUND(($D2003/12)*$F2001,0),$D2002)</f>
        <v>0</v>
      </c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</row>
    <row r="2003" spans="1:24" hidden="1">
      <c r="A2003" s="328"/>
      <c r="B2003" s="21" t="s">
        <v>415</v>
      </c>
      <c r="C2003" s="21"/>
      <c r="D2003" s="386">
        <f ca="1">IF(ISBLANK(OFFSET($E$269,D2000,0)),0,IF(E2002&gt;10,ROUND(D2002*am_inneST,0),IF(D2002&lt;0,0,D2002)))</f>
        <v>0</v>
      </c>
      <c r="E2003" s="21"/>
      <c r="F2003" s="21"/>
      <c r="G2003" s="21"/>
      <c r="H2003" s="21"/>
      <c r="I2003" s="21"/>
      <c r="J2003" s="21"/>
      <c r="K2003" s="75">
        <f ca="1">ROUND(IF($D2001=LataProjekcji,$F2002,IF($D2001=LataProjekcji,$D2003,0)),0)</f>
        <v>0</v>
      </c>
      <c r="L2003" s="248">
        <f ca="1">ROUND(IF(OR(AND($D2001=LataProjekcji,$F2001&gt;0),AND($D2001=LataProjekcji,$F2001=0,$E2002&lt;=10)),$F2002,IF($D2001&lt;LataProjekcji,IF((SUM($K2003:K2003)+$D2003)&lt;$D2002,$D2003,$D2002-SUM($K2003:K2003)),0)),0)</f>
        <v>0</v>
      </c>
      <c r="M2003" s="248">
        <f ca="1">ROUND(IF(OR(AND($D2001=LataProjekcji,$F2001&gt;0),AND($D2001=LataProjekcji,$F2001=0,$E2002&lt;=10)),$F2002,IF($D2001&lt;LataProjekcji,IF((SUM($K2003:L2003)+$D2003)&lt;$D2002,$D2003,$D2002-SUM($K2003:L2003)),0)),0)</f>
        <v>0</v>
      </c>
      <c r="N2003" s="248">
        <f ca="1">ROUND(IF(OR(AND($D2001=LataProjekcji,$F2001&gt;0),AND($D2001=LataProjekcji,$F2001=0,$E2002&lt;=10)),$F2002,IF($D2001&lt;LataProjekcji,IF((SUM($K2003:M2003)+$D2003)&lt;$D2002,$D2003,$D2002-SUM($K2003:M2003)),0)),0)</f>
        <v>0</v>
      </c>
      <c r="O2003" s="248">
        <f ca="1">ROUND(IF(OR(AND($D2001=LataProjekcji,$F2001&gt;0),AND($D2001=LataProjekcji,$F2001=0,$E2002&lt;=10)),$F2002,IF($D2001&lt;LataProjekcji,IF((SUM($K2003:N2003)+$D2003)&lt;$D2002,$D2003,$D2002-SUM($K2003:N2003)),0)),0)</f>
        <v>0</v>
      </c>
      <c r="P2003" s="248">
        <f ca="1">ROUND(IF(OR(AND($D2001=LataProjekcji,$F2001&gt;0),AND($D2001=LataProjekcji,$F2001=0,$E2002&lt;=10)),$F2002,IF($D2001&lt;LataProjekcji,IF((SUM($K2003:O2003)+$D2003)&lt;$D2002,$D2003,$D2002-SUM($K2003:O2003)),0)),0)</f>
        <v>0</v>
      </c>
      <c r="Q2003" s="248">
        <f ca="1">ROUND(IF(OR(AND($D2001=LataProjekcji,$F2001&gt;0),AND($D2001=LataProjekcji,$F2001=0,$E2002&lt;=10)),$F2002,IF($D2001&lt;LataProjekcji,IF((SUM($K2003:P2003)+$D2003)&lt;$D2002,$D2003,$D2002-SUM($K2003:P2003)),0)),0)</f>
        <v>0</v>
      </c>
      <c r="R2003" s="248">
        <f ca="1">ROUND(IF(OR(AND($D2001=LataProjekcji,$F2001&gt;0),AND($D2001=LataProjekcji,$F2001=0,$E2002&lt;=10)),$F2002,IF($D2001&lt;LataProjekcji,IF((SUM($K2003:Q2003)+$D2003)&lt;$D2002,$D2003,$D2002-SUM($K2003:Q2003)),0)),0)</f>
        <v>0</v>
      </c>
      <c r="S2003" s="248">
        <f ca="1">ROUND(IF(OR(AND($D2001=LataProjekcji,$F2001&gt;0),AND($D2001=LataProjekcji,$F2001=0,$E2002&lt;=10)),$F2002,IF($D2001&lt;LataProjekcji,IF((SUM($K2003:R2003)+$D2003)&lt;$D2002,$D2003,$D2002-SUM($K2003:R2003)),0)),0)</f>
        <v>0</v>
      </c>
      <c r="T2003" s="248">
        <f ca="1">ROUND(IF(OR(AND($D2001=LataProjekcji,$F2001&gt;0),AND($D2001=LataProjekcji,$F2001=0,$E2002&lt;=10)),$F2002,IF($D2001&lt;LataProjekcji,IF((SUM($K2003:S2003)+$D2003)&lt;$D2002,$D2003,$D2002-SUM($K2003:S2003)),0)),0)</f>
        <v>0</v>
      </c>
      <c r="U2003" s="248">
        <f ca="1">ROUND(IF(OR(AND($D2001=LataProjekcji,$F2001&gt;0),AND($D2001=LataProjekcji,$F2001=0,$E2002&lt;=10)),$F2002,IF($D2001&lt;LataProjekcji,IF((SUM($K2003:T2003)+$D2003)&lt;$D2002,$D2003,$D2002-SUM($K2003:T2003)),0)),0)</f>
        <v>0</v>
      </c>
      <c r="V2003" s="248">
        <f ca="1">ROUND(IF(OR(AND($D2001=LataProjekcji,$F2001&gt;0),AND($D2001=LataProjekcji,$F2001=0,$E2002&lt;=10)),$F2002,IF($D2001&lt;LataProjekcji,IF((SUM($K2003:U2003)+$D2003)&lt;$D2002,$D2003,$D2002-SUM($K2003:U2003)),0)),0)</f>
        <v>0</v>
      </c>
      <c r="W2003" s="248">
        <f ca="1">ROUND(IF(OR(AND($D2001=LataProjekcji,$F2001&gt;0),AND($D2001=LataProjekcji,$F2001=0,$E2002&lt;=10)),$F2002,IF($D2001&lt;LataProjekcji,IF((SUM($K2003:V2003)+$D2003)&lt;$D2002,$D2003,$D2002-SUM($K2003:V2003)),0)),0)</f>
        <v>0</v>
      </c>
      <c r="X2003" s="248">
        <f ca="1">ROUND(IF(OR(AND($D2001=LataProjekcji,$F2001&gt;0),AND($D2001=LataProjekcji,$F2001=0,$E2002&lt;=10)),$F2002,IF($D2001&lt;LataProjekcji,IF((SUM($K2003:W2003)+$D2003)&lt;$D2002,$D2003,$D2002-SUM($K2003:W2003)),0)),0)</f>
        <v>0</v>
      </c>
    </row>
    <row r="2004" spans="1:24" hidden="1">
      <c r="A2004" s="328"/>
      <c r="B2004" s="21" t="s">
        <v>416</v>
      </c>
      <c r="C2004" s="21"/>
      <c r="D2004" s="22"/>
      <c r="E2004" s="21"/>
      <c r="F2004" s="21"/>
      <c r="G2004" s="21"/>
      <c r="H2004" s="21"/>
      <c r="I2004" s="21"/>
      <c r="J2004" s="21"/>
      <c r="K2004" s="22">
        <f ca="1">ROUND(K2003,0)</f>
        <v>0</v>
      </c>
      <c r="L2004" s="22">
        <f t="shared" ref="L2004:X2004" ca="1" si="1540">ROUND(K2004+L2003,0)</f>
        <v>0</v>
      </c>
      <c r="M2004" s="22">
        <f t="shared" ca="1" si="1540"/>
        <v>0</v>
      </c>
      <c r="N2004" s="22">
        <f t="shared" ca="1" si="1540"/>
        <v>0</v>
      </c>
      <c r="O2004" s="22">
        <f t="shared" ca="1" si="1540"/>
        <v>0</v>
      </c>
      <c r="P2004" s="22">
        <f t="shared" ca="1" si="1540"/>
        <v>0</v>
      </c>
      <c r="Q2004" s="22">
        <f t="shared" ca="1" si="1540"/>
        <v>0</v>
      </c>
      <c r="R2004" s="22">
        <f t="shared" ca="1" si="1540"/>
        <v>0</v>
      </c>
      <c r="S2004" s="22">
        <f t="shared" ca="1" si="1540"/>
        <v>0</v>
      </c>
      <c r="T2004" s="22">
        <f t="shared" ca="1" si="1540"/>
        <v>0</v>
      </c>
      <c r="U2004" s="22">
        <f t="shared" ca="1" si="1540"/>
        <v>0</v>
      </c>
      <c r="V2004" s="22">
        <f t="shared" ca="1" si="1540"/>
        <v>0</v>
      </c>
      <c r="W2004" s="22">
        <f t="shared" ca="1" si="1540"/>
        <v>0</v>
      </c>
      <c r="X2004" s="22">
        <f t="shared" ca="1" si="1540"/>
        <v>0</v>
      </c>
    </row>
    <row r="2005" spans="1:24" hidden="1">
      <c r="A2005" s="328"/>
      <c r="B2005" s="21" t="s">
        <v>406</v>
      </c>
      <c r="C2005" s="21"/>
      <c r="D2005" s="22"/>
      <c r="E2005" s="21"/>
      <c r="F2005" s="21"/>
      <c r="G2005" s="21"/>
      <c r="H2005" s="21"/>
      <c r="I2005" s="21"/>
      <c r="J2005" s="21"/>
      <c r="K2005" s="77">
        <f ca="1">IF($D2001=LataProjekcji,ROUND($D2002-K2004,0),ROUND(IF(K2003=0,0,$D2002-K2004),0))</f>
        <v>0</v>
      </c>
      <c r="L2005" s="254">
        <f t="shared" ref="L2005:X2005" ca="1" si="1541">IF($D2001=LataProjekcji,ROUND($D2002-L2004,0),ROUND(IF(AND(L2003=0,K2005&gt;0),$D2002-L2004,IF(L2003=0,0,$D2002-L2004)),0))</f>
        <v>0</v>
      </c>
      <c r="M2005" s="254">
        <f t="shared" ca="1" si="1541"/>
        <v>0</v>
      </c>
      <c r="N2005" s="254">
        <f t="shared" ca="1" si="1541"/>
        <v>0</v>
      </c>
      <c r="O2005" s="254">
        <f t="shared" ca="1" si="1541"/>
        <v>0</v>
      </c>
      <c r="P2005" s="254">
        <f t="shared" ca="1" si="1541"/>
        <v>0</v>
      </c>
      <c r="Q2005" s="254">
        <f t="shared" ca="1" si="1541"/>
        <v>0</v>
      </c>
      <c r="R2005" s="254">
        <f t="shared" ca="1" si="1541"/>
        <v>0</v>
      </c>
      <c r="S2005" s="254">
        <f t="shared" ca="1" si="1541"/>
        <v>0</v>
      </c>
      <c r="T2005" s="254">
        <f t="shared" ca="1" si="1541"/>
        <v>0</v>
      </c>
      <c r="U2005" s="254">
        <f t="shared" ca="1" si="1541"/>
        <v>0</v>
      </c>
      <c r="V2005" s="254">
        <f t="shared" ca="1" si="1541"/>
        <v>0</v>
      </c>
      <c r="W2005" s="254">
        <f t="shared" ca="1" si="1541"/>
        <v>0</v>
      </c>
      <c r="X2005" s="254">
        <f t="shared" ca="1" si="1541"/>
        <v>0</v>
      </c>
    </row>
    <row r="2006" spans="1:24" hidden="1">
      <c r="A2006" s="328"/>
      <c r="B2006" s="21"/>
      <c r="C2006" s="21"/>
      <c r="D2006" s="22"/>
      <c r="E2006" s="21"/>
      <c r="F2006" s="21"/>
      <c r="G2006" s="21"/>
      <c r="H2006" s="404">
        <f>H1999+1</f>
        <v>6</v>
      </c>
      <c r="I2006" s="483" cm="1">
        <f t="array" aca="1" ref="I2006" ca="1">OFFSET('Środki trwałe'!$C$616,H2006,,)</f>
        <v>0</v>
      </c>
      <c r="J2006" s="404" t="s">
        <v>427</v>
      </c>
      <c r="K2006" s="405">
        <f t="shared" ref="K2006:X2006" ca="1" si="1542">IF(AND(OFFSET($F$269,$D2000,0)="tak",OFFSET($G$269,$D2000,0)="tak",OFFSET($J$269,$D2000,0)="ok",LataProjekcji&lt;=Koniec_Projekt),ROUND(K2003*OFFSET($K$632,$H2006,(COLUMN()-11)),0),0)</f>
        <v>0</v>
      </c>
      <c r="L2006" s="405">
        <f t="shared" ca="1" si="1542"/>
        <v>0</v>
      </c>
      <c r="M2006" s="405">
        <f t="shared" ca="1" si="1542"/>
        <v>0</v>
      </c>
      <c r="N2006" s="405">
        <f t="shared" ca="1" si="1542"/>
        <v>0</v>
      </c>
      <c r="O2006" s="405">
        <f t="shared" ca="1" si="1542"/>
        <v>0</v>
      </c>
      <c r="P2006" s="405">
        <f t="shared" ca="1" si="1542"/>
        <v>0</v>
      </c>
      <c r="Q2006" s="405">
        <f t="shared" ca="1" si="1542"/>
        <v>0</v>
      </c>
      <c r="R2006" s="405">
        <f t="shared" ca="1" si="1542"/>
        <v>0</v>
      </c>
      <c r="S2006" s="405">
        <f t="shared" ca="1" si="1542"/>
        <v>0</v>
      </c>
      <c r="T2006" s="405">
        <f t="shared" ca="1" si="1542"/>
        <v>0</v>
      </c>
      <c r="U2006" s="405">
        <f t="shared" ca="1" si="1542"/>
        <v>0</v>
      </c>
      <c r="V2006" s="405">
        <f t="shared" ca="1" si="1542"/>
        <v>0</v>
      </c>
      <c r="W2006" s="405">
        <f t="shared" ca="1" si="1542"/>
        <v>0</v>
      </c>
      <c r="X2006" s="405">
        <f t="shared" ca="1" si="1542"/>
        <v>0</v>
      </c>
    </row>
    <row r="2007" spans="1:24" hidden="1">
      <c r="A2007" s="328"/>
      <c r="B2007" s="20">
        <f ca="1">OFFSET($B$269,D2007,0)</f>
        <v>0</v>
      </c>
      <c r="C2007" s="20"/>
      <c r="D2007" s="21">
        <f>D2000+1</f>
        <v>354</v>
      </c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</row>
    <row r="2008" spans="1:24" hidden="1">
      <c r="A2008" s="328"/>
      <c r="B2008" s="21" t="s">
        <v>414</v>
      </c>
      <c r="C2008" s="21"/>
      <c r="D2008" s="165">
        <f ca="1">YEAR(OFFSET($E$269,D2007,0))</f>
        <v>1900</v>
      </c>
      <c r="E2008" s="165">
        <f ca="1">MONTH(OFFSET($E$269,D2007,0))</f>
        <v>1</v>
      </c>
      <c r="F2008" s="21">
        <f ca="1">12-$E2008</f>
        <v>11</v>
      </c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</row>
    <row r="2009" spans="1:24" hidden="1">
      <c r="A2009" s="328"/>
      <c r="B2009" s="21" t="s">
        <v>406</v>
      </c>
      <c r="C2009" s="21"/>
      <c r="D2009" s="387">
        <f ca="1">IF(E2009&lt;0,0,ROUND(E2009,0))</f>
        <v>0</v>
      </c>
      <c r="E2009" s="249">
        <f ca="1">OFFSET($D$269,D2007,0)</f>
        <v>0</v>
      </c>
      <c r="F2009" s="387">
        <f ca="1">IF(E2009&gt;10,ROUND(($D2010/12)*$F2008,0),$D2009)</f>
        <v>0</v>
      </c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</row>
    <row r="2010" spans="1:24" hidden="1">
      <c r="A2010" s="328"/>
      <c r="B2010" s="21" t="s">
        <v>415</v>
      </c>
      <c r="C2010" s="21"/>
      <c r="D2010" s="387">
        <f ca="1">IF(ISBLANK(OFFSET($E$269,D2007,0)),0,IF(E2009&gt;10,ROUND(D2009*am_inneST,0),IF(D2009&lt;0,0,D2009)))</f>
        <v>0</v>
      </c>
      <c r="E2010" s="21"/>
      <c r="F2010" s="21"/>
      <c r="G2010" s="21"/>
      <c r="H2010" s="21"/>
      <c r="I2010" s="21"/>
      <c r="J2010" s="21"/>
      <c r="K2010" s="75">
        <f ca="1">ROUND(IF($D2008=LataProjekcji,$F2009,IF($D2008=LataProjekcji,$D2010,0)),0)</f>
        <v>0</v>
      </c>
      <c r="L2010" s="248">
        <f ca="1">ROUND(IF(OR(AND($D2008=LataProjekcji,$F2008&gt;0),AND($D2008=LataProjekcji,$F2008=0,$E2009&lt;=10)),$F2009,IF($D2008&lt;LataProjekcji,IF((SUM($K2010:K2010)+$D2010)&lt;$D2009,$D2010,$D2009-SUM($K2010:K2010)),0)),0)</f>
        <v>0</v>
      </c>
      <c r="M2010" s="248">
        <f ca="1">ROUND(IF(OR(AND($D2008=LataProjekcji,$F2008&gt;0),AND($D2008=LataProjekcji,$F2008=0,$E2009&lt;=10)),$F2009,IF($D2008&lt;LataProjekcji,IF((SUM($K2010:L2010)+$D2010)&lt;$D2009,$D2010,$D2009-SUM($K2010:L2010)),0)),0)</f>
        <v>0</v>
      </c>
      <c r="N2010" s="248">
        <f ca="1">ROUND(IF(OR(AND($D2008=LataProjekcji,$F2008&gt;0),AND($D2008=LataProjekcji,$F2008=0,$E2009&lt;=10)),$F2009,IF($D2008&lt;LataProjekcji,IF((SUM($K2010:M2010)+$D2010)&lt;$D2009,$D2010,$D2009-SUM($K2010:M2010)),0)),0)</f>
        <v>0</v>
      </c>
      <c r="O2010" s="248">
        <f ca="1">ROUND(IF(OR(AND($D2008=LataProjekcji,$F2008&gt;0),AND($D2008=LataProjekcji,$F2008=0,$E2009&lt;=10)),$F2009,IF($D2008&lt;LataProjekcji,IF((SUM($K2010:N2010)+$D2010)&lt;$D2009,$D2010,$D2009-SUM($K2010:N2010)),0)),0)</f>
        <v>0</v>
      </c>
      <c r="P2010" s="248">
        <f ca="1">ROUND(IF(OR(AND($D2008=LataProjekcji,$F2008&gt;0),AND($D2008=LataProjekcji,$F2008=0,$E2009&lt;=10)),$F2009,IF($D2008&lt;LataProjekcji,IF((SUM($K2010:O2010)+$D2010)&lt;$D2009,$D2010,$D2009-SUM($K2010:O2010)),0)),0)</f>
        <v>0</v>
      </c>
      <c r="Q2010" s="248">
        <f ca="1">ROUND(IF(OR(AND($D2008=LataProjekcji,$F2008&gt;0),AND($D2008=LataProjekcji,$F2008=0,$E2009&lt;=10)),$F2009,IF($D2008&lt;LataProjekcji,IF((SUM($K2010:P2010)+$D2010)&lt;$D2009,$D2010,$D2009-SUM($K2010:P2010)),0)),0)</f>
        <v>0</v>
      </c>
      <c r="R2010" s="248">
        <f ca="1">ROUND(IF(OR(AND($D2008=LataProjekcji,$F2008&gt;0),AND($D2008=LataProjekcji,$F2008=0,$E2009&lt;=10)),$F2009,IF($D2008&lt;LataProjekcji,IF((SUM($K2010:Q2010)+$D2010)&lt;$D2009,$D2010,$D2009-SUM($K2010:Q2010)),0)),0)</f>
        <v>0</v>
      </c>
      <c r="S2010" s="248">
        <f ca="1">ROUND(IF(OR(AND($D2008=LataProjekcji,$F2008&gt;0),AND($D2008=LataProjekcji,$F2008=0,$E2009&lt;=10)),$F2009,IF($D2008&lt;LataProjekcji,IF((SUM($K2010:R2010)+$D2010)&lt;$D2009,$D2010,$D2009-SUM($K2010:R2010)),0)),0)</f>
        <v>0</v>
      </c>
      <c r="T2010" s="248">
        <f ca="1">ROUND(IF(OR(AND($D2008=LataProjekcji,$F2008&gt;0),AND($D2008=LataProjekcji,$F2008=0,$E2009&lt;=10)),$F2009,IF($D2008&lt;LataProjekcji,IF((SUM($K2010:S2010)+$D2010)&lt;$D2009,$D2010,$D2009-SUM($K2010:S2010)),0)),0)</f>
        <v>0</v>
      </c>
      <c r="U2010" s="248">
        <f ca="1">ROUND(IF(OR(AND($D2008=LataProjekcji,$F2008&gt;0),AND($D2008=LataProjekcji,$F2008=0,$E2009&lt;=10)),$F2009,IF($D2008&lt;LataProjekcji,IF((SUM($K2010:T2010)+$D2010)&lt;$D2009,$D2010,$D2009-SUM($K2010:T2010)),0)),0)</f>
        <v>0</v>
      </c>
      <c r="V2010" s="248">
        <f ca="1">ROUND(IF(OR(AND($D2008=LataProjekcji,$F2008&gt;0),AND($D2008=LataProjekcji,$F2008=0,$E2009&lt;=10)),$F2009,IF($D2008&lt;LataProjekcji,IF((SUM($K2010:U2010)+$D2010)&lt;$D2009,$D2010,$D2009-SUM($K2010:U2010)),0)),0)</f>
        <v>0</v>
      </c>
      <c r="W2010" s="248">
        <f ca="1">ROUND(IF(OR(AND($D2008=LataProjekcji,$F2008&gt;0),AND($D2008=LataProjekcji,$F2008=0,$E2009&lt;=10)),$F2009,IF($D2008&lt;LataProjekcji,IF((SUM($K2010:V2010)+$D2010)&lt;$D2009,$D2010,$D2009-SUM($K2010:V2010)),0)),0)</f>
        <v>0</v>
      </c>
      <c r="X2010" s="248">
        <f ca="1">ROUND(IF(OR(AND($D2008=LataProjekcji,$F2008&gt;0),AND($D2008=LataProjekcji,$F2008=0,$E2009&lt;=10)),$F2009,IF($D2008&lt;LataProjekcji,IF((SUM($K2010:W2010)+$D2010)&lt;$D2009,$D2010,$D2009-SUM($K2010:W2010)),0)),0)</f>
        <v>0</v>
      </c>
    </row>
    <row r="2011" spans="1:24" hidden="1">
      <c r="A2011" s="328"/>
      <c r="B2011" s="21" t="s">
        <v>416</v>
      </c>
      <c r="C2011" s="21"/>
      <c r="D2011" s="22"/>
      <c r="E2011" s="21"/>
      <c r="F2011" s="21"/>
      <c r="G2011" s="21"/>
      <c r="H2011" s="21"/>
      <c r="I2011" s="21"/>
      <c r="J2011" s="21"/>
      <c r="K2011" s="22">
        <f ca="1">ROUND(K2010,0)</f>
        <v>0</v>
      </c>
      <c r="L2011" s="22">
        <f t="shared" ref="L2011:X2011" ca="1" si="1543">ROUND(K2011+L2010,0)</f>
        <v>0</v>
      </c>
      <c r="M2011" s="22">
        <f t="shared" ca="1" si="1543"/>
        <v>0</v>
      </c>
      <c r="N2011" s="22">
        <f t="shared" ca="1" si="1543"/>
        <v>0</v>
      </c>
      <c r="O2011" s="22">
        <f t="shared" ca="1" si="1543"/>
        <v>0</v>
      </c>
      <c r="P2011" s="22">
        <f t="shared" ca="1" si="1543"/>
        <v>0</v>
      </c>
      <c r="Q2011" s="22">
        <f t="shared" ca="1" si="1543"/>
        <v>0</v>
      </c>
      <c r="R2011" s="22">
        <f t="shared" ca="1" si="1543"/>
        <v>0</v>
      </c>
      <c r="S2011" s="22">
        <f t="shared" ca="1" si="1543"/>
        <v>0</v>
      </c>
      <c r="T2011" s="22">
        <f t="shared" ca="1" si="1543"/>
        <v>0</v>
      </c>
      <c r="U2011" s="22">
        <f t="shared" ca="1" si="1543"/>
        <v>0</v>
      </c>
      <c r="V2011" s="22">
        <f t="shared" ca="1" si="1543"/>
        <v>0</v>
      </c>
      <c r="W2011" s="22">
        <f t="shared" ca="1" si="1543"/>
        <v>0</v>
      </c>
      <c r="X2011" s="22">
        <f t="shared" ca="1" si="1543"/>
        <v>0</v>
      </c>
    </row>
    <row r="2012" spans="1:24" hidden="1">
      <c r="A2012" s="328"/>
      <c r="B2012" s="21" t="s">
        <v>406</v>
      </c>
      <c r="C2012" s="21"/>
      <c r="D2012" s="22"/>
      <c r="E2012" s="21"/>
      <c r="F2012" s="21"/>
      <c r="G2012" s="21"/>
      <c r="H2012" s="21"/>
      <c r="I2012" s="21"/>
      <c r="J2012" s="21"/>
      <c r="K2012" s="77">
        <f ca="1">IF($D2008=LataProjekcji,ROUND($D2009-K2011,0),ROUND(IF(K2010=0,0,$D2009-K2011),0))</f>
        <v>0</v>
      </c>
      <c r="L2012" s="254">
        <f t="shared" ref="L2012:X2012" ca="1" si="1544">IF($D2008=LataProjekcji,ROUND($D2009-L2011,0),ROUND(IF(AND(L2010=0,K2012&gt;0),$D2009-L2011,IF(L2010=0,0,$D2009-L2011)),0))</f>
        <v>0</v>
      </c>
      <c r="M2012" s="254">
        <f t="shared" ca="1" si="1544"/>
        <v>0</v>
      </c>
      <c r="N2012" s="254">
        <f t="shared" ca="1" si="1544"/>
        <v>0</v>
      </c>
      <c r="O2012" s="254">
        <f t="shared" ca="1" si="1544"/>
        <v>0</v>
      </c>
      <c r="P2012" s="254">
        <f t="shared" ca="1" si="1544"/>
        <v>0</v>
      </c>
      <c r="Q2012" s="254">
        <f t="shared" ca="1" si="1544"/>
        <v>0</v>
      </c>
      <c r="R2012" s="254">
        <f t="shared" ca="1" si="1544"/>
        <v>0</v>
      </c>
      <c r="S2012" s="254">
        <f t="shared" ca="1" si="1544"/>
        <v>0</v>
      </c>
      <c r="T2012" s="254">
        <f t="shared" ca="1" si="1544"/>
        <v>0</v>
      </c>
      <c r="U2012" s="254">
        <f t="shared" ca="1" si="1544"/>
        <v>0</v>
      </c>
      <c r="V2012" s="254">
        <f t="shared" ca="1" si="1544"/>
        <v>0</v>
      </c>
      <c r="W2012" s="254">
        <f t="shared" ca="1" si="1544"/>
        <v>0</v>
      </c>
      <c r="X2012" s="254">
        <f t="shared" ca="1" si="1544"/>
        <v>0</v>
      </c>
    </row>
    <row r="2013" spans="1:24" hidden="1">
      <c r="A2013" s="328"/>
      <c r="B2013" s="21"/>
      <c r="C2013" s="21"/>
      <c r="D2013" s="21"/>
      <c r="E2013" s="21"/>
      <c r="F2013" s="21"/>
      <c r="G2013" s="21"/>
      <c r="H2013" s="404">
        <f>H2006+1</f>
        <v>7</v>
      </c>
      <c r="I2013" s="483" cm="1">
        <f t="array" aca="1" ref="I2013" ca="1">OFFSET('Środki trwałe'!$C$616,H2013,,)</f>
        <v>0</v>
      </c>
      <c r="J2013" s="404" t="s">
        <v>427</v>
      </c>
      <c r="K2013" s="405">
        <f t="shared" ref="K2013:X2013" ca="1" si="1545">IF(AND(OFFSET($F$269,$D2007,0)="tak",OFFSET($G$269,$D2007,0)="tak",OFFSET($J$269,$D2007,0)="ok",LataProjekcji&lt;=Koniec_Projekt),ROUND(K2010*OFFSET($K$632,$H2013,(COLUMN()-11)),0),0)</f>
        <v>0</v>
      </c>
      <c r="L2013" s="405">
        <f t="shared" ca="1" si="1545"/>
        <v>0</v>
      </c>
      <c r="M2013" s="405">
        <f t="shared" ca="1" si="1545"/>
        <v>0</v>
      </c>
      <c r="N2013" s="405">
        <f t="shared" ca="1" si="1545"/>
        <v>0</v>
      </c>
      <c r="O2013" s="405">
        <f t="shared" ca="1" si="1545"/>
        <v>0</v>
      </c>
      <c r="P2013" s="405">
        <f t="shared" ca="1" si="1545"/>
        <v>0</v>
      </c>
      <c r="Q2013" s="405">
        <f t="shared" ca="1" si="1545"/>
        <v>0</v>
      </c>
      <c r="R2013" s="405">
        <f t="shared" ca="1" si="1545"/>
        <v>0</v>
      </c>
      <c r="S2013" s="405">
        <f t="shared" ca="1" si="1545"/>
        <v>0</v>
      </c>
      <c r="T2013" s="405">
        <f t="shared" ca="1" si="1545"/>
        <v>0</v>
      </c>
      <c r="U2013" s="405">
        <f t="shared" ca="1" si="1545"/>
        <v>0</v>
      </c>
      <c r="V2013" s="405">
        <f t="shared" ca="1" si="1545"/>
        <v>0</v>
      </c>
      <c r="W2013" s="405">
        <f t="shared" ca="1" si="1545"/>
        <v>0</v>
      </c>
      <c r="X2013" s="405">
        <f t="shared" ca="1" si="1545"/>
        <v>0</v>
      </c>
    </row>
    <row r="2014" spans="1:24" hidden="1">
      <c r="A2014" s="328"/>
      <c r="B2014" s="20">
        <f ca="1">OFFSET($B$269,D2014,0)</f>
        <v>0</v>
      </c>
      <c r="C2014" s="20"/>
      <c r="D2014" s="21">
        <f>D2007+1</f>
        <v>355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</row>
    <row r="2015" spans="1:24" hidden="1">
      <c r="A2015" s="328"/>
      <c r="B2015" s="21" t="s">
        <v>414</v>
      </c>
      <c r="C2015" s="21"/>
      <c r="D2015" s="165">
        <f ca="1">YEAR(OFFSET($E$269,D2014,0))</f>
        <v>1900</v>
      </c>
      <c r="E2015" s="165">
        <f ca="1">MONTH(OFFSET($E$269,D2014,0))</f>
        <v>1</v>
      </c>
      <c r="F2015" s="21">
        <f ca="1">12-$E2015</f>
        <v>11</v>
      </c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</row>
    <row r="2016" spans="1:24" hidden="1">
      <c r="A2016" s="328"/>
      <c r="B2016" s="21" t="s">
        <v>406</v>
      </c>
      <c r="C2016" s="21"/>
      <c r="D2016" s="388">
        <f ca="1">IF(E2016&lt;0,0,ROUND(E2016,0))</f>
        <v>0</v>
      </c>
      <c r="E2016" s="249">
        <f ca="1">OFFSET($D$269,D2014,0)</f>
        <v>0</v>
      </c>
      <c r="F2016" s="388">
        <f ca="1">IF(E2016&gt;10,ROUND(($D2017/12)*$F2015,0),$D2016)</f>
        <v>0</v>
      </c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</row>
    <row r="2017" spans="1:24" hidden="1">
      <c r="A2017" s="328"/>
      <c r="B2017" s="21" t="s">
        <v>415</v>
      </c>
      <c r="C2017" s="21"/>
      <c r="D2017" s="388">
        <f ca="1">IF(ISBLANK(OFFSET($E$269,D2014,0)),0,IF(E2016&gt;10,ROUND(D2016*am_inneST,0),IF(D2016&lt;0,0,D2016)))</f>
        <v>0</v>
      </c>
      <c r="E2017" s="21"/>
      <c r="F2017" s="21"/>
      <c r="G2017" s="21"/>
      <c r="H2017" s="21"/>
      <c r="I2017" s="21"/>
      <c r="J2017" s="21"/>
      <c r="K2017" s="75">
        <f ca="1">ROUND(IF($D2015=LataProjekcji,$F2016,IF($D2015=LataProjekcji,$D2017,0)),0)</f>
        <v>0</v>
      </c>
      <c r="L2017" s="248">
        <f ca="1">ROUND(IF(OR(AND($D2015=LataProjekcji,$F2015&gt;0),AND($D2015=LataProjekcji,$F2015=0,$E2016&lt;=10)),$F2016,IF($D2015&lt;LataProjekcji,IF((SUM($K2017:K2017)+$D2017)&lt;$D2016,$D2017,$D2016-SUM($K2017:K2017)),0)),0)</f>
        <v>0</v>
      </c>
      <c r="M2017" s="248">
        <f ca="1">ROUND(IF(OR(AND($D2015=LataProjekcji,$F2015&gt;0),AND($D2015=LataProjekcji,$F2015=0,$E2016&lt;=10)),$F2016,IF($D2015&lt;LataProjekcji,IF((SUM($K2017:L2017)+$D2017)&lt;$D2016,$D2017,$D2016-SUM($K2017:L2017)),0)),0)</f>
        <v>0</v>
      </c>
      <c r="N2017" s="248">
        <f ca="1">ROUND(IF(OR(AND($D2015=LataProjekcji,$F2015&gt;0),AND($D2015=LataProjekcji,$F2015=0,$E2016&lt;=10)),$F2016,IF($D2015&lt;LataProjekcji,IF((SUM($K2017:M2017)+$D2017)&lt;$D2016,$D2017,$D2016-SUM($K2017:M2017)),0)),0)</f>
        <v>0</v>
      </c>
      <c r="O2017" s="248">
        <f ca="1">ROUND(IF(OR(AND($D2015=LataProjekcji,$F2015&gt;0),AND($D2015=LataProjekcji,$F2015=0,$E2016&lt;=10)),$F2016,IF($D2015&lt;LataProjekcji,IF((SUM($K2017:N2017)+$D2017)&lt;$D2016,$D2017,$D2016-SUM($K2017:N2017)),0)),0)</f>
        <v>0</v>
      </c>
      <c r="P2017" s="248">
        <f ca="1">ROUND(IF(OR(AND($D2015=LataProjekcji,$F2015&gt;0),AND($D2015=LataProjekcji,$F2015=0,$E2016&lt;=10)),$F2016,IF($D2015&lt;LataProjekcji,IF((SUM($K2017:O2017)+$D2017)&lt;$D2016,$D2017,$D2016-SUM($K2017:O2017)),0)),0)</f>
        <v>0</v>
      </c>
      <c r="Q2017" s="248">
        <f ca="1">ROUND(IF(OR(AND($D2015=LataProjekcji,$F2015&gt;0),AND($D2015=LataProjekcji,$F2015=0,$E2016&lt;=10)),$F2016,IF($D2015&lt;LataProjekcji,IF((SUM($K2017:P2017)+$D2017)&lt;$D2016,$D2017,$D2016-SUM($K2017:P2017)),0)),0)</f>
        <v>0</v>
      </c>
      <c r="R2017" s="248">
        <f ca="1">ROUND(IF(OR(AND($D2015=LataProjekcji,$F2015&gt;0),AND($D2015=LataProjekcji,$F2015=0,$E2016&lt;=10)),$F2016,IF($D2015&lt;LataProjekcji,IF((SUM($K2017:Q2017)+$D2017)&lt;$D2016,$D2017,$D2016-SUM($K2017:Q2017)),0)),0)</f>
        <v>0</v>
      </c>
      <c r="S2017" s="248">
        <f ca="1">ROUND(IF(OR(AND($D2015=LataProjekcji,$F2015&gt;0),AND($D2015=LataProjekcji,$F2015=0,$E2016&lt;=10)),$F2016,IF($D2015&lt;LataProjekcji,IF((SUM($K2017:R2017)+$D2017)&lt;$D2016,$D2017,$D2016-SUM($K2017:R2017)),0)),0)</f>
        <v>0</v>
      </c>
      <c r="T2017" s="248">
        <f ca="1">ROUND(IF(OR(AND($D2015=LataProjekcji,$F2015&gt;0),AND($D2015=LataProjekcji,$F2015=0,$E2016&lt;=10)),$F2016,IF($D2015&lt;LataProjekcji,IF((SUM($K2017:S2017)+$D2017)&lt;$D2016,$D2017,$D2016-SUM($K2017:S2017)),0)),0)</f>
        <v>0</v>
      </c>
      <c r="U2017" s="248">
        <f ca="1">ROUND(IF(OR(AND($D2015=LataProjekcji,$F2015&gt;0),AND($D2015=LataProjekcji,$F2015=0,$E2016&lt;=10)),$F2016,IF($D2015&lt;LataProjekcji,IF((SUM($K2017:T2017)+$D2017)&lt;$D2016,$D2017,$D2016-SUM($K2017:T2017)),0)),0)</f>
        <v>0</v>
      </c>
      <c r="V2017" s="248">
        <f ca="1">ROUND(IF(OR(AND($D2015=LataProjekcji,$F2015&gt;0),AND($D2015=LataProjekcji,$F2015=0,$E2016&lt;=10)),$F2016,IF($D2015&lt;LataProjekcji,IF((SUM($K2017:U2017)+$D2017)&lt;$D2016,$D2017,$D2016-SUM($K2017:U2017)),0)),0)</f>
        <v>0</v>
      </c>
      <c r="W2017" s="248">
        <f ca="1">ROUND(IF(OR(AND($D2015=LataProjekcji,$F2015&gt;0),AND($D2015=LataProjekcji,$F2015=0,$E2016&lt;=10)),$F2016,IF($D2015&lt;LataProjekcji,IF((SUM($K2017:V2017)+$D2017)&lt;$D2016,$D2017,$D2016-SUM($K2017:V2017)),0)),0)</f>
        <v>0</v>
      </c>
      <c r="X2017" s="248">
        <f ca="1">ROUND(IF(OR(AND($D2015=LataProjekcji,$F2015&gt;0),AND($D2015=LataProjekcji,$F2015=0,$E2016&lt;=10)),$F2016,IF($D2015&lt;LataProjekcji,IF((SUM($K2017:W2017)+$D2017)&lt;$D2016,$D2017,$D2016-SUM($K2017:W2017)),0)),0)</f>
        <v>0</v>
      </c>
    </row>
    <row r="2018" spans="1:24" hidden="1">
      <c r="A2018" s="328"/>
      <c r="B2018" s="21" t="s">
        <v>416</v>
      </c>
      <c r="C2018" s="21"/>
      <c r="D2018" s="22"/>
      <c r="E2018" s="21"/>
      <c r="F2018" s="21"/>
      <c r="G2018" s="21"/>
      <c r="H2018" s="21"/>
      <c r="I2018" s="21"/>
      <c r="J2018" s="21"/>
      <c r="K2018" s="22">
        <f ca="1">ROUND(K2017,0)</f>
        <v>0</v>
      </c>
      <c r="L2018" s="22">
        <f t="shared" ref="L2018:X2018" ca="1" si="1546">ROUND(K2018+L2017,0)</f>
        <v>0</v>
      </c>
      <c r="M2018" s="22">
        <f t="shared" ca="1" si="1546"/>
        <v>0</v>
      </c>
      <c r="N2018" s="22">
        <f t="shared" ca="1" si="1546"/>
        <v>0</v>
      </c>
      <c r="O2018" s="22">
        <f t="shared" ca="1" si="1546"/>
        <v>0</v>
      </c>
      <c r="P2018" s="22">
        <f t="shared" ca="1" si="1546"/>
        <v>0</v>
      </c>
      <c r="Q2018" s="22">
        <f t="shared" ca="1" si="1546"/>
        <v>0</v>
      </c>
      <c r="R2018" s="22">
        <f t="shared" ca="1" si="1546"/>
        <v>0</v>
      </c>
      <c r="S2018" s="22">
        <f t="shared" ca="1" si="1546"/>
        <v>0</v>
      </c>
      <c r="T2018" s="22">
        <f t="shared" ca="1" si="1546"/>
        <v>0</v>
      </c>
      <c r="U2018" s="22">
        <f t="shared" ca="1" si="1546"/>
        <v>0</v>
      </c>
      <c r="V2018" s="22">
        <f t="shared" ca="1" si="1546"/>
        <v>0</v>
      </c>
      <c r="W2018" s="22">
        <f t="shared" ca="1" si="1546"/>
        <v>0</v>
      </c>
      <c r="X2018" s="22">
        <f t="shared" ca="1" si="1546"/>
        <v>0</v>
      </c>
    </row>
    <row r="2019" spans="1:24" hidden="1">
      <c r="A2019" s="328"/>
      <c r="B2019" s="21" t="s">
        <v>406</v>
      </c>
      <c r="C2019" s="21"/>
      <c r="D2019" s="22"/>
      <c r="E2019" s="21"/>
      <c r="F2019" s="21"/>
      <c r="G2019" s="21"/>
      <c r="H2019" s="21"/>
      <c r="I2019" s="21"/>
      <c r="J2019" s="21"/>
      <c r="K2019" s="77">
        <f ca="1">IF($D2015=LataProjekcji,ROUND($D2016-K2018,0),ROUND(IF(K2017=0,0,$D2016-K2018),0))</f>
        <v>0</v>
      </c>
      <c r="L2019" s="254">
        <f t="shared" ref="L2019:X2019" ca="1" si="1547">IF($D2015=LataProjekcji,ROUND($D2016-L2018,0),ROUND(IF(AND(L2017=0,K2019&gt;0),$D2016-L2018,IF(L2017=0,0,$D2016-L2018)),0))</f>
        <v>0</v>
      </c>
      <c r="M2019" s="254">
        <f t="shared" ca="1" si="1547"/>
        <v>0</v>
      </c>
      <c r="N2019" s="254">
        <f t="shared" ca="1" si="1547"/>
        <v>0</v>
      </c>
      <c r="O2019" s="254">
        <f t="shared" ca="1" si="1547"/>
        <v>0</v>
      </c>
      <c r="P2019" s="254">
        <f t="shared" ca="1" si="1547"/>
        <v>0</v>
      </c>
      <c r="Q2019" s="254">
        <f t="shared" ca="1" si="1547"/>
        <v>0</v>
      </c>
      <c r="R2019" s="254">
        <f t="shared" ca="1" si="1547"/>
        <v>0</v>
      </c>
      <c r="S2019" s="254">
        <f t="shared" ca="1" si="1547"/>
        <v>0</v>
      </c>
      <c r="T2019" s="254">
        <f t="shared" ca="1" si="1547"/>
        <v>0</v>
      </c>
      <c r="U2019" s="254">
        <f t="shared" ca="1" si="1547"/>
        <v>0</v>
      </c>
      <c r="V2019" s="254">
        <f t="shared" ca="1" si="1547"/>
        <v>0</v>
      </c>
      <c r="W2019" s="254">
        <f t="shared" ca="1" si="1547"/>
        <v>0</v>
      </c>
      <c r="X2019" s="254">
        <f t="shared" ca="1" si="1547"/>
        <v>0</v>
      </c>
    </row>
    <row r="2020" spans="1:24" hidden="1">
      <c r="A2020" s="328"/>
      <c r="B2020" s="21"/>
      <c r="C2020" s="21"/>
      <c r="D2020" s="21"/>
      <c r="E2020" s="21"/>
      <c r="F2020" s="21"/>
      <c r="G2020" s="21"/>
      <c r="H2020" s="404">
        <f>H2013+1</f>
        <v>8</v>
      </c>
      <c r="I2020" s="483" cm="1">
        <f t="array" aca="1" ref="I2020" ca="1">OFFSET('Środki trwałe'!$C$616,H2020,,)</f>
        <v>0</v>
      </c>
      <c r="J2020" s="404" t="s">
        <v>427</v>
      </c>
      <c r="K2020" s="405">
        <f t="shared" ref="K2020:X2020" ca="1" si="1548">IF(AND(OFFSET($F$269,$D2014,0)="tak",OFFSET($G$269,$D2014,0)="tak",OFFSET($J$269,$D2014,0)="ok",LataProjekcji&lt;=Koniec_Projekt),ROUND(K2017*OFFSET($K$632,$H2020,(COLUMN()-11)),0),0)</f>
        <v>0</v>
      </c>
      <c r="L2020" s="405">
        <f t="shared" ca="1" si="1548"/>
        <v>0</v>
      </c>
      <c r="M2020" s="405">
        <f t="shared" ca="1" si="1548"/>
        <v>0</v>
      </c>
      <c r="N2020" s="405">
        <f t="shared" ca="1" si="1548"/>
        <v>0</v>
      </c>
      <c r="O2020" s="405">
        <f t="shared" ca="1" si="1548"/>
        <v>0</v>
      </c>
      <c r="P2020" s="405">
        <f t="shared" ca="1" si="1548"/>
        <v>0</v>
      </c>
      <c r="Q2020" s="405">
        <f t="shared" ca="1" si="1548"/>
        <v>0</v>
      </c>
      <c r="R2020" s="405">
        <f t="shared" ca="1" si="1548"/>
        <v>0</v>
      </c>
      <c r="S2020" s="405">
        <f t="shared" ca="1" si="1548"/>
        <v>0</v>
      </c>
      <c r="T2020" s="405">
        <f t="shared" ca="1" si="1548"/>
        <v>0</v>
      </c>
      <c r="U2020" s="405">
        <f t="shared" ca="1" si="1548"/>
        <v>0</v>
      </c>
      <c r="V2020" s="405">
        <f t="shared" ca="1" si="1548"/>
        <v>0</v>
      </c>
      <c r="W2020" s="405">
        <f t="shared" ca="1" si="1548"/>
        <v>0</v>
      </c>
      <c r="X2020" s="405">
        <f t="shared" ca="1" si="1548"/>
        <v>0</v>
      </c>
    </row>
    <row r="2021" spans="1:24" hidden="1">
      <c r="A2021" s="328"/>
      <c r="B2021" s="20">
        <f ca="1">OFFSET($B$269,D2021,0)</f>
        <v>0</v>
      </c>
      <c r="C2021" s="20"/>
      <c r="D2021" s="21">
        <f>D2014+1</f>
        <v>356</v>
      </c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</row>
    <row r="2022" spans="1:24" hidden="1">
      <c r="A2022" s="328"/>
      <c r="B2022" s="21" t="s">
        <v>414</v>
      </c>
      <c r="C2022" s="21"/>
      <c r="D2022" s="165">
        <f ca="1">YEAR(OFFSET($E$269,D2021,0))</f>
        <v>1900</v>
      </c>
      <c r="E2022" s="165">
        <f ca="1">MONTH(OFFSET($E$269,D2021,0))</f>
        <v>1</v>
      </c>
      <c r="F2022" s="21">
        <f ca="1">12-$E2022</f>
        <v>11</v>
      </c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</row>
    <row r="2023" spans="1:24" hidden="1">
      <c r="A2023" s="328"/>
      <c r="B2023" s="21" t="s">
        <v>406</v>
      </c>
      <c r="C2023" s="21"/>
      <c r="D2023" s="388">
        <f ca="1">IF(E2023&lt;0,0,ROUND(E2023,0))</f>
        <v>0</v>
      </c>
      <c r="E2023" s="249">
        <f ca="1">OFFSET($D$269,D2021,0)</f>
        <v>0</v>
      </c>
      <c r="F2023" s="388">
        <f ca="1">IF(E2023&gt;10,ROUND(($D2024/12)*$F2022,0),$D2023)</f>
        <v>0</v>
      </c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</row>
    <row r="2024" spans="1:24" hidden="1">
      <c r="A2024" s="328"/>
      <c r="B2024" s="21" t="s">
        <v>415</v>
      </c>
      <c r="C2024" s="21"/>
      <c r="D2024" s="388">
        <f ca="1">IF(ISBLANK(OFFSET($E$269,D2021,0)),0,IF(E2023&gt;10,ROUND(D2023*am_inneST,0),IF(D2023&lt;0,0,D2023)))</f>
        <v>0</v>
      </c>
      <c r="E2024" s="21"/>
      <c r="F2024" s="21"/>
      <c r="G2024" s="21"/>
      <c r="H2024" s="21"/>
      <c r="I2024" s="21"/>
      <c r="J2024" s="21"/>
      <c r="K2024" s="75">
        <f ca="1">ROUND(IF($D2022=LataProjekcji,$F2023,IF($D2022=LataProjekcji,$D2024,0)),0)</f>
        <v>0</v>
      </c>
      <c r="L2024" s="248">
        <f ca="1">ROUND(IF(OR(AND($D2022=LataProjekcji,$F2022&gt;0),AND($D2022=LataProjekcji,$F2022=0,$E2023&lt;=10)),$F2023,IF($D2022&lt;LataProjekcji,IF((SUM($K2024:K2024)+$D2024)&lt;$D2023,$D2024,$D2023-SUM($K2024:K2024)),0)),0)</f>
        <v>0</v>
      </c>
      <c r="M2024" s="248">
        <f ca="1">ROUND(IF(OR(AND($D2022=LataProjekcji,$F2022&gt;0),AND($D2022=LataProjekcji,$F2022=0,$E2023&lt;=10)),$F2023,IF($D2022&lt;LataProjekcji,IF((SUM($K2024:L2024)+$D2024)&lt;$D2023,$D2024,$D2023-SUM($K2024:L2024)),0)),0)</f>
        <v>0</v>
      </c>
      <c r="N2024" s="248">
        <f ca="1">ROUND(IF(OR(AND($D2022=LataProjekcji,$F2022&gt;0),AND($D2022=LataProjekcji,$F2022=0,$E2023&lt;=10)),$F2023,IF($D2022&lt;LataProjekcji,IF((SUM($K2024:M2024)+$D2024)&lt;$D2023,$D2024,$D2023-SUM($K2024:M2024)),0)),0)</f>
        <v>0</v>
      </c>
      <c r="O2024" s="248">
        <f ca="1">ROUND(IF(OR(AND($D2022=LataProjekcji,$F2022&gt;0),AND($D2022=LataProjekcji,$F2022=0,$E2023&lt;=10)),$F2023,IF($D2022&lt;LataProjekcji,IF((SUM($K2024:N2024)+$D2024)&lt;$D2023,$D2024,$D2023-SUM($K2024:N2024)),0)),0)</f>
        <v>0</v>
      </c>
      <c r="P2024" s="248">
        <f ca="1">ROUND(IF(OR(AND($D2022=LataProjekcji,$F2022&gt;0),AND($D2022=LataProjekcji,$F2022=0,$E2023&lt;=10)),$F2023,IF($D2022&lt;LataProjekcji,IF((SUM($K2024:O2024)+$D2024)&lt;$D2023,$D2024,$D2023-SUM($K2024:O2024)),0)),0)</f>
        <v>0</v>
      </c>
      <c r="Q2024" s="248">
        <f ca="1">ROUND(IF(OR(AND($D2022=LataProjekcji,$F2022&gt;0),AND($D2022=LataProjekcji,$F2022=0,$E2023&lt;=10)),$F2023,IF($D2022&lt;LataProjekcji,IF((SUM($K2024:P2024)+$D2024)&lt;$D2023,$D2024,$D2023-SUM($K2024:P2024)),0)),0)</f>
        <v>0</v>
      </c>
      <c r="R2024" s="248">
        <f ca="1">ROUND(IF(OR(AND($D2022=LataProjekcji,$F2022&gt;0),AND($D2022=LataProjekcji,$F2022=0,$E2023&lt;=10)),$F2023,IF($D2022&lt;LataProjekcji,IF((SUM($K2024:Q2024)+$D2024)&lt;$D2023,$D2024,$D2023-SUM($K2024:Q2024)),0)),0)</f>
        <v>0</v>
      </c>
      <c r="S2024" s="248">
        <f ca="1">ROUND(IF(OR(AND($D2022=LataProjekcji,$F2022&gt;0),AND($D2022=LataProjekcji,$F2022=0,$E2023&lt;=10)),$F2023,IF($D2022&lt;LataProjekcji,IF((SUM($K2024:R2024)+$D2024)&lt;$D2023,$D2024,$D2023-SUM($K2024:R2024)),0)),0)</f>
        <v>0</v>
      </c>
      <c r="T2024" s="248">
        <f ca="1">ROUND(IF(OR(AND($D2022=LataProjekcji,$F2022&gt;0),AND($D2022=LataProjekcji,$F2022=0,$E2023&lt;=10)),$F2023,IF($D2022&lt;LataProjekcji,IF((SUM($K2024:S2024)+$D2024)&lt;$D2023,$D2024,$D2023-SUM($K2024:S2024)),0)),0)</f>
        <v>0</v>
      </c>
      <c r="U2024" s="248">
        <f ca="1">ROUND(IF(OR(AND($D2022=LataProjekcji,$F2022&gt;0),AND($D2022=LataProjekcji,$F2022=0,$E2023&lt;=10)),$F2023,IF($D2022&lt;LataProjekcji,IF((SUM($K2024:T2024)+$D2024)&lt;$D2023,$D2024,$D2023-SUM($K2024:T2024)),0)),0)</f>
        <v>0</v>
      </c>
      <c r="V2024" s="248">
        <f ca="1">ROUND(IF(OR(AND($D2022=LataProjekcji,$F2022&gt;0),AND($D2022=LataProjekcji,$F2022=0,$E2023&lt;=10)),$F2023,IF($D2022&lt;LataProjekcji,IF((SUM($K2024:U2024)+$D2024)&lt;$D2023,$D2024,$D2023-SUM($K2024:U2024)),0)),0)</f>
        <v>0</v>
      </c>
      <c r="W2024" s="248">
        <f ca="1">ROUND(IF(OR(AND($D2022=LataProjekcji,$F2022&gt;0),AND($D2022=LataProjekcji,$F2022=0,$E2023&lt;=10)),$F2023,IF($D2022&lt;LataProjekcji,IF((SUM($K2024:V2024)+$D2024)&lt;$D2023,$D2024,$D2023-SUM($K2024:V2024)),0)),0)</f>
        <v>0</v>
      </c>
      <c r="X2024" s="248">
        <f ca="1">ROUND(IF(OR(AND($D2022=LataProjekcji,$F2022&gt;0),AND($D2022=LataProjekcji,$F2022=0,$E2023&lt;=10)),$F2023,IF($D2022&lt;LataProjekcji,IF((SUM($K2024:W2024)+$D2024)&lt;$D2023,$D2024,$D2023-SUM($K2024:W2024)),0)),0)</f>
        <v>0</v>
      </c>
    </row>
    <row r="2025" spans="1:24" hidden="1">
      <c r="A2025" s="328"/>
      <c r="B2025" s="21" t="s">
        <v>416</v>
      </c>
      <c r="C2025" s="21"/>
      <c r="D2025" s="22"/>
      <c r="E2025" s="21"/>
      <c r="F2025" s="21"/>
      <c r="G2025" s="21"/>
      <c r="H2025" s="21"/>
      <c r="I2025" s="21"/>
      <c r="J2025" s="21"/>
      <c r="K2025" s="22">
        <f ca="1">ROUND(K2024,0)</f>
        <v>0</v>
      </c>
      <c r="L2025" s="22">
        <f t="shared" ref="L2025:X2025" ca="1" si="1549">ROUND(K2025+L2024,0)</f>
        <v>0</v>
      </c>
      <c r="M2025" s="22">
        <f t="shared" ca="1" si="1549"/>
        <v>0</v>
      </c>
      <c r="N2025" s="22">
        <f t="shared" ca="1" si="1549"/>
        <v>0</v>
      </c>
      <c r="O2025" s="22">
        <f t="shared" ca="1" si="1549"/>
        <v>0</v>
      </c>
      <c r="P2025" s="22">
        <f t="shared" ca="1" si="1549"/>
        <v>0</v>
      </c>
      <c r="Q2025" s="22">
        <f t="shared" ca="1" si="1549"/>
        <v>0</v>
      </c>
      <c r="R2025" s="22">
        <f t="shared" ca="1" si="1549"/>
        <v>0</v>
      </c>
      <c r="S2025" s="22">
        <f t="shared" ca="1" si="1549"/>
        <v>0</v>
      </c>
      <c r="T2025" s="22">
        <f t="shared" ca="1" si="1549"/>
        <v>0</v>
      </c>
      <c r="U2025" s="22">
        <f t="shared" ca="1" si="1549"/>
        <v>0</v>
      </c>
      <c r="V2025" s="22">
        <f t="shared" ca="1" si="1549"/>
        <v>0</v>
      </c>
      <c r="W2025" s="22">
        <f t="shared" ca="1" si="1549"/>
        <v>0</v>
      </c>
      <c r="X2025" s="22">
        <f t="shared" ca="1" si="1549"/>
        <v>0</v>
      </c>
    </row>
    <row r="2026" spans="1:24" hidden="1">
      <c r="A2026" s="328"/>
      <c r="B2026" s="21" t="s">
        <v>406</v>
      </c>
      <c r="C2026" s="21"/>
      <c r="D2026" s="22"/>
      <c r="E2026" s="21"/>
      <c r="F2026" s="21"/>
      <c r="G2026" s="21"/>
      <c r="H2026" s="21"/>
      <c r="I2026" s="21"/>
      <c r="J2026" s="21"/>
      <c r="K2026" s="77">
        <f ca="1">IF($D2022=LataProjekcji,ROUND($D2023-K2025,0),ROUND(IF(K2024=0,0,$D2023-K2025),0))</f>
        <v>0</v>
      </c>
      <c r="L2026" s="254">
        <f t="shared" ref="L2026:X2026" ca="1" si="1550">IF($D2022=LataProjekcji,ROUND($D2023-L2025,0),ROUND(IF(AND(L2024=0,K2026&gt;0),$D2023-L2025,IF(L2024=0,0,$D2023-L2025)),0))</f>
        <v>0</v>
      </c>
      <c r="M2026" s="254">
        <f t="shared" ca="1" si="1550"/>
        <v>0</v>
      </c>
      <c r="N2026" s="254">
        <f t="shared" ca="1" si="1550"/>
        <v>0</v>
      </c>
      <c r="O2026" s="254">
        <f t="shared" ca="1" si="1550"/>
        <v>0</v>
      </c>
      <c r="P2026" s="254">
        <f t="shared" ca="1" si="1550"/>
        <v>0</v>
      </c>
      <c r="Q2026" s="254">
        <f t="shared" ca="1" si="1550"/>
        <v>0</v>
      </c>
      <c r="R2026" s="254">
        <f t="shared" ca="1" si="1550"/>
        <v>0</v>
      </c>
      <c r="S2026" s="254">
        <f t="shared" ca="1" si="1550"/>
        <v>0</v>
      </c>
      <c r="T2026" s="254">
        <f t="shared" ca="1" si="1550"/>
        <v>0</v>
      </c>
      <c r="U2026" s="254">
        <f t="shared" ca="1" si="1550"/>
        <v>0</v>
      </c>
      <c r="V2026" s="254">
        <f t="shared" ca="1" si="1550"/>
        <v>0</v>
      </c>
      <c r="W2026" s="254">
        <f t="shared" ca="1" si="1550"/>
        <v>0</v>
      </c>
      <c r="X2026" s="254">
        <f t="shared" ca="1" si="1550"/>
        <v>0</v>
      </c>
    </row>
    <row r="2027" spans="1:24" hidden="1">
      <c r="A2027" s="328"/>
      <c r="H2027" s="404">
        <f>H2020+1</f>
        <v>9</v>
      </c>
      <c r="I2027" s="483" cm="1">
        <f t="array" aca="1" ref="I2027" ca="1">OFFSET('Środki trwałe'!$C$616,H2027,,)</f>
        <v>0</v>
      </c>
      <c r="J2027" s="404" t="s">
        <v>427</v>
      </c>
      <c r="K2027" s="405">
        <f t="shared" ref="K2027:X2027" ca="1" si="1551">IF(AND(OFFSET($F$269,$D2021,0)="tak",OFFSET($G$269,$D2021,0)="tak",OFFSET($J$269,$D2021,0)="ok",LataProjekcji&lt;=Koniec_Projekt),ROUND(K2024*OFFSET($K$632,$H2027,(COLUMN()-11)),0),0)</f>
        <v>0</v>
      </c>
      <c r="L2027" s="405">
        <f t="shared" ca="1" si="1551"/>
        <v>0</v>
      </c>
      <c r="M2027" s="405">
        <f t="shared" ca="1" si="1551"/>
        <v>0</v>
      </c>
      <c r="N2027" s="405">
        <f t="shared" ca="1" si="1551"/>
        <v>0</v>
      </c>
      <c r="O2027" s="405">
        <f t="shared" ca="1" si="1551"/>
        <v>0</v>
      </c>
      <c r="P2027" s="405">
        <f t="shared" ca="1" si="1551"/>
        <v>0</v>
      </c>
      <c r="Q2027" s="405">
        <f t="shared" ca="1" si="1551"/>
        <v>0</v>
      </c>
      <c r="R2027" s="405">
        <f t="shared" ca="1" si="1551"/>
        <v>0</v>
      </c>
      <c r="S2027" s="405">
        <f t="shared" ca="1" si="1551"/>
        <v>0</v>
      </c>
      <c r="T2027" s="405">
        <f t="shared" ca="1" si="1551"/>
        <v>0</v>
      </c>
      <c r="U2027" s="405">
        <f t="shared" ca="1" si="1551"/>
        <v>0</v>
      </c>
      <c r="V2027" s="405">
        <f t="shared" ca="1" si="1551"/>
        <v>0</v>
      </c>
      <c r="W2027" s="405">
        <f t="shared" ca="1" si="1551"/>
        <v>0</v>
      </c>
      <c r="X2027" s="405">
        <f t="shared" ca="1" si="1551"/>
        <v>0</v>
      </c>
    </row>
    <row r="2028" spans="1:24" hidden="1">
      <c r="A2028" s="328"/>
    </row>
    <row r="2031" spans="1:24" hidden="1">
      <c r="B2031" s="1" t="s">
        <v>440</v>
      </c>
      <c r="K2031" s="3" t="str">
        <f t="shared" ref="K2031:X2031" si="1552">LataProjekcji</f>
        <v>Uzupełnij dane</v>
      </c>
      <c r="L2031" s="3" t="str">
        <f t="shared" si="1552"/>
        <v/>
      </c>
      <c r="M2031" s="3" t="str">
        <f t="shared" si="1552"/>
        <v/>
      </c>
      <c r="N2031" s="3" t="str">
        <f t="shared" si="1552"/>
        <v/>
      </c>
      <c r="O2031" s="3" t="str">
        <f t="shared" si="1552"/>
        <v/>
      </c>
      <c r="P2031" s="3" t="str">
        <f t="shared" si="1552"/>
        <v/>
      </c>
      <c r="Q2031" s="3" t="str">
        <f t="shared" si="1552"/>
        <v/>
      </c>
      <c r="R2031" s="3" t="str">
        <f t="shared" si="1552"/>
        <v/>
      </c>
      <c r="S2031" s="3" t="str">
        <f t="shared" si="1552"/>
        <v/>
      </c>
      <c r="T2031" s="3" t="str">
        <f t="shared" si="1552"/>
        <v/>
      </c>
      <c r="U2031" s="3" t="str">
        <f t="shared" si="1552"/>
        <v/>
      </c>
      <c r="V2031" s="3" t="str">
        <f t="shared" si="1552"/>
        <v/>
      </c>
      <c r="W2031" s="3" t="str">
        <f t="shared" si="1552"/>
        <v/>
      </c>
      <c r="X2031" s="3" t="str">
        <f t="shared" si="1552"/>
        <v/>
      </c>
    </row>
    <row r="2032" spans="1:24" hidden="1">
      <c r="B2032" s="1">
        <f>B409</f>
        <v>0</v>
      </c>
      <c r="D2032" s="1">
        <f>D409</f>
        <v>0</v>
      </c>
      <c r="E2032" s="1">
        <f>YEAR(E409)</f>
        <v>1900</v>
      </c>
      <c r="F2032" s="164">
        <f>H409</f>
        <v>0</v>
      </c>
      <c r="G2032" s="22">
        <f>IF(AND(F409="tak",G409="nie"),ROUND(H409*I409,0),0)</f>
        <v>0</v>
      </c>
      <c r="H2032" s="21"/>
      <c r="I2032" s="21"/>
      <c r="J2032" s="22" t="str">
        <f>J409</f>
        <v>wstaw dane</v>
      </c>
      <c r="K2032" s="5">
        <f t="shared" ref="K2032:X2032" si="1553">IF(AND(LataProjekcji&lt;=$E2032,LataProjekcji&gt;=$D409),K409,0)</f>
        <v>0</v>
      </c>
      <c r="L2032" s="5">
        <f t="shared" si="1553"/>
        <v>0</v>
      </c>
      <c r="M2032" s="5">
        <f t="shared" si="1553"/>
        <v>0</v>
      </c>
      <c r="N2032" s="5">
        <f t="shared" si="1553"/>
        <v>0</v>
      </c>
      <c r="O2032" s="5">
        <f t="shared" si="1553"/>
        <v>0</v>
      </c>
      <c r="P2032" s="5">
        <f t="shared" si="1553"/>
        <v>0</v>
      </c>
      <c r="Q2032" s="5">
        <f t="shared" si="1553"/>
        <v>0</v>
      </c>
      <c r="R2032" s="5">
        <f t="shared" si="1553"/>
        <v>0</v>
      </c>
      <c r="S2032" s="5">
        <f t="shared" si="1553"/>
        <v>0</v>
      </c>
      <c r="T2032" s="5">
        <f t="shared" si="1553"/>
        <v>0</v>
      </c>
      <c r="U2032" s="5">
        <f t="shared" si="1553"/>
        <v>0</v>
      </c>
      <c r="V2032" s="5">
        <f t="shared" si="1553"/>
        <v>0</v>
      </c>
      <c r="W2032" s="5">
        <f t="shared" si="1553"/>
        <v>0</v>
      </c>
      <c r="X2032" s="5">
        <f t="shared" si="1553"/>
        <v>0</v>
      </c>
    </row>
    <row r="2033" spans="2:24" hidden="1">
      <c r="B2033" s="1">
        <f>B410</f>
        <v>0</v>
      </c>
      <c r="D2033" s="1">
        <f>D410</f>
        <v>0</v>
      </c>
      <c r="E2033" s="1">
        <f>YEAR(E410)</f>
        <v>1900</v>
      </c>
      <c r="F2033" s="164">
        <f>H410</f>
        <v>0</v>
      </c>
      <c r="G2033" s="22">
        <f>IF(AND(F410="tak",G410="nie"),ROUND(H410*I410,0),0)</f>
        <v>0</v>
      </c>
      <c r="H2033" s="21"/>
      <c r="I2033" s="21"/>
      <c r="J2033" s="22" t="str">
        <f>J410</f>
        <v>wstaw dane</v>
      </c>
      <c r="K2033" s="5">
        <f t="shared" ref="K2033:X2033" si="1554">IF(AND(LataProjekcji&lt;=$E2033,LataProjekcji&gt;=$D410),K410,0)</f>
        <v>0</v>
      </c>
      <c r="L2033" s="5">
        <f t="shared" si="1554"/>
        <v>0</v>
      </c>
      <c r="M2033" s="5">
        <f t="shared" si="1554"/>
        <v>0</v>
      </c>
      <c r="N2033" s="5">
        <f t="shared" si="1554"/>
        <v>0</v>
      </c>
      <c r="O2033" s="5">
        <f t="shared" si="1554"/>
        <v>0</v>
      </c>
      <c r="P2033" s="5">
        <f t="shared" si="1554"/>
        <v>0</v>
      </c>
      <c r="Q2033" s="5">
        <f t="shared" si="1554"/>
        <v>0</v>
      </c>
      <c r="R2033" s="5">
        <f t="shared" si="1554"/>
        <v>0</v>
      </c>
      <c r="S2033" s="5">
        <f t="shared" si="1554"/>
        <v>0</v>
      </c>
      <c r="T2033" s="5">
        <f t="shared" si="1554"/>
        <v>0</v>
      </c>
      <c r="U2033" s="5">
        <f t="shared" si="1554"/>
        <v>0</v>
      </c>
      <c r="V2033" s="5">
        <f t="shared" si="1554"/>
        <v>0</v>
      </c>
      <c r="W2033" s="5">
        <f t="shared" si="1554"/>
        <v>0</v>
      </c>
      <c r="X2033" s="5">
        <f t="shared" si="1554"/>
        <v>0</v>
      </c>
    </row>
    <row r="2034" spans="2:24" hidden="1">
      <c r="B2034" s="1">
        <f>B411</f>
        <v>0</v>
      </c>
      <c r="D2034" s="1">
        <f>D411</f>
        <v>0</v>
      </c>
      <c r="E2034" s="1">
        <f>YEAR(E411)</f>
        <v>1900</v>
      </c>
      <c r="F2034" s="164">
        <f>H411</f>
        <v>0</v>
      </c>
      <c r="G2034" s="22">
        <f>IF(AND(F411="tak",G411="nie"),ROUND(H411*I411,0),0)</f>
        <v>0</v>
      </c>
      <c r="H2034" s="21"/>
      <c r="I2034" s="21"/>
      <c r="J2034" s="22" t="str">
        <f>J411</f>
        <v>wstaw dane</v>
      </c>
      <c r="K2034" s="5">
        <f t="shared" ref="K2034:X2034" si="1555">IF(AND(LataProjekcji&lt;=$E2034,LataProjekcji&gt;=$D411),K411,0)</f>
        <v>0</v>
      </c>
      <c r="L2034" s="5">
        <f t="shared" si="1555"/>
        <v>0</v>
      </c>
      <c r="M2034" s="5">
        <f t="shared" si="1555"/>
        <v>0</v>
      </c>
      <c r="N2034" s="5">
        <f t="shared" si="1555"/>
        <v>0</v>
      </c>
      <c r="O2034" s="5">
        <f t="shared" si="1555"/>
        <v>0</v>
      </c>
      <c r="P2034" s="5">
        <f t="shared" si="1555"/>
        <v>0</v>
      </c>
      <c r="Q2034" s="5">
        <f t="shared" si="1555"/>
        <v>0</v>
      </c>
      <c r="R2034" s="5">
        <f t="shared" si="1555"/>
        <v>0</v>
      </c>
      <c r="S2034" s="5">
        <f t="shared" si="1555"/>
        <v>0</v>
      </c>
      <c r="T2034" s="5">
        <f t="shared" si="1555"/>
        <v>0</v>
      </c>
      <c r="U2034" s="5">
        <f t="shared" si="1555"/>
        <v>0</v>
      </c>
      <c r="V2034" s="5">
        <f t="shared" si="1555"/>
        <v>0</v>
      </c>
      <c r="W2034" s="5">
        <f t="shared" si="1555"/>
        <v>0</v>
      </c>
      <c r="X2034" s="5">
        <f t="shared" si="1555"/>
        <v>0</v>
      </c>
    </row>
    <row r="2035" spans="2:24" hidden="1">
      <c r="B2035" s="1">
        <f>B412</f>
        <v>0</v>
      </c>
      <c r="D2035" s="1">
        <f>D412</f>
        <v>0</v>
      </c>
      <c r="E2035" s="1">
        <f>YEAR(E412)</f>
        <v>1900</v>
      </c>
      <c r="F2035" s="164">
        <f>H412</f>
        <v>0</v>
      </c>
      <c r="G2035" s="22">
        <f>IF(AND(F412="tak",G412="nie"),ROUND(H412*I412,0),0)</f>
        <v>0</v>
      </c>
      <c r="H2035" s="21"/>
      <c r="I2035" s="21"/>
      <c r="J2035" s="22" t="str">
        <f>J412</f>
        <v>wstaw dane</v>
      </c>
      <c r="K2035" s="5">
        <f t="shared" ref="K2035:X2035" si="1556">IF(AND(LataProjekcji&lt;=$E2035,LataProjekcji&gt;=$D412),K412,0)</f>
        <v>0</v>
      </c>
      <c r="L2035" s="5">
        <f t="shared" si="1556"/>
        <v>0</v>
      </c>
      <c r="M2035" s="5">
        <f t="shared" si="1556"/>
        <v>0</v>
      </c>
      <c r="N2035" s="5">
        <f t="shared" si="1556"/>
        <v>0</v>
      </c>
      <c r="O2035" s="5">
        <f t="shared" si="1556"/>
        <v>0</v>
      </c>
      <c r="P2035" s="5">
        <f t="shared" si="1556"/>
        <v>0</v>
      </c>
      <c r="Q2035" s="5">
        <f t="shared" si="1556"/>
        <v>0</v>
      </c>
      <c r="R2035" s="5">
        <f t="shared" si="1556"/>
        <v>0</v>
      </c>
      <c r="S2035" s="5">
        <f t="shared" si="1556"/>
        <v>0</v>
      </c>
      <c r="T2035" s="5">
        <f t="shared" si="1556"/>
        <v>0</v>
      </c>
      <c r="U2035" s="5">
        <f t="shared" si="1556"/>
        <v>0</v>
      </c>
      <c r="V2035" s="5">
        <f t="shared" si="1556"/>
        <v>0</v>
      </c>
      <c r="W2035" s="5">
        <f t="shared" si="1556"/>
        <v>0</v>
      </c>
      <c r="X2035" s="5">
        <f t="shared" si="1556"/>
        <v>0</v>
      </c>
    </row>
    <row r="2036" spans="2:24" hidden="1">
      <c r="B2036" s="1">
        <f>B413</f>
        <v>0</v>
      </c>
      <c r="D2036" s="1">
        <f>D413</f>
        <v>0</v>
      </c>
      <c r="E2036" s="1">
        <f>YEAR(E413)</f>
        <v>1900</v>
      </c>
      <c r="F2036" s="164">
        <f>H413</f>
        <v>0</v>
      </c>
      <c r="G2036" s="22">
        <f>IF(AND(F413="tak",G413="nie"),ROUND(H413*I413,0),0)</f>
        <v>0</v>
      </c>
      <c r="H2036" s="21"/>
      <c r="I2036" s="21"/>
      <c r="J2036" s="22" t="str">
        <f>J413</f>
        <v>wstaw dane</v>
      </c>
      <c r="K2036" s="5">
        <f t="shared" ref="K2036:X2036" si="1557">IF(AND(LataProjekcji&lt;=$E2036,LataProjekcji&gt;=$D413),K413,0)</f>
        <v>0</v>
      </c>
      <c r="L2036" s="5">
        <f t="shared" si="1557"/>
        <v>0</v>
      </c>
      <c r="M2036" s="5">
        <f t="shared" si="1557"/>
        <v>0</v>
      </c>
      <c r="N2036" s="5">
        <f t="shared" si="1557"/>
        <v>0</v>
      </c>
      <c r="O2036" s="5">
        <f t="shared" si="1557"/>
        <v>0</v>
      </c>
      <c r="P2036" s="5">
        <f t="shared" si="1557"/>
        <v>0</v>
      </c>
      <c r="Q2036" s="5">
        <f t="shared" si="1557"/>
        <v>0</v>
      </c>
      <c r="R2036" s="5">
        <f t="shared" si="1557"/>
        <v>0</v>
      </c>
      <c r="S2036" s="5">
        <f t="shared" si="1557"/>
        <v>0</v>
      </c>
      <c r="T2036" s="5">
        <f t="shared" si="1557"/>
        <v>0</v>
      </c>
      <c r="U2036" s="5">
        <f t="shared" si="1557"/>
        <v>0</v>
      </c>
      <c r="V2036" s="5">
        <f t="shared" si="1557"/>
        <v>0</v>
      </c>
      <c r="W2036" s="5">
        <f t="shared" si="1557"/>
        <v>0</v>
      </c>
      <c r="X2036" s="5">
        <f t="shared" si="1557"/>
        <v>0</v>
      </c>
    </row>
    <row r="2037" spans="2:24" hidden="1">
      <c r="B2037" s="259">
        <f>B565</f>
        <v>0</v>
      </c>
      <c r="C2037" s="259"/>
      <c r="D2037" s="259">
        <f>D565</f>
        <v>0</v>
      </c>
      <c r="E2037" s="259">
        <f>YEAR(E565)</f>
        <v>1900</v>
      </c>
      <c r="F2037" s="261">
        <f>H565</f>
        <v>0</v>
      </c>
      <c r="G2037" s="78">
        <f>IF(AND(F565="tak",G565="nie"),ROUND(H565*I565,0),0)</f>
        <v>0</v>
      </c>
      <c r="H2037" s="262">
        <f t="shared" ref="H2037:J2041" si="1558">H565</f>
        <v>0</v>
      </c>
      <c r="I2037" s="262" t="str">
        <f t="shared" si="1558"/>
        <v/>
      </c>
      <c r="J2037" s="78" t="str">
        <f t="shared" si="1558"/>
        <v>wstaw dane</v>
      </c>
      <c r="K2037" s="260">
        <f t="shared" ref="K2037:X2037" si="1559">IF(AND(LataProjekcji&lt;=$E2037,LataProjekcji&gt;=$D565),K565,0)</f>
        <v>0</v>
      </c>
      <c r="L2037" s="260">
        <f t="shared" si="1559"/>
        <v>0</v>
      </c>
      <c r="M2037" s="260">
        <f t="shared" si="1559"/>
        <v>0</v>
      </c>
      <c r="N2037" s="260">
        <f t="shared" si="1559"/>
        <v>0</v>
      </c>
      <c r="O2037" s="260">
        <f t="shared" si="1559"/>
        <v>0</v>
      </c>
      <c r="P2037" s="260">
        <f t="shared" si="1559"/>
        <v>0</v>
      </c>
      <c r="Q2037" s="260">
        <f t="shared" si="1559"/>
        <v>0</v>
      </c>
      <c r="R2037" s="260">
        <f t="shared" si="1559"/>
        <v>0</v>
      </c>
      <c r="S2037" s="260">
        <f t="shared" si="1559"/>
        <v>0</v>
      </c>
      <c r="T2037" s="260">
        <f t="shared" si="1559"/>
        <v>0</v>
      </c>
      <c r="U2037" s="260">
        <f t="shared" si="1559"/>
        <v>0</v>
      </c>
      <c r="V2037" s="260">
        <f t="shared" si="1559"/>
        <v>0</v>
      </c>
      <c r="W2037" s="260">
        <f t="shared" si="1559"/>
        <v>0</v>
      </c>
      <c r="X2037" s="260">
        <f t="shared" si="1559"/>
        <v>0</v>
      </c>
    </row>
    <row r="2038" spans="2:24" hidden="1">
      <c r="B2038" s="259">
        <f>B566</f>
        <v>0</v>
      </c>
      <c r="C2038" s="259"/>
      <c r="D2038" s="259">
        <f>D566</f>
        <v>0</v>
      </c>
      <c r="E2038" s="259">
        <f>YEAR(E566)</f>
        <v>1900</v>
      </c>
      <c r="F2038" s="261">
        <f>H566</f>
        <v>0</v>
      </c>
      <c r="G2038" s="78">
        <f>IF(AND(F566="tak",G566="nie"),ROUND(H566*I566,0),0)</f>
        <v>0</v>
      </c>
      <c r="H2038" s="262">
        <f t="shared" si="1558"/>
        <v>0</v>
      </c>
      <c r="I2038" s="262" t="str">
        <f t="shared" si="1558"/>
        <v/>
      </c>
      <c r="J2038" s="78" t="str">
        <f t="shared" si="1558"/>
        <v>wstaw dane</v>
      </c>
      <c r="K2038" s="260">
        <f t="shared" ref="K2038:X2038" si="1560">IF(AND(LataProjekcji&lt;=$E2038,LataProjekcji&gt;=$D566),K566,0)</f>
        <v>0</v>
      </c>
      <c r="L2038" s="260">
        <f t="shared" si="1560"/>
        <v>0</v>
      </c>
      <c r="M2038" s="260">
        <f t="shared" si="1560"/>
        <v>0</v>
      </c>
      <c r="N2038" s="260">
        <f t="shared" si="1560"/>
        <v>0</v>
      </c>
      <c r="O2038" s="260">
        <f t="shared" si="1560"/>
        <v>0</v>
      </c>
      <c r="P2038" s="260">
        <f t="shared" si="1560"/>
        <v>0</v>
      </c>
      <c r="Q2038" s="260">
        <f t="shared" si="1560"/>
        <v>0</v>
      </c>
      <c r="R2038" s="260">
        <f t="shared" si="1560"/>
        <v>0</v>
      </c>
      <c r="S2038" s="260">
        <f t="shared" si="1560"/>
        <v>0</v>
      </c>
      <c r="T2038" s="260">
        <f t="shared" si="1560"/>
        <v>0</v>
      </c>
      <c r="U2038" s="260">
        <f t="shared" si="1560"/>
        <v>0</v>
      </c>
      <c r="V2038" s="260">
        <f t="shared" si="1560"/>
        <v>0</v>
      </c>
      <c r="W2038" s="260">
        <f t="shared" si="1560"/>
        <v>0</v>
      </c>
      <c r="X2038" s="260">
        <f t="shared" si="1560"/>
        <v>0</v>
      </c>
    </row>
    <row r="2039" spans="2:24" hidden="1">
      <c r="B2039" s="259">
        <f>B567</f>
        <v>0</v>
      </c>
      <c r="C2039" s="259"/>
      <c r="D2039" s="259">
        <f>D567</f>
        <v>0</v>
      </c>
      <c r="E2039" s="259">
        <f>YEAR(E567)</f>
        <v>1900</v>
      </c>
      <c r="F2039" s="261">
        <f>H567</f>
        <v>0</v>
      </c>
      <c r="G2039" s="78">
        <f>IF(AND(F567="tak",G567="nie"),ROUND(H567*I567,0),0)</f>
        <v>0</v>
      </c>
      <c r="H2039" s="262">
        <f t="shared" si="1558"/>
        <v>0</v>
      </c>
      <c r="I2039" s="262" t="str">
        <f t="shared" si="1558"/>
        <v/>
      </c>
      <c r="J2039" s="78" t="str">
        <f t="shared" si="1558"/>
        <v>wstaw dane</v>
      </c>
      <c r="K2039" s="260">
        <f t="shared" ref="K2039:X2039" si="1561">IF(AND(LataProjekcji&lt;=$E2039,LataProjekcji&gt;=$D567),K567,0)</f>
        <v>0</v>
      </c>
      <c r="L2039" s="260">
        <f t="shared" si="1561"/>
        <v>0</v>
      </c>
      <c r="M2039" s="260">
        <f t="shared" si="1561"/>
        <v>0</v>
      </c>
      <c r="N2039" s="260">
        <f t="shared" si="1561"/>
        <v>0</v>
      </c>
      <c r="O2039" s="260">
        <f t="shared" si="1561"/>
        <v>0</v>
      </c>
      <c r="P2039" s="260">
        <f t="shared" si="1561"/>
        <v>0</v>
      </c>
      <c r="Q2039" s="260">
        <f t="shared" si="1561"/>
        <v>0</v>
      </c>
      <c r="R2039" s="260">
        <f t="shared" si="1561"/>
        <v>0</v>
      </c>
      <c r="S2039" s="260">
        <f t="shared" si="1561"/>
        <v>0</v>
      </c>
      <c r="T2039" s="260">
        <f t="shared" si="1561"/>
        <v>0</v>
      </c>
      <c r="U2039" s="260">
        <f t="shared" si="1561"/>
        <v>0</v>
      </c>
      <c r="V2039" s="260">
        <f t="shared" si="1561"/>
        <v>0</v>
      </c>
      <c r="W2039" s="260">
        <f t="shared" si="1561"/>
        <v>0</v>
      </c>
      <c r="X2039" s="260">
        <f t="shared" si="1561"/>
        <v>0</v>
      </c>
    </row>
    <row r="2040" spans="2:24" hidden="1">
      <c r="B2040" s="259">
        <f>B568</f>
        <v>0</v>
      </c>
      <c r="C2040" s="259"/>
      <c r="D2040" s="259">
        <f>D568</f>
        <v>0</v>
      </c>
      <c r="E2040" s="259">
        <f>YEAR(E568)</f>
        <v>1900</v>
      </c>
      <c r="F2040" s="261">
        <f>H568</f>
        <v>0</v>
      </c>
      <c r="G2040" s="78">
        <f>IF(AND(F568="tak",G568="nie"),ROUND(H568*I568,0),0)</f>
        <v>0</v>
      </c>
      <c r="H2040" s="262">
        <f t="shared" si="1558"/>
        <v>0</v>
      </c>
      <c r="I2040" s="262" t="str">
        <f t="shared" si="1558"/>
        <v/>
      </c>
      <c r="J2040" s="78" t="str">
        <f t="shared" si="1558"/>
        <v>wstaw dane</v>
      </c>
      <c r="K2040" s="260">
        <f t="shared" ref="K2040:X2040" si="1562">IF(AND(LataProjekcji&lt;=$E2040,LataProjekcji&gt;=$D568),K568,0)</f>
        <v>0</v>
      </c>
      <c r="L2040" s="260">
        <f t="shared" si="1562"/>
        <v>0</v>
      </c>
      <c r="M2040" s="260">
        <f t="shared" si="1562"/>
        <v>0</v>
      </c>
      <c r="N2040" s="260">
        <f t="shared" si="1562"/>
        <v>0</v>
      </c>
      <c r="O2040" s="260">
        <f t="shared" si="1562"/>
        <v>0</v>
      </c>
      <c r="P2040" s="260">
        <f t="shared" si="1562"/>
        <v>0</v>
      </c>
      <c r="Q2040" s="260">
        <f t="shared" si="1562"/>
        <v>0</v>
      </c>
      <c r="R2040" s="260">
        <f t="shared" si="1562"/>
        <v>0</v>
      </c>
      <c r="S2040" s="260">
        <f t="shared" si="1562"/>
        <v>0</v>
      </c>
      <c r="T2040" s="260">
        <f t="shared" si="1562"/>
        <v>0</v>
      </c>
      <c r="U2040" s="260">
        <f t="shared" si="1562"/>
        <v>0</v>
      </c>
      <c r="V2040" s="260">
        <f t="shared" si="1562"/>
        <v>0</v>
      </c>
      <c r="W2040" s="260">
        <f t="shared" si="1562"/>
        <v>0</v>
      </c>
      <c r="X2040" s="260">
        <f t="shared" si="1562"/>
        <v>0</v>
      </c>
    </row>
    <row r="2041" spans="2:24" hidden="1">
      <c r="B2041" s="259">
        <f>B569</f>
        <v>0</v>
      </c>
      <c r="C2041" s="259"/>
      <c r="D2041" s="259">
        <f>D569</f>
        <v>0</v>
      </c>
      <c r="E2041" s="259">
        <f>YEAR(E569)</f>
        <v>1900</v>
      </c>
      <c r="F2041" s="261">
        <f>H569</f>
        <v>0</v>
      </c>
      <c r="G2041" s="78">
        <f>IF(AND(F569="tak",G569="nie"),ROUND(H569*I569,0),0)</f>
        <v>0</v>
      </c>
      <c r="H2041" s="262">
        <f t="shared" si="1558"/>
        <v>0</v>
      </c>
      <c r="I2041" s="262" t="str">
        <f t="shared" si="1558"/>
        <v/>
      </c>
      <c r="J2041" s="78" t="str">
        <f t="shared" si="1558"/>
        <v>wstaw dane</v>
      </c>
      <c r="K2041" s="260">
        <f t="shared" ref="K2041:X2041" si="1563">IF(AND(LataProjekcji&lt;=$E2041,LataProjekcji&gt;=$D569),K569,0)</f>
        <v>0</v>
      </c>
      <c r="L2041" s="260">
        <f t="shared" si="1563"/>
        <v>0</v>
      </c>
      <c r="M2041" s="260">
        <f t="shared" si="1563"/>
        <v>0</v>
      </c>
      <c r="N2041" s="260">
        <f t="shared" si="1563"/>
        <v>0</v>
      </c>
      <c r="O2041" s="260">
        <f t="shared" si="1563"/>
        <v>0</v>
      </c>
      <c r="P2041" s="260">
        <f t="shared" si="1563"/>
        <v>0</v>
      </c>
      <c r="Q2041" s="260">
        <f t="shared" si="1563"/>
        <v>0</v>
      </c>
      <c r="R2041" s="260">
        <f t="shared" si="1563"/>
        <v>0</v>
      </c>
      <c r="S2041" s="260">
        <f t="shared" si="1563"/>
        <v>0</v>
      </c>
      <c r="T2041" s="260">
        <f t="shared" si="1563"/>
        <v>0</v>
      </c>
      <c r="U2041" s="260">
        <f t="shared" si="1563"/>
        <v>0</v>
      </c>
      <c r="V2041" s="260">
        <f t="shared" si="1563"/>
        <v>0</v>
      </c>
      <c r="W2041" s="260">
        <f t="shared" si="1563"/>
        <v>0</v>
      </c>
      <c r="X2041" s="260">
        <f t="shared" si="1563"/>
        <v>0</v>
      </c>
    </row>
    <row r="2042" spans="2:24" hidden="1">
      <c r="B2042" s="7" t="s">
        <v>335</v>
      </c>
      <c r="C2042" s="7"/>
      <c r="J2042" s="13">
        <f>SUM(J2032:J2041)</f>
        <v>0</v>
      </c>
      <c r="K2042" s="13">
        <f t="shared" ref="K2042:X2042" si="1564">SUM(K2032:K2041)</f>
        <v>0</v>
      </c>
      <c r="L2042" s="13">
        <f t="shared" si="1564"/>
        <v>0</v>
      </c>
      <c r="M2042" s="13">
        <f t="shared" si="1564"/>
        <v>0</v>
      </c>
      <c r="N2042" s="13">
        <f t="shared" si="1564"/>
        <v>0</v>
      </c>
      <c r="O2042" s="13">
        <f t="shared" si="1564"/>
        <v>0</v>
      </c>
      <c r="P2042" s="13">
        <f t="shared" si="1564"/>
        <v>0</v>
      </c>
      <c r="Q2042" s="13">
        <f t="shared" si="1564"/>
        <v>0</v>
      </c>
      <c r="R2042" s="13">
        <f t="shared" si="1564"/>
        <v>0</v>
      </c>
      <c r="S2042" s="13">
        <f t="shared" si="1564"/>
        <v>0</v>
      </c>
      <c r="T2042" s="13">
        <f t="shared" si="1564"/>
        <v>0</v>
      </c>
      <c r="U2042" s="13">
        <f t="shared" si="1564"/>
        <v>0</v>
      </c>
      <c r="V2042" s="13">
        <f t="shared" si="1564"/>
        <v>0</v>
      </c>
      <c r="W2042" s="13">
        <f t="shared" si="1564"/>
        <v>0</v>
      </c>
      <c r="X2042" s="13">
        <f t="shared" si="1564"/>
        <v>0</v>
      </c>
    </row>
    <row r="2044" spans="2:24" hidden="1">
      <c r="B2044" s="1" t="s">
        <v>441</v>
      </c>
      <c r="K2044" s="3" t="str">
        <f t="shared" ref="K2044:X2044" si="1565">LataProjekcji</f>
        <v>Uzupełnij dane</v>
      </c>
      <c r="L2044" s="3" t="str">
        <f t="shared" si="1565"/>
        <v/>
      </c>
      <c r="M2044" s="3" t="str">
        <f t="shared" si="1565"/>
        <v/>
      </c>
      <c r="N2044" s="3" t="str">
        <f t="shared" si="1565"/>
        <v/>
      </c>
      <c r="O2044" s="3" t="str">
        <f t="shared" si="1565"/>
        <v/>
      </c>
      <c r="P2044" s="3" t="str">
        <f t="shared" si="1565"/>
        <v/>
      </c>
      <c r="Q2044" s="3" t="str">
        <f t="shared" si="1565"/>
        <v/>
      </c>
      <c r="R2044" s="3" t="str">
        <f t="shared" si="1565"/>
        <v/>
      </c>
      <c r="S2044" s="3" t="str">
        <f t="shared" si="1565"/>
        <v/>
      </c>
      <c r="T2044" s="3" t="str">
        <f t="shared" si="1565"/>
        <v/>
      </c>
      <c r="U2044" s="3" t="str">
        <f t="shared" si="1565"/>
        <v/>
      </c>
      <c r="V2044" s="3" t="str">
        <f t="shared" si="1565"/>
        <v/>
      </c>
      <c r="W2044" s="3" t="str">
        <f t="shared" si="1565"/>
        <v/>
      </c>
      <c r="X2044" s="3" t="str">
        <f t="shared" si="1565"/>
        <v/>
      </c>
    </row>
    <row r="2045" spans="2:24" hidden="1">
      <c r="B2045" s="1">
        <f>B$2032</f>
        <v>0</v>
      </c>
      <c r="D2045" s="1">
        <f>D$2032</f>
        <v>0</v>
      </c>
      <c r="E2045" s="1">
        <f>E$2032</f>
        <v>1900</v>
      </c>
      <c r="F2045" s="164">
        <f>F$2032</f>
        <v>0</v>
      </c>
      <c r="G2045" s="22"/>
      <c r="H2045" s="21"/>
      <c r="I2045" s="21"/>
      <c r="J2045" s="22" t="b">
        <f t="shared" ref="J2045:J2054" si="1566">MAX(K2045:X2045)=J2032</f>
        <v>0</v>
      </c>
      <c r="K2045" s="5">
        <f t="shared" ref="K2045:K2054" si="1567">IF(AND(LataProjekcji&lt;$E2045,LataProjekcji&gt;=$D2045),K2032,0)</f>
        <v>0</v>
      </c>
      <c r="L2045" s="5">
        <f t="shared" ref="L2045:X2045" si="1568">IF(AND(LataProjekcji&lt;$E2045,LataProjekcji&gt;=$D2045),L2032+K2045,0)</f>
        <v>0</v>
      </c>
      <c r="M2045" s="5">
        <f t="shared" si="1568"/>
        <v>0</v>
      </c>
      <c r="N2045" s="5">
        <f t="shared" si="1568"/>
        <v>0</v>
      </c>
      <c r="O2045" s="5">
        <f t="shared" si="1568"/>
        <v>0</v>
      </c>
      <c r="P2045" s="5">
        <f t="shared" si="1568"/>
        <v>0</v>
      </c>
      <c r="Q2045" s="5">
        <f t="shared" si="1568"/>
        <v>0</v>
      </c>
      <c r="R2045" s="5">
        <f t="shared" si="1568"/>
        <v>0</v>
      </c>
      <c r="S2045" s="5">
        <f t="shared" si="1568"/>
        <v>0</v>
      </c>
      <c r="T2045" s="5">
        <f t="shared" si="1568"/>
        <v>0</v>
      </c>
      <c r="U2045" s="5">
        <f t="shared" si="1568"/>
        <v>0</v>
      </c>
      <c r="V2045" s="5">
        <f t="shared" si="1568"/>
        <v>0</v>
      </c>
      <c r="W2045" s="5">
        <f t="shared" si="1568"/>
        <v>0</v>
      </c>
      <c r="X2045" s="5">
        <f t="shared" si="1568"/>
        <v>0</v>
      </c>
    </row>
    <row r="2046" spans="2:24" hidden="1">
      <c r="B2046" s="1">
        <f t="shared" ref="B2046:F2049" si="1569">B2033</f>
        <v>0</v>
      </c>
      <c r="D2046" s="1">
        <f t="shared" si="1569"/>
        <v>0</v>
      </c>
      <c r="E2046" s="1">
        <f t="shared" si="1569"/>
        <v>1900</v>
      </c>
      <c r="F2046" s="164">
        <f t="shared" si="1569"/>
        <v>0</v>
      </c>
      <c r="G2046" s="22"/>
      <c r="H2046" s="21"/>
      <c r="I2046" s="21"/>
      <c r="J2046" s="22" t="b">
        <f t="shared" si="1566"/>
        <v>0</v>
      </c>
      <c r="K2046" s="5">
        <f t="shared" si="1567"/>
        <v>0</v>
      </c>
      <c r="L2046" s="5">
        <f t="shared" ref="L2046:X2046" si="1570">IF(AND(LataProjekcji&lt;$E2046,LataProjekcji&gt;=$D2046),L2033+K2046,0)</f>
        <v>0</v>
      </c>
      <c r="M2046" s="5">
        <f t="shared" si="1570"/>
        <v>0</v>
      </c>
      <c r="N2046" s="5">
        <f t="shared" si="1570"/>
        <v>0</v>
      </c>
      <c r="O2046" s="5">
        <f t="shared" si="1570"/>
        <v>0</v>
      </c>
      <c r="P2046" s="5">
        <f t="shared" si="1570"/>
        <v>0</v>
      </c>
      <c r="Q2046" s="5">
        <f t="shared" si="1570"/>
        <v>0</v>
      </c>
      <c r="R2046" s="5">
        <f t="shared" si="1570"/>
        <v>0</v>
      </c>
      <c r="S2046" s="5">
        <f t="shared" si="1570"/>
        <v>0</v>
      </c>
      <c r="T2046" s="5">
        <f t="shared" si="1570"/>
        <v>0</v>
      </c>
      <c r="U2046" s="5">
        <f t="shared" si="1570"/>
        <v>0</v>
      </c>
      <c r="V2046" s="5">
        <f t="shared" si="1570"/>
        <v>0</v>
      </c>
      <c r="W2046" s="5">
        <f t="shared" si="1570"/>
        <v>0</v>
      </c>
      <c r="X2046" s="5">
        <f t="shared" si="1570"/>
        <v>0</v>
      </c>
    </row>
    <row r="2047" spans="2:24" hidden="1">
      <c r="B2047" s="1">
        <f t="shared" si="1569"/>
        <v>0</v>
      </c>
      <c r="D2047" s="1">
        <f t="shared" si="1569"/>
        <v>0</v>
      </c>
      <c r="E2047" s="1">
        <f t="shared" si="1569"/>
        <v>1900</v>
      </c>
      <c r="F2047" s="164">
        <f t="shared" si="1569"/>
        <v>0</v>
      </c>
      <c r="G2047" s="22"/>
      <c r="H2047" s="21"/>
      <c r="I2047" s="21"/>
      <c r="J2047" s="22" t="b">
        <f t="shared" si="1566"/>
        <v>0</v>
      </c>
      <c r="K2047" s="5">
        <f t="shared" si="1567"/>
        <v>0</v>
      </c>
      <c r="L2047" s="5">
        <f t="shared" ref="L2047:X2047" si="1571">IF(AND(LataProjekcji&lt;$E2047,LataProjekcji&gt;=$D2047),L2034+K2047,0)</f>
        <v>0</v>
      </c>
      <c r="M2047" s="5">
        <f t="shared" si="1571"/>
        <v>0</v>
      </c>
      <c r="N2047" s="5">
        <f t="shared" si="1571"/>
        <v>0</v>
      </c>
      <c r="O2047" s="5">
        <f t="shared" si="1571"/>
        <v>0</v>
      </c>
      <c r="P2047" s="5">
        <f t="shared" si="1571"/>
        <v>0</v>
      </c>
      <c r="Q2047" s="5">
        <f t="shared" si="1571"/>
        <v>0</v>
      </c>
      <c r="R2047" s="5">
        <f t="shared" si="1571"/>
        <v>0</v>
      </c>
      <c r="S2047" s="5">
        <f t="shared" si="1571"/>
        <v>0</v>
      </c>
      <c r="T2047" s="5">
        <f t="shared" si="1571"/>
        <v>0</v>
      </c>
      <c r="U2047" s="5">
        <f t="shared" si="1571"/>
        <v>0</v>
      </c>
      <c r="V2047" s="5">
        <f t="shared" si="1571"/>
        <v>0</v>
      </c>
      <c r="W2047" s="5">
        <f t="shared" si="1571"/>
        <v>0</v>
      </c>
      <c r="X2047" s="5">
        <f t="shared" si="1571"/>
        <v>0</v>
      </c>
    </row>
    <row r="2048" spans="2:24" hidden="1">
      <c r="B2048" s="1">
        <f t="shared" si="1569"/>
        <v>0</v>
      </c>
      <c r="D2048" s="1">
        <f t="shared" si="1569"/>
        <v>0</v>
      </c>
      <c r="E2048" s="1">
        <f t="shared" si="1569"/>
        <v>1900</v>
      </c>
      <c r="F2048" s="164">
        <f t="shared" si="1569"/>
        <v>0</v>
      </c>
      <c r="G2048" s="22"/>
      <c r="H2048" s="21"/>
      <c r="I2048" s="21"/>
      <c r="J2048" s="22" t="b">
        <f t="shared" si="1566"/>
        <v>0</v>
      </c>
      <c r="K2048" s="5">
        <f t="shared" si="1567"/>
        <v>0</v>
      </c>
      <c r="L2048" s="5">
        <f t="shared" ref="L2048:X2048" si="1572">IF(AND(LataProjekcji&lt;$E2048,LataProjekcji&gt;=$D2048),L2035+K2048,0)</f>
        <v>0</v>
      </c>
      <c r="M2048" s="5">
        <f t="shared" si="1572"/>
        <v>0</v>
      </c>
      <c r="N2048" s="5">
        <f t="shared" si="1572"/>
        <v>0</v>
      </c>
      <c r="O2048" s="5">
        <f t="shared" si="1572"/>
        <v>0</v>
      </c>
      <c r="P2048" s="5">
        <f t="shared" si="1572"/>
        <v>0</v>
      </c>
      <c r="Q2048" s="5">
        <f t="shared" si="1572"/>
        <v>0</v>
      </c>
      <c r="R2048" s="5">
        <f t="shared" si="1572"/>
        <v>0</v>
      </c>
      <c r="S2048" s="5">
        <f t="shared" si="1572"/>
        <v>0</v>
      </c>
      <c r="T2048" s="5">
        <f t="shared" si="1572"/>
        <v>0</v>
      </c>
      <c r="U2048" s="5">
        <f t="shared" si="1572"/>
        <v>0</v>
      </c>
      <c r="V2048" s="5">
        <f t="shared" si="1572"/>
        <v>0</v>
      </c>
      <c r="W2048" s="5">
        <f t="shared" si="1572"/>
        <v>0</v>
      </c>
      <c r="X2048" s="5">
        <f t="shared" si="1572"/>
        <v>0</v>
      </c>
    </row>
    <row r="2049" spans="2:24" hidden="1">
      <c r="B2049" s="1">
        <f t="shared" si="1569"/>
        <v>0</v>
      </c>
      <c r="D2049" s="1">
        <f t="shared" si="1569"/>
        <v>0</v>
      </c>
      <c r="E2049" s="1">
        <f t="shared" si="1569"/>
        <v>1900</v>
      </c>
      <c r="F2049" s="164">
        <f t="shared" si="1569"/>
        <v>0</v>
      </c>
      <c r="G2049" s="22"/>
      <c r="H2049" s="21"/>
      <c r="I2049" s="21"/>
      <c r="J2049" s="22" t="b">
        <f t="shared" si="1566"/>
        <v>0</v>
      </c>
      <c r="K2049" s="5">
        <f t="shared" si="1567"/>
        <v>0</v>
      </c>
      <c r="L2049" s="5">
        <f t="shared" ref="L2049:X2049" si="1573">IF(AND(LataProjekcji&lt;$E2049,LataProjekcji&gt;=$D2049),L2036+K2049,0)</f>
        <v>0</v>
      </c>
      <c r="M2049" s="5">
        <f t="shared" si="1573"/>
        <v>0</v>
      </c>
      <c r="N2049" s="5">
        <f t="shared" si="1573"/>
        <v>0</v>
      </c>
      <c r="O2049" s="5">
        <f t="shared" si="1573"/>
        <v>0</v>
      </c>
      <c r="P2049" s="5">
        <f t="shared" si="1573"/>
        <v>0</v>
      </c>
      <c r="Q2049" s="5">
        <f t="shared" si="1573"/>
        <v>0</v>
      </c>
      <c r="R2049" s="5">
        <f t="shared" si="1573"/>
        <v>0</v>
      </c>
      <c r="S2049" s="5">
        <f t="shared" si="1573"/>
        <v>0</v>
      </c>
      <c r="T2049" s="5">
        <f t="shared" si="1573"/>
        <v>0</v>
      </c>
      <c r="U2049" s="5">
        <f t="shared" si="1573"/>
        <v>0</v>
      </c>
      <c r="V2049" s="5">
        <f t="shared" si="1573"/>
        <v>0</v>
      </c>
      <c r="W2049" s="5">
        <f t="shared" si="1573"/>
        <v>0</v>
      </c>
      <c r="X2049" s="5">
        <f t="shared" si="1573"/>
        <v>0</v>
      </c>
    </row>
    <row r="2050" spans="2:24" hidden="1">
      <c r="B2050" s="259">
        <f>B2037</f>
        <v>0</v>
      </c>
      <c r="C2050" s="259"/>
      <c r="D2050" s="259">
        <f t="shared" ref="D2050:F2054" si="1574">D2037</f>
        <v>0</v>
      </c>
      <c r="E2050" s="259">
        <f t="shared" si="1574"/>
        <v>1900</v>
      </c>
      <c r="F2050" s="261">
        <f t="shared" si="1574"/>
        <v>0</v>
      </c>
      <c r="G2050" s="78"/>
      <c r="H2050" s="262"/>
      <c r="I2050" s="262"/>
      <c r="J2050" s="78" t="b">
        <f t="shared" si="1566"/>
        <v>0</v>
      </c>
      <c r="K2050" s="260">
        <f t="shared" si="1567"/>
        <v>0</v>
      </c>
      <c r="L2050" s="260">
        <f t="shared" ref="L2050:X2050" si="1575">IF(AND(LataProjekcji&lt;$E2050,LataProjekcji&gt;=$D2050),L2037+K2050,0)</f>
        <v>0</v>
      </c>
      <c r="M2050" s="260">
        <f t="shared" si="1575"/>
        <v>0</v>
      </c>
      <c r="N2050" s="260">
        <f t="shared" si="1575"/>
        <v>0</v>
      </c>
      <c r="O2050" s="260">
        <f t="shared" si="1575"/>
        <v>0</v>
      </c>
      <c r="P2050" s="260">
        <f t="shared" si="1575"/>
        <v>0</v>
      </c>
      <c r="Q2050" s="260">
        <f t="shared" si="1575"/>
        <v>0</v>
      </c>
      <c r="R2050" s="260">
        <f t="shared" si="1575"/>
        <v>0</v>
      </c>
      <c r="S2050" s="260">
        <f t="shared" si="1575"/>
        <v>0</v>
      </c>
      <c r="T2050" s="260">
        <f t="shared" si="1575"/>
        <v>0</v>
      </c>
      <c r="U2050" s="260">
        <f t="shared" si="1575"/>
        <v>0</v>
      </c>
      <c r="V2050" s="260">
        <f t="shared" si="1575"/>
        <v>0</v>
      </c>
      <c r="W2050" s="260">
        <f t="shared" si="1575"/>
        <v>0</v>
      </c>
      <c r="X2050" s="260">
        <f t="shared" si="1575"/>
        <v>0</v>
      </c>
    </row>
    <row r="2051" spans="2:24" hidden="1">
      <c r="B2051" s="259">
        <f>B2038</f>
        <v>0</v>
      </c>
      <c r="C2051" s="259"/>
      <c r="D2051" s="259">
        <f t="shared" si="1574"/>
        <v>0</v>
      </c>
      <c r="E2051" s="259">
        <f t="shared" si="1574"/>
        <v>1900</v>
      </c>
      <c r="F2051" s="261">
        <f t="shared" si="1574"/>
        <v>0</v>
      </c>
      <c r="G2051" s="78"/>
      <c r="H2051" s="262"/>
      <c r="I2051" s="262"/>
      <c r="J2051" s="78" t="b">
        <f t="shared" si="1566"/>
        <v>0</v>
      </c>
      <c r="K2051" s="260">
        <f t="shared" si="1567"/>
        <v>0</v>
      </c>
      <c r="L2051" s="260">
        <f t="shared" ref="L2051:X2051" si="1576">IF(AND(LataProjekcji&lt;$E2051,LataProjekcji&gt;=$D2051),L2038+K2051,0)</f>
        <v>0</v>
      </c>
      <c r="M2051" s="260">
        <f t="shared" si="1576"/>
        <v>0</v>
      </c>
      <c r="N2051" s="260">
        <f t="shared" si="1576"/>
        <v>0</v>
      </c>
      <c r="O2051" s="260">
        <f t="shared" si="1576"/>
        <v>0</v>
      </c>
      <c r="P2051" s="260">
        <f t="shared" si="1576"/>
        <v>0</v>
      </c>
      <c r="Q2051" s="260">
        <f t="shared" si="1576"/>
        <v>0</v>
      </c>
      <c r="R2051" s="260">
        <f t="shared" si="1576"/>
        <v>0</v>
      </c>
      <c r="S2051" s="260">
        <f t="shared" si="1576"/>
        <v>0</v>
      </c>
      <c r="T2051" s="260">
        <f t="shared" si="1576"/>
        <v>0</v>
      </c>
      <c r="U2051" s="260">
        <f t="shared" si="1576"/>
        <v>0</v>
      </c>
      <c r="V2051" s="260">
        <f t="shared" si="1576"/>
        <v>0</v>
      </c>
      <c r="W2051" s="260">
        <f t="shared" si="1576"/>
        <v>0</v>
      </c>
      <c r="X2051" s="260">
        <f t="shared" si="1576"/>
        <v>0</v>
      </c>
    </row>
    <row r="2052" spans="2:24" hidden="1">
      <c r="B2052" s="259">
        <f>B2039</f>
        <v>0</v>
      </c>
      <c r="C2052" s="259"/>
      <c r="D2052" s="259">
        <f t="shared" si="1574"/>
        <v>0</v>
      </c>
      <c r="E2052" s="259">
        <f t="shared" si="1574"/>
        <v>1900</v>
      </c>
      <c r="F2052" s="261">
        <f t="shared" si="1574"/>
        <v>0</v>
      </c>
      <c r="G2052" s="78"/>
      <c r="H2052" s="262"/>
      <c r="I2052" s="262"/>
      <c r="J2052" s="78" t="b">
        <f t="shared" si="1566"/>
        <v>0</v>
      </c>
      <c r="K2052" s="260">
        <f t="shared" si="1567"/>
        <v>0</v>
      </c>
      <c r="L2052" s="260">
        <f t="shared" ref="L2052:X2052" si="1577">IF(AND(LataProjekcji&lt;$E2052,LataProjekcji&gt;=$D2052),L2039+K2052,0)</f>
        <v>0</v>
      </c>
      <c r="M2052" s="260">
        <f t="shared" si="1577"/>
        <v>0</v>
      </c>
      <c r="N2052" s="260">
        <f t="shared" si="1577"/>
        <v>0</v>
      </c>
      <c r="O2052" s="260">
        <f t="shared" si="1577"/>
        <v>0</v>
      </c>
      <c r="P2052" s="260">
        <f t="shared" si="1577"/>
        <v>0</v>
      </c>
      <c r="Q2052" s="260">
        <f t="shared" si="1577"/>
        <v>0</v>
      </c>
      <c r="R2052" s="260">
        <f t="shared" si="1577"/>
        <v>0</v>
      </c>
      <c r="S2052" s="260">
        <f t="shared" si="1577"/>
        <v>0</v>
      </c>
      <c r="T2052" s="260">
        <f t="shared" si="1577"/>
        <v>0</v>
      </c>
      <c r="U2052" s="260">
        <f t="shared" si="1577"/>
        <v>0</v>
      </c>
      <c r="V2052" s="260">
        <f t="shared" si="1577"/>
        <v>0</v>
      </c>
      <c r="W2052" s="260">
        <f t="shared" si="1577"/>
        <v>0</v>
      </c>
      <c r="X2052" s="260">
        <f t="shared" si="1577"/>
        <v>0</v>
      </c>
    </row>
    <row r="2053" spans="2:24" hidden="1">
      <c r="B2053" s="259">
        <f>B2040</f>
        <v>0</v>
      </c>
      <c r="C2053" s="259"/>
      <c r="D2053" s="259">
        <f t="shared" si="1574"/>
        <v>0</v>
      </c>
      <c r="E2053" s="259">
        <f t="shared" si="1574"/>
        <v>1900</v>
      </c>
      <c r="F2053" s="261">
        <f t="shared" si="1574"/>
        <v>0</v>
      </c>
      <c r="G2053" s="78"/>
      <c r="H2053" s="262"/>
      <c r="I2053" s="262"/>
      <c r="J2053" s="78" t="b">
        <f t="shared" si="1566"/>
        <v>0</v>
      </c>
      <c r="K2053" s="260">
        <f t="shared" si="1567"/>
        <v>0</v>
      </c>
      <c r="L2053" s="260">
        <f t="shared" ref="L2053:X2053" si="1578">IF(AND(LataProjekcji&lt;$E2053,LataProjekcji&gt;=$D2053),L2040+K2053,0)</f>
        <v>0</v>
      </c>
      <c r="M2053" s="260">
        <f t="shared" si="1578"/>
        <v>0</v>
      </c>
      <c r="N2053" s="260">
        <f t="shared" si="1578"/>
        <v>0</v>
      </c>
      <c r="O2053" s="260">
        <f t="shared" si="1578"/>
        <v>0</v>
      </c>
      <c r="P2053" s="260">
        <f t="shared" si="1578"/>
        <v>0</v>
      </c>
      <c r="Q2053" s="260">
        <f t="shared" si="1578"/>
        <v>0</v>
      </c>
      <c r="R2053" s="260">
        <f t="shared" si="1578"/>
        <v>0</v>
      </c>
      <c r="S2053" s="260">
        <f t="shared" si="1578"/>
        <v>0</v>
      </c>
      <c r="T2053" s="260">
        <f t="shared" si="1578"/>
        <v>0</v>
      </c>
      <c r="U2053" s="260">
        <f t="shared" si="1578"/>
        <v>0</v>
      </c>
      <c r="V2053" s="260">
        <f t="shared" si="1578"/>
        <v>0</v>
      </c>
      <c r="W2053" s="260">
        <f t="shared" si="1578"/>
        <v>0</v>
      </c>
      <c r="X2053" s="260">
        <f t="shared" si="1578"/>
        <v>0</v>
      </c>
    </row>
    <row r="2054" spans="2:24" hidden="1">
      <c r="B2054" s="259">
        <f>B2041</f>
        <v>0</v>
      </c>
      <c r="C2054" s="259"/>
      <c r="D2054" s="259">
        <f t="shared" si="1574"/>
        <v>0</v>
      </c>
      <c r="E2054" s="259">
        <f t="shared" si="1574"/>
        <v>1900</v>
      </c>
      <c r="F2054" s="261">
        <f t="shared" si="1574"/>
        <v>0</v>
      </c>
      <c r="G2054" s="78"/>
      <c r="H2054" s="262"/>
      <c r="I2054" s="262"/>
      <c r="J2054" s="78" t="b">
        <f t="shared" si="1566"/>
        <v>0</v>
      </c>
      <c r="K2054" s="260">
        <f t="shared" si="1567"/>
        <v>0</v>
      </c>
      <c r="L2054" s="260">
        <f t="shared" ref="L2054:X2054" si="1579">IF(AND(LataProjekcji&lt;$E2054,LataProjekcji&gt;=$D2054),L2041+K2054,0)</f>
        <v>0</v>
      </c>
      <c r="M2054" s="260">
        <f t="shared" si="1579"/>
        <v>0</v>
      </c>
      <c r="N2054" s="260">
        <f t="shared" si="1579"/>
        <v>0</v>
      </c>
      <c r="O2054" s="260">
        <f t="shared" si="1579"/>
        <v>0</v>
      </c>
      <c r="P2054" s="260">
        <f t="shared" si="1579"/>
        <v>0</v>
      </c>
      <c r="Q2054" s="260">
        <f t="shared" si="1579"/>
        <v>0</v>
      </c>
      <c r="R2054" s="260">
        <f t="shared" si="1579"/>
        <v>0</v>
      </c>
      <c r="S2054" s="260">
        <f t="shared" si="1579"/>
        <v>0</v>
      </c>
      <c r="T2054" s="260">
        <f t="shared" si="1579"/>
        <v>0</v>
      </c>
      <c r="U2054" s="260">
        <f t="shared" si="1579"/>
        <v>0</v>
      </c>
      <c r="V2054" s="260">
        <f t="shared" si="1579"/>
        <v>0</v>
      </c>
      <c r="W2054" s="260">
        <f t="shared" si="1579"/>
        <v>0</v>
      </c>
      <c r="X2054" s="260">
        <f t="shared" si="1579"/>
        <v>0</v>
      </c>
    </row>
    <row r="2055" spans="2:24" hidden="1">
      <c r="B2055" s="7" t="s">
        <v>335</v>
      </c>
      <c r="C2055" s="7"/>
      <c r="J2055" s="13"/>
      <c r="K2055" s="13">
        <f>SUM(K2045:K2054)</f>
        <v>0</v>
      </c>
      <c r="L2055" s="13">
        <f t="shared" ref="L2055:X2055" si="1580">SUM(L2045:L2054)</f>
        <v>0</v>
      </c>
      <c r="M2055" s="13">
        <f t="shared" si="1580"/>
        <v>0</v>
      </c>
      <c r="N2055" s="13">
        <f t="shared" si="1580"/>
        <v>0</v>
      </c>
      <c r="O2055" s="13">
        <f t="shared" si="1580"/>
        <v>0</v>
      </c>
      <c r="P2055" s="13">
        <f t="shared" si="1580"/>
        <v>0</v>
      </c>
      <c r="Q2055" s="13">
        <f t="shared" si="1580"/>
        <v>0</v>
      </c>
      <c r="R2055" s="13">
        <f t="shared" si="1580"/>
        <v>0</v>
      </c>
      <c r="S2055" s="13">
        <f t="shared" si="1580"/>
        <v>0</v>
      </c>
      <c r="T2055" s="13">
        <f t="shared" si="1580"/>
        <v>0</v>
      </c>
      <c r="U2055" s="13">
        <f t="shared" si="1580"/>
        <v>0</v>
      </c>
      <c r="V2055" s="13">
        <f t="shared" si="1580"/>
        <v>0</v>
      </c>
      <c r="W2055" s="13">
        <f t="shared" si="1580"/>
        <v>0</v>
      </c>
      <c r="X2055" s="13">
        <f t="shared" si="1580"/>
        <v>0</v>
      </c>
    </row>
    <row r="2057" spans="2:24" hidden="1">
      <c r="B2057" s="1" t="s">
        <v>442</v>
      </c>
      <c r="K2057" s="3" t="str">
        <f t="shared" ref="K2057:X2057" si="1581">LataProjekcji</f>
        <v>Uzupełnij dane</v>
      </c>
      <c r="L2057" s="3" t="str">
        <f t="shared" si="1581"/>
        <v/>
      </c>
      <c r="M2057" s="3" t="str">
        <f t="shared" si="1581"/>
        <v/>
      </c>
      <c r="N2057" s="3" t="str">
        <f t="shared" si="1581"/>
        <v/>
      </c>
      <c r="O2057" s="3" t="str">
        <f t="shared" si="1581"/>
        <v/>
      </c>
      <c r="P2057" s="3" t="str">
        <f t="shared" si="1581"/>
        <v/>
      </c>
      <c r="Q2057" s="3" t="str">
        <f t="shared" si="1581"/>
        <v/>
      </c>
      <c r="R2057" s="3" t="str">
        <f t="shared" si="1581"/>
        <v/>
      </c>
      <c r="S2057" s="3" t="str">
        <f t="shared" si="1581"/>
        <v/>
      </c>
      <c r="T2057" s="3" t="str">
        <f t="shared" si="1581"/>
        <v/>
      </c>
      <c r="U2057" s="3" t="str">
        <f t="shared" si="1581"/>
        <v/>
      </c>
      <c r="V2057" s="3" t="str">
        <f t="shared" si="1581"/>
        <v/>
      </c>
      <c r="W2057" s="3" t="str">
        <f t="shared" si="1581"/>
        <v/>
      </c>
      <c r="X2057" s="3" t="str">
        <f t="shared" si="1581"/>
        <v/>
      </c>
    </row>
    <row r="2058" spans="2:24" hidden="1">
      <c r="B2058" s="1">
        <f t="shared" ref="B2058:E2062" si="1582">B2045</f>
        <v>0</v>
      </c>
      <c r="D2058" s="1">
        <f t="shared" si="1582"/>
        <v>0</v>
      </c>
      <c r="E2058" s="1">
        <f t="shared" si="1582"/>
        <v>1900</v>
      </c>
      <c r="F2058" s="164">
        <f t="shared" ref="F2058:F2067" si="1583">F2032</f>
        <v>0</v>
      </c>
      <c r="G2058" s="22"/>
      <c r="H2058" s="21"/>
      <c r="I2058" s="21"/>
      <c r="J2058" s="22"/>
      <c r="K2058" s="5">
        <f t="shared" ref="K2058:X2058" si="1584">IF(LataProjekcji&lt;$E2058,ROUND(K2032*$F2058,0),0)</f>
        <v>0</v>
      </c>
      <c r="L2058" s="5">
        <f t="shared" si="1584"/>
        <v>0</v>
      </c>
      <c r="M2058" s="5">
        <f t="shared" si="1584"/>
        <v>0</v>
      </c>
      <c r="N2058" s="5">
        <f t="shared" si="1584"/>
        <v>0</v>
      </c>
      <c r="O2058" s="5">
        <f t="shared" si="1584"/>
        <v>0</v>
      </c>
      <c r="P2058" s="5">
        <f t="shared" si="1584"/>
        <v>0</v>
      </c>
      <c r="Q2058" s="5">
        <f t="shared" si="1584"/>
        <v>0</v>
      </c>
      <c r="R2058" s="5">
        <f t="shared" si="1584"/>
        <v>0</v>
      </c>
      <c r="S2058" s="5">
        <f t="shared" si="1584"/>
        <v>0</v>
      </c>
      <c r="T2058" s="5">
        <f t="shared" si="1584"/>
        <v>0</v>
      </c>
      <c r="U2058" s="5">
        <f t="shared" si="1584"/>
        <v>0</v>
      </c>
      <c r="V2058" s="5">
        <f t="shared" si="1584"/>
        <v>0</v>
      </c>
      <c r="W2058" s="5">
        <f t="shared" si="1584"/>
        <v>0</v>
      </c>
      <c r="X2058" s="5">
        <f t="shared" si="1584"/>
        <v>0</v>
      </c>
    </row>
    <row r="2059" spans="2:24" hidden="1">
      <c r="B2059" s="1">
        <f t="shared" si="1582"/>
        <v>0</v>
      </c>
      <c r="D2059" s="1">
        <f t="shared" si="1582"/>
        <v>0</v>
      </c>
      <c r="E2059" s="1">
        <f t="shared" si="1582"/>
        <v>1900</v>
      </c>
      <c r="F2059" s="164">
        <f t="shared" si="1583"/>
        <v>0</v>
      </c>
      <c r="G2059" s="22"/>
      <c r="H2059" s="21"/>
      <c r="I2059" s="21"/>
      <c r="J2059" s="22"/>
      <c r="K2059" s="5">
        <f t="shared" ref="K2059:X2059" si="1585">IF(LataProjekcji&lt;$E2059,ROUND(K2033*$F2059,0),0)</f>
        <v>0</v>
      </c>
      <c r="L2059" s="5">
        <f t="shared" si="1585"/>
        <v>0</v>
      </c>
      <c r="M2059" s="5">
        <f t="shared" si="1585"/>
        <v>0</v>
      </c>
      <c r="N2059" s="5">
        <f t="shared" si="1585"/>
        <v>0</v>
      </c>
      <c r="O2059" s="5">
        <f t="shared" si="1585"/>
        <v>0</v>
      </c>
      <c r="P2059" s="5">
        <f t="shared" si="1585"/>
        <v>0</v>
      </c>
      <c r="Q2059" s="5">
        <f t="shared" si="1585"/>
        <v>0</v>
      </c>
      <c r="R2059" s="5">
        <f t="shared" si="1585"/>
        <v>0</v>
      </c>
      <c r="S2059" s="5">
        <f t="shared" si="1585"/>
        <v>0</v>
      </c>
      <c r="T2059" s="5">
        <f t="shared" si="1585"/>
        <v>0</v>
      </c>
      <c r="U2059" s="5">
        <f t="shared" si="1585"/>
        <v>0</v>
      </c>
      <c r="V2059" s="5">
        <f t="shared" si="1585"/>
        <v>0</v>
      </c>
      <c r="W2059" s="5">
        <f t="shared" si="1585"/>
        <v>0</v>
      </c>
      <c r="X2059" s="5">
        <f t="shared" si="1585"/>
        <v>0</v>
      </c>
    </row>
    <row r="2060" spans="2:24" hidden="1">
      <c r="B2060" s="1">
        <f t="shared" si="1582"/>
        <v>0</v>
      </c>
      <c r="D2060" s="1">
        <f t="shared" si="1582"/>
        <v>0</v>
      </c>
      <c r="E2060" s="1">
        <f t="shared" si="1582"/>
        <v>1900</v>
      </c>
      <c r="F2060" s="164">
        <f t="shared" si="1583"/>
        <v>0</v>
      </c>
      <c r="G2060" s="22"/>
      <c r="H2060" s="21"/>
      <c r="I2060" s="21"/>
      <c r="J2060" s="22"/>
      <c r="K2060" s="5">
        <f t="shared" ref="K2060:X2060" si="1586">IF(LataProjekcji&lt;$E2060,ROUND(K2034*$F2060,0),0)</f>
        <v>0</v>
      </c>
      <c r="L2060" s="5">
        <f t="shared" si="1586"/>
        <v>0</v>
      </c>
      <c r="M2060" s="5">
        <f t="shared" si="1586"/>
        <v>0</v>
      </c>
      <c r="N2060" s="5">
        <f t="shared" si="1586"/>
        <v>0</v>
      </c>
      <c r="O2060" s="5">
        <f t="shared" si="1586"/>
        <v>0</v>
      </c>
      <c r="P2060" s="5">
        <f t="shared" si="1586"/>
        <v>0</v>
      </c>
      <c r="Q2060" s="5">
        <f t="shared" si="1586"/>
        <v>0</v>
      </c>
      <c r="R2060" s="5">
        <f t="shared" si="1586"/>
        <v>0</v>
      </c>
      <c r="S2060" s="5">
        <f t="shared" si="1586"/>
        <v>0</v>
      </c>
      <c r="T2060" s="5">
        <f t="shared" si="1586"/>
        <v>0</v>
      </c>
      <c r="U2060" s="5">
        <f t="shared" si="1586"/>
        <v>0</v>
      </c>
      <c r="V2060" s="5">
        <f t="shared" si="1586"/>
        <v>0</v>
      </c>
      <c r="W2060" s="5">
        <f t="shared" si="1586"/>
        <v>0</v>
      </c>
      <c r="X2060" s="5">
        <f t="shared" si="1586"/>
        <v>0</v>
      </c>
    </row>
    <row r="2061" spans="2:24" hidden="1">
      <c r="B2061" s="1">
        <f t="shared" si="1582"/>
        <v>0</v>
      </c>
      <c r="D2061" s="1">
        <f t="shared" si="1582"/>
        <v>0</v>
      </c>
      <c r="E2061" s="1">
        <f t="shared" si="1582"/>
        <v>1900</v>
      </c>
      <c r="F2061" s="164">
        <f t="shared" si="1583"/>
        <v>0</v>
      </c>
      <c r="G2061" s="22"/>
      <c r="H2061" s="21"/>
      <c r="I2061" s="21"/>
      <c r="J2061" s="22"/>
      <c r="K2061" s="5">
        <f t="shared" ref="K2061:X2061" si="1587">IF(LataProjekcji&lt;$E2061,ROUND(K2035*$F2061,0),0)</f>
        <v>0</v>
      </c>
      <c r="L2061" s="5">
        <f t="shared" si="1587"/>
        <v>0</v>
      </c>
      <c r="M2061" s="5">
        <f t="shared" si="1587"/>
        <v>0</v>
      </c>
      <c r="N2061" s="5">
        <f t="shared" si="1587"/>
        <v>0</v>
      </c>
      <c r="O2061" s="5">
        <f t="shared" si="1587"/>
        <v>0</v>
      </c>
      <c r="P2061" s="5">
        <f t="shared" si="1587"/>
        <v>0</v>
      </c>
      <c r="Q2061" s="5">
        <f t="shared" si="1587"/>
        <v>0</v>
      </c>
      <c r="R2061" s="5">
        <f t="shared" si="1587"/>
        <v>0</v>
      </c>
      <c r="S2061" s="5">
        <f t="shared" si="1587"/>
        <v>0</v>
      </c>
      <c r="T2061" s="5">
        <f t="shared" si="1587"/>
        <v>0</v>
      </c>
      <c r="U2061" s="5">
        <f t="shared" si="1587"/>
        <v>0</v>
      </c>
      <c r="V2061" s="5">
        <f t="shared" si="1587"/>
        <v>0</v>
      </c>
      <c r="W2061" s="5">
        <f t="shared" si="1587"/>
        <v>0</v>
      </c>
      <c r="X2061" s="5">
        <f t="shared" si="1587"/>
        <v>0</v>
      </c>
    </row>
    <row r="2062" spans="2:24" hidden="1">
      <c r="B2062" s="1">
        <f t="shared" si="1582"/>
        <v>0</v>
      </c>
      <c r="D2062" s="1">
        <f t="shared" si="1582"/>
        <v>0</v>
      </c>
      <c r="E2062" s="1">
        <f t="shared" si="1582"/>
        <v>1900</v>
      </c>
      <c r="F2062" s="164">
        <f t="shared" si="1583"/>
        <v>0</v>
      </c>
      <c r="G2062" s="22"/>
      <c r="H2062" s="21"/>
      <c r="I2062" s="21"/>
      <c r="J2062" s="22"/>
      <c r="K2062" s="5">
        <f t="shared" ref="K2062:X2062" si="1588">IF(LataProjekcji&lt;$E2062,ROUND(K2036*$F2062,0),0)</f>
        <v>0</v>
      </c>
      <c r="L2062" s="5">
        <f t="shared" si="1588"/>
        <v>0</v>
      </c>
      <c r="M2062" s="5">
        <f t="shared" si="1588"/>
        <v>0</v>
      </c>
      <c r="N2062" s="5">
        <f t="shared" si="1588"/>
        <v>0</v>
      </c>
      <c r="O2062" s="5">
        <f t="shared" si="1588"/>
        <v>0</v>
      </c>
      <c r="P2062" s="5">
        <f t="shared" si="1588"/>
        <v>0</v>
      </c>
      <c r="Q2062" s="5">
        <f t="shared" si="1588"/>
        <v>0</v>
      </c>
      <c r="R2062" s="5">
        <f t="shared" si="1588"/>
        <v>0</v>
      </c>
      <c r="S2062" s="5">
        <f t="shared" si="1588"/>
        <v>0</v>
      </c>
      <c r="T2062" s="5">
        <f t="shared" si="1588"/>
        <v>0</v>
      </c>
      <c r="U2062" s="5">
        <f t="shared" si="1588"/>
        <v>0</v>
      </c>
      <c r="V2062" s="5">
        <f t="shared" si="1588"/>
        <v>0</v>
      </c>
      <c r="W2062" s="5">
        <f t="shared" si="1588"/>
        <v>0</v>
      </c>
      <c r="X2062" s="5">
        <f t="shared" si="1588"/>
        <v>0</v>
      </c>
    </row>
    <row r="2063" spans="2:24" hidden="1">
      <c r="B2063" s="259">
        <f>B2050</f>
        <v>0</v>
      </c>
      <c r="C2063" s="259"/>
      <c r="D2063" s="259">
        <f t="shared" ref="D2063:E2067" si="1589">D2050</f>
        <v>0</v>
      </c>
      <c r="E2063" s="259">
        <f t="shared" si="1589"/>
        <v>1900</v>
      </c>
      <c r="F2063" s="261">
        <f t="shared" si="1583"/>
        <v>0</v>
      </c>
      <c r="G2063" s="78"/>
      <c r="H2063" s="262"/>
      <c r="I2063" s="262"/>
      <c r="J2063" s="78"/>
      <c r="K2063" s="260">
        <f t="shared" ref="K2063:X2063" si="1590">IF(LataProjekcji&lt;$E2063,ROUND(K2037*$F2063,0),0)</f>
        <v>0</v>
      </c>
      <c r="L2063" s="260">
        <f t="shared" si="1590"/>
        <v>0</v>
      </c>
      <c r="M2063" s="260">
        <f t="shared" si="1590"/>
        <v>0</v>
      </c>
      <c r="N2063" s="260">
        <f t="shared" si="1590"/>
        <v>0</v>
      </c>
      <c r="O2063" s="260">
        <f t="shared" si="1590"/>
        <v>0</v>
      </c>
      <c r="P2063" s="260">
        <f t="shared" si="1590"/>
        <v>0</v>
      </c>
      <c r="Q2063" s="260">
        <f t="shared" si="1590"/>
        <v>0</v>
      </c>
      <c r="R2063" s="260">
        <f t="shared" si="1590"/>
        <v>0</v>
      </c>
      <c r="S2063" s="260">
        <f t="shared" si="1590"/>
        <v>0</v>
      </c>
      <c r="T2063" s="260">
        <f t="shared" si="1590"/>
        <v>0</v>
      </c>
      <c r="U2063" s="260">
        <f t="shared" si="1590"/>
        <v>0</v>
      </c>
      <c r="V2063" s="260">
        <f t="shared" si="1590"/>
        <v>0</v>
      </c>
      <c r="W2063" s="260">
        <f t="shared" si="1590"/>
        <v>0</v>
      </c>
      <c r="X2063" s="260">
        <f t="shared" si="1590"/>
        <v>0</v>
      </c>
    </row>
    <row r="2064" spans="2:24" hidden="1">
      <c r="B2064" s="259">
        <f>B2051</f>
        <v>0</v>
      </c>
      <c r="C2064" s="259"/>
      <c r="D2064" s="259">
        <f t="shared" si="1589"/>
        <v>0</v>
      </c>
      <c r="E2064" s="259">
        <f t="shared" si="1589"/>
        <v>1900</v>
      </c>
      <c r="F2064" s="261">
        <f t="shared" si="1583"/>
        <v>0</v>
      </c>
      <c r="G2064" s="78"/>
      <c r="H2064" s="262"/>
      <c r="I2064" s="262"/>
      <c r="J2064" s="78"/>
      <c r="K2064" s="260">
        <f t="shared" ref="K2064:X2064" si="1591">IF(LataProjekcji&lt;$E2064,ROUND(K2038*$F2064,0),0)</f>
        <v>0</v>
      </c>
      <c r="L2064" s="260">
        <f t="shared" si="1591"/>
        <v>0</v>
      </c>
      <c r="M2064" s="260">
        <f t="shared" si="1591"/>
        <v>0</v>
      </c>
      <c r="N2064" s="260">
        <f t="shared" si="1591"/>
        <v>0</v>
      </c>
      <c r="O2064" s="260">
        <f t="shared" si="1591"/>
        <v>0</v>
      </c>
      <c r="P2064" s="260">
        <f t="shared" si="1591"/>
        <v>0</v>
      </c>
      <c r="Q2064" s="260">
        <f t="shared" si="1591"/>
        <v>0</v>
      </c>
      <c r="R2064" s="260">
        <f t="shared" si="1591"/>
        <v>0</v>
      </c>
      <c r="S2064" s="260">
        <f t="shared" si="1591"/>
        <v>0</v>
      </c>
      <c r="T2064" s="260">
        <f t="shared" si="1591"/>
        <v>0</v>
      </c>
      <c r="U2064" s="260">
        <f t="shared" si="1591"/>
        <v>0</v>
      </c>
      <c r="V2064" s="260">
        <f t="shared" si="1591"/>
        <v>0</v>
      </c>
      <c r="W2064" s="260">
        <f t="shared" si="1591"/>
        <v>0</v>
      </c>
      <c r="X2064" s="260">
        <f t="shared" si="1591"/>
        <v>0</v>
      </c>
    </row>
    <row r="2065" spans="2:24" hidden="1">
      <c r="B2065" s="259">
        <f>B2052</f>
        <v>0</v>
      </c>
      <c r="C2065" s="259"/>
      <c r="D2065" s="259">
        <f t="shared" si="1589"/>
        <v>0</v>
      </c>
      <c r="E2065" s="259">
        <f t="shared" si="1589"/>
        <v>1900</v>
      </c>
      <c r="F2065" s="261">
        <f t="shared" si="1583"/>
        <v>0</v>
      </c>
      <c r="G2065" s="78"/>
      <c r="H2065" s="262"/>
      <c r="I2065" s="262"/>
      <c r="J2065" s="78"/>
      <c r="K2065" s="260">
        <f t="shared" ref="K2065:X2065" si="1592">IF(LataProjekcji&lt;$E2065,ROUND(K2039*$F2065,0),0)</f>
        <v>0</v>
      </c>
      <c r="L2065" s="260">
        <f t="shared" si="1592"/>
        <v>0</v>
      </c>
      <c r="M2065" s="260">
        <f t="shared" si="1592"/>
        <v>0</v>
      </c>
      <c r="N2065" s="260">
        <f t="shared" si="1592"/>
        <v>0</v>
      </c>
      <c r="O2065" s="260">
        <f t="shared" si="1592"/>
        <v>0</v>
      </c>
      <c r="P2065" s="260">
        <f t="shared" si="1592"/>
        <v>0</v>
      </c>
      <c r="Q2065" s="260">
        <f t="shared" si="1592"/>
        <v>0</v>
      </c>
      <c r="R2065" s="260">
        <f t="shared" si="1592"/>
        <v>0</v>
      </c>
      <c r="S2065" s="260">
        <f t="shared" si="1592"/>
        <v>0</v>
      </c>
      <c r="T2065" s="260">
        <f t="shared" si="1592"/>
        <v>0</v>
      </c>
      <c r="U2065" s="260">
        <f t="shared" si="1592"/>
        <v>0</v>
      </c>
      <c r="V2065" s="260">
        <f t="shared" si="1592"/>
        <v>0</v>
      </c>
      <c r="W2065" s="260">
        <f t="shared" si="1592"/>
        <v>0</v>
      </c>
      <c r="X2065" s="260">
        <f t="shared" si="1592"/>
        <v>0</v>
      </c>
    </row>
    <row r="2066" spans="2:24" hidden="1">
      <c r="B2066" s="259">
        <f>B2053</f>
        <v>0</v>
      </c>
      <c r="C2066" s="259"/>
      <c r="D2066" s="259">
        <f t="shared" si="1589"/>
        <v>0</v>
      </c>
      <c r="E2066" s="259">
        <f t="shared" si="1589"/>
        <v>1900</v>
      </c>
      <c r="F2066" s="261">
        <f t="shared" si="1583"/>
        <v>0</v>
      </c>
      <c r="G2066" s="78"/>
      <c r="H2066" s="262"/>
      <c r="I2066" s="262"/>
      <c r="J2066" s="78"/>
      <c r="K2066" s="260">
        <f t="shared" ref="K2066:X2066" si="1593">IF(LataProjekcji&lt;$E2066,ROUND(K2040*$F2066,0),0)</f>
        <v>0</v>
      </c>
      <c r="L2066" s="260">
        <f t="shared" si="1593"/>
        <v>0</v>
      </c>
      <c r="M2066" s="260">
        <f t="shared" si="1593"/>
        <v>0</v>
      </c>
      <c r="N2066" s="260">
        <f t="shared" si="1593"/>
        <v>0</v>
      </c>
      <c r="O2066" s="260">
        <f t="shared" si="1593"/>
        <v>0</v>
      </c>
      <c r="P2066" s="260">
        <f t="shared" si="1593"/>
        <v>0</v>
      </c>
      <c r="Q2066" s="260">
        <f t="shared" si="1593"/>
        <v>0</v>
      </c>
      <c r="R2066" s="260">
        <f t="shared" si="1593"/>
        <v>0</v>
      </c>
      <c r="S2066" s="260">
        <f t="shared" si="1593"/>
        <v>0</v>
      </c>
      <c r="T2066" s="260">
        <f t="shared" si="1593"/>
        <v>0</v>
      </c>
      <c r="U2066" s="260">
        <f t="shared" si="1593"/>
        <v>0</v>
      </c>
      <c r="V2066" s="260">
        <f t="shared" si="1593"/>
        <v>0</v>
      </c>
      <c r="W2066" s="260">
        <f t="shared" si="1593"/>
        <v>0</v>
      </c>
      <c r="X2066" s="260">
        <f t="shared" si="1593"/>
        <v>0</v>
      </c>
    </row>
    <row r="2067" spans="2:24" hidden="1">
      <c r="B2067" s="259">
        <f>B2054</f>
        <v>0</v>
      </c>
      <c r="C2067" s="259"/>
      <c r="D2067" s="259">
        <f t="shared" si="1589"/>
        <v>0</v>
      </c>
      <c r="E2067" s="259">
        <f t="shared" si="1589"/>
        <v>1900</v>
      </c>
      <c r="F2067" s="261">
        <f t="shared" si="1583"/>
        <v>0</v>
      </c>
      <c r="G2067" s="78"/>
      <c r="H2067" s="262"/>
      <c r="I2067" s="262"/>
      <c r="J2067" s="78"/>
      <c r="K2067" s="260">
        <f t="shared" ref="K2067:X2067" si="1594">IF(LataProjekcji&lt;$E2067,ROUND(K2041*$F2067,0),0)</f>
        <v>0</v>
      </c>
      <c r="L2067" s="260">
        <f t="shared" si="1594"/>
        <v>0</v>
      </c>
      <c r="M2067" s="260">
        <f t="shared" si="1594"/>
        <v>0</v>
      </c>
      <c r="N2067" s="260">
        <f t="shared" si="1594"/>
        <v>0</v>
      </c>
      <c r="O2067" s="260">
        <f t="shared" si="1594"/>
        <v>0</v>
      </c>
      <c r="P2067" s="260">
        <f t="shared" si="1594"/>
        <v>0</v>
      </c>
      <c r="Q2067" s="260">
        <f t="shared" si="1594"/>
        <v>0</v>
      </c>
      <c r="R2067" s="260">
        <f t="shared" si="1594"/>
        <v>0</v>
      </c>
      <c r="S2067" s="260">
        <f t="shared" si="1594"/>
        <v>0</v>
      </c>
      <c r="T2067" s="260">
        <f t="shared" si="1594"/>
        <v>0</v>
      </c>
      <c r="U2067" s="260">
        <f t="shared" si="1594"/>
        <v>0</v>
      </c>
      <c r="V2067" s="260">
        <f t="shared" si="1594"/>
        <v>0</v>
      </c>
      <c r="W2067" s="260">
        <f t="shared" si="1594"/>
        <v>0</v>
      </c>
      <c r="X2067" s="260">
        <f t="shared" si="1594"/>
        <v>0</v>
      </c>
    </row>
    <row r="2068" spans="2:24" hidden="1">
      <c r="B2068" s="7" t="s">
        <v>335</v>
      </c>
      <c r="C2068" s="7"/>
      <c r="J2068" s="13"/>
      <c r="K2068" s="13">
        <f>SUM(K2058:K2067)</f>
        <v>0</v>
      </c>
      <c r="L2068" s="13">
        <f t="shared" ref="L2068:X2068" si="1595">SUM(L2058:L2067)</f>
        <v>0</v>
      </c>
      <c r="M2068" s="13">
        <f t="shared" si="1595"/>
        <v>0</v>
      </c>
      <c r="N2068" s="13">
        <f t="shared" si="1595"/>
        <v>0</v>
      </c>
      <c r="O2068" s="13">
        <f t="shared" si="1595"/>
        <v>0</v>
      </c>
      <c r="P2068" s="13">
        <f t="shared" si="1595"/>
        <v>0</v>
      </c>
      <c r="Q2068" s="13">
        <f t="shared" si="1595"/>
        <v>0</v>
      </c>
      <c r="R2068" s="13">
        <f t="shared" si="1595"/>
        <v>0</v>
      </c>
      <c r="S2068" s="13">
        <f t="shared" si="1595"/>
        <v>0</v>
      </c>
      <c r="T2068" s="13">
        <f t="shared" si="1595"/>
        <v>0</v>
      </c>
      <c r="U2068" s="13">
        <f t="shared" si="1595"/>
        <v>0</v>
      </c>
      <c r="V2068" s="13">
        <f t="shared" si="1595"/>
        <v>0</v>
      </c>
      <c r="W2068" s="13">
        <f t="shared" si="1595"/>
        <v>0</v>
      </c>
      <c r="X2068" s="13">
        <f t="shared" si="1595"/>
        <v>0</v>
      </c>
    </row>
    <row r="2069" spans="2:24" hidden="1">
      <c r="J2069" s="166" t="s">
        <v>443</v>
      </c>
      <c r="K2069" s="167">
        <f>K2068</f>
        <v>0</v>
      </c>
      <c r="L2069" s="167">
        <f>L2068+K2069</f>
        <v>0</v>
      </c>
      <c r="M2069" s="167">
        <f t="shared" ref="M2069:X2069" si="1596">M2068+L2069</f>
        <v>0</v>
      </c>
      <c r="N2069" s="167">
        <f t="shared" si="1596"/>
        <v>0</v>
      </c>
      <c r="O2069" s="167">
        <f t="shared" si="1596"/>
        <v>0</v>
      </c>
      <c r="P2069" s="167">
        <f t="shared" si="1596"/>
        <v>0</v>
      </c>
      <c r="Q2069" s="167">
        <f t="shared" si="1596"/>
        <v>0</v>
      </c>
      <c r="R2069" s="167">
        <f t="shared" si="1596"/>
        <v>0</v>
      </c>
      <c r="S2069" s="167">
        <f t="shared" si="1596"/>
        <v>0</v>
      </c>
      <c r="T2069" s="167">
        <f t="shared" si="1596"/>
        <v>0</v>
      </c>
      <c r="U2069" s="167">
        <f t="shared" si="1596"/>
        <v>0</v>
      </c>
      <c r="V2069" s="167">
        <f t="shared" si="1596"/>
        <v>0</v>
      </c>
      <c r="W2069" s="167">
        <f t="shared" si="1596"/>
        <v>0</v>
      </c>
      <c r="X2069" s="167">
        <f t="shared" si="1596"/>
        <v>0</v>
      </c>
    </row>
    <row r="2071" spans="2:24" hidden="1">
      <c r="B2071" s="255" t="s">
        <v>444</v>
      </c>
      <c r="C2071" s="255"/>
      <c r="K2071" s="3" t="str">
        <f t="shared" ref="K2071:X2071" si="1597">LataProjekcji</f>
        <v>Uzupełnij dane</v>
      </c>
      <c r="L2071" s="3" t="str">
        <f t="shared" si="1597"/>
        <v/>
      </c>
      <c r="M2071" s="3" t="str">
        <f t="shared" si="1597"/>
        <v/>
      </c>
      <c r="N2071" s="3" t="str">
        <f t="shared" si="1597"/>
        <v/>
      </c>
      <c r="O2071" s="3" t="str">
        <f t="shared" si="1597"/>
        <v/>
      </c>
      <c r="P2071" s="3" t="str">
        <f t="shared" si="1597"/>
        <v/>
      </c>
      <c r="Q2071" s="3" t="str">
        <f t="shared" si="1597"/>
        <v/>
      </c>
      <c r="R2071" s="3" t="str">
        <f t="shared" si="1597"/>
        <v/>
      </c>
      <c r="S2071" s="3" t="str">
        <f t="shared" si="1597"/>
        <v/>
      </c>
      <c r="T2071" s="3" t="str">
        <f t="shared" si="1597"/>
        <v/>
      </c>
      <c r="U2071" s="3" t="str">
        <f t="shared" si="1597"/>
        <v/>
      </c>
      <c r="V2071" s="3" t="str">
        <f t="shared" si="1597"/>
        <v/>
      </c>
      <c r="W2071" s="3" t="str">
        <f t="shared" si="1597"/>
        <v/>
      </c>
      <c r="X2071" s="3" t="str">
        <f t="shared" si="1597"/>
        <v/>
      </c>
    </row>
    <row r="2072" spans="2:24" hidden="1">
      <c r="B2072" s="1">
        <f t="shared" ref="B2072:F2076" si="1598">B2058</f>
        <v>0</v>
      </c>
      <c r="D2072" s="1">
        <f t="shared" si="1598"/>
        <v>0</v>
      </c>
      <c r="E2072" s="1">
        <f t="shared" si="1598"/>
        <v>1900</v>
      </c>
      <c r="F2072" s="164">
        <f t="shared" si="1598"/>
        <v>0</v>
      </c>
      <c r="G2072" s="22"/>
      <c r="H2072" s="21"/>
      <c r="I2072" s="21"/>
      <c r="J2072" s="22"/>
      <c r="K2072" s="5">
        <f t="shared" ref="K2072:K2081" si="1599">K2058</f>
        <v>0</v>
      </c>
      <c r="L2072" s="278">
        <f t="shared" ref="L2072:X2072" si="1600">IF(LataProjekcji&lt;$E2072,ROUND(K2072+L2058,0),0)</f>
        <v>0</v>
      </c>
      <c r="M2072" s="278">
        <f t="shared" si="1600"/>
        <v>0</v>
      </c>
      <c r="N2072" s="278">
        <f t="shared" si="1600"/>
        <v>0</v>
      </c>
      <c r="O2072" s="278">
        <f t="shared" si="1600"/>
        <v>0</v>
      </c>
      <c r="P2072" s="278">
        <f t="shared" si="1600"/>
        <v>0</v>
      </c>
      <c r="Q2072" s="278">
        <f t="shared" si="1600"/>
        <v>0</v>
      </c>
      <c r="R2072" s="278">
        <f t="shared" si="1600"/>
        <v>0</v>
      </c>
      <c r="S2072" s="278">
        <f t="shared" si="1600"/>
        <v>0</v>
      </c>
      <c r="T2072" s="278">
        <f t="shared" si="1600"/>
        <v>0</v>
      </c>
      <c r="U2072" s="278">
        <f t="shared" si="1600"/>
        <v>0</v>
      </c>
      <c r="V2072" s="278">
        <f t="shared" si="1600"/>
        <v>0</v>
      </c>
      <c r="W2072" s="278">
        <f t="shared" si="1600"/>
        <v>0</v>
      </c>
      <c r="X2072" s="278">
        <f t="shared" si="1600"/>
        <v>0</v>
      </c>
    </row>
    <row r="2073" spans="2:24" hidden="1">
      <c r="B2073" s="1">
        <f t="shared" si="1598"/>
        <v>0</v>
      </c>
      <c r="D2073" s="1">
        <f t="shared" si="1598"/>
        <v>0</v>
      </c>
      <c r="E2073" s="1">
        <f t="shared" si="1598"/>
        <v>1900</v>
      </c>
      <c r="F2073" s="164">
        <f t="shared" si="1598"/>
        <v>0</v>
      </c>
      <c r="G2073" s="22"/>
      <c r="H2073" s="21"/>
      <c r="I2073" s="21"/>
      <c r="J2073" s="22"/>
      <c r="K2073" s="5">
        <f t="shared" si="1599"/>
        <v>0</v>
      </c>
      <c r="L2073" s="5">
        <f t="shared" ref="L2073:X2073" si="1601">IF(LataProjekcji&lt;$E2073,ROUND(K2073+L2059,0),0)</f>
        <v>0</v>
      </c>
      <c r="M2073" s="5">
        <f t="shared" si="1601"/>
        <v>0</v>
      </c>
      <c r="N2073" s="5">
        <f t="shared" si="1601"/>
        <v>0</v>
      </c>
      <c r="O2073" s="5">
        <f t="shared" si="1601"/>
        <v>0</v>
      </c>
      <c r="P2073" s="5">
        <f t="shared" si="1601"/>
        <v>0</v>
      </c>
      <c r="Q2073" s="5">
        <f t="shared" si="1601"/>
        <v>0</v>
      </c>
      <c r="R2073" s="5">
        <f t="shared" si="1601"/>
        <v>0</v>
      </c>
      <c r="S2073" s="5">
        <f t="shared" si="1601"/>
        <v>0</v>
      </c>
      <c r="T2073" s="5">
        <f t="shared" si="1601"/>
        <v>0</v>
      </c>
      <c r="U2073" s="5">
        <f t="shared" si="1601"/>
        <v>0</v>
      </c>
      <c r="V2073" s="5">
        <f t="shared" si="1601"/>
        <v>0</v>
      </c>
      <c r="W2073" s="5">
        <f t="shared" si="1601"/>
        <v>0</v>
      </c>
      <c r="X2073" s="5">
        <f t="shared" si="1601"/>
        <v>0</v>
      </c>
    </row>
    <row r="2074" spans="2:24" hidden="1">
      <c r="B2074" s="1">
        <f t="shared" si="1598"/>
        <v>0</v>
      </c>
      <c r="D2074" s="1">
        <f t="shared" si="1598"/>
        <v>0</v>
      </c>
      <c r="E2074" s="1">
        <f t="shared" si="1598"/>
        <v>1900</v>
      </c>
      <c r="F2074" s="164">
        <f t="shared" si="1598"/>
        <v>0</v>
      </c>
      <c r="G2074" s="22"/>
      <c r="H2074" s="21"/>
      <c r="I2074" s="21"/>
      <c r="J2074" s="22"/>
      <c r="K2074" s="5">
        <f t="shared" si="1599"/>
        <v>0</v>
      </c>
      <c r="L2074" s="5">
        <f t="shared" ref="L2074:X2074" si="1602">IF(LataProjekcji&lt;$E2074,ROUND(K2074+L2060,0),0)</f>
        <v>0</v>
      </c>
      <c r="M2074" s="5">
        <f t="shared" si="1602"/>
        <v>0</v>
      </c>
      <c r="N2074" s="5">
        <f t="shared" si="1602"/>
        <v>0</v>
      </c>
      <c r="O2074" s="5">
        <f t="shared" si="1602"/>
        <v>0</v>
      </c>
      <c r="P2074" s="5">
        <f t="shared" si="1602"/>
        <v>0</v>
      </c>
      <c r="Q2074" s="5">
        <f t="shared" si="1602"/>
        <v>0</v>
      </c>
      <c r="R2074" s="5">
        <f t="shared" si="1602"/>
        <v>0</v>
      </c>
      <c r="S2074" s="5">
        <f t="shared" si="1602"/>
        <v>0</v>
      </c>
      <c r="T2074" s="5">
        <f t="shared" si="1602"/>
        <v>0</v>
      </c>
      <c r="U2074" s="5">
        <f t="shared" si="1602"/>
        <v>0</v>
      </c>
      <c r="V2074" s="5">
        <f t="shared" si="1602"/>
        <v>0</v>
      </c>
      <c r="W2074" s="5">
        <f t="shared" si="1602"/>
        <v>0</v>
      </c>
      <c r="X2074" s="5">
        <f t="shared" si="1602"/>
        <v>0</v>
      </c>
    </row>
    <row r="2075" spans="2:24" hidden="1">
      <c r="B2075" s="1">
        <f t="shared" si="1598"/>
        <v>0</v>
      </c>
      <c r="D2075" s="1">
        <f t="shared" si="1598"/>
        <v>0</v>
      </c>
      <c r="E2075" s="1">
        <f t="shared" si="1598"/>
        <v>1900</v>
      </c>
      <c r="F2075" s="164">
        <f t="shared" si="1598"/>
        <v>0</v>
      </c>
      <c r="G2075" s="22"/>
      <c r="H2075" s="21"/>
      <c r="I2075" s="21"/>
      <c r="J2075" s="22"/>
      <c r="K2075" s="5">
        <f t="shared" si="1599"/>
        <v>0</v>
      </c>
      <c r="L2075" s="5">
        <f t="shared" ref="L2075:X2075" si="1603">IF(LataProjekcji&lt;$E2075,ROUND(K2075+L2061,0),0)</f>
        <v>0</v>
      </c>
      <c r="M2075" s="5">
        <f t="shared" si="1603"/>
        <v>0</v>
      </c>
      <c r="N2075" s="5">
        <f t="shared" si="1603"/>
        <v>0</v>
      </c>
      <c r="O2075" s="5">
        <f t="shared" si="1603"/>
        <v>0</v>
      </c>
      <c r="P2075" s="5">
        <f t="shared" si="1603"/>
        <v>0</v>
      </c>
      <c r="Q2075" s="5">
        <f t="shared" si="1603"/>
        <v>0</v>
      </c>
      <c r="R2075" s="5">
        <f t="shared" si="1603"/>
        <v>0</v>
      </c>
      <c r="S2075" s="5">
        <f t="shared" si="1603"/>
        <v>0</v>
      </c>
      <c r="T2075" s="5">
        <f t="shared" si="1603"/>
        <v>0</v>
      </c>
      <c r="U2075" s="5">
        <f t="shared" si="1603"/>
        <v>0</v>
      </c>
      <c r="V2075" s="5">
        <f t="shared" si="1603"/>
        <v>0</v>
      </c>
      <c r="W2075" s="5">
        <f t="shared" si="1603"/>
        <v>0</v>
      </c>
      <c r="X2075" s="5">
        <f t="shared" si="1603"/>
        <v>0</v>
      </c>
    </row>
    <row r="2076" spans="2:24" hidden="1">
      <c r="B2076" s="1">
        <f t="shared" si="1598"/>
        <v>0</v>
      </c>
      <c r="D2076" s="1">
        <f t="shared" si="1598"/>
        <v>0</v>
      </c>
      <c r="E2076" s="1">
        <f t="shared" si="1598"/>
        <v>1900</v>
      </c>
      <c r="F2076" s="164">
        <f t="shared" si="1598"/>
        <v>0</v>
      </c>
      <c r="G2076" s="22"/>
      <c r="H2076" s="21"/>
      <c r="I2076" s="21"/>
      <c r="J2076" s="22"/>
      <c r="K2076" s="5">
        <f t="shared" si="1599"/>
        <v>0</v>
      </c>
      <c r="L2076" s="5">
        <f t="shared" ref="L2076:X2076" si="1604">IF(LataProjekcji&lt;$E2076,ROUND(K2076+L2062,0),0)</f>
        <v>0</v>
      </c>
      <c r="M2076" s="5">
        <f t="shared" si="1604"/>
        <v>0</v>
      </c>
      <c r="N2076" s="5">
        <f t="shared" si="1604"/>
        <v>0</v>
      </c>
      <c r="O2076" s="5">
        <f t="shared" si="1604"/>
        <v>0</v>
      </c>
      <c r="P2076" s="5">
        <f t="shared" si="1604"/>
        <v>0</v>
      </c>
      <c r="Q2076" s="5">
        <f t="shared" si="1604"/>
        <v>0</v>
      </c>
      <c r="R2076" s="5">
        <f t="shared" si="1604"/>
        <v>0</v>
      </c>
      <c r="S2076" s="5">
        <f t="shared" si="1604"/>
        <v>0</v>
      </c>
      <c r="T2076" s="5">
        <f t="shared" si="1604"/>
        <v>0</v>
      </c>
      <c r="U2076" s="5">
        <f t="shared" si="1604"/>
        <v>0</v>
      </c>
      <c r="V2076" s="5">
        <f t="shared" si="1604"/>
        <v>0</v>
      </c>
      <c r="W2076" s="5">
        <f t="shared" si="1604"/>
        <v>0</v>
      </c>
      <c r="X2076" s="5">
        <f t="shared" si="1604"/>
        <v>0</v>
      </c>
    </row>
    <row r="2077" spans="2:24" hidden="1">
      <c r="B2077" s="259">
        <f>B2063</f>
        <v>0</v>
      </c>
      <c r="C2077" s="259"/>
      <c r="D2077" s="259">
        <f t="shared" ref="D2077:F2081" si="1605">D2063</f>
        <v>0</v>
      </c>
      <c r="E2077" s="259">
        <f t="shared" si="1605"/>
        <v>1900</v>
      </c>
      <c r="F2077" s="261">
        <f t="shared" si="1605"/>
        <v>0</v>
      </c>
      <c r="G2077" s="78"/>
      <c r="H2077" s="262"/>
      <c r="I2077" s="262"/>
      <c r="J2077" s="78"/>
      <c r="K2077" s="260">
        <f t="shared" si="1599"/>
        <v>0</v>
      </c>
      <c r="L2077" s="260">
        <f t="shared" ref="L2077:X2077" si="1606">IF(LataProjekcji&lt;$E2077,ROUND(K2077+L2063,0),0)</f>
        <v>0</v>
      </c>
      <c r="M2077" s="260">
        <f t="shared" si="1606"/>
        <v>0</v>
      </c>
      <c r="N2077" s="260">
        <f t="shared" si="1606"/>
        <v>0</v>
      </c>
      <c r="O2077" s="260">
        <f t="shared" si="1606"/>
        <v>0</v>
      </c>
      <c r="P2077" s="260">
        <f t="shared" si="1606"/>
        <v>0</v>
      </c>
      <c r="Q2077" s="260">
        <f t="shared" si="1606"/>
        <v>0</v>
      </c>
      <c r="R2077" s="260">
        <f t="shared" si="1606"/>
        <v>0</v>
      </c>
      <c r="S2077" s="260">
        <f t="shared" si="1606"/>
        <v>0</v>
      </c>
      <c r="T2077" s="260">
        <f t="shared" si="1606"/>
        <v>0</v>
      </c>
      <c r="U2077" s="260">
        <f t="shared" si="1606"/>
        <v>0</v>
      </c>
      <c r="V2077" s="260">
        <f t="shared" si="1606"/>
        <v>0</v>
      </c>
      <c r="W2077" s="260">
        <f t="shared" si="1606"/>
        <v>0</v>
      </c>
      <c r="X2077" s="260">
        <f t="shared" si="1606"/>
        <v>0</v>
      </c>
    </row>
    <row r="2078" spans="2:24" hidden="1">
      <c r="B2078" s="259">
        <f>B2064</f>
        <v>0</v>
      </c>
      <c r="C2078" s="259"/>
      <c r="D2078" s="259">
        <f t="shared" si="1605"/>
        <v>0</v>
      </c>
      <c r="E2078" s="259">
        <f t="shared" si="1605"/>
        <v>1900</v>
      </c>
      <c r="F2078" s="261">
        <f t="shared" si="1605"/>
        <v>0</v>
      </c>
      <c r="G2078" s="78"/>
      <c r="H2078" s="262"/>
      <c r="I2078" s="262"/>
      <c r="J2078" s="78"/>
      <c r="K2078" s="260">
        <f t="shared" si="1599"/>
        <v>0</v>
      </c>
      <c r="L2078" s="260">
        <f t="shared" ref="L2078:X2078" si="1607">IF(LataProjekcji&lt;$E2078,ROUND(K2078+L2064,0),0)</f>
        <v>0</v>
      </c>
      <c r="M2078" s="260">
        <f t="shared" si="1607"/>
        <v>0</v>
      </c>
      <c r="N2078" s="260">
        <f t="shared" si="1607"/>
        <v>0</v>
      </c>
      <c r="O2078" s="260">
        <f t="shared" si="1607"/>
        <v>0</v>
      </c>
      <c r="P2078" s="260">
        <f t="shared" si="1607"/>
        <v>0</v>
      </c>
      <c r="Q2078" s="260">
        <f t="shared" si="1607"/>
        <v>0</v>
      </c>
      <c r="R2078" s="260">
        <f t="shared" si="1607"/>
        <v>0</v>
      </c>
      <c r="S2078" s="260">
        <f t="shared" si="1607"/>
        <v>0</v>
      </c>
      <c r="T2078" s="260">
        <f t="shared" si="1607"/>
        <v>0</v>
      </c>
      <c r="U2078" s="260">
        <f t="shared" si="1607"/>
        <v>0</v>
      </c>
      <c r="V2078" s="260">
        <f t="shared" si="1607"/>
        <v>0</v>
      </c>
      <c r="W2078" s="260">
        <f t="shared" si="1607"/>
        <v>0</v>
      </c>
      <c r="X2078" s="260">
        <f t="shared" si="1607"/>
        <v>0</v>
      </c>
    </row>
    <row r="2079" spans="2:24" hidden="1">
      <c r="B2079" s="259">
        <f>B2065</f>
        <v>0</v>
      </c>
      <c r="C2079" s="259"/>
      <c r="D2079" s="259">
        <f t="shared" si="1605"/>
        <v>0</v>
      </c>
      <c r="E2079" s="259">
        <f t="shared" si="1605"/>
        <v>1900</v>
      </c>
      <c r="F2079" s="261">
        <f t="shared" si="1605"/>
        <v>0</v>
      </c>
      <c r="G2079" s="78"/>
      <c r="H2079" s="262"/>
      <c r="I2079" s="262"/>
      <c r="J2079" s="78"/>
      <c r="K2079" s="260">
        <f t="shared" si="1599"/>
        <v>0</v>
      </c>
      <c r="L2079" s="260">
        <f t="shared" ref="L2079:X2079" si="1608">IF(LataProjekcji&lt;$E2079,ROUND(K2079+L2065,0),0)</f>
        <v>0</v>
      </c>
      <c r="M2079" s="260">
        <f t="shared" si="1608"/>
        <v>0</v>
      </c>
      <c r="N2079" s="260">
        <f t="shared" si="1608"/>
        <v>0</v>
      </c>
      <c r="O2079" s="260">
        <f t="shared" si="1608"/>
        <v>0</v>
      </c>
      <c r="P2079" s="260">
        <f t="shared" si="1608"/>
        <v>0</v>
      </c>
      <c r="Q2079" s="260">
        <f t="shared" si="1608"/>
        <v>0</v>
      </c>
      <c r="R2079" s="260">
        <f t="shared" si="1608"/>
        <v>0</v>
      </c>
      <c r="S2079" s="260">
        <f t="shared" si="1608"/>
        <v>0</v>
      </c>
      <c r="T2079" s="260">
        <f t="shared" si="1608"/>
        <v>0</v>
      </c>
      <c r="U2079" s="260">
        <f t="shared" si="1608"/>
        <v>0</v>
      </c>
      <c r="V2079" s="260">
        <f t="shared" si="1608"/>
        <v>0</v>
      </c>
      <c r="W2079" s="260">
        <f t="shared" si="1608"/>
        <v>0</v>
      </c>
      <c r="X2079" s="260">
        <f t="shared" si="1608"/>
        <v>0</v>
      </c>
    </row>
    <row r="2080" spans="2:24" hidden="1">
      <c r="B2080" s="259">
        <f>B2066</f>
        <v>0</v>
      </c>
      <c r="C2080" s="259"/>
      <c r="D2080" s="259">
        <f t="shared" si="1605"/>
        <v>0</v>
      </c>
      <c r="E2080" s="259">
        <f t="shared" si="1605"/>
        <v>1900</v>
      </c>
      <c r="F2080" s="261">
        <f t="shared" si="1605"/>
        <v>0</v>
      </c>
      <c r="G2080" s="78"/>
      <c r="H2080" s="262"/>
      <c r="I2080" s="262"/>
      <c r="J2080" s="78"/>
      <c r="K2080" s="260">
        <f t="shared" si="1599"/>
        <v>0</v>
      </c>
      <c r="L2080" s="260">
        <f t="shared" ref="L2080:X2080" si="1609">IF(LataProjekcji&lt;$E2080,ROUND(K2080+L2066,0),0)</f>
        <v>0</v>
      </c>
      <c r="M2080" s="260">
        <f t="shared" si="1609"/>
        <v>0</v>
      </c>
      <c r="N2080" s="260">
        <f t="shared" si="1609"/>
        <v>0</v>
      </c>
      <c r="O2080" s="260">
        <f t="shared" si="1609"/>
        <v>0</v>
      </c>
      <c r="P2080" s="260">
        <f t="shared" si="1609"/>
        <v>0</v>
      </c>
      <c r="Q2080" s="260">
        <f t="shared" si="1609"/>
        <v>0</v>
      </c>
      <c r="R2080" s="260">
        <f t="shared" si="1609"/>
        <v>0</v>
      </c>
      <c r="S2080" s="260">
        <f t="shared" si="1609"/>
        <v>0</v>
      </c>
      <c r="T2080" s="260">
        <f t="shared" si="1609"/>
        <v>0</v>
      </c>
      <c r="U2080" s="260">
        <f t="shared" si="1609"/>
        <v>0</v>
      </c>
      <c r="V2080" s="260">
        <f t="shared" si="1609"/>
        <v>0</v>
      </c>
      <c r="W2080" s="260">
        <f t="shared" si="1609"/>
        <v>0</v>
      </c>
      <c r="X2080" s="260">
        <f t="shared" si="1609"/>
        <v>0</v>
      </c>
    </row>
    <row r="2081" spans="2:24" hidden="1">
      <c r="B2081" s="259">
        <f>B2067</f>
        <v>0</v>
      </c>
      <c r="C2081" s="259"/>
      <c r="D2081" s="259">
        <f t="shared" si="1605"/>
        <v>0</v>
      </c>
      <c r="E2081" s="259">
        <f t="shared" si="1605"/>
        <v>1900</v>
      </c>
      <c r="F2081" s="261">
        <f t="shared" si="1605"/>
        <v>0</v>
      </c>
      <c r="G2081" s="78"/>
      <c r="H2081" s="262"/>
      <c r="I2081" s="262"/>
      <c r="J2081" s="78"/>
      <c r="K2081" s="260">
        <f t="shared" si="1599"/>
        <v>0</v>
      </c>
      <c r="L2081" s="260">
        <f t="shared" ref="L2081:X2081" si="1610">IF(LataProjekcji&lt;$E2081,ROUND(K2081+L2067,0),0)</f>
        <v>0</v>
      </c>
      <c r="M2081" s="260">
        <f t="shared" si="1610"/>
        <v>0</v>
      </c>
      <c r="N2081" s="260">
        <f t="shared" si="1610"/>
        <v>0</v>
      </c>
      <c r="O2081" s="260">
        <f t="shared" si="1610"/>
        <v>0</v>
      </c>
      <c r="P2081" s="260">
        <f t="shared" si="1610"/>
        <v>0</v>
      </c>
      <c r="Q2081" s="260">
        <f t="shared" si="1610"/>
        <v>0</v>
      </c>
      <c r="R2081" s="260">
        <f t="shared" si="1610"/>
        <v>0</v>
      </c>
      <c r="S2081" s="260">
        <f t="shared" si="1610"/>
        <v>0</v>
      </c>
      <c r="T2081" s="260">
        <f t="shared" si="1610"/>
        <v>0</v>
      </c>
      <c r="U2081" s="260">
        <f t="shared" si="1610"/>
        <v>0</v>
      </c>
      <c r="V2081" s="260">
        <f t="shared" si="1610"/>
        <v>0</v>
      </c>
      <c r="W2081" s="260">
        <f t="shared" si="1610"/>
        <v>0</v>
      </c>
      <c r="X2081" s="260">
        <f t="shared" si="1610"/>
        <v>0</v>
      </c>
    </row>
    <row r="2082" spans="2:24" hidden="1">
      <c r="B2082" s="7" t="s">
        <v>335</v>
      </c>
      <c r="C2082" s="7"/>
      <c r="J2082" s="256" t="s">
        <v>443</v>
      </c>
      <c r="K2082" s="257">
        <f>SUM(K2072:K2081)</f>
        <v>0</v>
      </c>
      <c r="L2082" s="257">
        <f t="shared" ref="L2082:X2082" si="1611">SUM(L2072:L2081)</f>
        <v>0</v>
      </c>
      <c r="M2082" s="257">
        <f t="shared" si="1611"/>
        <v>0</v>
      </c>
      <c r="N2082" s="257">
        <f t="shared" si="1611"/>
        <v>0</v>
      </c>
      <c r="O2082" s="257">
        <f t="shared" si="1611"/>
        <v>0</v>
      </c>
      <c r="P2082" s="257">
        <f t="shared" si="1611"/>
        <v>0</v>
      </c>
      <c r="Q2082" s="257">
        <f t="shared" si="1611"/>
        <v>0</v>
      </c>
      <c r="R2082" s="257">
        <f t="shared" si="1611"/>
        <v>0</v>
      </c>
      <c r="S2082" s="257">
        <f t="shared" si="1611"/>
        <v>0</v>
      </c>
      <c r="T2082" s="257">
        <f t="shared" si="1611"/>
        <v>0</v>
      </c>
      <c r="U2082" s="257">
        <f t="shared" si="1611"/>
        <v>0</v>
      </c>
      <c r="V2082" s="257">
        <f t="shared" si="1611"/>
        <v>0</v>
      </c>
      <c r="W2082" s="257">
        <f t="shared" si="1611"/>
        <v>0</v>
      </c>
      <c r="X2082" s="257">
        <f t="shared" si="1611"/>
        <v>0</v>
      </c>
    </row>
    <row r="2083" spans="2:24" hidden="1">
      <c r="J2083" s="166"/>
      <c r="K2083" s="167"/>
      <c r="L2083" s="167"/>
      <c r="M2083" s="167"/>
      <c r="N2083" s="167"/>
      <c r="O2083" s="167"/>
      <c r="P2083" s="167"/>
      <c r="Q2083" s="167"/>
      <c r="R2083" s="167"/>
      <c r="S2083" s="167"/>
      <c r="T2083" s="167"/>
      <c r="U2083" s="167"/>
      <c r="V2083" s="167"/>
      <c r="W2083" s="167"/>
      <c r="X2083" s="167"/>
    </row>
    <row r="2085" spans="2:24" hidden="1">
      <c r="B2085" s="258" t="s">
        <v>445</v>
      </c>
      <c r="C2085" s="258"/>
      <c r="K2085" s="3" t="str">
        <f t="shared" ref="K2085:X2085" si="1612">LataProjekcji</f>
        <v>Uzupełnij dane</v>
      </c>
      <c r="L2085" s="3" t="str">
        <f t="shared" si="1612"/>
        <v/>
      </c>
      <c r="M2085" s="3" t="str">
        <f t="shared" si="1612"/>
        <v/>
      </c>
      <c r="N2085" s="3" t="str">
        <f t="shared" si="1612"/>
        <v/>
      </c>
      <c r="O2085" s="3" t="str">
        <f t="shared" si="1612"/>
        <v/>
      </c>
      <c r="P2085" s="3" t="str">
        <f t="shared" si="1612"/>
        <v/>
      </c>
      <c r="Q2085" s="3" t="str">
        <f t="shared" si="1612"/>
        <v/>
      </c>
      <c r="R2085" s="3" t="str">
        <f t="shared" si="1612"/>
        <v/>
      </c>
      <c r="S2085" s="3" t="str">
        <f t="shared" si="1612"/>
        <v/>
      </c>
      <c r="T2085" s="3" t="str">
        <f t="shared" si="1612"/>
        <v/>
      </c>
      <c r="U2085" s="3" t="str">
        <f t="shared" si="1612"/>
        <v/>
      </c>
      <c r="V2085" s="3" t="str">
        <f t="shared" si="1612"/>
        <v/>
      </c>
      <c r="W2085" s="3" t="str">
        <f t="shared" si="1612"/>
        <v/>
      </c>
      <c r="X2085" s="3" t="str">
        <f t="shared" si="1612"/>
        <v/>
      </c>
    </row>
    <row r="2086" spans="2:24" hidden="1">
      <c r="B2086" s="1">
        <f t="shared" ref="B2086:F2090" si="1613">B2072</f>
        <v>0</v>
      </c>
      <c r="D2086" s="1">
        <f t="shared" si="1613"/>
        <v>0</v>
      </c>
      <c r="E2086" s="1">
        <f t="shared" si="1613"/>
        <v>1900</v>
      </c>
      <c r="F2086" s="164">
        <f t="shared" si="1613"/>
        <v>0</v>
      </c>
      <c r="G2086" s="22">
        <f t="shared" ref="G2086:G2095" si="1614">G2032</f>
        <v>0</v>
      </c>
      <c r="H2086" s="21"/>
      <c r="I2086" s="21"/>
      <c r="J2086" s="22">
        <f t="shared" ref="J2086:J2095" si="1615">SUM(K2086:X2086)</f>
        <v>0</v>
      </c>
      <c r="K2086" s="5">
        <f t="shared" ref="K2086:K2095" si="1616">K2058</f>
        <v>0</v>
      </c>
      <c r="L2086" s="5">
        <f t="shared" ref="L2086:X2086" si="1617">IF(LataProjekcji&lt;$E2086,L2058,IF(LataProjekcji=$E2086,$G2086-K2072,0))</f>
        <v>0</v>
      </c>
      <c r="M2086" s="5">
        <f t="shared" si="1617"/>
        <v>0</v>
      </c>
      <c r="N2086" s="5">
        <f t="shared" si="1617"/>
        <v>0</v>
      </c>
      <c r="O2086" s="5">
        <f t="shared" si="1617"/>
        <v>0</v>
      </c>
      <c r="P2086" s="5">
        <f t="shared" si="1617"/>
        <v>0</v>
      </c>
      <c r="Q2086" s="5">
        <f t="shared" si="1617"/>
        <v>0</v>
      </c>
      <c r="R2086" s="5">
        <f t="shared" si="1617"/>
        <v>0</v>
      </c>
      <c r="S2086" s="5">
        <f t="shared" si="1617"/>
        <v>0</v>
      </c>
      <c r="T2086" s="5">
        <f t="shared" si="1617"/>
        <v>0</v>
      </c>
      <c r="U2086" s="5">
        <f t="shared" si="1617"/>
        <v>0</v>
      </c>
      <c r="V2086" s="5">
        <f t="shared" si="1617"/>
        <v>0</v>
      </c>
      <c r="W2086" s="5">
        <f t="shared" si="1617"/>
        <v>0</v>
      </c>
      <c r="X2086" s="5">
        <f t="shared" si="1617"/>
        <v>0</v>
      </c>
    </row>
    <row r="2087" spans="2:24" hidden="1">
      <c r="B2087" s="1">
        <f t="shared" si="1613"/>
        <v>0</v>
      </c>
      <c r="D2087" s="1">
        <f t="shared" si="1613"/>
        <v>0</v>
      </c>
      <c r="E2087" s="1">
        <f t="shared" si="1613"/>
        <v>1900</v>
      </c>
      <c r="F2087" s="164">
        <f t="shared" si="1613"/>
        <v>0</v>
      </c>
      <c r="G2087" s="22">
        <f t="shared" si="1614"/>
        <v>0</v>
      </c>
      <c r="H2087" s="21"/>
      <c r="I2087" s="21"/>
      <c r="J2087" s="22">
        <f t="shared" si="1615"/>
        <v>0</v>
      </c>
      <c r="K2087" s="5">
        <f t="shared" si="1616"/>
        <v>0</v>
      </c>
      <c r="L2087" s="5">
        <f t="shared" ref="L2087:X2087" si="1618">IF(LataProjekcji&lt;$E2087,L2059,IF(LataProjekcji=$E2087,$G2087-K2073,0))</f>
        <v>0</v>
      </c>
      <c r="M2087" s="5">
        <f t="shared" si="1618"/>
        <v>0</v>
      </c>
      <c r="N2087" s="5">
        <f t="shared" si="1618"/>
        <v>0</v>
      </c>
      <c r="O2087" s="5">
        <f t="shared" si="1618"/>
        <v>0</v>
      </c>
      <c r="P2087" s="5">
        <f t="shared" si="1618"/>
        <v>0</v>
      </c>
      <c r="Q2087" s="5">
        <f t="shared" si="1618"/>
        <v>0</v>
      </c>
      <c r="R2087" s="5">
        <f t="shared" si="1618"/>
        <v>0</v>
      </c>
      <c r="S2087" s="5">
        <f t="shared" si="1618"/>
        <v>0</v>
      </c>
      <c r="T2087" s="5">
        <f t="shared" si="1618"/>
        <v>0</v>
      </c>
      <c r="U2087" s="5">
        <f t="shared" si="1618"/>
        <v>0</v>
      </c>
      <c r="V2087" s="5">
        <f t="shared" si="1618"/>
        <v>0</v>
      </c>
      <c r="W2087" s="5">
        <f t="shared" si="1618"/>
        <v>0</v>
      </c>
      <c r="X2087" s="5">
        <f t="shared" si="1618"/>
        <v>0</v>
      </c>
    </row>
    <row r="2088" spans="2:24" hidden="1">
      <c r="B2088" s="1">
        <f t="shared" si="1613"/>
        <v>0</v>
      </c>
      <c r="D2088" s="1">
        <f t="shared" si="1613"/>
        <v>0</v>
      </c>
      <c r="E2088" s="1">
        <f t="shared" si="1613"/>
        <v>1900</v>
      </c>
      <c r="F2088" s="164">
        <f t="shared" si="1613"/>
        <v>0</v>
      </c>
      <c r="G2088" s="22">
        <f t="shared" si="1614"/>
        <v>0</v>
      </c>
      <c r="H2088" s="21"/>
      <c r="I2088" s="21"/>
      <c r="J2088" s="22">
        <f t="shared" si="1615"/>
        <v>0</v>
      </c>
      <c r="K2088" s="5">
        <f t="shared" si="1616"/>
        <v>0</v>
      </c>
      <c r="L2088" s="5">
        <f t="shared" ref="L2088:X2088" si="1619">IF(LataProjekcji&lt;$E2088,L2060,IF(LataProjekcji=$E2088,$G2088-K2074,0))</f>
        <v>0</v>
      </c>
      <c r="M2088" s="5">
        <f t="shared" si="1619"/>
        <v>0</v>
      </c>
      <c r="N2088" s="5">
        <f t="shared" si="1619"/>
        <v>0</v>
      </c>
      <c r="O2088" s="5">
        <f t="shared" si="1619"/>
        <v>0</v>
      </c>
      <c r="P2088" s="5">
        <f t="shared" si="1619"/>
        <v>0</v>
      </c>
      <c r="Q2088" s="5">
        <f t="shared" si="1619"/>
        <v>0</v>
      </c>
      <c r="R2088" s="5">
        <f t="shared" si="1619"/>
        <v>0</v>
      </c>
      <c r="S2088" s="5">
        <f t="shared" si="1619"/>
        <v>0</v>
      </c>
      <c r="T2088" s="5">
        <f t="shared" si="1619"/>
        <v>0</v>
      </c>
      <c r="U2088" s="5">
        <f t="shared" si="1619"/>
        <v>0</v>
      </c>
      <c r="V2088" s="5">
        <f t="shared" si="1619"/>
        <v>0</v>
      </c>
      <c r="W2088" s="5">
        <f t="shared" si="1619"/>
        <v>0</v>
      </c>
      <c r="X2088" s="5">
        <f t="shared" si="1619"/>
        <v>0</v>
      </c>
    </row>
    <row r="2089" spans="2:24" hidden="1">
      <c r="B2089" s="1">
        <f t="shared" si="1613"/>
        <v>0</v>
      </c>
      <c r="D2089" s="1">
        <f t="shared" si="1613"/>
        <v>0</v>
      </c>
      <c r="E2089" s="1">
        <f t="shared" si="1613"/>
        <v>1900</v>
      </c>
      <c r="F2089" s="164">
        <f t="shared" si="1613"/>
        <v>0</v>
      </c>
      <c r="G2089" s="22">
        <f t="shared" si="1614"/>
        <v>0</v>
      </c>
      <c r="H2089" s="21"/>
      <c r="I2089" s="21"/>
      <c r="J2089" s="22">
        <f t="shared" si="1615"/>
        <v>0</v>
      </c>
      <c r="K2089" s="5">
        <f t="shared" si="1616"/>
        <v>0</v>
      </c>
      <c r="L2089" s="5">
        <f t="shared" ref="L2089:X2089" si="1620">IF(LataProjekcji&lt;$E2089,L2061,IF(LataProjekcji=$E2089,$G2089-K2075,0))</f>
        <v>0</v>
      </c>
      <c r="M2089" s="5">
        <f t="shared" si="1620"/>
        <v>0</v>
      </c>
      <c r="N2089" s="5">
        <f t="shared" si="1620"/>
        <v>0</v>
      </c>
      <c r="O2089" s="5">
        <f t="shared" si="1620"/>
        <v>0</v>
      </c>
      <c r="P2089" s="5">
        <f t="shared" si="1620"/>
        <v>0</v>
      </c>
      <c r="Q2089" s="5">
        <f t="shared" si="1620"/>
        <v>0</v>
      </c>
      <c r="R2089" s="5">
        <f t="shared" si="1620"/>
        <v>0</v>
      </c>
      <c r="S2089" s="5">
        <f t="shared" si="1620"/>
        <v>0</v>
      </c>
      <c r="T2089" s="5">
        <f t="shared" si="1620"/>
        <v>0</v>
      </c>
      <c r="U2089" s="5">
        <f t="shared" si="1620"/>
        <v>0</v>
      </c>
      <c r="V2089" s="5">
        <f t="shared" si="1620"/>
        <v>0</v>
      </c>
      <c r="W2089" s="5">
        <f t="shared" si="1620"/>
        <v>0</v>
      </c>
      <c r="X2089" s="5">
        <f t="shared" si="1620"/>
        <v>0</v>
      </c>
    </row>
    <row r="2090" spans="2:24" hidden="1">
      <c r="B2090" s="1">
        <f t="shared" si="1613"/>
        <v>0</v>
      </c>
      <c r="D2090" s="1">
        <f t="shared" si="1613"/>
        <v>0</v>
      </c>
      <c r="E2090" s="1">
        <f t="shared" si="1613"/>
        <v>1900</v>
      </c>
      <c r="F2090" s="164">
        <f t="shared" si="1613"/>
        <v>0</v>
      </c>
      <c r="G2090" s="22">
        <f t="shared" si="1614"/>
        <v>0</v>
      </c>
      <c r="H2090" s="21"/>
      <c r="I2090" s="21"/>
      <c r="J2090" s="22">
        <f t="shared" si="1615"/>
        <v>0</v>
      </c>
      <c r="K2090" s="5">
        <f t="shared" si="1616"/>
        <v>0</v>
      </c>
      <c r="L2090" s="5">
        <f t="shared" ref="L2090:X2090" si="1621">IF(LataProjekcji&lt;$E2090,L2062,IF(LataProjekcji=$E2090,$G2090-K2076,0))</f>
        <v>0</v>
      </c>
      <c r="M2090" s="5">
        <f t="shared" si="1621"/>
        <v>0</v>
      </c>
      <c r="N2090" s="5">
        <f t="shared" si="1621"/>
        <v>0</v>
      </c>
      <c r="O2090" s="5">
        <f t="shared" si="1621"/>
        <v>0</v>
      </c>
      <c r="P2090" s="5">
        <f t="shared" si="1621"/>
        <v>0</v>
      </c>
      <c r="Q2090" s="5">
        <f t="shared" si="1621"/>
        <v>0</v>
      </c>
      <c r="R2090" s="5">
        <f t="shared" si="1621"/>
        <v>0</v>
      </c>
      <c r="S2090" s="5">
        <f t="shared" si="1621"/>
        <v>0</v>
      </c>
      <c r="T2090" s="5">
        <f t="shared" si="1621"/>
        <v>0</v>
      </c>
      <c r="U2090" s="5">
        <f t="shared" si="1621"/>
        <v>0</v>
      </c>
      <c r="V2090" s="5">
        <f t="shared" si="1621"/>
        <v>0</v>
      </c>
      <c r="W2090" s="5">
        <f t="shared" si="1621"/>
        <v>0</v>
      </c>
      <c r="X2090" s="5">
        <f t="shared" si="1621"/>
        <v>0</v>
      </c>
    </row>
    <row r="2091" spans="2:24" hidden="1">
      <c r="B2091" s="259">
        <f>B2077</f>
        <v>0</v>
      </c>
      <c r="C2091" s="259"/>
      <c r="D2091" s="259">
        <f t="shared" ref="D2091:F2095" si="1622">D2077</f>
        <v>0</v>
      </c>
      <c r="E2091" s="259">
        <f t="shared" si="1622"/>
        <v>1900</v>
      </c>
      <c r="F2091" s="261">
        <f t="shared" si="1622"/>
        <v>0</v>
      </c>
      <c r="G2091" s="78">
        <f t="shared" si="1614"/>
        <v>0</v>
      </c>
      <c r="H2091" s="262"/>
      <c r="I2091" s="262"/>
      <c r="J2091" s="78">
        <f t="shared" si="1615"/>
        <v>0</v>
      </c>
      <c r="K2091" s="260">
        <f t="shared" si="1616"/>
        <v>0</v>
      </c>
      <c r="L2091" s="260">
        <f t="shared" ref="L2091:X2091" si="1623">IF(LataProjekcji&lt;$E2091,L2063,IF(LataProjekcji=$E2091,$G2091-K2077,0))</f>
        <v>0</v>
      </c>
      <c r="M2091" s="260">
        <f t="shared" si="1623"/>
        <v>0</v>
      </c>
      <c r="N2091" s="260">
        <f t="shared" si="1623"/>
        <v>0</v>
      </c>
      <c r="O2091" s="260">
        <f t="shared" si="1623"/>
        <v>0</v>
      </c>
      <c r="P2091" s="260">
        <f t="shared" si="1623"/>
        <v>0</v>
      </c>
      <c r="Q2091" s="260">
        <f t="shared" si="1623"/>
        <v>0</v>
      </c>
      <c r="R2091" s="260">
        <f t="shared" si="1623"/>
        <v>0</v>
      </c>
      <c r="S2091" s="260">
        <f t="shared" si="1623"/>
        <v>0</v>
      </c>
      <c r="T2091" s="260">
        <f t="shared" si="1623"/>
        <v>0</v>
      </c>
      <c r="U2091" s="260">
        <f t="shared" si="1623"/>
        <v>0</v>
      </c>
      <c r="V2091" s="260">
        <f t="shared" si="1623"/>
        <v>0</v>
      </c>
      <c r="W2091" s="260">
        <f t="shared" si="1623"/>
        <v>0</v>
      </c>
      <c r="X2091" s="260">
        <f t="shared" si="1623"/>
        <v>0</v>
      </c>
    </row>
    <row r="2092" spans="2:24" hidden="1">
      <c r="B2092" s="259">
        <f>B2078</f>
        <v>0</v>
      </c>
      <c r="C2092" s="259"/>
      <c r="D2092" s="259">
        <f t="shared" si="1622"/>
        <v>0</v>
      </c>
      <c r="E2092" s="259">
        <f t="shared" si="1622"/>
        <v>1900</v>
      </c>
      <c r="F2092" s="261">
        <f t="shared" si="1622"/>
        <v>0</v>
      </c>
      <c r="G2092" s="78">
        <f t="shared" si="1614"/>
        <v>0</v>
      </c>
      <c r="H2092" s="262"/>
      <c r="I2092" s="262"/>
      <c r="J2092" s="78">
        <f t="shared" si="1615"/>
        <v>0</v>
      </c>
      <c r="K2092" s="260">
        <f t="shared" si="1616"/>
        <v>0</v>
      </c>
      <c r="L2092" s="260">
        <f t="shared" ref="L2092:X2092" si="1624">IF(LataProjekcji&lt;$E2092,L2064,IF(LataProjekcji=$E2092,$G2092-K2078,0))</f>
        <v>0</v>
      </c>
      <c r="M2092" s="260">
        <f t="shared" si="1624"/>
        <v>0</v>
      </c>
      <c r="N2092" s="260">
        <f t="shared" si="1624"/>
        <v>0</v>
      </c>
      <c r="O2092" s="260">
        <f t="shared" si="1624"/>
        <v>0</v>
      </c>
      <c r="P2092" s="260">
        <f t="shared" si="1624"/>
        <v>0</v>
      </c>
      <c r="Q2092" s="260">
        <f t="shared" si="1624"/>
        <v>0</v>
      </c>
      <c r="R2092" s="260">
        <f t="shared" si="1624"/>
        <v>0</v>
      </c>
      <c r="S2092" s="260">
        <f t="shared" si="1624"/>
        <v>0</v>
      </c>
      <c r="T2092" s="260">
        <f t="shared" si="1624"/>
        <v>0</v>
      </c>
      <c r="U2092" s="260">
        <f t="shared" si="1624"/>
        <v>0</v>
      </c>
      <c r="V2092" s="260">
        <f t="shared" si="1624"/>
        <v>0</v>
      </c>
      <c r="W2092" s="260">
        <f t="shared" si="1624"/>
        <v>0</v>
      </c>
      <c r="X2092" s="260">
        <f t="shared" si="1624"/>
        <v>0</v>
      </c>
    </row>
    <row r="2093" spans="2:24" hidden="1">
      <c r="B2093" s="259">
        <f>B2079</f>
        <v>0</v>
      </c>
      <c r="C2093" s="259"/>
      <c r="D2093" s="259">
        <f t="shared" si="1622"/>
        <v>0</v>
      </c>
      <c r="E2093" s="259">
        <f t="shared" si="1622"/>
        <v>1900</v>
      </c>
      <c r="F2093" s="261">
        <f t="shared" si="1622"/>
        <v>0</v>
      </c>
      <c r="G2093" s="78">
        <f t="shared" si="1614"/>
        <v>0</v>
      </c>
      <c r="H2093" s="262"/>
      <c r="I2093" s="262"/>
      <c r="J2093" s="78">
        <f t="shared" si="1615"/>
        <v>0</v>
      </c>
      <c r="K2093" s="260">
        <f t="shared" si="1616"/>
        <v>0</v>
      </c>
      <c r="L2093" s="260">
        <f t="shared" ref="L2093:X2093" si="1625">IF(LataProjekcji&lt;$E2093,L2065,IF(LataProjekcji=$E2093,$G2093-K2079,0))</f>
        <v>0</v>
      </c>
      <c r="M2093" s="260">
        <f t="shared" si="1625"/>
        <v>0</v>
      </c>
      <c r="N2093" s="260">
        <f t="shared" si="1625"/>
        <v>0</v>
      </c>
      <c r="O2093" s="260">
        <f t="shared" si="1625"/>
        <v>0</v>
      </c>
      <c r="P2093" s="260">
        <f t="shared" si="1625"/>
        <v>0</v>
      </c>
      <c r="Q2093" s="260">
        <f t="shared" si="1625"/>
        <v>0</v>
      </c>
      <c r="R2093" s="260">
        <f t="shared" si="1625"/>
        <v>0</v>
      </c>
      <c r="S2093" s="260">
        <f t="shared" si="1625"/>
        <v>0</v>
      </c>
      <c r="T2093" s="260">
        <f t="shared" si="1625"/>
        <v>0</v>
      </c>
      <c r="U2093" s="260">
        <f t="shared" si="1625"/>
        <v>0</v>
      </c>
      <c r="V2093" s="260">
        <f t="shared" si="1625"/>
        <v>0</v>
      </c>
      <c r="W2093" s="260">
        <f t="shared" si="1625"/>
        <v>0</v>
      </c>
      <c r="X2093" s="260">
        <f t="shared" si="1625"/>
        <v>0</v>
      </c>
    </row>
    <row r="2094" spans="2:24" hidden="1">
      <c r="B2094" s="259">
        <f>B2080</f>
        <v>0</v>
      </c>
      <c r="C2094" s="259"/>
      <c r="D2094" s="259">
        <f t="shared" si="1622"/>
        <v>0</v>
      </c>
      <c r="E2094" s="259">
        <f t="shared" si="1622"/>
        <v>1900</v>
      </c>
      <c r="F2094" s="261">
        <f t="shared" si="1622"/>
        <v>0</v>
      </c>
      <c r="G2094" s="78">
        <f t="shared" si="1614"/>
        <v>0</v>
      </c>
      <c r="H2094" s="262"/>
      <c r="I2094" s="262"/>
      <c r="J2094" s="78">
        <f t="shared" si="1615"/>
        <v>0</v>
      </c>
      <c r="K2094" s="260">
        <f t="shared" si="1616"/>
        <v>0</v>
      </c>
      <c r="L2094" s="260">
        <f t="shared" ref="L2094:X2094" si="1626">IF(LataProjekcji&lt;$E2094,L2066,IF(LataProjekcji=$E2094,$G2094-K2080,0))</f>
        <v>0</v>
      </c>
      <c r="M2094" s="260">
        <f t="shared" si="1626"/>
        <v>0</v>
      </c>
      <c r="N2094" s="260">
        <f t="shared" si="1626"/>
        <v>0</v>
      </c>
      <c r="O2094" s="260">
        <f t="shared" si="1626"/>
        <v>0</v>
      </c>
      <c r="P2094" s="260">
        <f t="shared" si="1626"/>
        <v>0</v>
      </c>
      <c r="Q2094" s="260">
        <f t="shared" si="1626"/>
        <v>0</v>
      </c>
      <c r="R2094" s="260">
        <f t="shared" si="1626"/>
        <v>0</v>
      </c>
      <c r="S2094" s="260">
        <f t="shared" si="1626"/>
        <v>0</v>
      </c>
      <c r="T2094" s="260">
        <f t="shared" si="1626"/>
        <v>0</v>
      </c>
      <c r="U2094" s="260">
        <f t="shared" si="1626"/>
        <v>0</v>
      </c>
      <c r="V2094" s="260">
        <f t="shared" si="1626"/>
        <v>0</v>
      </c>
      <c r="W2094" s="260">
        <f t="shared" si="1626"/>
        <v>0</v>
      </c>
      <c r="X2094" s="260">
        <f t="shared" si="1626"/>
        <v>0</v>
      </c>
    </row>
    <row r="2095" spans="2:24" hidden="1">
      <c r="B2095" s="259">
        <f>B2081</f>
        <v>0</v>
      </c>
      <c r="C2095" s="259"/>
      <c r="D2095" s="259">
        <f t="shared" si="1622"/>
        <v>0</v>
      </c>
      <c r="E2095" s="259">
        <f t="shared" si="1622"/>
        <v>1900</v>
      </c>
      <c r="F2095" s="261">
        <f t="shared" si="1622"/>
        <v>0</v>
      </c>
      <c r="G2095" s="78">
        <f t="shared" si="1614"/>
        <v>0</v>
      </c>
      <c r="H2095" s="262"/>
      <c r="I2095" s="262"/>
      <c r="J2095" s="78">
        <f t="shared" si="1615"/>
        <v>0</v>
      </c>
      <c r="K2095" s="260">
        <f t="shared" si="1616"/>
        <v>0</v>
      </c>
      <c r="L2095" s="260">
        <f t="shared" ref="L2095:X2095" si="1627">IF(LataProjekcji&lt;$E2095,L2067,IF(LataProjekcji=$E2095,$G2095-K2081,0))</f>
        <v>0</v>
      </c>
      <c r="M2095" s="260">
        <f t="shared" si="1627"/>
        <v>0</v>
      </c>
      <c r="N2095" s="260">
        <f t="shared" si="1627"/>
        <v>0</v>
      </c>
      <c r="O2095" s="260">
        <f t="shared" si="1627"/>
        <v>0</v>
      </c>
      <c r="P2095" s="260">
        <f t="shared" si="1627"/>
        <v>0</v>
      </c>
      <c r="Q2095" s="260">
        <f t="shared" si="1627"/>
        <v>0</v>
      </c>
      <c r="R2095" s="260">
        <f t="shared" si="1627"/>
        <v>0</v>
      </c>
      <c r="S2095" s="260">
        <f t="shared" si="1627"/>
        <v>0</v>
      </c>
      <c r="T2095" s="260">
        <f t="shared" si="1627"/>
        <v>0</v>
      </c>
      <c r="U2095" s="260">
        <f t="shared" si="1627"/>
        <v>0</v>
      </c>
      <c r="V2095" s="260">
        <f t="shared" si="1627"/>
        <v>0</v>
      </c>
      <c r="W2095" s="260">
        <f t="shared" si="1627"/>
        <v>0</v>
      </c>
      <c r="X2095" s="260">
        <f t="shared" si="1627"/>
        <v>0</v>
      </c>
    </row>
    <row r="2096" spans="2:24" hidden="1">
      <c r="B2096" s="7" t="s">
        <v>335</v>
      </c>
      <c r="C2096" s="7"/>
      <c r="J2096" s="256" t="s">
        <v>443</v>
      </c>
      <c r="K2096" s="257">
        <f>SUM(K2086:K2095)</f>
        <v>0</v>
      </c>
      <c r="L2096" s="257">
        <f>SUM(L2086:L2095)</f>
        <v>0</v>
      </c>
      <c r="M2096" s="257">
        <f t="shared" ref="M2096:X2096" si="1628">SUM(M2086:M2095)</f>
        <v>0</v>
      </c>
      <c r="N2096" s="257">
        <f t="shared" si="1628"/>
        <v>0</v>
      </c>
      <c r="O2096" s="257">
        <f t="shared" si="1628"/>
        <v>0</v>
      </c>
      <c r="P2096" s="257">
        <f t="shared" si="1628"/>
        <v>0</v>
      </c>
      <c r="Q2096" s="257">
        <f t="shared" si="1628"/>
        <v>0</v>
      </c>
      <c r="R2096" s="257">
        <f t="shared" si="1628"/>
        <v>0</v>
      </c>
      <c r="S2096" s="257">
        <f t="shared" si="1628"/>
        <v>0</v>
      </c>
      <c r="T2096" s="257">
        <f t="shared" si="1628"/>
        <v>0</v>
      </c>
      <c r="U2096" s="257">
        <f t="shared" si="1628"/>
        <v>0</v>
      </c>
      <c r="V2096" s="257">
        <f t="shared" si="1628"/>
        <v>0</v>
      </c>
      <c r="W2096" s="257">
        <f t="shared" si="1628"/>
        <v>0</v>
      </c>
      <c r="X2096" s="257">
        <f t="shared" si="1628"/>
        <v>0</v>
      </c>
    </row>
    <row r="2109" spans="2:24" hidden="1">
      <c r="B2109" s="7" t="s">
        <v>446</v>
      </c>
    </row>
    <row r="2110" spans="2:24" hidden="1">
      <c r="B2110" s="228" t="s">
        <v>381</v>
      </c>
    </row>
    <row r="2111" spans="2:24" hidden="1">
      <c r="B2111" s="1">
        <f t="shared" ref="B2111:C2114" si="1629">B195</f>
        <v>0</v>
      </c>
      <c r="C2111" s="1" t="str">
        <f t="shared" si="1629"/>
        <v/>
      </c>
      <c r="J2111" s="336">
        <v>0</v>
      </c>
      <c r="K2111" s="1">
        <f t="shared" ref="K2111:X2111" ca="1" si="1630">OFFSET($K$1120,$J2111,COLUMN()-11)</f>
        <v>0</v>
      </c>
      <c r="L2111" s="1">
        <f t="shared" ca="1" si="1630"/>
        <v>0</v>
      </c>
      <c r="M2111" s="1">
        <f t="shared" ca="1" si="1630"/>
        <v>0</v>
      </c>
      <c r="N2111" s="1">
        <f t="shared" ca="1" si="1630"/>
        <v>0</v>
      </c>
      <c r="O2111" s="1">
        <f t="shared" ca="1" si="1630"/>
        <v>0</v>
      </c>
      <c r="P2111" s="1">
        <f t="shared" ca="1" si="1630"/>
        <v>0</v>
      </c>
      <c r="Q2111" s="1">
        <f t="shared" ca="1" si="1630"/>
        <v>0</v>
      </c>
      <c r="R2111" s="1">
        <f t="shared" ca="1" si="1630"/>
        <v>0</v>
      </c>
      <c r="S2111" s="1">
        <f t="shared" ca="1" si="1630"/>
        <v>0</v>
      </c>
      <c r="T2111" s="1">
        <f t="shared" ca="1" si="1630"/>
        <v>0</v>
      </c>
      <c r="U2111" s="1">
        <f t="shared" ca="1" si="1630"/>
        <v>0</v>
      </c>
      <c r="V2111" s="1">
        <f t="shared" ca="1" si="1630"/>
        <v>0</v>
      </c>
      <c r="W2111" s="1">
        <f t="shared" ca="1" si="1630"/>
        <v>0</v>
      </c>
      <c r="X2111" s="1">
        <f t="shared" ca="1" si="1630"/>
        <v>0</v>
      </c>
    </row>
    <row r="2112" spans="2:24" hidden="1">
      <c r="B2112" s="1">
        <f t="shared" si="1629"/>
        <v>0</v>
      </c>
      <c r="C2112" s="1" t="str">
        <f t="shared" si="1629"/>
        <v/>
      </c>
      <c r="J2112" s="336">
        <f>J2111+7</f>
        <v>7</v>
      </c>
      <c r="K2112" s="1">
        <f t="shared" ref="K2112:X2115" ca="1" si="1631">OFFSET($K$1280,$J2112,COLUMN()-11)</f>
        <v>0</v>
      </c>
      <c r="L2112" s="1">
        <f t="shared" ca="1" si="1631"/>
        <v>0</v>
      </c>
      <c r="M2112" s="1">
        <f t="shared" ca="1" si="1631"/>
        <v>0</v>
      </c>
      <c r="N2112" s="1">
        <f t="shared" ca="1" si="1631"/>
        <v>0</v>
      </c>
      <c r="O2112" s="1">
        <f t="shared" ca="1" si="1631"/>
        <v>0</v>
      </c>
      <c r="P2112" s="1">
        <f t="shared" ca="1" si="1631"/>
        <v>0</v>
      </c>
      <c r="Q2112" s="1">
        <f t="shared" ca="1" si="1631"/>
        <v>0</v>
      </c>
      <c r="R2112" s="1">
        <f t="shared" ca="1" si="1631"/>
        <v>0</v>
      </c>
      <c r="S2112" s="1">
        <f t="shared" ca="1" si="1631"/>
        <v>0</v>
      </c>
      <c r="T2112" s="1">
        <f t="shared" ca="1" si="1631"/>
        <v>0</v>
      </c>
      <c r="U2112" s="1">
        <f t="shared" ca="1" si="1631"/>
        <v>0</v>
      </c>
      <c r="V2112" s="1">
        <f t="shared" ca="1" si="1631"/>
        <v>0</v>
      </c>
      <c r="W2112" s="1">
        <f t="shared" ca="1" si="1631"/>
        <v>0</v>
      </c>
      <c r="X2112" s="1">
        <f t="shared" ca="1" si="1631"/>
        <v>0</v>
      </c>
    </row>
    <row r="2113" spans="2:24" hidden="1">
      <c r="B2113" s="1">
        <f t="shared" si="1629"/>
        <v>0</v>
      </c>
      <c r="C2113" s="1">
        <f t="shared" si="1629"/>
        <v>0</v>
      </c>
      <c r="J2113" s="336">
        <f>J2112+7</f>
        <v>14</v>
      </c>
      <c r="K2113" s="1">
        <f t="shared" ca="1" si="1631"/>
        <v>0</v>
      </c>
      <c r="L2113" s="1">
        <f t="shared" ca="1" si="1631"/>
        <v>0</v>
      </c>
      <c r="M2113" s="1">
        <f t="shared" ca="1" si="1631"/>
        <v>0</v>
      </c>
      <c r="N2113" s="1">
        <f t="shared" ca="1" si="1631"/>
        <v>0</v>
      </c>
      <c r="O2113" s="1">
        <f t="shared" ca="1" si="1631"/>
        <v>0</v>
      </c>
      <c r="P2113" s="1">
        <f t="shared" ca="1" si="1631"/>
        <v>0</v>
      </c>
      <c r="Q2113" s="1">
        <f t="shared" ca="1" si="1631"/>
        <v>0</v>
      </c>
      <c r="R2113" s="1">
        <f t="shared" ca="1" si="1631"/>
        <v>0</v>
      </c>
      <c r="S2113" s="1">
        <f t="shared" ca="1" si="1631"/>
        <v>0</v>
      </c>
      <c r="T2113" s="1">
        <f t="shared" ca="1" si="1631"/>
        <v>0</v>
      </c>
      <c r="U2113" s="1">
        <f t="shared" ca="1" si="1631"/>
        <v>0</v>
      </c>
      <c r="V2113" s="1">
        <f t="shared" ca="1" si="1631"/>
        <v>0</v>
      </c>
      <c r="W2113" s="1">
        <f t="shared" ca="1" si="1631"/>
        <v>0</v>
      </c>
      <c r="X2113" s="1">
        <f t="shared" ca="1" si="1631"/>
        <v>0</v>
      </c>
    </row>
    <row r="2114" spans="2:24" hidden="1">
      <c r="B2114" s="1">
        <f t="shared" si="1629"/>
        <v>0</v>
      </c>
      <c r="C2114" s="1">
        <f t="shared" si="1629"/>
        <v>0</v>
      </c>
      <c r="J2114" s="336">
        <f>J2113+7</f>
        <v>21</v>
      </c>
      <c r="K2114" s="1">
        <f t="shared" ca="1" si="1631"/>
        <v>0</v>
      </c>
      <c r="L2114" s="1">
        <f t="shared" ca="1" si="1631"/>
        <v>0</v>
      </c>
      <c r="M2114" s="1">
        <f t="shared" ca="1" si="1631"/>
        <v>0</v>
      </c>
      <c r="N2114" s="1">
        <f t="shared" ca="1" si="1631"/>
        <v>0</v>
      </c>
      <c r="O2114" s="1">
        <f t="shared" ca="1" si="1631"/>
        <v>0</v>
      </c>
      <c r="P2114" s="1">
        <f t="shared" ca="1" si="1631"/>
        <v>0</v>
      </c>
      <c r="Q2114" s="1">
        <f t="shared" ca="1" si="1631"/>
        <v>0</v>
      </c>
      <c r="R2114" s="1">
        <f t="shared" ca="1" si="1631"/>
        <v>0</v>
      </c>
      <c r="S2114" s="1">
        <f t="shared" ca="1" si="1631"/>
        <v>0</v>
      </c>
      <c r="T2114" s="1">
        <f t="shared" ca="1" si="1631"/>
        <v>0</v>
      </c>
      <c r="U2114" s="1">
        <f t="shared" ca="1" si="1631"/>
        <v>0</v>
      </c>
      <c r="V2114" s="1">
        <f t="shared" ca="1" si="1631"/>
        <v>0</v>
      </c>
      <c r="W2114" s="1">
        <f t="shared" ca="1" si="1631"/>
        <v>0</v>
      </c>
      <c r="X2114" s="1">
        <f t="shared" ca="1" si="1631"/>
        <v>0</v>
      </c>
    </row>
    <row r="2115" spans="2:24" hidden="1">
      <c r="B2115" s="1">
        <f>B216</f>
        <v>0</v>
      </c>
      <c r="C2115" s="1">
        <f>C216</f>
        <v>0</v>
      </c>
      <c r="J2115" s="336">
        <f>J2114+7</f>
        <v>28</v>
      </c>
      <c r="K2115" s="1">
        <f t="shared" ca="1" si="1631"/>
        <v>0</v>
      </c>
      <c r="L2115" s="1">
        <f t="shared" ca="1" si="1631"/>
        <v>0</v>
      </c>
      <c r="M2115" s="1">
        <f t="shared" ca="1" si="1631"/>
        <v>0</v>
      </c>
      <c r="N2115" s="1">
        <f t="shared" ca="1" si="1631"/>
        <v>0</v>
      </c>
      <c r="O2115" s="1">
        <f t="shared" ca="1" si="1631"/>
        <v>0</v>
      </c>
      <c r="P2115" s="1">
        <f t="shared" ca="1" si="1631"/>
        <v>0</v>
      </c>
      <c r="Q2115" s="1">
        <f t="shared" ca="1" si="1631"/>
        <v>0</v>
      </c>
      <c r="R2115" s="1">
        <f t="shared" ca="1" si="1631"/>
        <v>0</v>
      </c>
      <c r="S2115" s="1">
        <f t="shared" ca="1" si="1631"/>
        <v>0</v>
      </c>
      <c r="T2115" s="1">
        <f t="shared" ca="1" si="1631"/>
        <v>0</v>
      </c>
      <c r="U2115" s="1">
        <f t="shared" ca="1" si="1631"/>
        <v>0</v>
      </c>
      <c r="V2115" s="1">
        <f t="shared" ca="1" si="1631"/>
        <v>0</v>
      </c>
      <c r="W2115" s="1">
        <f t="shared" ca="1" si="1631"/>
        <v>0</v>
      </c>
      <c r="X2115" s="1">
        <f t="shared" ca="1" si="1631"/>
        <v>0</v>
      </c>
    </row>
    <row r="2117" spans="2:24" hidden="1">
      <c r="B2117" s="228" t="s">
        <v>388</v>
      </c>
    </row>
    <row r="2118" spans="2:24" hidden="1">
      <c r="B2118" s="1">
        <f t="shared" ref="B2118:C2132" si="1632">B269</f>
        <v>0</v>
      </c>
      <c r="C2118" s="1">
        <f t="shared" si="1632"/>
        <v>0</v>
      </c>
      <c r="J2118" s="336">
        <v>0</v>
      </c>
      <c r="K2118" s="1">
        <f t="shared" ref="K2118:X2132" ca="1" si="1633">OFFSET($K$1280,$J2118,COLUMN()-11)</f>
        <v>0</v>
      </c>
      <c r="L2118" s="1">
        <f t="shared" ca="1" si="1633"/>
        <v>0</v>
      </c>
      <c r="M2118" s="1">
        <f t="shared" ca="1" si="1633"/>
        <v>0</v>
      </c>
      <c r="N2118" s="1">
        <f t="shared" ca="1" si="1633"/>
        <v>0</v>
      </c>
      <c r="O2118" s="1">
        <f t="shared" ca="1" si="1633"/>
        <v>0</v>
      </c>
      <c r="P2118" s="1">
        <f t="shared" ca="1" si="1633"/>
        <v>0</v>
      </c>
      <c r="Q2118" s="1">
        <f t="shared" ca="1" si="1633"/>
        <v>0</v>
      </c>
      <c r="R2118" s="1">
        <f t="shared" ca="1" si="1633"/>
        <v>0</v>
      </c>
      <c r="S2118" s="1">
        <f t="shared" ca="1" si="1633"/>
        <v>0</v>
      </c>
      <c r="T2118" s="1">
        <f t="shared" ca="1" si="1633"/>
        <v>0</v>
      </c>
      <c r="U2118" s="1">
        <f t="shared" ca="1" si="1633"/>
        <v>0</v>
      </c>
      <c r="V2118" s="1">
        <f t="shared" ca="1" si="1633"/>
        <v>0</v>
      </c>
      <c r="W2118" s="1">
        <f t="shared" ca="1" si="1633"/>
        <v>0</v>
      </c>
      <c r="X2118" s="1">
        <f t="shared" ca="1" si="1633"/>
        <v>0</v>
      </c>
    </row>
    <row r="2119" spans="2:24" hidden="1">
      <c r="B2119" s="1">
        <f t="shared" si="1632"/>
        <v>0</v>
      </c>
      <c r="C2119" s="1">
        <f t="shared" si="1632"/>
        <v>0</v>
      </c>
      <c r="J2119" s="336">
        <f>J2118+7</f>
        <v>7</v>
      </c>
      <c r="K2119" s="1">
        <f t="shared" ca="1" si="1633"/>
        <v>0</v>
      </c>
      <c r="L2119" s="1">
        <f t="shared" ca="1" si="1633"/>
        <v>0</v>
      </c>
      <c r="M2119" s="1">
        <f t="shared" ca="1" si="1633"/>
        <v>0</v>
      </c>
      <c r="N2119" s="1">
        <f t="shared" ca="1" si="1633"/>
        <v>0</v>
      </c>
      <c r="O2119" s="1">
        <f t="shared" ca="1" si="1633"/>
        <v>0</v>
      </c>
      <c r="P2119" s="1">
        <f t="shared" ca="1" si="1633"/>
        <v>0</v>
      </c>
      <c r="Q2119" s="1">
        <f t="shared" ca="1" si="1633"/>
        <v>0</v>
      </c>
      <c r="R2119" s="1">
        <f t="shared" ca="1" si="1633"/>
        <v>0</v>
      </c>
      <c r="S2119" s="1">
        <f t="shared" ca="1" si="1633"/>
        <v>0</v>
      </c>
      <c r="T2119" s="1">
        <f t="shared" ca="1" si="1633"/>
        <v>0</v>
      </c>
      <c r="U2119" s="1">
        <f t="shared" ca="1" si="1633"/>
        <v>0</v>
      </c>
      <c r="V2119" s="1">
        <f t="shared" ca="1" si="1633"/>
        <v>0</v>
      </c>
      <c r="W2119" s="1">
        <f t="shared" ca="1" si="1633"/>
        <v>0</v>
      </c>
      <c r="X2119" s="1">
        <f t="shared" ca="1" si="1633"/>
        <v>0</v>
      </c>
    </row>
    <row r="2120" spans="2:24" hidden="1">
      <c r="B2120" s="1">
        <f t="shared" si="1632"/>
        <v>0</v>
      </c>
      <c r="C2120" s="1">
        <f t="shared" si="1632"/>
        <v>0</v>
      </c>
      <c r="J2120" s="336">
        <f t="shared" ref="J2120:J2132" si="1634">J2119+7</f>
        <v>14</v>
      </c>
      <c r="K2120" s="1">
        <f t="shared" ca="1" si="1633"/>
        <v>0</v>
      </c>
      <c r="L2120" s="1">
        <f t="shared" ca="1" si="1633"/>
        <v>0</v>
      </c>
      <c r="M2120" s="1">
        <f t="shared" ca="1" si="1633"/>
        <v>0</v>
      </c>
      <c r="N2120" s="1">
        <f t="shared" ca="1" si="1633"/>
        <v>0</v>
      </c>
      <c r="O2120" s="1">
        <f t="shared" ca="1" si="1633"/>
        <v>0</v>
      </c>
      <c r="P2120" s="1">
        <f t="shared" ca="1" si="1633"/>
        <v>0</v>
      </c>
      <c r="Q2120" s="1">
        <f t="shared" ca="1" si="1633"/>
        <v>0</v>
      </c>
      <c r="R2120" s="1">
        <f t="shared" ca="1" si="1633"/>
        <v>0</v>
      </c>
      <c r="S2120" s="1">
        <f t="shared" ca="1" si="1633"/>
        <v>0</v>
      </c>
      <c r="T2120" s="1">
        <f t="shared" ca="1" si="1633"/>
        <v>0</v>
      </c>
      <c r="U2120" s="1">
        <f t="shared" ca="1" si="1633"/>
        <v>0</v>
      </c>
      <c r="V2120" s="1">
        <f t="shared" ca="1" si="1633"/>
        <v>0</v>
      </c>
      <c r="W2120" s="1">
        <f t="shared" ca="1" si="1633"/>
        <v>0</v>
      </c>
      <c r="X2120" s="1">
        <f t="shared" ca="1" si="1633"/>
        <v>0</v>
      </c>
    </row>
    <row r="2121" spans="2:24" hidden="1">
      <c r="B2121" s="1">
        <f t="shared" si="1632"/>
        <v>0</v>
      </c>
      <c r="C2121" s="1">
        <f t="shared" si="1632"/>
        <v>0</v>
      </c>
      <c r="J2121" s="336">
        <f t="shared" si="1634"/>
        <v>21</v>
      </c>
      <c r="K2121" s="1">
        <f t="shared" ca="1" si="1633"/>
        <v>0</v>
      </c>
      <c r="L2121" s="1">
        <f t="shared" ca="1" si="1633"/>
        <v>0</v>
      </c>
      <c r="M2121" s="1">
        <f t="shared" ca="1" si="1633"/>
        <v>0</v>
      </c>
      <c r="N2121" s="1">
        <f t="shared" ca="1" si="1633"/>
        <v>0</v>
      </c>
      <c r="O2121" s="1">
        <f t="shared" ca="1" si="1633"/>
        <v>0</v>
      </c>
      <c r="P2121" s="1">
        <f t="shared" ca="1" si="1633"/>
        <v>0</v>
      </c>
      <c r="Q2121" s="1">
        <f t="shared" ca="1" si="1633"/>
        <v>0</v>
      </c>
      <c r="R2121" s="1">
        <f t="shared" ca="1" si="1633"/>
        <v>0</v>
      </c>
      <c r="S2121" s="1">
        <f t="shared" ca="1" si="1633"/>
        <v>0</v>
      </c>
      <c r="T2121" s="1">
        <f t="shared" ca="1" si="1633"/>
        <v>0</v>
      </c>
      <c r="U2121" s="1">
        <f t="shared" ca="1" si="1633"/>
        <v>0</v>
      </c>
      <c r="V2121" s="1">
        <f t="shared" ca="1" si="1633"/>
        <v>0</v>
      </c>
      <c r="W2121" s="1">
        <f t="shared" ca="1" si="1633"/>
        <v>0</v>
      </c>
      <c r="X2121" s="1">
        <f t="shared" ca="1" si="1633"/>
        <v>0</v>
      </c>
    </row>
    <row r="2122" spans="2:24" hidden="1">
      <c r="B2122" s="1">
        <f t="shared" si="1632"/>
        <v>0</v>
      </c>
      <c r="C2122" s="1">
        <f t="shared" si="1632"/>
        <v>0</v>
      </c>
      <c r="J2122" s="336">
        <f t="shared" si="1634"/>
        <v>28</v>
      </c>
      <c r="K2122" s="1">
        <f t="shared" ca="1" si="1633"/>
        <v>0</v>
      </c>
      <c r="L2122" s="1">
        <f t="shared" ca="1" si="1633"/>
        <v>0</v>
      </c>
      <c r="M2122" s="1">
        <f t="shared" ca="1" si="1633"/>
        <v>0</v>
      </c>
      <c r="N2122" s="1">
        <f t="shared" ca="1" si="1633"/>
        <v>0</v>
      </c>
      <c r="O2122" s="1">
        <f t="shared" ca="1" si="1633"/>
        <v>0</v>
      </c>
      <c r="P2122" s="1">
        <f t="shared" ca="1" si="1633"/>
        <v>0</v>
      </c>
      <c r="Q2122" s="1">
        <f t="shared" ca="1" si="1633"/>
        <v>0</v>
      </c>
      <c r="R2122" s="1">
        <f t="shared" ca="1" si="1633"/>
        <v>0</v>
      </c>
      <c r="S2122" s="1">
        <f t="shared" ca="1" si="1633"/>
        <v>0</v>
      </c>
      <c r="T2122" s="1">
        <f t="shared" ca="1" si="1633"/>
        <v>0</v>
      </c>
      <c r="U2122" s="1">
        <f t="shared" ca="1" si="1633"/>
        <v>0</v>
      </c>
      <c r="V2122" s="1">
        <f t="shared" ca="1" si="1633"/>
        <v>0</v>
      </c>
      <c r="W2122" s="1">
        <f t="shared" ca="1" si="1633"/>
        <v>0</v>
      </c>
      <c r="X2122" s="1">
        <f t="shared" ca="1" si="1633"/>
        <v>0</v>
      </c>
    </row>
    <row r="2123" spans="2:24" hidden="1">
      <c r="B2123" s="1">
        <f t="shared" si="1632"/>
        <v>0</v>
      </c>
      <c r="C2123" s="1">
        <f t="shared" si="1632"/>
        <v>0</v>
      </c>
      <c r="J2123" s="336">
        <f t="shared" si="1634"/>
        <v>35</v>
      </c>
      <c r="K2123" s="1">
        <f t="shared" ca="1" si="1633"/>
        <v>0</v>
      </c>
      <c r="L2123" s="1">
        <f t="shared" ca="1" si="1633"/>
        <v>0</v>
      </c>
      <c r="M2123" s="1">
        <f t="shared" ca="1" si="1633"/>
        <v>0</v>
      </c>
      <c r="N2123" s="1">
        <f t="shared" ca="1" si="1633"/>
        <v>0</v>
      </c>
      <c r="O2123" s="1">
        <f t="shared" ca="1" si="1633"/>
        <v>0</v>
      </c>
      <c r="P2123" s="1">
        <f t="shared" ca="1" si="1633"/>
        <v>0</v>
      </c>
      <c r="Q2123" s="1">
        <f t="shared" ca="1" si="1633"/>
        <v>0</v>
      </c>
      <c r="R2123" s="1">
        <f t="shared" ca="1" si="1633"/>
        <v>0</v>
      </c>
      <c r="S2123" s="1">
        <f t="shared" ca="1" si="1633"/>
        <v>0</v>
      </c>
      <c r="T2123" s="1">
        <f t="shared" ca="1" si="1633"/>
        <v>0</v>
      </c>
      <c r="U2123" s="1">
        <f t="shared" ca="1" si="1633"/>
        <v>0</v>
      </c>
      <c r="V2123" s="1">
        <f t="shared" ca="1" si="1633"/>
        <v>0</v>
      </c>
      <c r="W2123" s="1">
        <f t="shared" ca="1" si="1633"/>
        <v>0</v>
      </c>
      <c r="X2123" s="1">
        <f t="shared" ca="1" si="1633"/>
        <v>0</v>
      </c>
    </row>
    <row r="2124" spans="2:24" hidden="1">
      <c r="B2124" s="1">
        <f t="shared" si="1632"/>
        <v>0</v>
      </c>
      <c r="C2124" s="1">
        <f t="shared" si="1632"/>
        <v>0</v>
      </c>
      <c r="J2124" s="336">
        <f t="shared" si="1634"/>
        <v>42</v>
      </c>
      <c r="K2124" s="1">
        <f t="shared" ca="1" si="1633"/>
        <v>0</v>
      </c>
      <c r="L2124" s="1">
        <f t="shared" ca="1" si="1633"/>
        <v>0</v>
      </c>
      <c r="M2124" s="1">
        <f t="shared" ca="1" si="1633"/>
        <v>0</v>
      </c>
      <c r="N2124" s="1">
        <f t="shared" ca="1" si="1633"/>
        <v>0</v>
      </c>
      <c r="O2124" s="1">
        <f t="shared" ca="1" si="1633"/>
        <v>0</v>
      </c>
      <c r="P2124" s="1">
        <f t="shared" ca="1" si="1633"/>
        <v>0</v>
      </c>
      <c r="Q2124" s="1">
        <f t="shared" ca="1" si="1633"/>
        <v>0</v>
      </c>
      <c r="R2124" s="1">
        <f t="shared" ca="1" si="1633"/>
        <v>0</v>
      </c>
      <c r="S2124" s="1">
        <f t="shared" ca="1" si="1633"/>
        <v>0</v>
      </c>
      <c r="T2124" s="1">
        <f t="shared" ca="1" si="1633"/>
        <v>0</v>
      </c>
      <c r="U2124" s="1">
        <f t="shared" ca="1" si="1633"/>
        <v>0</v>
      </c>
      <c r="V2124" s="1">
        <f t="shared" ca="1" si="1633"/>
        <v>0</v>
      </c>
      <c r="W2124" s="1">
        <f t="shared" ca="1" si="1633"/>
        <v>0</v>
      </c>
      <c r="X2124" s="1">
        <f t="shared" ca="1" si="1633"/>
        <v>0</v>
      </c>
    </row>
    <row r="2125" spans="2:24" hidden="1">
      <c r="B2125" s="1">
        <f t="shared" si="1632"/>
        <v>0</v>
      </c>
      <c r="C2125" s="1">
        <f t="shared" si="1632"/>
        <v>0</v>
      </c>
      <c r="J2125" s="336">
        <f t="shared" si="1634"/>
        <v>49</v>
      </c>
      <c r="K2125" s="1">
        <f t="shared" ca="1" si="1633"/>
        <v>0</v>
      </c>
      <c r="L2125" s="1">
        <f t="shared" ca="1" si="1633"/>
        <v>0</v>
      </c>
      <c r="M2125" s="1">
        <f t="shared" ca="1" si="1633"/>
        <v>0</v>
      </c>
      <c r="N2125" s="1">
        <f t="shared" ca="1" si="1633"/>
        <v>0</v>
      </c>
      <c r="O2125" s="1">
        <f t="shared" ca="1" si="1633"/>
        <v>0</v>
      </c>
      <c r="P2125" s="1">
        <f t="shared" ca="1" si="1633"/>
        <v>0</v>
      </c>
      <c r="Q2125" s="1">
        <f t="shared" ca="1" si="1633"/>
        <v>0</v>
      </c>
      <c r="R2125" s="1">
        <f t="shared" ca="1" si="1633"/>
        <v>0</v>
      </c>
      <c r="S2125" s="1">
        <f t="shared" ca="1" si="1633"/>
        <v>0</v>
      </c>
      <c r="T2125" s="1">
        <f t="shared" ca="1" si="1633"/>
        <v>0</v>
      </c>
      <c r="U2125" s="1">
        <f t="shared" ca="1" si="1633"/>
        <v>0</v>
      </c>
      <c r="V2125" s="1">
        <f t="shared" ca="1" si="1633"/>
        <v>0</v>
      </c>
      <c r="W2125" s="1">
        <f t="shared" ca="1" si="1633"/>
        <v>0</v>
      </c>
      <c r="X2125" s="1">
        <f t="shared" ca="1" si="1633"/>
        <v>0</v>
      </c>
    </row>
    <row r="2126" spans="2:24" hidden="1">
      <c r="B2126" s="1">
        <f t="shared" si="1632"/>
        <v>0</v>
      </c>
      <c r="C2126" s="1">
        <f t="shared" si="1632"/>
        <v>0</v>
      </c>
      <c r="J2126" s="336">
        <f t="shared" si="1634"/>
        <v>56</v>
      </c>
      <c r="K2126" s="1">
        <f t="shared" ca="1" si="1633"/>
        <v>0</v>
      </c>
      <c r="L2126" s="1">
        <f t="shared" ca="1" si="1633"/>
        <v>0</v>
      </c>
      <c r="M2126" s="1">
        <f t="shared" ca="1" si="1633"/>
        <v>0</v>
      </c>
      <c r="N2126" s="1">
        <f t="shared" ca="1" si="1633"/>
        <v>0</v>
      </c>
      <c r="O2126" s="1">
        <f t="shared" ca="1" si="1633"/>
        <v>0</v>
      </c>
      <c r="P2126" s="1">
        <f t="shared" ca="1" si="1633"/>
        <v>0</v>
      </c>
      <c r="Q2126" s="1">
        <f t="shared" ca="1" si="1633"/>
        <v>0</v>
      </c>
      <c r="R2126" s="1">
        <f t="shared" ca="1" si="1633"/>
        <v>0</v>
      </c>
      <c r="S2126" s="1">
        <f t="shared" ca="1" si="1633"/>
        <v>0</v>
      </c>
      <c r="T2126" s="1">
        <f t="shared" ca="1" si="1633"/>
        <v>0</v>
      </c>
      <c r="U2126" s="1">
        <f t="shared" ca="1" si="1633"/>
        <v>0</v>
      </c>
      <c r="V2126" s="1">
        <f t="shared" ca="1" si="1633"/>
        <v>0</v>
      </c>
      <c r="W2126" s="1">
        <f t="shared" ca="1" si="1633"/>
        <v>0</v>
      </c>
      <c r="X2126" s="1">
        <f t="shared" ca="1" si="1633"/>
        <v>0</v>
      </c>
    </row>
    <row r="2127" spans="2:24" hidden="1">
      <c r="B2127" s="1">
        <f t="shared" si="1632"/>
        <v>0</v>
      </c>
      <c r="C2127" s="1">
        <f t="shared" si="1632"/>
        <v>0</v>
      </c>
      <c r="J2127" s="336">
        <f t="shared" si="1634"/>
        <v>63</v>
      </c>
      <c r="K2127" s="1">
        <f t="shared" ca="1" si="1633"/>
        <v>0</v>
      </c>
      <c r="L2127" s="1">
        <f t="shared" ca="1" si="1633"/>
        <v>0</v>
      </c>
      <c r="M2127" s="1">
        <f t="shared" ca="1" si="1633"/>
        <v>0</v>
      </c>
      <c r="N2127" s="1">
        <f t="shared" ca="1" si="1633"/>
        <v>0</v>
      </c>
      <c r="O2127" s="1">
        <f t="shared" ca="1" si="1633"/>
        <v>0</v>
      </c>
      <c r="P2127" s="1">
        <f t="shared" ca="1" si="1633"/>
        <v>0</v>
      </c>
      <c r="Q2127" s="1">
        <f t="shared" ca="1" si="1633"/>
        <v>0</v>
      </c>
      <c r="R2127" s="1">
        <f t="shared" ca="1" si="1633"/>
        <v>0</v>
      </c>
      <c r="S2127" s="1">
        <f t="shared" ca="1" si="1633"/>
        <v>0</v>
      </c>
      <c r="T2127" s="1">
        <f t="shared" ca="1" si="1633"/>
        <v>0</v>
      </c>
      <c r="U2127" s="1">
        <f t="shared" ca="1" si="1633"/>
        <v>0</v>
      </c>
      <c r="V2127" s="1">
        <f t="shared" ca="1" si="1633"/>
        <v>0</v>
      </c>
      <c r="W2127" s="1">
        <f t="shared" ca="1" si="1633"/>
        <v>0</v>
      </c>
      <c r="X2127" s="1">
        <f t="shared" ca="1" si="1633"/>
        <v>0</v>
      </c>
    </row>
    <row r="2128" spans="2:24" hidden="1">
      <c r="B2128" s="1">
        <f t="shared" si="1632"/>
        <v>0</v>
      </c>
      <c r="C2128" s="1">
        <f t="shared" si="1632"/>
        <v>0</v>
      </c>
      <c r="J2128" s="336">
        <f t="shared" si="1634"/>
        <v>70</v>
      </c>
      <c r="K2128" s="1">
        <f t="shared" ca="1" si="1633"/>
        <v>0</v>
      </c>
      <c r="L2128" s="1">
        <f t="shared" ca="1" si="1633"/>
        <v>0</v>
      </c>
      <c r="M2128" s="1">
        <f t="shared" ca="1" si="1633"/>
        <v>0</v>
      </c>
      <c r="N2128" s="1">
        <f t="shared" ca="1" si="1633"/>
        <v>0</v>
      </c>
      <c r="O2128" s="1">
        <f t="shared" ca="1" si="1633"/>
        <v>0</v>
      </c>
      <c r="P2128" s="1">
        <f t="shared" ca="1" si="1633"/>
        <v>0</v>
      </c>
      <c r="Q2128" s="1">
        <f t="shared" ca="1" si="1633"/>
        <v>0</v>
      </c>
      <c r="R2128" s="1">
        <f t="shared" ca="1" si="1633"/>
        <v>0</v>
      </c>
      <c r="S2128" s="1">
        <f t="shared" ca="1" si="1633"/>
        <v>0</v>
      </c>
      <c r="T2128" s="1">
        <f t="shared" ca="1" si="1633"/>
        <v>0</v>
      </c>
      <c r="U2128" s="1">
        <f t="shared" ca="1" si="1633"/>
        <v>0</v>
      </c>
      <c r="V2128" s="1">
        <f t="shared" ca="1" si="1633"/>
        <v>0</v>
      </c>
      <c r="W2128" s="1">
        <f t="shared" ca="1" si="1633"/>
        <v>0</v>
      </c>
      <c r="X2128" s="1">
        <f t="shared" ca="1" si="1633"/>
        <v>0</v>
      </c>
    </row>
    <row r="2129" spans="2:24" hidden="1">
      <c r="B2129" s="1">
        <f t="shared" si="1632"/>
        <v>0</v>
      </c>
      <c r="C2129" s="1">
        <f t="shared" si="1632"/>
        <v>0</v>
      </c>
      <c r="J2129" s="336">
        <f t="shared" si="1634"/>
        <v>77</v>
      </c>
      <c r="K2129" s="1">
        <f t="shared" ca="1" si="1633"/>
        <v>0</v>
      </c>
      <c r="L2129" s="1">
        <f t="shared" ca="1" si="1633"/>
        <v>0</v>
      </c>
      <c r="M2129" s="1">
        <f t="shared" ca="1" si="1633"/>
        <v>0</v>
      </c>
      <c r="N2129" s="1">
        <f t="shared" ca="1" si="1633"/>
        <v>0</v>
      </c>
      <c r="O2129" s="1">
        <f t="shared" ca="1" si="1633"/>
        <v>0</v>
      </c>
      <c r="P2129" s="1">
        <f t="shared" ca="1" si="1633"/>
        <v>0</v>
      </c>
      <c r="Q2129" s="1">
        <f t="shared" ca="1" si="1633"/>
        <v>0</v>
      </c>
      <c r="R2129" s="1">
        <f t="shared" ca="1" si="1633"/>
        <v>0</v>
      </c>
      <c r="S2129" s="1">
        <f t="shared" ca="1" si="1633"/>
        <v>0</v>
      </c>
      <c r="T2129" s="1">
        <f t="shared" ca="1" si="1633"/>
        <v>0</v>
      </c>
      <c r="U2129" s="1">
        <f t="shared" ca="1" si="1633"/>
        <v>0</v>
      </c>
      <c r="V2129" s="1">
        <f t="shared" ca="1" si="1633"/>
        <v>0</v>
      </c>
      <c r="W2129" s="1">
        <f t="shared" ca="1" si="1633"/>
        <v>0</v>
      </c>
      <c r="X2129" s="1">
        <f t="shared" ca="1" si="1633"/>
        <v>0</v>
      </c>
    </row>
    <row r="2130" spans="2:24" hidden="1">
      <c r="B2130" s="1">
        <f t="shared" si="1632"/>
        <v>0</v>
      </c>
      <c r="C2130" s="1">
        <f t="shared" si="1632"/>
        <v>0</v>
      </c>
      <c r="J2130" s="336">
        <f t="shared" si="1634"/>
        <v>84</v>
      </c>
      <c r="K2130" s="1">
        <f t="shared" ca="1" si="1633"/>
        <v>0</v>
      </c>
      <c r="L2130" s="1">
        <f t="shared" ca="1" si="1633"/>
        <v>0</v>
      </c>
      <c r="M2130" s="1">
        <f t="shared" ca="1" si="1633"/>
        <v>0</v>
      </c>
      <c r="N2130" s="1">
        <f t="shared" ca="1" si="1633"/>
        <v>0</v>
      </c>
      <c r="O2130" s="1">
        <f t="shared" ca="1" si="1633"/>
        <v>0</v>
      </c>
      <c r="P2130" s="1">
        <f t="shared" ca="1" si="1633"/>
        <v>0</v>
      </c>
      <c r="Q2130" s="1">
        <f t="shared" ca="1" si="1633"/>
        <v>0</v>
      </c>
      <c r="R2130" s="1">
        <f t="shared" ca="1" si="1633"/>
        <v>0</v>
      </c>
      <c r="S2130" s="1">
        <f t="shared" ca="1" si="1633"/>
        <v>0</v>
      </c>
      <c r="T2130" s="1">
        <f t="shared" ca="1" si="1633"/>
        <v>0</v>
      </c>
      <c r="U2130" s="1">
        <f t="shared" ca="1" si="1633"/>
        <v>0</v>
      </c>
      <c r="V2130" s="1">
        <f t="shared" ca="1" si="1633"/>
        <v>0</v>
      </c>
      <c r="W2130" s="1">
        <f t="shared" ca="1" si="1633"/>
        <v>0</v>
      </c>
      <c r="X2130" s="1">
        <f t="shared" ca="1" si="1633"/>
        <v>0</v>
      </c>
    </row>
    <row r="2131" spans="2:24" hidden="1">
      <c r="B2131" s="1">
        <f t="shared" si="1632"/>
        <v>0</v>
      </c>
      <c r="C2131" s="1">
        <f t="shared" si="1632"/>
        <v>0</v>
      </c>
      <c r="J2131" s="336">
        <f t="shared" si="1634"/>
        <v>91</v>
      </c>
      <c r="K2131" s="1">
        <f t="shared" ca="1" si="1633"/>
        <v>0</v>
      </c>
      <c r="L2131" s="1">
        <f t="shared" ca="1" si="1633"/>
        <v>0</v>
      </c>
      <c r="M2131" s="1">
        <f t="shared" ca="1" si="1633"/>
        <v>0</v>
      </c>
      <c r="N2131" s="1">
        <f t="shared" ca="1" si="1633"/>
        <v>0</v>
      </c>
      <c r="O2131" s="1">
        <f t="shared" ca="1" si="1633"/>
        <v>0</v>
      </c>
      <c r="P2131" s="1">
        <f t="shared" ca="1" si="1633"/>
        <v>0</v>
      </c>
      <c r="Q2131" s="1">
        <f t="shared" ca="1" si="1633"/>
        <v>0</v>
      </c>
      <c r="R2131" s="1">
        <f t="shared" ca="1" si="1633"/>
        <v>0</v>
      </c>
      <c r="S2131" s="1">
        <f t="shared" ca="1" si="1633"/>
        <v>0</v>
      </c>
      <c r="T2131" s="1">
        <f t="shared" ca="1" si="1633"/>
        <v>0</v>
      </c>
      <c r="U2131" s="1">
        <f t="shared" ca="1" si="1633"/>
        <v>0</v>
      </c>
      <c r="V2131" s="1">
        <f t="shared" ca="1" si="1633"/>
        <v>0</v>
      </c>
      <c r="W2131" s="1">
        <f t="shared" ca="1" si="1633"/>
        <v>0</v>
      </c>
      <c r="X2131" s="1">
        <f t="shared" ca="1" si="1633"/>
        <v>0</v>
      </c>
    </row>
    <row r="2132" spans="2:24" hidden="1">
      <c r="B2132" s="1">
        <f t="shared" si="1632"/>
        <v>0</v>
      </c>
      <c r="C2132" s="1">
        <f t="shared" si="1632"/>
        <v>0</v>
      </c>
      <c r="J2132" s="336">
        <f t="shared" si="1634"/>
        <v>98</v>
      </c>
      <c r="K2132" s="1">
        <f t="shared" ca="1" si="1633"/>
        <v>0</v>
      </c>
      <c r="L2132" s="1">
        <f t="shared" ca="1" si="1633"/>
        <v>0</v>
      </c>
      <c r="M2132" s="1">
        <f t="shared" ca="1" si="1633"/>
        <v>0</v>
      </c>
      <c r="N2132" s="1">
        <f t="shared" ca="1" si="1633"/>
        <v>0</v>
      </c>
      <c r="O2132" s="1">
        <f t="shared" ca="1" si="1633"/>
        <v>0</v>
      </c>
      <c r="P2132" s="1">
        <f t="shared" ca="1" si="1633"/>
        <v>0</v>
      </c>
      <c r="Q2132" s="1">
        <f t="shared" ca="1" si="1633"/>
        <v>0</v>
      </c>
      <c r="R2132" s="1">
        <f t="shared" ca="1" si="1633"/>
        <v>0</v>
      </c>
      <c r="S2132" s="1">
        <f t="shared" ca="1" si="1633"/>
        <v>0</v>
      </c>
      <c r="T2132" s="1">
        <f t="shared" ca="1" si="1633"/>
        <v>0</v>
      </c>
      <c r="U2132" s="1">
        <f t="shared" ca="1" si="1633"/>
        <v>0</v>
      </c>
      <c r="V2132" s="1">
        <f t="shared" ca="1" si="1633"/>
        <v>0</v>
      </c>
      <c r="W2132" s="1">
        <f t="shared" ca="1" si="1633"/>
        <v>0</v>
      </c>
      <c r="X2132" s="1">
        <f t="shared" ca="1" si="1633"/>
        <v>0</v>
      </c>
    </row>
    <row r="2134" spans="2:24" hidden="1">
      <c r="B2134" s="228" t="s">
        <v>389</v>
      </c>
    </row>
    <row r="2135" spans="2:24" hidden="1">
      <c r="B2135" s="1">
        <f t="shared" ref="B2135:C2139" si="1635">B326</f>
        <v>0</v>
      </c>
      <c r="C2135" s="1">
        <f t="shared" si="1635"/>
        <v>0</v>
      </c>
      <c r="J2135" s="336">
        <v>0</v>
      </c>
      <c r="K2135" s="1">
        <f t="shared" ref="K2135:X2139" ca="1" si="1636">OFFSET($K$1391,$J2135,COLUMN()-11)</f>
        <v>0</v>
      </c>
      <c r="L2135" s="1">
        <f t="shared" ca="1" si="1636"/>
        <v>0</v>
      </c>
      <c r="M2135" s="1">
        <f t="shared" ca="1" si="1636"/>
        <v>0</v>
      </c>
      <c r="N2135" s="1">
        <f t="shared" ca="1" si="1636"/>
        <v>0</v>
      </c>
      <c r="O2135" s="1">
        <f t="shared" ca="1" si="1636"/>
        <v>0</v>
      </c>
      <c r="P2135" s="1">
        <f t="shared" ca="1" si="1636"/>
        <v>0</v>
      </c>
      <c r="Q2135" s="1">
        <f t="shared" ca="1" si="1636"/>
        <v>0</v>
      </c>
      <c r="R2135" s="1">
        <f t="shared" ca="1" si="1636"/>
        <v>0</v>
      </c>
      <c r="S2135" s="1">
        <f t="shared" ca="1" si="1636"/>
        <v>0</v>
      </c>
      <c r="T2135" s="1">
        <f t="shared" ca="1" si="1636"/>
        <v>0</v>
      </c>
      <c r="U2135" s="1">
        <f t="shared" ca="1" si="1636"/>
        <v>0</v>
      </c>
      <c r="V2135" s="1">
        <f t="shared" ca="1" si="1636"/>
        <v>0</v>
      </c>
      <c r="W2135" s="1">
        <f t="shared" ca="1" si="1636"/>
        <v>0</v>
      </c>
      <c r="X2135" s="1">
        <f t="shared" ca="1" si="1636"/>
        <v>0</v>
      </c>
    </row>
    <row r="2136" spans="2:24" hidden="1">
      <c r="B2136" s="1">
        <f t="shared" si="1635"/>
        <v>0</v>
      </c>
      <c r="C2136" s="1">
        <f t="shared" si="1635"/>
        <v>0</v>
      </c>
      <c r="J2136" s="336">
        <f>J2135+7</f>
        <v>7</v>
      </c>
      <c r="K2136" s="1">
        <f t="shared" ca="1" si="1636"/>
        <v>0</v>
      </c>
      <c r="L2136" s="1">
        <f t="shared" ca="1" si="1636"/>
        <v>0</v>
      </c>
      <c r="M2136" s="1">
        <f t="shared" ca="1" si="1636"/>
        <v>0</v>
      </c>
      <c r="N2136" s="1">
        <f t="shared" ca="1" si="1636"/>
        <v>0</v>
      </c>
      <c r="O2136" s="1">
        <f t="shared" ca="1" si="1636"/>
        <v>0</v>
      </c>
      <c r="P2136" s="1">
        <f t="shared" ca="1" si="1636"/>
        <v>0</v>
      </c>
      <c r="Q2136" s="1">
        <f t="shared" ca="1" si="1636"/>
        <v>0</v>
      </c>
      <c r="R2136" s="1">
        <f t="shared" ca="1" si="1636"/>
        <v>0</v>
      </c>
      <c r="S2136" s="1">
        <f t="shared" ca="1" si="1636"/>
        <v>0</v>
      </c>
      <c r="T2136" s="1">
        <f t="shared" ca="1" si="1636"/>
        <v>0</v>
      </c>
      <c r="U2136" s="1">
        <f t="shared" ca="1" si="1636"/>
        <v>0</v>
      </c>
      <c r="V2136" s="1">
        <f t="shared" ca="1" si="1636"/>
        <v>0</v>
      </c>
      <c r="W2136" s="1">
        <f t="shared" ca="1" si="1636"/>
        <v>0</v>
      </c>
      <c r="X2136" s="1">
        <f t="shared" ca="1" si="1636"/>
        <v>0</v>
      </c>
    </row>
    <row r="2137" spans="2:24" hidden="1">
      <c r="B2137" s="1">
        <f t="shared" si="1635"/>
        <v>0</v>
      </c>
      <c r="C2137" s="1">
        <f t="shared" si="1635"/>
        <v>0</v>
      </c>
      <c r="J2137" s="336">
        <f>J2136+7</f>
        <v>14</v>
      </c>
      <c r="K2137" s="1">
        <f t="shared" ca="1" si="1636"/>
        <v>0</v>
      </c>
      <c r="L2137" s="1">
        <f t="shared" ca="1" si="1636"/>
        <v>0</v>
      </c>
      <c r="M2137" s="1">
        <f t="shared" ca="1" si="1636"/>
        <v>0</v>
      </c>
      <c r="N2137" s="1">
        <f t="shared" ca="1" si="1636"/>
        <v>0</v>
      </c>
      <c r="O2137" s="1">
        <f t="shared" ca="1" si="1636"/>
        <v>0</v>
      </c>
      <c r="P2137" s="1">
        <f t="shared" ca="1" si="1636"/>
        <v>0</v>
      </c>
      <c r="Q2137" s="1">
        <f t="shared" ca="1" si="1636"/>
        <v>0</v>
      </c>
      <c r="R2137" s="1">
        <f t="shared" ca="1" si="1636"/>
        <v>0</v>
      </c>
      <c r="S2137" s="1">
        <f t="shared" ca="1" si="1636"/>
        <v>0</v>
      </c>
      <c r="T2137" s="1">
        <f t="shared" ca="1" si="1636"/>
        <v>0</v>
      </c>
      <c r="U2137" s="1">
        <f t="shared" ca="1" si="1636"/>
        <v>0</v>
      </c>
      <c r="V2137" s="1">
        <f t="shared" ca="1" si="1636"/>
        <v>0</v>
      </c>
      <c r="W2137" s="1">
        <f t="shared" ca="1" si="1636"/>
        <v>0</v>
      </c>
      <c r="X2137" s="1">
        <f t="shared" ca="1" si="1636"/>
        <v>0</v>
      </c>
    </row>
    <row r="2138" spans="2:24" hidden="1">
      <c r="B2138" s="1">
        <f t="shared" si="1635"/>
        <v>0</v>
      </c>
      <c r="C2138" s="1">
        <f t="shared" si="1635"/>
        <v>0</v>
      </c>
      <c r="J2138" s="336">
        <f>J2137+7</f>
        <v>21</v>
      </c>
      <c r="K2138" s="1">
        <f t="shared" ca="1" si="1636"/>
        <v>0</v>
      </c>
      <c r="L2138" s="1">
        <f t="shared" ca="1" si="1636"/>
        <v>0</v>
      </c>
      <c r="M2138" s="1">
        <f t="shared" ca="1" si="1636"/>
        <v>0</v>
      </c>
      <c r="N2138" s="1">
        <f t="shared" ca="1" si="1636"/>
        <v>0</v>
      </c>
      <c r="O2138" s="1">
        <f t="shared" ca="1" si="1636"/>
        <v>0</v>
      </c>
      <c r="P2138" s="1">
        <f t="shared" ca="1" si="1636"/>
        <v>0</v>
      </c>
      <c r="Q2138" s="1">
        <f t="shared" ca="1" si="1636"/>
        <v>0</v>
      </c>
      <c r="R2138" s="1">
        <f t="shared" ca="1" si="1636"/>
        <v>0</v>
      </c>
      <c r="S2138" s="1">
        <f t="shared" ca="1" si="1636"/>
        <v>0</v>
      </c>
      <c r="T2138" s="1">
        <f t="shared" ca="1" si="1636"/>
        <v>0</v>
      </c>
      <c r="U2138" s="1">
        <f t="shared" ca="1" si="1636"/>
        <v>0</v>
      </c>
      <c r="V2138" s="1">
        <f t="shared" ca="1" si="1636"/>
        <v>0</v>
      </c>
      <c r="W2138" s="1">
        <f t="shared" ca="1" si="1636"/>
        <v>0</v>
      </c>
      <c r="X2138" s="1">
        <f t="shared" ca="1" si="1636"/>
        <v>0</v>
      </c>
    </row>
    <row r="2139" spans="2:24" hidden="1">
      <c r="B2139" s="1">
        <f t="shared" si="1635"/>
        <v>0</v>
      </c>
      <c r="C2139" s="1">
        <f t="shared" si="1635"/>
        <v>0</v>
      </c>
      <c r="J2139" s="336">
        <f>J2138+7</f>
        <v>28</v>
      </c>
      <c r="K2139" s="1">
        <f t="shared" ca="1" si="1636"/>
        <v>0</v>
      </c>
      <c r="L2139" s="1">
        <f t="shared" ca="1" si="1636"/>
        <v>0</v>
      </c>
      <c r="M2139" s="1">
        <f t="shared" ca="1" si="1636"/>
        <v>0</v>
      </c>
      <c r="N2139" s="1">
        <f t="shared" ca="1" si="1636"/>
        <v>0</v>
      </c>
      <c r="O2139" s="1">
        <f t="shared" ca="1" si="1636"/>
        <v>0</v>
      </c>
      <c r="P2139" s="1">
        <f t="shared" ca="1" si="1636"/>
        <v>0</v>
      </c>
      <c r="Q2139" s="1">
        <f t="shared" ca="1" si="1636"/>
        <v>0</v>
      </c>
      <c r="R2139" s="1">
        <f t="shared" ca="1" si="1636"/>
        <v>0</v>
      </c>
      <c r="S2139" s="1">
        <f t="shared" ca="1" si="1636"/>
        <v>0</v>
      </c>
      <c r="T2139" s="1">
        <f t="shared" ca="1" si="1636"/>
        <v>0</v>
      </c>
      <c r="U2139" s="1">
        <f t="shared" ca="1" si="1636"/>
        <v>0</v>
      </c>
      <c r="V2139" s="1">
        <f t="shared" ca="1" si="1636"/>
        <v>0</v>
      </c>
      <c r="W2139" s="1">
        <f t="shared" ca="1" si="1636"/>
        <v>0</v>
      </c>
      <c r="X2139" s="1">
        <f t="shared" ca="1" si="1636"/>
        <v>0</v>
      </c>
    </row>
    <row r="2141" spans="2:24" hidden="1">
      <c r="B2141" s="228" t="s">
        <v>390</v>
      </c>
    </row>
    <row r="2142" spans="2:24" hidden="1">
      <c r="B2142" s="1">
        <f t="shared" ref="B2142:C2156" si="1637">B353</f>
        <v>0</v>
      </c>
      <c r="C2142" s="1">
        <f t="shared" si="1637"/>
        <v>0</v>
      </c>
      <c r="J2142" s="336">
        <v>0</v>
      </c>
      <c r="K2142" s="1">
        <f t="shared" ref="K2142:X2151" ca="1" si="1638">OFFSET($K$1431,$J2142,COLUMN()-11)</f>
        <v>0</v>
      </c>
      <c r="L2142" s="1">
        <f t="shared" ca="1" si="1638"/>
        <v>0</v>
      </c>
      <c r="M2142" s="1">
        <f t="shared" ca="1" si="1638"/>
        <v>0</v>
      </c>
      <c r="N2142" s="1">
        <f t="shared" ca="1" si="1638"/>
        <v>0</v>
      </c>
      <c r="O2142" s="1">
        <f t="shared" ca="1" si="1638"/>
        <v>0</v>
      </c>
      <c r="P2142" s="1">
        <f t="shared" ca="1" si="1638"/>
        <v>0</v>
      </c>
      <c r="Q2142" s="1">
        <f t="shared" ca="1" si="1638"/>
        <v>0</v>
      </c>
      <c r="R2142" s="1">
        <f t="shared" ca="1" si="1638"/>
        <v>0</v>
      </c>
      <c r="S2142" s="1">
        <f t="shared" ca="1" si="1638"/>
        <v>0</v>
      </c>
      <c r="T2142" s="1">
        <f t="shared" ca="1" si="1638"/>
        <v>0</v>
      </c>
      <c r="U2142" s="1">
        <f t="shared" ca="1" si="1638"/>
        <v>0</v>
      </c>
      <c r="V2142" s="1">
        <f t="shared" ca="1" si="1638"/>
        <v>0</v>
      </c>
      <c r="W2142" s="1">
        <f t="shared" ca="1" si="1638"/>
        <v>0</v>
      </c>
      <c r="X2142" s="1">
        <f t="shared" ca="1" si="1638"/>
        <v>0</v>
      </c>
    </row>
    <row r="2143" spans="2:24" hidden="1">
      <c r="B2143" s="1">
        <f t="shared" si="1637"/>
        <v>0</v>
      </c>
      <c r="C2143" s="1">
        <f t="shared" si="1637"/>
        <v>0</v>
      </c>
      <c r="J2143" s="336">
        <f>J2142+7</f>
        <v>7</v>
      </c>
      <c r="K2143" s="1">
        <f t="shared" ca="1" si="1638"/>
        <v>0</v>
      </c>
      <c r="L2143" s="1">
        <f t="shared" ca="1" si="1638"/>
        <v>0</v>
      </c>
      <c r="M2143" s="1">
        <f t="shared" ca="1" si="1638"/>
        <v>0</v>
      </c>
      <c r="N2143" s="1">
        <f t="shared" ca="1" si="1638"/>
        <v>0</v>
      </c>
      <c r="O2143" s="1">
        <f t="shared" ca="1" si="1638"/>
        <v>0</v>
      </c>
      <c r="P2143" s="1">
        <f t="shared" ca="1" si="1638"/>
        <v>0</v>
      </c>
      <c r="Q2143" s="1">
        <f t="shared" ca="1" si="1638"/>
        <v>0</v>
      </c>
      <c r="R2143" s="1">
        <f t="shared" ca="1" si="1638"/>
        <v>0</v>
      </c>
      <c r="S2143" s="1">
        <f t="shared" ca="1" si="1638"/>
        <v>0</v>
      </c>
      <c r="T2143" s="1">
        <f t="shared" ca="1" si="1638"/>
        <v>0</v>
      </c>
      <c r="U2143" s="1">
        <f t="shared" ca="1" si="1638"/>
        <v>0</v>
      </c>
      <c r="V2143" s="1">
        <f t="shared" ca="1" si="1638"/>
        <v>0</v>
      </c>
      <c r="W2143" s="1">
        <f t="shared" ca="1" si="1638"/>
        <v>0</v>
      </c>
      <c r="X2143" s="1">
        <f t="shared" ca="1" si="1638"/>
        <v>0</v>
      </c>
    </row>
    <row r="2144" spans="2:24" hidden="1">
      <c r="B2144" s="1">
        <f t="shared" si="1637"/>
        <v>0</v>
      </c>
      <c r="C2144" s="1">
        <f t="shared" si="1637"/>
        <v>0</v>
      </c>
      <c r="J2144" s="336">
        <f t="shared" ref="J2144:J2156" si="1639">J2143+7</f>
        <v>14</v>
      </c>
      <c r="K2144" s="1">
        <f t="shared" ca="1" si="1638"/>
        <v>0</v>
      </c>
      <c r="L2144" s="1">
        <f t="shared" ca="1" si="1638"/>
        <v>0</v>
      </c>
      <c r="M2144" s="1">
        <f t="shared" ca="1" si="1638"/>
        <v>0</v>
      </c>
      <c r="N2144" s="1">
        <f t="shared" ca="1" si="1638"/>
        <v>0</v>
      </c>
      <c r="O2144" s="1">
        <f t="shared" ca="1" si="1638"/>
        <v>0</v>
      </c>
      <c r="P2144" s="1">
        <f t="shared" ca="1" si="1638"/>
        <v>0</v>
      </c>
      <c r="Q2144" s="1">
        <f t="shared" ca="1" si="1638"/>
        <v>0</v>
      </c>
      <c r="R2144" s="1">
        <f t="shared" ca="1" si="1638"/>
        <v>0</v>
      </c>
      <c r="S2144" s="1">
        <f t="shared" ca="1" si="1638"/>
        <v>0</v>
      </c>
      <c r="T2144" s="1">
        <f t="shared" ca="1" si="1638"/>
        <v>0</v>
      </c>
      <c r="U2144" s="1">
        <f t="shared" ca="1" si="1638"/>
        <v>0</v>
      </c>
      <c r="V2144" s="1">
        <f t="shared" ca="1" si="1638"/>
        <v>0</v>
      </c>
      <c r="W2144" s="1">
        <f t="shared" ca="1" si="1638"/>
        <v>0</v>
      </c>
      <c r="X2144" s="1">
        <f t="shared" ca="1" si="1638"/>
        <v>0</v>
      </c>
    </row>
    <row r="2145" spans="2:24" hidden="1">
      <c r="B2145" s="1">
        <f t="shared" si="1637"/>
        <v>0</v>
      </c>
      <c r="C2145" s="1">
        <f t="shared" si="1637"/>
        <v>0</v>
      </c>
      <c r="J2145" s="336">
        <f t="shared" si="1639"/>
        <v>21</v>
      </c>
      <c r="K2145" s="1">
        <f t="shared" ca="1" si="1638"/>
        <v>0</v>
      </c>
      <c r="L2145" s="1">
        <f t="shared" ca="1" si="1638"/>
        <v>0</v>
      </c>
      <c r="M2145" s="1">
        <f t="shared" ca="1" si="1638"/>
        <v>0</v>
      </c>
      <c r="N2145" s="1">
        <f t="shared" ca="1" si="1638"/>
        <v>0</v>
      </c>
      <c r="O2145" s="1">
        <f t="shared" ca="1" si="1638"/>
        <v>0</v>
      </c>
      <c r="P2145" s="1">
        <f t="shared" ca="1" si="1638"/>
        <v>0</v>
      </c>
      <c r="Q2145" s="1">
        <f t="shared" ca="1" si="1638"/>
        <v>0</v>
      </c>
      <c r="R2145" s="1">
        <f t="shared" ca="1" si="1638"/>
        <v>0</v>
      </c>
      <c r="S2145" s="1">
        <f t="shared" ca="1" si="1638"/>
        <v>0</v>
      </c>
      <c r="T2145" s="1">
        <f t="shared" ca="1" si="1638"/>
        <v>0</v>
      </c>
      <c r="U2145" s="1">
        <f t="shared" ca="1" si="1638"/>
        <v>0</v>
      </c>
      <c r="V2145" s="1">
        <f t="shared" ca="1" si="1638"/>
        <v>0</v>
      </c>
      <c r="W2145" s="1">
        <f t="shared" ca="1" si="1638"/>
        <v>0</v>
      </c>
      <c r="X2145" s="1">
        <f t="shared" ca="1" si="1638"/>
        <v>0</v>
      </c>
    </row>
    <row r="2146" spans="2:24" hidden="1">
      <c r="B2146" s="1">
        <f t="shared" si="1637"/>
        <v>0</v>
      </c>
      <c r="C2146" s="1">
        <f t="shared" si="1637"/>
        <v>0</v>
      </c>
      <c r="J2146" s="336">
        <f t="shared" si="1639"/>
        <v>28</v>
      </c>
      <c r="K2146" s="1">
        <f t="shared" ca="1" si="1638"/>
        <v>0</v>
      </c>
      <c r="L2146" s="1">
        <f t="shared" ca="1" si="1638"/>
        <v>0</v>
      </c>
      <c r="M2146" s="1">
        <f t="shared" ca="1" si="1638"/>
        <v>0</v>
      </c>
      <c r="N2146" s="1">
        <f t="shared" ca="1" si="1638"/>
        <v>0</v>
      </c>
      <c r="O2146" s="1">
        <f t="shared" ca="1" si="1638"/>
        <v>0</v>
      </c>
      <c r="P2146" s="1">
        <f t="shared" ca="1" si="1638"/>
        <v>0</v>
      </c>
      <c r="Q2146" s="1">
        <f t="shared" ca="1" si="1638"/>
        <v>0</v>
      </c>
      <c r="R2146" s="1">
        <f t="shared" ca="1" si="1638"/>
        <v>0</v>
      </c>
      <c r="S2146" s="1">
        <f t="shared" ca="1" si="1638"/>
        <v>0</v>
      </c>
      <c r="T2146" s="1">
        <f t="shared" ca="1" si="1638"/>
        <v>0</v>
      </c>
      <c r="U2146" s="1">
        <f t="shared" ca="1" si="1638"/>
        <v>0</v>
      </c>
      <c r="V2146" s="1">
        <f t="shared" ca="1" si="1638"/>
        <v>0</v>
      </c>
      <c r="W2146" s="1">
        <f t="shared" ca="1" si="1638"/>
        <v>0</v>
      </c>
      <c r="X2146" s="1">
        <f t="shared" ca="1" si="1638"/>
        <v>0</v>
      </c>
    </row>
    <row r="2147" spans="2:24" hidden="1">
      <c r="B2147" s="1">
        <f t="shared" si="1637"/>
        <v>0</v>
      </c>
      <c r="C2147" s="1">
        <f t="shared" si="1637"/>
        <v>0</v>
      </c>
      <c r="J2147" s="336">
        <f t="shared" si="1639"/>
        <v>35</v>
      </c>
      <c r="K2147" s="1">
        <f t="shared" ca="1" si="1638"/>
        <v>0</v>
      </c>
      <c r="L2147" s="1">
        <f t="shared" ca="1" si="1638"/>
        <v>0</v>
      </c>
      <c r="M2147" s="1">
        <f t="shared" ca="1" si="1638"/>
        <v>0</v>
      </c>
      <c r="N2147" s="1">
        <f t="shared" ca="1" si="1638"/>
        <v>0</v>
      </c>
      <c r="O2147" s="1">
        <f t="shared" ca="1" si="1638"/>
        <v>0</v>
      </c>
      <c r="P2147" s="1">
        <f t="shared" ca="1" si="1638"/>
        <v>0</v>
      </c>
      <c r="Q2147" s="1">
        <f t="shared" ca="1" si="1638"/>
        <v>0</v>
      </c>
      <c r="R2147" s="1">
        <f t="shared" ca="1" si="1638"/>
        <v>0</v>
      </c>
      <c r="S2147" s="1">
        <f t="shared" ca="1" si="1638"/>
        <v>0</v>
      </c>
      <c r="T2147" s="1">
        <f t="shared" ca="1" si="1638"/>
        <v>0</v>
      </c>
      <c r="U2147" s="1">
        <f t="shared" ca="1" si="1638"/>
        <v>0</v>
      </c>
      <c r="V2147" s="1">
        <f t="shared" ca="1" si="1638"/>
        <v>0</v>
      </c>
      <c r="W2147" s="1">
        <f t="shared" ca="1" si="1638"/>
        <v>0</v>
      </c>
      <c r="X2147" s="1">
        <f t="shared" ca="1" si="1638"/>
        <v>0</v>
      </c>
    </row>
    <row r="2148" spans="2:24" hidden="1">
      <c r="B2148" s="1">
        <f t="shared" si="1637"/>
        <v>0</v>
      </c>
      <c r="C2148" s="1">
        <f t="shared" si="1637"/>
        <v>0</v>
      </c>
      <c r="J2148" s="336">
        <f t="shared" si="1639"/>
        <v>42</v>
      </c>
      <c r="K2148" s="1">
        <f t="shared" ca="1" si="1638"/>
        <v>0</v>
      </c>
      <c r="L2148" s="1">
        <f t="shared" ca="1" si="1638"/>
        <v>0</v>
      </c>
      <c r="M2148" s="1">
        <f t="shared" ca="1" si="1638"/>
        <v>0</v>
      </c>
      <c r="N2148" s="1">
        <f t="shared" ca="1" si="1638"/>
        <v>0</v>
      </c>
      <c r="O2148" s="1">
        <f t="shared" ca="1" si="1638"/>
        <v>0</v>
      </c>
      <c r="P2148" s="1">
        <f t="shared" ca="1" si="1638"/>
        <v>0</v>
      </c>
      <c r="Q2148" s="1">
        <f t="shared" ca="1" si="1638"/>
        <v>0</v>
      </c>
      <c r="R2148" s="1">
        <f t="shared" ca="1" si="1638"/>
        <v>0</v>
      </c>
      <c r="S2148" s="1">
        <f t="shared" ca="1" si="1638"/>
        <v>0</v>
      </c>
      <c r="T2148" s="1">
        <f t="shared" ca="1" si="1638"/>
        <v>0</v>
      </c>
      <c r="U2148" s="1">
        <f t="shared" ca="1" si="1638"/>
        <v>0</v>
      </c>
      <c r="V2148" s="1">
        <f t="shared" ca="1" si="1638"/>
        <v>0</v>
      </c>
      <c r="W2148" s="1">
        <f t="shared" ca="1" si="1638"/>
        <v>0</v>
      </c>
      <c r="X2148" s="1">
        <f t="shared" ca="1" si="1638"/>
        <v>0</v>
      </c>
    </row>
    <row r="2149" spans="2:24" hidden="1">
      <c r="B2149" s="1">
        <f t="shared" si="1637"/>
        <v>0</v>
      </c>
      <c r="C2149" s="1">
        <f t="shared" si="1637"/>
        <v>0</v>
      </c>
      <c r="J2149" s="336">
        <f t="shared" si="1639"/>
        <v>49</v>
      </c>
      <c r="K2149" s="1">
        <f t="shared" ca="1" si="1638"/>
        <v>0</v>
      </c>
      <c r="L2149" s="1">
        <f t="shared" ca="1" si="1638"/>
        <v>0</v>
      </c>
      <c r="M2149" s="1">
        <f t="shared" ca="1" si="1638"/>
        <v>0</v>
      </c>
      <c r="N2149" s="1">
        <f t="shared" ca="1" si="1638"/>
        <v>0</v>
      </c>
      <c r="O2149" s="1">
        <f t="shared" ca="1" si="1638"/>
        <v>0</v>
      </c>
      <c r="P2149" s="1">
        <f t="shared" ca="1" si="1638"/>
        <v>0</v>
      </c>
      <c r="Q2149" s="1">
        <f t="shared" ca="1" si="1638"/>
        <v>0</v>
      </c>
      <c r="R2149" s="1">
        <f t="shared" ca="1" si="1638"/>
        <v>0</v>
      </c>
      <c r="S2149" s="1">
        <f t="shared" ca="1" si="1638"/>
        <v>0</v>
      </c>
      <c r="T2149" s="1">
        <f t="shared" ca="1" si="1638"/>
        <v>0</v>
      </c>
      <c r="U2149" s="1">
        <f t="shared" ca="1" si="1638"/>
        <v>0</v>
      </c>
      <c r="V2149" s="1">
        <f t="shared" ca="1" si="1638"/>
        <v>0</v>
      </c>
      <c r="W2149" s="1">
        <f t="shared" ca="1" si="1638"/>
        <v>0</v>
      </c>
      <c r="X2149" s="1">
        <f t="shared" ca="1" si="1638"/>
        <v>0</v>
      </c>
    </row>
    <row r="2150" spans="2:24" hidden="1">
      <c r="B2150" s="1">
        <f t="shared" si="1637"/>
        <v>0</v>
      </c>
      <c r="C2150" s="1">
        <f t="shared" si="1637"/>
        <v>0</v>
      </c>
      <c r="J2150" s="336">
        <f t="shared" si="1639"/>
        <v>56</v>
      </c>
      <c r="K2150" s="1">
        <f t="shared" ca="1" si="1638"/>
        <v>0</v>
      </c>
      <c r="L2150" s="1">
        <f t="shared" ca="1" si="1638"/>
        <v>0</v>
      </c>
      <c r="M2150" s="1">
        <f t="shared" ca="1" si="1638"/>
        <v>0</v>
      </c>
      <c r="N2150" s="1">
        <f t="shared" ca="1" si="1638"/>
        <v>0</v>
      </c>
      <c r="O2150" s="1">
        <f t="shared" ca="1" si="1638"/>
        <v>0</v>
      </c>
      <c r="P2150" s="1">
        <f t="shared" ca="1" si="1638"/>
        <v>0</v>
      </c>
      <c r="Q2150" s="1">
        <f t="shared" ca="1" si="1638"/>
        <v>0</v>
      </c>
      <c r="R2150" s="1">
        <f t="shared" ca="1" si="1638"/>
        <v>0</v>
      </c>
      <c r="S2150" s="1">
        <f t="shared" ca="1" si="1638"/>
        <v>0</v>
      </c>
      <c r="T2150" s="1">
        <f t="shared" ca="1" si="1638"/>
        <v>0</v>
      </c>
      <c r="U2150" s="1">
        <f t="shared" ca="1" si="1638"/>
        <v>0</v>
      </c>
      <c r="V2150" s="1">
        <f t="shared" ca="1" si="1638"/>
        <v>0</v>
      </c>
      <c r="W2150" s="1">
        <f t="shared" ca="1" si="1638"/>
        <v>0</v>
      </c>
      <c r="X2150" s="1">
        <f t="shared" ca="1" si="1638"/>
        <v>0</v>
      </c>
    </row>
    <row r="2151" spans="2:24" hidden="1">
      <c r="B2151" s="1">
        <f t="shared" si="1637"/>
        <v>0</v>
      </c>
      <c r="C2151" s="1">
        <f t="shared" si="1637"/>
        <v>0</v>
      </c>
      <c r="J2151" s="336">
        <f t="shared" si="1639"/>
        <v>63</v>
      </c>
      <c r="K2151" s="1">
        <f t="shared" ca="1" si="1638"/>
        <v>0</v>
      </c>
      <c r="L2151" s="1">
        <f t="shared" ca="1" si="1638"/>
        <v>0</v>
      </c>
      <c r="M2151" s="1">
        <f t="shared" ca="1" si="1638"/>
        <v>0</v>
      </c>
      <c r="N2151" s="1">
        <f t="shared" ca="1" si="1638"/>
        <v>0</v>
      </c>
      <c r="O2151" s="1">
        <f t="shared" ca="1" si="1638"/>
        <v>0</v>
      </c>
      <c r="P2151" s="1">
        <f t="shared" ca="1" si="1638"/>
        <v>0</v>
      </c>
      <c r="Q2151" s="1">
        <f t="shared" ca="1" si="1638"/>
        <v>0</v>
      </c>
      <c r="R2151" s="1">
        <f t="shared" ca="1" si="1638"/>
        <v>0</v>
      </c>
      <c r="S2151" s="1">
        <f t="shared" ca="1" si="1638"/>
        <v>0</v>
      </c>
      <c r="T2151" s="1">
        <f t="shared" ca="1" si="1638"/>
        <v>0</v>
      </c>
      <c r="U2151" s="1">
        <f t="shared" ca="1" si="1638"/>
        <v>0</v>
      </c>
      <c r="V2151" s="1">
        <f t="shared" ca="1" si="1638"/>
        <v>0</v>
      </c>
      <c r="W2151" s="1">
        <f t="shared" ca="1" si="1638"/>
        <v>0</v>
      </c>
      <c r="X2151" s="1">
        <f t="shared" ca="1" si="1638"/>
        <v>0</v>
      </c>
    </row>
    <row r="2152" spans="2:24" hidden="1">
      <c r="B2152" s="1" t="str">
        <f t="shared" si="1637"/>
        <v/>
      </c>
      <c r="C2152" s="1" t="str">
        <f t="shared" si="1637"/>
        <v/>
      </c>
      <c r="J2152" s="336">
        <v>0</v>
      </c>
      <c r="K2152" s="1">
        <f t="shared" ref="K2152:X2156" ca="1" si="1640">OFFSET($K$1513,$J2152,COLUMN()-11)</f>
        <v>0</v>
      </c>
      <c r="L2152" s="1">
        <f t="shared" ca="1" si="1640"/>
        <v>0</v>
      </c>
      <c r="M2152" s="1">
        <f t="shared" ca="1" si="1640"/>
        <v>0</v>
      </c>
      <c r="N2152" s="1">
        <f t="shared" ca="1" si="1640"/>
        <v>0</v>
      </c>
      <c r="O2152" s="1">
        <f t="shared" ca="1" si="1640"/>
        <v>0</v>
      </c>
      <c r="P2152" s="1">
        <f t="shared" ca="1" si="1640"/>
        <v>0</v>
      </c>
      <c r="Q2152" s="1">
        <f t="shared" ca="1" si="1640"/>
        <v>0</v>
      </c>
      <c r="R2152" s="1">
        <f t="shared" ca="1" si="1640"/>
        <v>0</v>
      </c>
      <c r="S2152" s="1">
        <f t="shared" ca="1" si="1640"/>
        <v>0</v>
      </c>
      <c r="T2152" s="1">
        <f t="shared" ca="1" si="1640"/>
        <v>0</v>
      </c>
      <c r="U2152" s="1">
        <f t="shared" ca="1" si="1640"/>
        <v>0</v>
      </c>
      <c r="V2152" s="1">
        <f t="shared" ca="1" si="1640"/>
        <v>0</v>
      </c>
      <c r="W2152" s="1">
        <f t="shared" ca="1" si="1640"/>
        <v>0</v>
      </c>
      <c r="X2152" s="1">
        <f t="shared" ca="1" si="1640"/>
        <v>0</v>
      </c>
    </row>
    <row r="2153" spans="2:24" hidden="1">
      <c r="B2153" s="1" t="str">
        <f t="shared" si="1637"/>
        <v/>
      </c>
      <c r="C2153" s="1" t="str">
        <f t="shared" si="1637"/>
        <v/>
      </c>
      <c r="J2153" s="336">
        <f t="shared" si="1639"/>
        <v>7</v>
      </c>
      <c r="K2153" s="1">
        <f t="shared" ca="1" si="1640"/>
        <v>0</v>
      </c>
      <c r="L2153" s="1">
        <f t="shared" ca="1" si="1640"/>
        <v>0</v>
      </c>
      <c r="M2153" s="1">
        <f t="shared" ca="1" si="1640"/>
        <v>0</v>
      </c>
      <c r="N2153" s="1">
        <f t="shared" ca="1" si="1640"/>
        <v>0</v>
      </c>
      <c r="O2153" s="1">
        <f t="shared" ca="1" si="1640"/>
        <v>0</v>
      </c>
      <c r="P2153" s="1">
        <f t="shared" ca="1" si="1640"/>
        <v>0</v>
      </c>
      <c r="Q2153" s="1">
        <f t="shared" ca="1" si="1640"/>
        <v>0</v>
      </c>
      <c r="R2153" s="1">
        <f t="shared" ca="1" si="1640"/>
        <v>0</v>
      </c>
      <c r="S2153" s="1">
        <f t="shared" ca="1" si="1640"/>
        <v>0</v>
      </c>
      <c r="T2153" s="1">
        <f t="shared" ca="1" si="1640"/>
        <v>0</v>
      </c>
      <c r="U2153" s="1">
        <f t="shared" ca="1" si="1640"/>
        <v>0</v>
      </c>
      <c r="V2153" s="1">
        <f t="shared" ca="1" si="1640"/>
        <v>0</v>
      </c>
      <c r="W2153" s="1">
        <f t="shared" ca="1" si="1640"/>
        <v>0</v>
      </c>
      <c r="X2153" s="1">
        <f t="shared" ca="1" si="1640"/>
        <v>0</v>
      </c>
    </row>
    <row r="2154" spans="2:24" hidden="1">
      <c r="B2154" s="1" t="str">
        <f t="shared" si="1637"/>
        <v/>
      </c>
      <c r="C2154" s="1" t="str">
        <f t="shared" si="1637"/>
        <v/>
      </c>
      <c r="J2154" s="336">
        <f t="shared" si="1639"/>
        <v>14</v>
      </c>
      <c r="K2154" s="1">
        <f t="shared" ca="1" si="1640"/>
        <v>0</v>
      </c>
      <c r="L2154" s="1">
        <f t="shared" ca="1" si="1640"/>
        <v>0</v>
      </c>
      <c r="M2154" s="1">
        <f t="shared" ca="1" si="1640"/>
        <v>0</v>
      </c>
      <c r="N2154" s="1">
        <f t="shared" ca="1" si="1640"/>
        <v>0</v>
      </c>
      <c r="O2154" s="1">
        <f t="shared" ca="1" si="1640"/>
        <v>0</v>
      </c>
      <c r="P2154" s="1">
        <f t="shared" ca="1" si="1640"/>
        <v>0</v>
      </c>
      <c r="Q2154" s="1">
        <f t="shared" ca="1" si="1640"/>
        <v>0</v>
      </c>
      <c r="R2154" s="1">
        <f t="shared" ca="1" si="1640"/>
        <v>0</v>
      </c>
      <c r="S2154" s="1">
        <f t="shared" ca="1" si="1640"/>
        <v>0</v>
      </c>
      <c r="T2154" s="1">
        <f t="shared" ca="1" si="1640"/>
        <v>0</v>
      </c>
      <c r="U2154" s="1">
        <f t="shared" ca="1" si="1640"/>
        <v>0</v>
      </c>
      <c r="V2154" s="1">
        <f t="shared" ca="1" si="1640"/>
        <v>0</v>
      </c>
      <c r="W2154" s="1">
        <f t="shared" ca="1" si="1640"/>
        <v>0</v>
      </c>
      <c r="X2154" s="1">
        <f t="shared" ca="1" si="1640"/>
        <v>0</v>
      </c>
    </row>
    <row r="2155" spans="2:24" hidden="1">
      <c r="B2155" s="1" t="str">
        <f t="shared" si="1637"/>
        <v/>
      </c>
      <c r="C2155" s="1" t="str">
        <f t="shared" si="1637"/>
        <v/>
      </c>
      <c r="J2155" s="336">
        <f t="shared" si="1639"/>
        <v>21</v>
      </c>
      <c r="K2155" s="1">
        <f t="shared" ca="1" si="1640"/>
        <v>0</v>
      </c>
      <c r="L2155" s="1">
        <f t="shared" ca="1" si="1640"/>
        <v>0</v>
      </c>
      <c r="M2155" s="1">
        <f t="shared" ca="1" si="1640"/>
        <v>0</v>
      </c>
      <c r="N2155" s="1">
        <f t="shared" ca="1" si="1640"/>
        <v>0</v>
      </c>
      <c r="O2155" s="1">
        <f t="shared" ca="1" si="1640"/>
        <v>0</v>
      </c>
      <c r="P2155" s="1">
        <f t="shared" ca="1" si="1640"/>
        <v>0</v>
      </c>
      <c r="Q2155" s="1">
        <f t="shared" ca="1" si="1640"/>
        <v>0</v>
      </c>
      <c r="R2155" s="1">
        <f t="shared" ca="1" si="1640"/>
        <v>0</v>
      </c>
      <c r="S2155" s="1">
        <f t="shared" ca="1" si="1640"/>
        <v>0</v>
      </c>
      <c r="T2155" s="1">
        <f t="shared" ca="1" si="1640"/>
        <v>0</v>
      </c>
      <c r="U2155" s="1">
        <f t="shared" ca="1" si="1640"/>
        <v>0</v>
      </c>
      <c r="V2155" s="1">
        <f t="shared" ca="1" si="1640"/>
        <v>0</v>
      </c>
      <c r="W2155" s="1">
        <f t="shared" ca="1" si="1640"/>
        <v>0</v>
      </c>
      <c r="X2155" s="1">
        <f t="shared" ca="1" si="1640"/>
        <v>0</v>
      </c>
    </row>
    <row r="2156" spans="2:24" hidden="1">
      <c r="B2156" s="1" t="str">
        <f t="shared" si="1637"/>
        <v/>
      </c>
      <c r="C2156" s="1" t="str">
        <f t="shared" si="1637"/>
        <v/>
      </c>
      <c r="J2156" s="336">
        <f t="shared" si="1639"/>
        <v>28</v>
      </c>
      <c r="K2156" s="1">
        <f t="shared" ca="1" si="1640"/>
        <v>0</v>
      </c>
      <c r="L2156" s="1">
        <f t="shared" ca="1" si="1640"/>
        <v>0</v>
      </c>
      <c r="M2156" s="1">
        <f t="shared" ca="1" si="1640"/>
        <v>0</v>
      </c>
      <c r="N2156" s="1">
        <f t="shared" ca="1" si="1640"/>
        <v>0</v>
      </c>
      <c r="O2156" s="1">
        <f t="shared" ca="1" si="1640"/>
        <v>0</v>
      </c>
      <c r="P2156" s="1">
        <f t="shared" ca="1" si="1640"/>
        <v>0</v>
      </c>
      <c r="Q2156" s="1">
        <f t="shared" ca="1" si="1640"/>
        <v>0</v>
      </c>
      <c r="R2156" s="1">
        <f t="shared" ca="1" si="1640"/>
        <v>0</v>
      </c>
      <c r="S2156" s="1">
        <f t="shared" ca="1" si="1640"/>
        <v>0</v>
      </c>
      <c r="T2156" s="1">
        <f t="shared" ca="1" si="1640"/>
        <v>0</v>
      </c>
      <c r="U2156" s="1">
        <f t="shared" ca="1" si="1640"/>
        <v>0</v>
      </c>
      <c r="V2156" s="1">
        <f t="shared" ca="1" si="1640"/>
        <v>0</v>
      </c>
      <c r="W2156" s="1">
        <f t="shared" ca="1" si="1640"/>
        <v>0</v>
      </c>
      <c r="X2156" s="1">
        <f t="shared" ca="1" si="1640"/>
        <v>0</v>
      </c>
    </row>
    <row r="2158" spans="2:24" hidden="1">
      <c r="B2158" s="228" t="s">
        <v>391</v>
      </c>
    </row>
    <row r="2159" spans="2:24" hidden="1">
      <c r="B2159" s="1">
        <f t="shared" ref="B2159:C2178" si="1641">B418</f>
        <v>0</v>
      </c>
      <c r="C2159" s="1">
        <f t="shared" si="1641"/>
        <v>0</v>
      </c>
      <c r="J2159" s="336">
        <v>0</v>
      </c>
      <c r="K2159" s="1">
        <f t="shared" ref="K2159:X2168" ca="1" si="1642">OFFSET($K$1554,$J2159,COLUMN()-11)</f>
        <v>0</v>
      </c>
      <c r="L2159" s="1">
        <f t="shared" ca="1" si="1642"/>
        <v>0</v>
      </c>
      <c r="M2159" s="1">
        <f t="shared" ca="1" si="1642"/>
        <v>0</v>
      </c>
      <c r="N2159" s="1">
        <f t="shared" ca="1" si="1642"/>
        <v>0</v>
      </c>
      <c r="O2159" s="1">
        <f t="shared" ca="1" si="1642"/>
        <v>0</v>
      </c>
      <c r="P2159" s="1">
        <f t="shared" ca="1" si="1642"/>
        <v>0</v>
      </c>
      <c r="Q2159" s="1">
        <f t="shared" ca="1" si="1642"/>
        <v>0</v>
      </c>
      <c r="R2159" s="1">
        <f t="shared" ca="1" si="1642"/>
        <v>0</v>
      </c>
      <c r="S2159" s="1">
        <f t="shared" ca="1" si="1642"/>
        <v>0</v>
      </c>
      <c r="T2159" s="1">
        <f t="shared" ca="1" si="1642"/>
        <v>0</v>
      </c>
      <c r="U2159" s="1">
        <f t="shared" ca="1" si="1642"/>
        <v>0</v>
      </c>
      <c r="V2159" s="1">
        <f t="shared" ca="1" si="1642"/>
        <v>0</v>
      </c>
      <c r="W2159" s="1">
        <f t="shared" ca="1" si="1642"/>
        <v>0</v>
      </c>
      <c r="X2159" s="1">
        <f t="shared" ca="1" si="1642"/>
        <v>0</v>
      </c>
    </row>
    <row r="2160" spans="2:24" hidden="1">
      <c r="B2160" s="1">
        <f t="shared" si="1641"/>
        <v>0</v>
      </c>
      <c r="C2160" s="1">
        <f t="shared" si="1641"/>
        <v>0</v>
      </c>
      <c r="J2160" s="336">
        <f>J2159+7</f>
        <v>7</v>
      </c>
      <c r="K2160" s="1">
        <f t="shared" ca="1" si="1642"/>
        <v>0</v>
      </c>
      <c r="L2160" s="1">
        <f t="shared" ca="1" si="1642"/>
        <v>0</v>
      </c>
      <c r="M2160" s="1">
        <f t="shared" ca="1" si="1642"/>
        <v>0</v>
      </c>
      <c r="N2160" s="1">
        <f t="shared" ca="1" si="1642"/>
        <v>0</v>
      </c>
      <c r="O2160" s="1">
        <f t="shared" ca="1" si="1642"/>
        <v>0</v>
      </c>
      <c r="P2160" s="1">
        <f t="shared" ca="1" si="1642"/>
        <v>0</v>
      </c>
      <c r="Q2160" s="1">
        <f t="shared" ca="1" si="1642"/>
        <v>0</v>
      </c>
      <c r="R2160" s="1">
        <f t="shared" ca="1" si="1642"/>
        <v>0</v>
      </c>
      <c r="S2160" s="1">
        <f t="shared" ca="1" si="1642"/>
        <v>0</v>
      </c>
      <c r="T2160" s="1">
        <f t="shared" ca="1" si="1642"/>
        <v>0</v>
      </c>
      <c r="U2160" s="1">
        <f t="shared" ca="1" si="1642"/>
        <v>0</v>
      </c>
      <c r="V2160" s="1">
        <f t="shared" ca="1" si="1642"/>
        <v>0</v>
      </c>
      <c r="W2160" s="1">
        <f t="shared" ca="1" si="1642"/>
        <v>0</v>
      </c>
      <c r="X2160" s="1">
        <f t="shared" ca="1" si="1642"/>
        <v>0</v>
      </c>
    </row>
    <row r="2161" spans="2:24" hidden="1">
      <c r="B2161" s="1">
        <f t="shared" si="1641"/>
        <v>0</v>
      </c>
      <c r="C2161" s="1">
        <f t="shared" si="1641"/>
        <v>0</v>
      </c>
      <c r="J2161" s="336">
        <f t="shared" ref="J2161:J2190" si="1643">J2160+7</f>
        <v>14</v>
      </c>
      <c r="K2161" s="1">
        <f t="shared" ca="1" si="1642"/>
        <v>0</v>
      </c>
      <c r="L2161" s="1">
        <f t="shared" ca="1" si="1642"/>
        <v>0</v>
      </c>
      <c r="M2161" s="1">
        <f t="shared" ca="1" si="1642"/>
        <v>0</v>
      </c>
      <c r="N2161" s="1">
        <f t="shared" ca="1" si="1642"/>
        <v>0</v>
      </c>
      <c r="O2161" s="1">
        <f t="shared" ca="1" si="1642"/>
        <v>0</v>
      </c>
      <c r="P2161" s="1">
        <f t="shared" ca="1" si="1642"/>
        <v>0</v>
      </c>
      <c r="Q2161" s="1">
        <f t="shared" ca="1" si="1642"/>
        <v>0</v>
      </c>
      <c r="R2161" s="1">
        <f t="shared" ca="1" si="1642"/>
        <v>0</v>
      </c>
      <c r="S2161" s="1">
        <f t="shared" ca="1" si="1642"/>
        <v>0</v>
      </c>
      <c r="T2161" s="1">
        <f t="shared" ca="1" si="1642"/>
        <v>0</v>
      </c>
      <c r="U2161" s="1">
        <f t="shared" ca="1" si="1642"/>
        <v>0</v>
      </c>
      <c r="V2161" s="1">
        <f t="shared" ca="1" si="1642"/>
        <v>0</v>
      </c>
      <c r="W2161" s="1">
        <f t="shared" ca="1" si="1642"/>
        <v>0</v>
      </c>
      <c r="X2161" s="1">
        <f t="shared" ca="1" si="1642"/>
        <v>0</v>
      </c>
    </row>
    <row r="2162" spans="2:24" hidden="1">
      <c r="B2162" s="1">
        <f t="shared" si="1641"/>
        <v>0</v>
      </c>
      <c r="C2162" s="1">
        <f t="shared" si="1641"/>
        <v>0</v>
      </c>
      <c r="J2162" s="336">
        <f t="shared" si="1643"/>
        <v>21</v>
      </c>
      <c r="K2162" s="1">
        <f t="shared" ca="1" si="1642"/>
        <v>0</v>
      </c>
      <c r="L2162" s="1">
        <f t="shared" ca="1" si="1642"/>
        <v>0</v>
      </c>
      <c r="M2162" s="1">
        <f t="shared" ca="1" si="1642"/>
        <v>0</v>
      </c>
      <c r="N2162" s="1">
        <f t="shared" ca="1" si="1642"/>
        <v>0</v>
      </c>
      <c r="O2162" s="1">
        <f t="shared" ca="1" si="1642"/>
        <v>0</v>
      </c>
      <c r="P2162" s="1">
        <f t="shared" ca="1" si="1642"/>
        <v>0</v>
      </c>
      <c r="Q2162" s="1">
        <f t="shared" ca="1" si="1642"/>
        <v>0</v>
      </c>
      <c r="R2162" s="1">
        <f t="shared" ca="1" si="1642"/>
        <v>0</v>
      </c>
      <c r="S2162" s="1">
        <f t="shared" ca="1" si="1642"/>
        <v>0</v>
      </c>
      <c r="T2162" s="1">
        <f t="shared" ca="1" si="1642"/>
        <v>0</v>
      </c>
      <c r="U2162" s="1">
        <f t="shared" ca="1" si="1642"/>
        <v>0</v>
      </c>
      <c r="V2162" s="1">
        <f t="shared" ca="1" si="1642"/>
        <v>0</v>
      </c>
      <c r="W2162" s="1">
        <f t="shared" ca="1" si="1642"/>
        <v>0</v>
      </c>
      <c r="X2162" s="1">
        <f t="shared" ca="1" si="1642"/>
        <v>0</v>
      </c>
    </row>
    <row r="2163" spans="2:24" hidden="1">
      <c r="B2163" s="1">
        <f t="shared" si="1641"/>
        <v>0</v>
      </c>
      <c r="C2163" s="1">
        <f t="shared" si="1641"/>
        <v>0</v>
      </c>
      <c r="J2163" s="336">
        <f t="shared" si="1643"/>
        <v>28</v>
      </c>
      <c r="K2163" s="1">
        <f t="shared" ca="1" si="1642"/>
        <v>0</v>
      </c>
      <c r="L2163" s="1">
        <f t="shared" ca="1" si="1642"/>
        <v>0</v>
      </c>
      <c r="M2163" s="1">
        <f t="shared" ca="1" si="1642"/>
        <v>0</v>
      </c>
      <c r="N2163" s="1">
        <f t="shared" ca="1" si="1642"/>
        <v>0</v>
      </c>
      <c r="O2163" s="1">
        <f t="shared" ca="1" si="1642"/>
        <v>0</v>
      </c>
      <c r="P2163" s="1">
        <f t="shared" ca="1" si="1642"/>
        <v>0</v>
      </c>
      <c r="Q2163" s="1">
        <f t="shared" ca="1" si="1642"/>
        <v>0</v>
      </c>
      <c r="R2163" s="1">
        <f t="shared" ca="1" si="1642"/>
        <v>0</v>
      </c>
      <c r="S2163" s="1">
        <f t="shared" ca="1" si="1642"/>
        <v>0</v>
      </c>
      <c r="T2163" s="1">
        <f t="shared" ca="1" si="1642"/>
        <v>0</v>
      </c>
      <c r="U2163" s="1">
        <f t="shared" ca="1" si="1642"/>
        <v>0</v>
      </c>
      <c r="V2163" s="1">
        <f t="shared" ca="1" si="1642"/>
        <v>0</v>
      </c>
      <c r="W2163" s="1">
        <f t="shared" ca="1" si="1642"/>
        <v>0</v>
      </c>
      <c r="X2163" s="1">
        <f t="shared" ca="1" si="1642"/>
        <v>0</v>
      </c>
    </row>
    <row r="2164" spans="2:24" hidden="1">
      <c r="B2164" s="1">
        <f t="shared" si="1641"/>
        <v>0</v>
      </c>
      <c r="C2164" s="1">
        <f t="shared" si="1641"/>
        <v>0</v>
      </c>
      <c r="J2164" s="336">
        <f t="shared" si="1643"/>
        <v>35</v>
      </c>
      <c r="K2164" s="1">
        <f t="shared" ca="1" si="1642"/>
        <v>0</v>
      </c>
      <c r="L2164" s="1">
        <f t="shared" ca="1" si="1642"/>
        <v>0</v>
      </c>
      <c r="M2164" s="1">
        <f t="shared" ca="1" si="1642"/>
        <v>0</v>
      </c>
      <c r="N2164" s="1">
        <f t="shared" ca="1" si="1642"/>
        <v>0</v>
      </c>
      <c r="O2164" s="1">
        <f t="shared" ca="1" si="1642"/>
        <v>0</v>
      </c>
      <c r="P2164" s="1">
        <f t="shared" ca="1" si="1642"/>
        <v>0</v>
      </c>
      <c r="Q2164" s="1">
        <f t="shared" ca="1" si="1642"/>
        <v>0</v>
      </c>
      <c r="R2164" s="1">
        <f t="shared" ca="1" si="1642"/>
        <v>0</v>
      </c>
      <c r="S2164" s="1">
        <f t="shared" ca="1" si="1642"/>
        <v>0</v>
      </c>
      <c r="T2164" s="1">
        <f t="shared" ca="1" si="1642"/>
        <v>0</v>
      </c>
      <c r="U2164" s="1">
        <f t="shared" ca="1" si="1642"/>
        <v>0</v>
      </c>
      <c r="V2164" s="1">
        <f t="shared" ca="1" si="1642"/>
        <v>0</v>
      </c>
      <c r="W2164" s="1">
        <f t="shared" ca="1" si="1642"/>
        <v>0</v>
      </c>
      <c r="X2164" s="1">
        <f t="shared" ca="1" si="1642"/>
        <v>0</v>
      </c>
    </row>
    <row r="2165" spans="2:24" hidden="1">
      <c r="B2165" s="1">
        <f t="shared" si="1641"/>
        <v>0</v>
      </c>
      <c r="C2165" s="1">
        <f t="shared" si="1641"/>
        <v>0</v>
      </c>
      <c r="J2165" s="336">
        <f t="shared" si="1643"/>
        <v>42</v>
      </c>
      <c r="K2165" s="1">
        <f t="shared" ca="1" si="1642"/>
        <v>0</v>
      </c>
      <c r="L2165" s="1">
        <f t="shared" ca="1" si="1642"/>
        <v>0</v>
      </c>
      <c r="M2165" s="1">
        <f t="shared" ca="1" si="1642"/>
        <v>0</v>
      </c>
      <c r="N2165" s="1">
        <f t="shared" ca="1" si="1642"/>
        <v>0</v>
      </c>
      <c r="O2165" s="1">
        <f t="shared" ca="1" si="1642"/>
        <v>0</v>
      </c>
      <c r="P2165" s="1">
        <f t="shared" ca="1" si="1642"/>
        <v>0</v>
      </c>
      <c r="Q2165" s="1">
        <f t="shared" ca="1" si="1642"/>
        <v>0</v>
      </c>
      <c r="R2165" s="1">
        <f t="shared" ca="1" si="1642"/>
        <v>0</v>
      </c>
      <c r="S2165" s="1">
        <f t="shared" ca="1" si="1642"/>
        <v>0</v>
      </c>
      <c r="T2165" s="1">
        <f t="shared" ca="1" si="1642"/>
        <v>0</v>
      </c>
      <c r="U2165" s="1">
        <f t="shared" ca="1" si="1642"/>
        <v>0</v>
      </c>
      <c r="V2165" s="1">
        <f t="shared" ca="1" si="1642"/>
        <v>0</v>
      </c>
      <c r="W2165" s="1">
        <f t="shared" ca="1" si="1642"/>
        <v>0</v>
      </c>
      <c r="X2165" s="1">
        <f t="shared" ca="1" si="1642"/>
        <v>0</v>
      </c>
    </row>
    <row r="2166" spans="2:24" hidden="1">
      <c r="B2166" s="1">
        <f t="shared" si="1641"/>
        <v>0</v>
      </c>
      <c r="C2166" s="1">
        <f t="shared" si="1641"/>
        <v>0</v>
      </c>
      <c r="J2166" s="336">
        <f t="shared" si="1643"/>
        <v>49</v>
      </c>
      <c r="K2166" s="1">
        <f t="shared" ca="1" si="1642"/>
        <v>0</v>
      </c>
      <c r="L2166" s="1">
        <f t="shared" ca="1" si="1642"/>
        <v>0</v>
      </c>
      <c r="M2166" s="1">
        <f t="shared" ca="1" si="1642"/>
        <v>0</v>
      </c>
      <c r="N2166" s="1">
        <f t="shared" ca="1" si="1642"/>
        <v>0</v>
      </c>
      <c r="O2166" s="1">
        <f t="shared" ca="1" si="1642"/>
        <v>0</v>
      </c>
      <c r="P2166" s="1">
        <f t="shared" ca="1" si="1642"/>
        <v>0</v>
      </c>
      <c r="Q2166" s="1">
        <f t="shared" ca="1" si="1642"/>
        <v>0</v>
      </c>
      <c r="R2166" s="1">
        <f t="shared" ca="1" si="1642"/>
        <v>0</v>
      </c>
      <c r="S2166" s="1">
        <f t="shared" ca="1" si="1642"/>
        <v>0</v>
      </c>
      <c r="T2166" s="1">
        <f t="shared" ca="1" si="1642"/>
        <v>0</v>
      </c>
      <c r="U2166" s="1">
        <f t="shared" ca="1" si="1642"/>
        <v>0</v>
      </c>
      <c r="V2166" s="1">
        <f t="shared" ca="1" si="1642"/>
        <v>0</v>
      </c>
      <c r="W2166" s="1">
        <f t="shared" ca="1" si="1642"/>
        <v>0</v>
      </c>
      <c r="X2166" s="1">
        <f t="shared" ca="1" si="1642"/>
        <v>0</v>
      </c>
    </row>
    <row r="2167" spans="2:24" hidden="1">
      <c r="B2167" s="1">
        <f t="shared" si="1641"/>
        <v>0</v>
      </c>
      <c r="C2167" s="1">
        <f t="shared" si="1641"/>
        <v>0</v>
      </c>
      <c r="J2167" s="336">
        <f t="shared" si="1643"/>
        <v>56</v>
      </c>
      <c r="K2167" s="1">
        <f t="shared" ca="1" si="1642"/>
        <v>0</v>
      </c>
      <c r="L2167" s="1">
        <f t="shared" ca="1" si="1642"/>
        <v>0</v>
      </c>
      <c r="M2167" s="1">
        <f t="shared" ca="1" si="1642"/>
        <v>0</v>
      </c>
      <c r="N2167" s="1">
        <f t="shared" ca="1" si="1642"/>
        <v>0</v>
      </c>
      <c r="O2167" s="1">
        <f t="shared" ca="1" si="1642"/>
        <v>0</v>
      </c>
      <c r="P2167" s="1">
        <f t="shared" ca="1" si="1642"/>
        <v>0</v>
      </c>
      <c r="Q2167" s="1">
        <f t="shared" ca="1" si="1642"/>
        <v>0</v>
      </c>
      <c r="R2167" s="1">
        <f t="shared" ca="1" si="1642"/>
        <v>0</v>
      </c>
      <c r="S2167" s="1">
        <f t="shared" ca="1" si="1642"/>
        <v>0</v>
      </c>
      <c r="T2167" s="1">
        <f t="shared" ca="1" si="1642"/>
        <v>0</v>
      </c>
      <c r="U2167" s="1">
        <f t="shared" ca="1" si="1642"/>
        <v>0</v>
      </c>
      <c r="V2167" s="1">
        <f t="shared" ca="1" si="1642"/>
        <v>0</v>
      </c>
      <c r="W2167" s="1">
        <f t="shared" ca="1" si="1642"/>
        <v>0</v>
      </c>
      <c r="X2167" s="1">
        <f t="shared" ca="1" si="1642"/>
        <v>0</v>
      </c>
    </row>
    <row r="2168" spans="2:24" hidden="1">
      <c r="B2168" s="1">
        <f t="shared" si="1641"/>
        <v>0</v>
      </c>
      <c r="C2168" s="1">
        <f t="shared" si="1641"/>
        <v>0</v>
      </c>
      <c r="J2168" s="336">
        <f t="shared" si="1643"/>
        <v>63</v>
      </c>
      <c r="K2168" s="1">
        <f t="shared" ca="1" si="1642"/>
        <v>0</v>
      </c>
      <c r="L2168" s="1">
        <f t="shared" ca="1" si="1642"/>
        <v>0</v>
      </c>
      <c r="M2168" s="1">
        <f t="shared" ca="1" si="1642"/>
        <v>0</v>
      </c>
      <c r="N2168" s="1">
        <f t="shared" ca="1" si="1642"/>
        <v>0</v>
      </c>
      <c r="O2168" s="1">
        <f t="shared" ca="1" si="1642"/>
        <v>0</v>
      </c>
      <c r="P2168" s="1">
        <f t="shared" ca="1" si="1642"/>
        <v>0</v>
      </c>
      <c r="Q2168" s="1">
        <f t="shared" ca="1" si="1642"/>
        <v>0</v>
      </c>
      <c r="R2168" s="1">
        <f t="shared" ca="1" si="1642"/>
        <v>0</v>
      </c>
      <c r="S2168" s="1">
        <f t="shared" ca="1" si="1642"/>
        <v>0</v>
      </c>
      <c r="T2168" s="1">
        <f t="shared" ca="1" si="1642"/>
        <v>0</v>
      </c>
      <c r="U2168" s="1">
        <f t="shared" ca="1" si="1642"/>
        <v>0</v>
      </c>
      <c r="V2168" s="1">
        <f t="shared" ca="1" si="1642"/>
        <v>0</v>
      </c>
      <c r="W2168" s="1">
        <f t="shared" ca="1" si="1642"/>
        <v>0</v>
      </c>
      <c r="X2168" s="1">
        <f t="shared" ca="1" si="1642"/>
        <v>0</v>
      </c>
    </row>
    <row r="2169" spans="2:24" hidden="1">
      <c r="B2169" s="1">
        <f t="shared" si="1641"/>
        <v>0</v>
      </c>
      <c r="C2169" s="1">
        <f t="shared" si="1641"/>
        <v>0</v>
      </c>
      <c r="J2169" s="336">
        <f t="shared" si="1643"/>
        <v>70</v>
      </c>
      <c r="K2169" s="1">
        <f t="shared" ref="K2169:X2178" ca="1" si="1644">OFFSET($K$1554,$J2169,COLUMN()-11)</f>
        <v>0</v>
      </c>
      <c r="L2169" s="1">
        <f t="shared" ca="1" si="1644"/>
        <v>0</v>
      </c>
      <c r="M2169" s="1">
        <f t="shared" ca="1" si="1644"/>
        <v>0</v>
      </c>
      <c r="N2169" s="1">
        <f t="shared" ca="1" si="1644"/>
        <v>0</v>
      </c>
      <c r="O2169" s="1">
        <f t="shared" ca="1" si="1644"/>
        <v>0</v>
      </c>
      <c r="P2169" s="1">
        <f t="shared" ca="1" si="1644"/>
        <v>0</v>
      </c>
      <c r="Q2169" s="1">
        <f t="shared" ca="1" si="1644"/>
        <v>0</v>
      </c>
      <c r="R2169" s="1">
        <f t="shared" ca="1" si="1644"/>
        <v>0</v>
      </c>
      <c r="S2169" s="1">
        <f t="shared" ca="1" si="1644"/>
        <v>0</v>
      </c>
      <c r="T2169" s="1">
        <f t="shared" ca="1" si="1644"/>
        <v>0</v>
      </c>
      <c r="U2169" s="1">
        <f t="shared" ca="1" si="1644"/>
        <v>0</v>
      </c>
      <c r="V2169" s="1">
        <f t="shared" ca="1" si="1644"/>
        <v>0</v>
      </c>
      <c r="W2169" s="1">
        <f t="shared" ca="1" si="1644"/>
        <v>0</v>
      </c>
      <c r="X2169" s="1">
        <f t="shared" ca="1" si="1644"/>
        <v>0</v>
      </c>
    </row>
    <row r="2170" spans="2:24" hidden="1">
      <c r="B2170" s="1">
        <f t="shared" si="1641"/>
        <v>0</v>
      </c>
      <c r="C2170" s="1">
        <f t="shared" si="1641"/>
        <v>0</v>
      </c>
      <c r="J2170" s="336">
        <f t="shared" si="1643"/>
        <v>77</v>
      </c>
      <c r="K2170" s="1">
        <f t="shared" ca="1" si="1644"/>
        <v>0</v>
      </c>
      <c r="L2170" s="1">
        <f t="shared" ca="1" si="1644"/>
        <v>0</v>
      </c>
      <c r="M2170" s="1">
        <f t="shared" ca="1" si="1644"/>
        <v>0</v>
      </c>
      <c r="N2170" s="1">
        <f t="shared" ca="1" si="1644"/>
        <v>0</v>
      </c>
      <c r="O2170" s="1">
        <f t="shared" ca="1" si="1644"/>
        <v>0</v>
      </c>
      <c r="P2170" s="1">
        <f t="shared" ca="1" si="1644"/>
        <v>0</v>
      </c>
      <c r="Q2170" s="1">
        <f t="shared" ca="1" si="1644"/>
        <v>0</v>
      </c>
      <c r="R2170" s="1">
        <f t="shared" ca="1" si="1644"/>
        <v>0</v>
      </c>
      <c r="S2170" s="1">
        <f t="shared" ca="1" si="1644"/>
        <v>0</v>
      </c>
      <c r="T2170" s="1">
        <f t="shared" ca="1" si="1644"/>
        <v>0</v>
      </c>
      <c r="U2170" s="1">
        <f t="shared" ca="1" si="1644"/>
        <v>0</v>
      </c>
      <c r="V2170" s="1">
        <f t="shared" ca="1" si="1644"/>
        <v>0</v>
      </c>
      <c r="W2170" s="1">
        <f t="shared" ca="1" si="1644"/>
        <v>0</v>
      </c>
      <c r="X2170" s="1">
        <f t="shared" ca="1" si="1644"/>
        <v>0</v>
      </c>
    </row>
    <row r="2171" spans="2:24" hidden="1">
      <c r="B2171" s="1">
        <f t="shared" si="1641"/>
        <v>0</v>
      </c>
      <c r="C2171" s="1">
        <f t="shared" si="1641"/>
        <v>0</v>
      </c>
      <c r="J2171" s="336">
        <f t="shared" si="1643"/>
        <v>84</v>
      </c>
      <c r="K2171" s="1">
        <f t="shared" ca="1" si="1644"/>
        <v>0</v>
      </c>
      <c r="L2171" s="1">
        <f t="shared" ca="1" si="1644"/>
        <v>0</v>
      </c>
      <c r="M2171" s="1">
        <f t="shared" ca="1" si="1644"/>
        <v>0</v>
      </c>
      <c r="N2171" s="1">
        <f t="shared" ca="1" si="1644"/>
        <v>0</v>
      </c>
      <c r="O2171" s="1">
        <f t="shared" ca="1" si="1644"/>
        <v>0</v>
      </c>
      <c r="P2171" s="1">
        <f t="shared" ca="1" si="1644"/>
        <v>0</v>
      </c>
      <c r="Q2171" s="1">
        <f t="shared" ca="1" si="1644"/>
        <v>0</v>
      </c>
      <c r="R2171" s="1">
        <f t="shared" ca="1" si="1644"/>
        <v>0</v>
      </c>
      <c r="S2171" s="1">
        <f t="shared" ca="1" si="1644"/>
        <v>0</v>
      </c>
      <c r="T2171" s="1">
        <f t="shared" ca="1" si="1644"/>
        <v>0</v>
      </c>
      <c r="U2171" s="1">
        <f t="shared" ca="1" si="1644"/>
        <v>0</v>
      </c>
      <c r="V2171" s="1">
        <f t="shared" ca="1" si="1644"/>
        <v>0</v>
      </c>
      <c r="W2171" s="1">
        <f t="shared" ca="1" si="1644"/>
        <v>0</v>
      </c>
      <c r="X2171" s="1">
        <f t="shared" ca="1" si="1644"/>
        <v>0</v>
      </c>
    </row>
    <row r="2172" spans="2:24" hidden="1">
      <c r="B2172" s="1">
        <f t="shared" si="1641"/>
        <v>0</v>
      </c>
      <c r="C2172" s="1">
        <f t="shared" si="1641"/>
        <v>0</v>
      </c>
      <c r="J2172" s="336">
        <f t="shared" si="1643"/>
        <v>91</v>
      </c>
      <c r="K2172" s="1">
        <f t="shared" ca="1" si="1644"/>
        <v>0</v>
      </c>
      <c r="L2172" s="1">
        <f t="shared" ca="1" si="1644"/>
        <v>0</v>
      </c>
      <c r="M2172" s="1">
        <f t="shared" ca="1" si="1644"/>
        <v>0</v>
      </c>
      <c r="N2172" s="1">
        <f t="shared" ca="1" si="1644"/>
        <v>0</v>
      </c>
      <c r="O2172" s="1">
        <f t="shared" ca="1" si="1644"/>
        <v>0</v>
      </c>
      <c r="P2172" s="1">
        <f t="shared" ca="1" si="1644"/>
        <v>0</v>
      </c>
      <c r="Q2172" s="1">
        <f t="shared" ca="1" si="1644"/>
        <v>0</v>
      </c>
      <c r="R2172" s="1">
        <f t="shared" ca="1" si="1644"/>
        <v>0</v>
      </c>
      <c r="S2172" s="1">
        <f t="shared" ca="1" si="1644"/>
        <v>0</v>
      </c>
      <c r="T2172" s="1">
        <f t="shared" ca="1" si="1644"/>
        <v>0</v>
      </c>
      <c r="U2172" s="1">
        <f t="shared" ca="1" si="1644"/>
        <v>0</v>
      </c>
      <c r="V2172" s="1">
        <f t="shared" ca="1" si="1644"/>
        <v>0</v>
      </c>
      <c r="W2172" s="1">
        <f t="shared" ca="1" si="1644"/>
        <v>0</v>
      </c>
      <c r="X2172" s="1">
        <f t="shared" ca="1" si="1644"/>
        <v>0</v>
      </c>
    </row>
    <row r="2173" spans="2:24" hidden="1">
      <c r="B2173" s="1">
        <f t="shared" si="1641"/>
        <v>0</v>
      </c>
      <c r="C2173" s="1">
        <f t="shared" si="1641"/>
        <v>0</v>
      </c>
      <c r="J2173" s="336">
        <f t="shared" si="1643"/>
        <v>98</v>
      </c>
      <c r="K2173" s="1">
        <f t="shared" ca="1" si="1644"/>
        <v>0</v>
      </c>
      <c r="L2173" s="1">
        <f t="shared" ca="1" si="1644"/>
        <v>0</v>
      </c>
      <c r="M2173" s="1">
        <f t="shared" ca="1" si="1644"/>
        <v>0</v>
      </c>
      <c r="N2173" s="1">
        <f t="shared" ca="1" si="1644"/>
        <v>0</v>
      </c>
      <c r="O2173" s="1">
        <f t="shared" ca="1" si="1644"/>
        <v>0</v>
      </c>
      <c r="P2173" s="1">
        <f t="shared" ca="1" si="1644"/>
        <v>0</v>
      </c>
      <c r="Q2173" s="1">
        <f t="shared" ca="1" si="1644"/>
        <v>0</v>
      </c>
      <c r="R2173" s="1">
        <f t="shared" ca="1" si="1644"/>
        <v>0</v>
      </c>
      <c r="S2173" s="1">
        <f t="shared" ca="1" si="1644"/>
        <v>0</v>
      </c>
      <c r="T2173" s="1">
        <f t="shared" ca="1" si="1644"/>
        <v>0</v>
      </c>
      <c r="U2173" s="1">
        <f t="shared" ca="1" si="1644"/>
        <v>0</v>
      </c>
      <c r="V2173" s="1">
        <f t="shared" ca="1" si="1644"/>
        <v>0</v>
      </c>
      <c r="W2173" s="1">
        <f t="shared" ca="1" si="1644"/>
        <v>0</v>
      </c>
      <c r="X2173" s="1">
        <f t="shared" ca="1" si="1644"/>
        <v>0</v>
      </c>
    </row>
    <row r="2174" spans="2:24" hidden="1">
      <c r="B2174" s="1">
        <f t="shared" si="1641"/>
        <v>0</v>
      </c>
      <c r="C2174" s="1">
        <f t="shared" si="1641"/>
        <v>0</v>
      </c>
      <c r="J2174" s="336">
        <f t="shared" si="1643"/>
        <v>105</v>
      </c>
      <c r="K2174" s="1">
        <f t="shared" ca="1" si="1644"/>
        <v>0</v>
      </c>
      <c r="L2174" s="1">
        <f t="shared" ca="1" si="1644"/>
        <v>0</v>
      </c>
      <c r="M2174" s="1">
        <f t="shared" ca="1" si="1644"/>
        <v>0</v>
      </c>
      <c r="N2174" s="1">
        <f t="shared" ca="1" si="1644"/>
        <v>0</v>
      </c>
      <c r="O2174" s="1">
        <f t="shared" ca="1" si="1644"/>
        <v>0</v>
      </c>
      <c r="P2174" s="1">
        <f t="shared" ca="1" si="1644"/>
        <v>0</v>
      </c>
      <c r="Q2174" s="1">
        <f t="shared" ca="1" si="1644"/>
        <v>0</v>
      </c>
      <c r="R2174" s="1">
        <f t="shared" ca="1" si="1644"/>
        <v>0</v>
      </c>
      <c r="S2174" s="1">
        <f t="shared" ca="1" si="1644"/>
        <v>0</v>
      </c>
      <c r="T2174" s="1">
        <f t="shared" ca="1" si="1644"/>
        <v>0</v>
      </c>
      <c r="U2174" s="1">
        <f t="shared" ca="1" si="1644"/>
        <v>0</v>
      </c>
      <c r="V2174" s="1">
        <f t="shared" ca="1" si="1644"/>
        <v>0</v>
      </c>
      <c r="W2174" s="1">
        <f t="shared" ca="1" si="1644"/>
        <v>0</v>
      </c>
      <c r="X2174" s="1">
        <f t="shared" ca="1" si="1644"/>
        <v>0</v>
      </c>
    </row>
    <row r="2175" spans="2:24" hidden="1">
      <c r="B2175" s="1">
        <f t="shared" si="1641"/>
        <v>0</v>
      </c>
      <c r="C2175" s="1">
        <f t="shared" si="1641"/>
        <v>0</v>
      </c>
      <c r="J2175" s="336">
        <f t="shared" si="1643"/>
        <v>112</v>
      </c>
      <c r="K2175" s="1">
        <f t="shared" ca="1" si="1644"/>
        <v>0</v>
      </c>
      <c r="L2175" s="1">
        <f t="shared" ca="1" si="1644"/>
        <v>0</v>
      </c>
      <c r="M2175" s="1">
        <f t="shared" ca="1" si="1644"/>
        <v>0</v>
      </c>
      <c r="N2175" s="1">
        <f t="shared" ca="1" si="1644"/>
        <v>0</v>
      </c>
      <c r="O2175" s="1">
        <f t="shared" ca="1" si="1644"/>
        <v>0</v>
      </c>
      <c r="P2175" s="1">
        <f t="shared" ca="1" si="1644"/>
        <v>0</v>
      </c>
      <c r="Q2175" s="1">
        <f t="shared" ca="1" si="1644"/>
        <v>0</v>
      </c>
      <c r="R2175" s="1">
        <f t="shared" ca="1" si="1644"/>
        <v>0</v>
      </c>
      <c r="S2175" s="1">
        <f t="shared" ca="1" si="1644"/>
        <v>0</v>
      </c>
      <c r="T2175" s="1">
        <f t="shared" ca="1" si="1644"/>
        <v>0</v>
      </c>
      <c r="U2175" s="1">
        <f t="shared" ca="1" si="1644"/>
        <v>0</v>
      </c>
      <c r="V2175" s="1">
        <f t="shared" ca="1" si="1644"/>
        <v>0</v>
      </c>
      <c r="W2175" s="1">
        <f t="shared" ca="1" si="1644"/>
        <v>0</v>
      </c>
      <c r="X2175" s="1">
        <f t="shared" ca="1" si="1644"/>
        <v>0</v>
      </c>
    </row>
    <row r="2176" spans="2:24" hidden="1">
      <c r="B2176" s="1">
        <f t="shared" si="1641"/>
        <v>0</v>
      </c>
      <c r="C2176" s="1">
        <f t="shared" si="1641"/>
        <v>0</v>
      </c>
      <c r="J2176" s="336">
        <f t="shared" si="1643"/>
        <v>119</v>
      </c>
      <c r="K2176" s="1">
        <f t="shared" ca="1" si="1644"/>
        <v>0</v>
      </c>
      <c r="L2176" s="1">
        <f t="shared" ca="1" si="1644"/>
        <v>0</v>
      </c>
      <c r="M2176" s="1">
        <f t="shared" ca="1" si="1644"/>
        <v>0</v>
      </c>
      <c r="N2176" s="1">
        <f t="shared" ca="1" si="1644"/>
        <v>0</v>
      </c>
      <c r="O2176" s="1">
        <f t="shared" ca="1" si="1644"/>
        <v>0</v>
      </c>
      <c r="P2176" s="1">
        <f t="shared" ca="1" si="1644"/>
        <v>0</v>
      </c>
      <c r="Q2176" s="1">
        <f t="shared" ca="1" si="1644"/>
        <v>0</v>
      </c>
      <c r="R2176" s="1">
        <f t="shared" ca="1" si="1644"/>
        <v>0</v>
      </c>
      <c r="S2176" s="1">
        <f t="shared" ca="1" si="1644"/>
        <v>0</v>
      </c>
      <c r="T2176" s="1">
        <f t="shared" ca="1" si="1644"/>
        <v>0</v>
      </c>
      <c r="U2176" s="1">
        <f t="shared" ca="1" si="1644"/>
        <v>0</v>
      </c>
      <c r="V2176" s="1">
        <f t="shared" ca="1" si="1644"/>
        <v>0</v>
      </c>
      <c r="W2176" s="1">
        <f t="shared" ca="1" si="1644"/>
        <v>0</v>
      </c>
      <c r="X2176" s="1">
        <f t="shared" ca="1" si="1644"/>
        <v>0</v>
      </c>
    </row>
    <row r="2177" spans="2:24" hidden="1">
      <c r="B2177" s="1">
        <f t="shared" si="1641"/>
        <v>0</v>
      </c>
      <c r="C2177" s="1">
        <f t="shared" si="1641"/>
        <v>0</v>
      </c>
      <c r="J2177" s="336">
        <f t="shared" si="1643"/>
        <v>126</v>
      </c>
      <c r="K2177" s="1">
        <f t="shared" ca="1" si="1644"/>
        <v>0</v>
      </c>
      <c r="L2177" s="1">
        <f t="shared" ca="1" si="1644"/>
        <v>0</v>
      </c>
      <c r="M2177" s="1">
        <f t="shared" ca="1" si="1644"/>
        <v>0</v>
      </c>
      <c r="N2177" s="1">
        <f t="shared" ca="1" si="1644"/>
        <v>0</v>
      </c>
      <c r="O2177" s="1">
        <f t="shared" ca="1" si="1644"/>
        <v>0</v>
      </c>
      <c r="P2177" s="1">
        <f t="shared" ca="1" si="1644"/>
        <v>0</v>
      </c>
      <c r="Q2177" s="1">
        <f t="shared" ca="1" si="1644"/>
        <v>0</v>
      </c>
      <c r="R2177" s="1">
        <f t="shared" ca="1" si="1644"/>
        <v>0</v>
      </c>
      <c r="S2177" s="1">
        <f t="shared" ca="1" si="1644"/>
        <v>0</v>
      </c>
      <c r="T2177" s="1">
        <f t="shared" ca="1" si="1644"/>
        <v>0</v>
      </c>
      <c r="U2177" s="1">
        <f t="shared" ca="1" si="1644"/>
        <v>0</v>
      </c>
      <c r="V2177" s="1">
        <f t="shared" ca="1" si="1644"/>
        <v>0</v>
      </c>
      <c r="W2177" s="1">
        <f t="shared" ca="1" si="1644"/>
        <v>0</v>
      </c>
      <c r="X2177" s="1">
        <f t="shared" ca="1" si="1644"/>
        <v>0</v>
      </c>
    </row>
    <row r="2178" spans="2:24" hidden="1">
      <c r="B2178" s="1">
        <f t="shared" si="1641"/>
        <v>0</v>
      </c>
      <c r="C2178" s="1">
        <f t="shared" si="1641"/>
        <v>0</v>
      </c>
      <c r="J2178" s="336">
        <f t="shared" si="1643"/>
        <v>133</v>
      </c>
      <c r="K2178" s="1">
        <f t="shared" ca="1" si="1644"/>
        <v>0</v>
      </c>
      <c r="L2178" s="1">
        <f t="shared" ca="1" si="1644"/>
        <v>0</v>
      </c>
      <c r="M2178" s="1">
        <f t="shared" ca="1" si="1644"/>
        <v>0</v>
      </c>
      <c r="N2178" s="1">
        <f t="shared" ca="1" si="1644"/>
        <v>0</v>
      </c>
      <c r="O2178" s="1">
        <f t="shared" ca="1" si="1644"/>
        <v>0</v>
      </c>
      <c r="P2178" s="1">
        <f t="shared" ca="1" si="1644"/>
        <v>0</v>
      </c>
      <c r="Q2178" s="1">
        <f t="shared" ca="1" si="1644"/>
        <v>0</v>
      </c>
      <c r="R2178" s="1">
        <f t="shared" ca="1" si="1644"/>
        <v>0</v>
      </c>
      <c r="S2178" s="1">
        <f t="shared" ca="1" si="1644"/>
        <v>0</v>
      </c>
      <c r="T2178" s="1">
        <f t="shared" ca="1" si="1644"/>
        <v>0</v>
      </c>
      <c r="U2178" s="1">
        <f t="shared" ca="1" si="1644"/>
        <v>0</v>
      </c>
      <c r="V2178" s="1">
        <f t="shared" ca="1" si="1644"/>
        <v>0</v>
      </c>
      <c r="W2178" s="1">
        <f t="shared" ca="1" si="1644"/>
        <v>0</v>
      </c>
      <c r="X2178" s="1">
        <f t="shared" ca="1" si="1644"/>
        <v>0</v>
      </c>
    </row>
    <row r="2179" spans="2:24" hidden="1">
      <c r="B2179" s="1">
        <f t="shared" ref="B2179:C2198" si="1645">B438</f>
        <v>0</v>
      </c>
      <c r="C2179" s="1">
        <f t="shared" si="1645"/>
        <v>0</v>
      </c>
      <c r="J2179" s="336">
        <f t="shared" si="1643"/>
        <v>140</v>
      </c>
      <c r="K2179" s="1">
        <f t="shared" ref="K2179:X2188" ca="1" si="1646">OFFSET($K$1554,$J2179,COLUMN()-11)</f>
        <v>0</v>
      </c>
      <c r="L2179" s="1">
        <f t="shared" ca="1" si="1646"/>
        <v>0</v>
      </c>
      <c r="M2179" s="1">
        <f t="shared" ca="1" si="1646"/>
        <v>0</v>
      </c>
      <c r="N2179" s="1">
        <f t="shared" ca="1" si="1646"/>
        <v>0</v>
      </c>
      <c r="O2179" s="1">
        <f t="shared" ca="1" si="1646"/>
        <v>0</v>
      </c>
      <c r="P2179" s="1">
        <f t="shared" ca="1" si="1646"/>
        <v>0</v>
      </c>
      <c r="Q2179" s="1">
        <f t="shared" ca="1" si="1646"/>
        <v>0</v>
      </c>
      <c r="R2179" s="1">
        <f t="shared" ca="1" si="1646"/>
        <v>0</v>
      </c>
      <c r="S2179" s="1">
        <f t="shared" ca="1" si="1646"/>
        <v>0</v>
      </c>
      <c r="T2179" s="1">
        <f t="shared" ca="1" si="1646"/>
        <v>0</v>
      </c>
      <c r="U2179" s="1">
        <f t="shared" ca="1" si="1646"/>
        <v>0</v>
      </c>
      <c r="V2179" s="1">
        <f t="shared" ca="1" si="1646"/>
        <v>0</v>
      </c>
      <c r="W2179" s="1">
        <f t="shared" ca="1" si="1646"/>
        <v>0</v>
      </c>
      <c r="X2179" s="1">
        <f t="shared" ca="1" si="1646"/>
        <v>0</v>
      </c>
    </row>
    <row r="2180" spans="2:24" hidden="1">
      <c r="B2180" s="1">
        <f t="shared" si="1645"/>
        <v>0</v>
      </c>
      <c r="C2180" s="1">
        <f t="shared" si="1645"/>
        <v>0</v>
      </c>
      <c r="J2180" s="336">
        <f t="shared" si="1643"/>
        <v>147</v>
      </c>
      <c r="K2180" s="1">
        <f t="shared" ca="1" si="1646"/>
        <v>0</v>
      </c>
      <c r="L2180" s="1">
        <f t="shared" ca="1" si="1646"/>
        <v>0</v>
      </c>
      <c r="M2180" s="1">
        <f t="shared" ca="1" si="1646"/>
        <v>0</v>
      </c>
      <c r="N2180" s="1">
        <f t="shared" ca="1" si="1646"/>
        <v>0</v>
      </c>
      <c r="O2180" s="1">
        <f t="shared" ca="1" si="1646"/>
        <v>0</v>
      </c>
      <c r="P2180" s="1">
        <f t="shared" ca="1" si="1646"/>
        <v>0</v>
      </c>
      <c r="Q2180" s="1">
        <f t="shared" ca="1" si="1646"/>
        <v>0</v>
      </c>
      <c r="R2180" s="1">
        <f t="shared" ca="1" si="1646"/>
        <v>0</v>
      </c>
      <c r="S2180" s="1">
        <f t="shared" ca="1" si="1646"/>
        <v>0</v>
      </c>
      <c r="T2180" s="1">
        <f t="shared" ca="1" si="1646"/>
        <v>0</v>
      </c>
      <c r="U2180" s="1">
        <f t="shared" ca="1" si="1646"/>
        <v>0</v>
      </c>
      <c r="V2180" s="1">
        <f t="shared" ca="1" si="1646"/>
        <v>0</v>
      </c>
      <c r="W2180" s="1">
        <f t="shared" ca="1" si="1646"/>
        <v>0</v>
      </c>
      <c r="X2180" s="1">
        <f t="shared" ca="1" si="1646"/>
        <v>0</v>
      </c>
    </row>
    <row r="2181" spans="2:24" hidden="1">
      <c r="B2181" s="1">
        <f t="shared" si="1645"/>
        <v>0</v>
      </c>
      <c r="C2181" s="1">
        <f t="shared" si="1645"/>
        <v>0</v>
      </c>
      <c r="J2181" s="336">
        <f t="shared" si="1643"/>
        <v>154</v>
      </c>
      <c r="K2181" s="1">
        <f t="shared" ca="1" si="1646"/>
        <v>0</v>
      </c>
      <c r="L2181" s="1">
        <f t="shared" ca="1" si="1646"/>
        <v>0</v>
      </c>
      <c r="M2181" s="1">
        <f t="shared" ca="1" si="1646"/>
        <v>0</v>
      </c>
      <c r="N2181" s="1">
        <f t="shared" ca="1" si="1646"/>
        <v>0</v>
      </c>
      <c r="O2181" s="1">
        <f t="shared" ca="1" si="1646"/>
        <v>0</v>
      </c>
      <c r="P2181" s="1">
        <f t="shared" ca="1" si="1646"/>
        <v>0</v>
      </c>
      <c r="Q2181" s="1">
        <f t="shared" ca="1" si="1646"/>
        <v>0</v>
      </c>
      <c r="R2181" s="1">
        <f t="shared" ca="1" si="1646"/>
        <v>0</v>
      </c>
      <c r="S2181" s="1">
        <f t="shared" ca="1" si="1646"/>
        <v>0</v>
      </c>
      <c r="T2181" s="1">
        <f t="shared" ca="1" si="1646"/>
        <v>0</v>
      </c>
      <c r="U2181" s="1">
        <f t="shared" ca="1" si="1646"/>
        <v>0</v>
      </c>
      <c r="V2181" s="1">
        <f t="shared" ca="1" si="1646"/>
        <v>0</v>
      </c>
      <c r="W2181" s="1">
        <f t="shared" ca="1" si="1646"/>
        <v>0</v>
      </c>
      <c r="X2181" s="1">
        <f t="shared" ca="1" si="1646"/>
        <v>0</v>
      </c>
    </row>
    <row r="2182" spans="2:24" hidden="1">
      <c r="B2182" s="1">
        <f t="shared" si="1645"/>
        <v>0</v>
      </c>
      <c r="C2182" s="1">
        <f t="shared" si="1645"/>
        <v>0</v>
      </c>
      <c r="J2182" s="336">
        <f t="shared" si="1643"/>
        <v>161</v>
      </c>
      <c r="K2182" s="1">
        <f t="shared" ca="1" si="1646"/>
        <v>0</v>
      </c>
      <c r="L2182" s="1">
        <f t="shared" ca="1" si="1646"/>
        <v>0</v>
      </c>
      <c r="M2182" s="1">
        <f t="shared" ca="1" si="1646"/>
        <v>0</v>
      </c>
      <c r="N2182" s="1">
        <f t="shared" ca="1" si="1646"/>
        <v>0</v>
      </c>
      <c r="O2182" s="1">
        <f t="shared" ca="1" si="1646"/>
        <v>0</v>
      </c>
      <c r="P2182" s="1">
        <f t="shared" ca="1" si="1646"/>
        <v>0</v>
      </c>
      <c r="Q2182" s="1">
        <f t="shared" ca="1" si="1646"/>
        <v>0</v>
      </c>
      <c r="R2182" s="1">
        <f t="shared" ca="1" si="1646"/>
        <v>0</v>
      </c>
      <c r="S2182" s="1">
        <f t="shared" ca="1" si="1646"/>
        <v>0</v>
      </c>
      <c r="T2182" s="1">
        <f t="shared" ca="1" si="1646"/>
        <v>0</v>
      </c>
      <c r="U2182" s="1">
        <f t="shared" ca="1" si="1646"/>
        <v>0</v>
      </c>
      <c r="V2182" s="1">
        <f t="shared" ca="1" si="1646"/>
        <v>0</v>
      </c>
      <c r="W2182" s="1">
        <f t="shared" ca="1" si="1646"/>
        <v>0</v>
      </c>
      <c r="X2182" s="1">
        <f t="shared" ca="1" si="1646"/>
        <v>0</v>
      </c>
    </row>
    <row r="2183" spans="2:24" hidden="1">
      <c r="B2183" s="1">
        <f t="shared" si="1645"/>
        <v>0</v>
      </c>
      <c r="C2183" s="1">
        <f t="shared" si="1645"/>
        <v>0</v>
      </c>
      <c r="J2183" s="336">
        <f t="shared" si="1643"/>
        <v>168</v>
      </c>
      <c r="K2183" s="1">
        <f t="shared" ca="1" si="1646"/>
        <v>0</v>
      </c>
      <c r="L2183" s="1">
        <f t="shared" ca="1" si="1646"/>
        <v>0</v>
      </c>
      <c r="M2183" s="1">
        <f t="shared" ca="1" si="1646"/>
        <v>0</v>
      </c>
      <c r="N2183" s="1">
        <f t="shared" ca="1" si="1646"/>
        <v>0</v>
      </c>
      <c r="O2183" s="1">
        <f t="shared" ca="1" si="1646"/>
        <v>0</v>
      </c>
      <c r="P2183" s="1">
        <f t="shared" ca="1" si="1646"/>
        <v>0</v>
      </c>
      <c r="Q2183" s="1">
        <f t="shared" ca="1" si="1646"/>
        <v>0</v>
      </c>
      <c r="R2183" s="1">
        <f t="shared" ca="1" si="1646"/>
        <v>0</v>
      </c>
      <c r="S2183" s="1">
        <f t="shared" ca="1" si="1646"/>
        <v>0</v>
      </c>
      <c r="T2183" s="1">
        <f t="shared" ca="1" si="1646"/>
        <v>0</v>
      </c>
      <c r="U2183" s="1">
        <f t="shared" ca="1" si="1646"/>
        <v>0</v>
      </c>
      <c r="V2183" s="1">
        <f t="shared" ca="1" si="1646"/>
        <v>0</v>
      </c>
      <c r="W2183" s="1">
        <f t="shared" ca="1" si="1646"/>
        <v>0</v>
      </c>
      <c r="X2183" s="1">
        <f t="shared" ca="1" si="1646"/>
        <v>0</v>
      </c>
    </row>
    <row r="2184" spans="2:24" hidden="1">
      <c r="B2184" s="1">
        <f t="shared" si="1645"/>
        <v>0</v>
      </c>
      <c r="C2184" s="1">
        <f t="shared" si="1645"/>
        <v>0</v>
      </c>
      <c r="J2184" s="336">
        <f t="shared" si="1643"/>
        <v>175</v>
      </c>
      <c r="K2184" s="1">
        <f t="shared" ca="1" si="1646"/>
        <v>0</v>
      </c>
      <c r="L2184" s="1">
        <f t="shared" ca="1" si="1646"/>
        <v>0</v>
      </c>
      <c r="M2184" s="1">
        <f t="shared" ca="1" si="1646"/>
        <v>0</v>
      </c>
      <c r="N2184" s="1">
        <f t="shared" ca="1" si="1646"/>
        <v>0</v>
      </c>
      <c r="O2184" s="1">
        <f t="shared" ca="1" si="1646"/>
        <v>0</v>
      </c>
      <c r="P2184" s="1">
        <f t="shared" ca="1" si="1646"/>
        <v>0</v>
      </c>
      <c r="Q2184" s="1">
        <f t="shared" ca="1" si="1646"/>
        <v>0</v>
      </c>
      <c r="R2184" s="1">
        <f t="shared" ca="1" si="1646"/>
        <v>0</v>
      </c>
      <c r="S2184" s="1">
        <f t="shared" ca="1" si="1646"/>
        <v>0</v>
      </c>
      <c r="T2184" s="1">
        <f t="shared" ca="1" si="1646"/>
        <v>0</v>
      </c>
      <c r="U2184" s="1">
        <f t="shared" ca="1" si="1646"/>
        <v>0</v>
      </c>
      <c r="V2184" s="1">
        <f t="shared" ca="1" si="1646"/>
        <v>0</v>
      </c>
      <c r="W2184" s="1">
        <f t="shared" ca="1" si="1646"/>
        <v>0</v>
      </c>
      <c r="X2184" s="1">
        <f t="shared" ca="1" si="1646"/>
        <v>0</v>
      </c>
    </row>
    <row r="2185" spans="2:24" hidden="1">
      <c r="B2185" s="1">
        <f t="shared" si="1645"/>
        <v>0</v>
      </c>
      <c r="C2185" s="1">
        <f t="shared" si="1645"/>
        <v>0</v>
      </c>
      <c r="J2185" s="336">
        <f t="shared" si="1643"/>
        <v>182</v>
      </c>
      <c r="K2185" s="1">
        <f t="shared" ca="1" si="1646"/>
        <v>0</v>
      </c>
      <c r="L2185" s="1">
        <f t="shared" ca="1" si="1646"/>
        <v>0</v>
      </c>
      <c r="M2185" s="1">
        <f t="shared" ca="1" si="1646"/>
        <v>0</v>
      </c>
      <c r="N2185" s="1">
        <f t="shared" ca="1" si="1646"/>
        <v>0</v>
      </c>
      <c r="O2185" s="1">
        <f t="shared" ca="1" si="1646"/>
        <v>0</v>
      </c>
      <c r="P2185" s="1">
        <f t="shared" ca="1" si="1646"/>
        <v>0</v>
      </c>
      <c r="Q2185" s="1">
        <f t="shared" ca="1" si="1646"/>
        <v>0</v>
      </c>
      <c r="R2185" s="1">
        <f t="shared" ca="1" si="1646"/>
        <v>0</v>
      </c>
      <c r="S2185" s="1">
        <f t="shared" ca="1" si="1646"/>
        <v>0</v>
      </c>
      <c r="T2185" s="1">
        <f t="shared" ca="1" si="1646"/>
        <v>0</v>
      </c>
      <c r="U2185" s="1">
        <f t="shared" ca="1" si="1646"/>
        <v>0</v>
      </c>
      <c r="V2185" s="1">
        <f t="shared" ca="1" si="1646"/>
        <v>0</v>
      </c>
      <c r="W2185" s="1">
        <f t="shared" ca="1" si="1646"/>
        <v>0</v>
      </c>
      <c r="X2185" s="1">
        <f t="shared" ca="1" si="1646"/>
        <v>0</v>
      </c>
    </row>
    <row r="2186" spans="2:24" hidden="1">
      <c r="B2186" s="1">
        <f t="shared" si="1645"/>
        <v>0</v>
      </c>
      <c r="C2186" s="1">
        <f t="shared" si="1645"/>
        <v>0</v>
      </c>
      <c r="J2186" s="336">
        <f t="shared" si="1643"/>
        <v>189</v>
      </c>
      <c r="K2186" s="1">
        <f t="shared" ca="1" si="1646"/>
        <v>0</v>
      </c>
      <c r="L2186" s="1">
        <f t="shared" ca="1" si="1646"/>
        <v>0</v>
      </c>
      <c r="M2186" s="1">
        <f t="shared" ca="1" si="1646"/>
        <v>0</v>
      </c>
      <c r="N2186" s="1">
        <f t="shared" ca="1" si="1646"/>
        <v>0</v>
      </c>
      <c r="O2186" s="1">
        <f t="shared" ca="1" si="1646"/>
        <v>0</v>
      </c>
      <c r="P2186" s="1">
        <f t="shared" ca="1" si="1646"/>
        <v>0</v>
      </c>
      <c r="Q2186" s="1">
        <f t="shared" ca="1" si="1646"/>
        <v>0</v>
      </c>
      <c r="R2186" s="1">
        <f t="shared" ca="1" si="1646"/>
        <v>0</v>
      </c>
      <c r="S2186" s="1">
        <f t="shared" ca="1" si="1646"/>
        <v>0</v>
      </c>
      <c r="T2186" s="1">
        <f t="shared" ca="1" si="1646"/>
        <v>0</v>
      </c>
      <c r="U2186" s="1">
        <f t="shared" ca="1" si="1646"/>
        <v>0</v>
      </c>
      <c r="V2186" s="1">
        <f t="shared" ca="1" si="1646"/>
        <v>0</v>
      </c>
      <c r="W2186" s="1">
        <f t="shared" ca="1" si="1646"/>
        <v>0</v>
      </c>
      <c r="X2186" s="1">
        <f t="shared" ca="1" si="1646"/>
        <v>0</v>
      </c>
    </row>
    <row r="2187" spans="2:24" hidden="1">
      <c r="B2187" s="1">
        <f t="shared" si="1645"/>
        <v>0</v>
      </c>
      <c r="C2187" s="1">
        <f t="shared" si="1645"/>
        <v>0</v>
      </c>
      <c r="J2187" s="336">
        <f t="shared" si="1643"/>
        <v>196</v>
      </c>
      <c r="K2187" s="1">
        <f t="shared" ca="1" si="1646"/>
        <v>0</v>
      </c>
      <c r="L2187" s="1">
        <f t="shared" ca="1" si="1646"/>
        <v>0</v>
      </c>
      <c r="M2187" s="1">
        <f t="shared" ca="1" si="1646"/>
        <v>0</v>
      </c>
      <c r="N2187" s="1">
        <f t="shared" ca="1" si="1646"/>
        <v>0</v>
      </c>
      <c r="O2187" s="1">
        <f t="shared" ca="1" si="1646"/>
        <v>0</v>
      </c>
      <c r="P2187" s="1">
        <f t="shared" ca="1" si="1646"/>
        <v>0</v>
      </c>
      <c r="Q2187" s="1">
        <f t="shared" ca="1" si="1646"/>
        <v>0</v>
      </c>
      <c r="R2187" s="1">
        <f t="shared" ca="1" si="1646"/>
        <v>0</v>
      </c>
      <c r="S2187" s="1">
        <f t="shared" ca="1" si="1646"/>
        <v>0</v>
      </c>
      <c r="T2187" s="1">
        <f t="shared" ca="1" si="1646"/>
        <v>0</v>
      </c>
      <c r="U2187" s="1">
        <f t="shared" ca="1" si="1646"/>
        <v>0</v>
      </c>
      <c r="V2187" s="1">
        <f t="shared" ca="1" si="1646"/>
        <v>0</v>
      </c>
      <c r="W2187" s="1">
        <f t="shared" ca="1" si="1646"/>
        <v>0</v>
      </c>
      <c r="X2187" s="1">
        <f t="shared" ca="1" si="1646"/>
        <v>0</v>
      </c>
    </row>
    <row r="2188" spans="2:24" hidden="1">
      <c r="B2188" s="1">
        <f t="shared" si="1645"/>
        <v>0</v>
      </c>
      <c r="C2188" s="1">
        <f t="shared" si="1645"/>
        <v>0</v>
      </c>
      <c r="J2188" s="336">
        <f t="shared" si="1643"/>
        <v>203</v>
      </c>
      <c r="K2188" s="1">
        <f t="shared" ca="1" si="1646"/>
        <v>0</v>
      </c>
      <c r="L2188" s="1">
        <f t="shared" ca="1" si="1646"/>
        <v>0</v>
      </c>
      <c r="M2188" s="1">
        <f t="shared" ca="1" si="1646"/>
        <v>0</v>
      </c>
      <c r="N2188" s="1">
        <f t="shared" ca="1" si="1646"/>
        <v>0</v>
      </c>
      <c r="O2188" s="1">
        <f t="shared" ca="1" si="1646"/>
        <v>0</v>
      </c>
      <c r="P2188" s="1">
        <f t="shared" ca="1" si="1646"/>
        <v>0</v>
      </c>
      <c r="Q2188" s="1">
        <f t="shared" ca="1" si="1646"/>
        <v>0</v>
      </c>
      <c r="R2188" s="1">
        <f t="shared" ca="1" si="1646"/>
        <v>0</v>
      </c>
      <c r="S2188" s="1">
        <f t="shared" ca="1" si="1646"/>
        <v>0</v>
      </c>
      <c r="T2188" s="1">
        <f t="shared" ca="1" si="1646"/>
        <v>0</v>
      </c>
      <c r="U2188" s="1">
        <f t="shared" ca="1" si="1646"/>
        <v>0</v>
      </c>
      <c r="V2188" s="1">
        <f t="shared" ca="1" si="1646"/>
        <v>0</v>
      </c>
      <c r="W2188" s="1">
        <f t="shared" ca="1" si="1646"/>
        <v>0</v>
      </c>
      <c r="X2188" s="1">
        <f t="shared" ca="1" si="1646"/>
        <v>0</v>
      </c>
    </row>
    <row r="2189" spans="2:24" hidden="1">
      <c r="B2189" s="1">
        <f t="shared" si="1645"/>
        <v>0</v>
      </c>
      <c r="C2189" s="1">
        <f t="shared" si="1645"/>
        <v>0</v>
      </c>
      <c r="J2189" s="336">
        <f t="shared" si="1643"/>
        <v>210</v>
      </c>
      <c r="K2189" s="1">
        <f t="shared" ref="K2189:X2198" ca="1" si="1647">OFFSET($K$1554,$J2189,COLUMN()-11)</f>
        <v>0</v>
      </c>
      <c r="L2189" s="1">
        <f t="shared" ca="1" si="1647"/>
        <v>0</v>
      </c>
      <c r="M2189" s="1">
        <f t="shared" ca="1" si="1647"/>
        <v>0</v>
      </c>
      <c r="N2189" s="1">
        <f t="shared" ca="1" si="1647"/>
        <v>0</v>
      </c>
      <c r="O2189" s="1">
        <f t="shared" ca="1" si="1647"/>
        <v>0</v>
      </c>
      <c r="P2189" s="1">
        <f t="shared" ca="1" si="1647"/>
        <v>0</v>
      </c>
      <c r="Q2189" s="1">
        <f t="shared" ca="1" si="1647"/>
        <v>0</v>
      </c>
      <c r="R2189" s="1">
        <f t="shared" ca="1" si="1647"/>
        <v>0</v>
      </c>
      <c r="S2189" s="1">
        <f t="shared" ca="1" si="1647"/>
        <v>0</v>
      </c>
      <c r="T2189" s="1">
        <f t="shared" ca="1" si="1647"/>
        <v>0</v>
      </c>
      <c r="U2189" s="1">
        <f t="shared" ca="1" si="1647"/>
        <v>0</v>
      </c>
      <c r="V2189" s="1">
        <f t="shared" ca="1" si="1647"/>
        <v>0</v>
      </c>
      <c r="W2189" s="1">
        <f t="shared" ca="1" si="1647"/>
        <v>0</v>
      </c>
      <c r="X2189" s="1">
        <f t="shared" ca="1" si="1647"/>
        <v>0</v>
      </c>
    </row>
    <row r="2190" spans="2:24" hidden="1">
      <c r="B2190" s="1">
        <f t="shared" si="1645"/>
        <v>0</v>
      </c>
      <c r="C2190" s="1">
        <f t="shared" si="1645"/>
        <v>0</v>
      </c>
      <c r="J2190" s="336">
        <f t="shared" si="1643"/>
        <v>217</v>
      </c>
      <c r="K2190" s="1">
        <f t="shared" ca="1" si="1647"/>
        <v>0</v>
      </c>
      <c r="L2190" s="1">
        <f t="shared" ca="1" si="1647"/>
        <v>0</v>
      </c>
      <c r="M2190" s="1">
        <f t="shared" ca="1" si="1647"/>
        <v>0</v>
      </c>
      <c r="N2190" s="1">
        <f t="shared" ca="1" si="1647"/>
        <v>0</v>
      </c>
      <c r="O2190" s="1">
        <f t="shared" ca="1" si="1647"/>
        <v>0</v>
      </c>
      <c r="P2190" s="1">
        <f t="shared" ca="1" si="1647"/>
        <v>0</v>
      </c>
      <c r="Q2190" s="1">
        <f t="shared" ca="1" si="1647"/>
        <v>0</v>
      </c>
      <c r="R2190" s="1">
        <f t="shared" ca="1" si="1647"/>
        <v>0</v>
      </c>
      <c r="S2190" s="1">
        <f t="shared" ca="1" si="1647"/>
        <v>0</v>
      </c>
      <c r="T2190" s="1">
        <f t="shared" ca="1" si="1647"/>
        <v>0</v>
      </c>
      <c r="U2190" s="1">
        <f t="shared" ca="1" si="1647"/>
        <v>0</v>
      </c>
      <c r="V2190" s="1">
        <f t="shared" ca="1" si="1647"/>
        <v>0</v>
      </c>
      <c r="W2190" s="1">
        <f t="shared" ca="1" si="1647"/>
        <v>0</v>
      </c>
      <c r="X2190" s="1">
        <f t="shared" ca="1" si="1647"/>
        <v>0</v>
      </c>
    </row>
    <row r="2191" spans="2:24" hidden="1">
      <c r="B2191" s="1">
        <f t="shared" si="1645"/>
        <v>0</v>
      </c>
      <c r="C2191" s="1">
        <f t="shared" si="1645"/>
        <v>0</v>
      </c>
      <c r="J2191" s="336">
        <f t="shared" ref="J2191:J2203" si="1648">J2190+7</f>
        <v>224</v>
      </c>
      <c r="K2191" s="1">
        <f t="shared" ca="1" si="1647"/>
        <v>0</v>
      </c>
      <c r="L2191" s="1">
        <f t="shared" ca="1" si="1647"/>
        <v>0</v>
      </c>
      <c r="M2191" s="1">
        <f t="shared" ca="1" si="1647"/>
        <v>0</v>
      </c>
      <c r="N2191" s="1">
        <f t="shared" ca="1" si="1647"/>
        <v>0</v>
      </c>
      <c r="O2191" s="1">
        <f t="shared" ca="1" si="1647"/>
        <v>0</v>
      </c>
      <c r="P2191" s="1">
        <f t="shared" ca="1" si="1647"/>
        <v>0</v>
      </c>
      <c r="Q2191" s="1">
        <f t="shared" ca="1" si="1647"/>
        <v>0</v>
      </c>
      <c r="R2191" s="1">
        <f t="shared" ca="1" si="1647"/>
        <v>0</v>
      </c>
      <c r="S2191" s="1">
        <f t="shared" ca="1" si="1647"/>
        <v>0</v>
      </c>
      <c r="T2191" s="1">
        <f t="shared" ca="1" si="1647"/>
        <v>0</v>
      </c>
      <c r="U2191" s="1">
        <f t="shared" ca="1" si="1647"/>
        <v>0</v>
      </c>
      <c r="V2191" s="1">
        <f t="shared" ca="1" si="1647"/>
        <v>0</v>
      </c>
      <c r="W2191" s="1">
        <f t="shared" ca="1" si="1647"/>
        <v>0</v>
      </c>
      <c r="X2191" s="1">
        <f t="shared" ca="1" si="1647"/>
        <v>0</v>
      </c>
    </row>
    <row r="2192" spans="2:24" hidden="1">
      <c r="B2192" s="1">
        <f t="shared" si="1645"/>
        <v>0</v>
      </c>
      <c r="C2192" s="1">
        <f t="shared" si="1645"/>
        <v>0</v>
      </c>
      <c r="J2192" s="336">
        <f t="shared" si="1648"/>
        <v>231</v>
      </c>
      <c r="K2192" s="1">
        <f t="shared" ca="1" si="1647"/>
        <v>0</v>
      </c>
      <c r="L2192" s="1">
        <f t="shared" ca="1" si="1647"/>
        <v>0</v>
      </c>
      <c r="M2192" s="1">
        <f t="shared" ca="1" si="1647"/>
        <v>0</v>
      </c>
      <c r="N2192" s="1">
        <f t="shared" ca="1" si="1647"/>
        <v>0</v>
      </c>
      <c r="O2192" s="1">
        <f t="shared" ca="1" si="1647"/>
        <v>0</v>
      </c>
      <c r="P2192" s="1">
        <f t="shared" ca="1" si="1647"/>
        <v>0</v>
      </c>
      <c r="Q2192" s="1">
        <f t="shared" ca="1" si="1647"/>
        <v>0</v>
      </c>
      <c r="R2192" s="1">
        <f t="shared" ca="1" si="1647"/>
        <v>0</v>
      </c>
      <c r="S2192" s="1">
        <f t="shared" ca="1" si="1647"/>
        <v>0</v>
      </c>
      <c r="T2192" s="1">
        <f t="shared" ca="1" si="1647"/>
        <v>0</v>
      </c>
      <c r="U2192" s="1">
        <f t="shared" ca="1" si="1647"/>
        <v>0</v>
      </c>
      <c r="V2192" s="1">
        <f t="shared" ca="1" si="1647"/>
        <v>0</v>
      </c>
      <c r="W2192" s="1">
        <f t="shared" ca="1" si="1647"/>
        <v>0</v>
      </c>
      <c r="X2192" s="1">
        <f t="shared" ca="1" si="1647"/>
        <v>0</v>
      </c>
    </row>
    <row r="2193" spans="2:24" hidden="1">
      <c r="B2193" s="1">
        <f t="shared" si="1645"/>
        <v>0</v>
      </c>
      <c r="C2193" s="1">
        <f t="shared" si="1645"/>
        <v>0</v>
      </c>
      <c r="J2193" s="336">
        <f t="shared" si="1648"/>
        <v>238</v>
      </c>
      <c r="K2193" s="1">
        <f t="shared" ca="1" si="1647"/>
        <v>0</v>
      </c>
      <c r="L2193" s="1">
        <f t="shared" ca="1" si="1647"/>
        <v>0</v>
      </c>
      <c r="M2193" s="1">
        <f t="shared" ca="1" si="1647"/>
        <v>0</v>
      </c>
      <c r="N2193" s="1">
        <f t="shared" ca="1" si="1647"/>
        <v>0</v>
      </c>
      <c r="O2193" s="1">
        <f t="shared" ca="1" si="1647"/>
        <v>0</v>
      </c>
      <c r="P2193" s="1">
        <f t="shared" ca="1" si="1647"/>
        <v>0</v>
      </c>
      <c r="Q2193" s="1">
        <f t="shared" ca="1" si="1647"/>
        <v>0</v>
      </c>
      <c r="R2193" s="1">
        <f t="shared" ca="1" si="1647"/>
        <v>0</v>
      </c>
      <c r="S2193" s="1">
        <f t="shared" ca="1" si="1647"/>
        <v>0</v>
      </c>
      <c r="T2193" s="1">
        <f t="shared" ca="1" si="1647"/>
        <v>0</v>
      </c>
      <c r="U2193" s="1">
        <f t="shared" ca="1" si="1647"/>
        <v>0</v>
      </c>
      <c r="V2193" s="1">
        <f t="shared" ca="1" si="1647"/>
        <v>0</v>
      </c>
      <c r="W2193" s="1">
        <f t="shared" ca="1" si="1647"/>
        <v>0</v>
      </c>
      <c r="X2193" s="1">
        <f t="shared" ca="1" si="1647"/>
        <v>0</v>
      </c>
    </row>
    <row r="2194" spans="2:24" hidden="1">
      <c r="B2194" s="1">
        <f t="shared" si="1645"/>
        <v>0</v>
      </c>
      <c r="C2194" s="1">
        <f t="shared" si="1645"/>
        <v>0</v>
      </c>
      <c r="J2194" s="336">
        <f t="shared" si="1648"/>
        <v>245</v>
      </c>
      <c r="K2194" s="1">
        <f t="shared" ca="1" si="1647"/>
        <v>0</v>
      </c>
      <c r="L2194" s="1">
        <f t="shared" ca="1" si="1647"/>
        <v>0</v>
      </c>
      <c r="M2194" s="1">
        <f t="shared" ca="1" si="1647"/>
        <v>0</v>
      </c>
      <c r="N2194" s="1">
        <f t="shared" ca="1" si="1647"/>
        <v>0</v>
      </c>
      <c r="O2194" s="1">
        <f t="shared" ca="1" si="1647"/>
        <v>0</v>
      </c>
      <c r="P2194" s="1">
        <f t="shared" ca="1" si="1647"/>
        <v>0</v>
      </c>
      <c r="Q2194" s="1">
        <f t="shared" ca="1" si="1647"/>
        <v>0</v>
      </c>
      <c r="R2194" s="1">
        <f t="shared" ca="1" si="1647"/>
        <v>0</v>
      </c>
      <c r="S2194" s="1">
        <f t="shared" ca="1" si="1647"/>
        <v>0</v>
      </c>
      <c r="T2194" s="1">
        <f t="shared" ca="1" si="1647"/>
        <v>0</v>
      </c>
      <c r="U2194" s="1">
        <f t="shared" ca="1" si="1647"/>
        <v>0</v>
      </c>
      <c r="V2194" s="1">
        <f t="shared" ca="1" si="1647"/>
        <v>0</v>
      </c>
      <c r="W2194" s="1">
        <f t="shared" ca="1" si="1647"/>
        <v>0</v>
      </c>
      <c r="X2194" s="1">
        <f t="shared" ca="1" si="1647"/>
        <v>0</v>
      </c>
    </row>
    <row r="2195" spans="2:24" hidden="1">
      <c r="B2195" s="1">
        <f t="shared" si="1645"/>
        <v>0</v>
      </c>
      <c r="C2195" s="1">
        <f t="shared" si="1645"/>
        <v>0</v>
      </c>
      <c r="J2195" s="336">
        <f t="shared" si="1648"/>
        <v>252</v>
      </c>
      <c r="K2195" s="1">
        <f t="shared" ca="1" si="1647"/>
        <v>0</v>
      </c>
      <c r="L2195" s="1">
        <f t="shared" ca="1" si="1647"/>
        <v>0</v>
      </c>
      <c r="M2195" s="1">
        <f t="shared" ca="1" si="1647"/>
        <v>0</v>
      </c>
      <c r="N2195" s="1">
        <f t="shared" ca="1" si="1647"/>
        <v>0</v>
      </c>
      <c r="O2195" s="1">
        <f t="shared" ca="1" si="1647"/>
        <v>0</v>
      </c>
      <c r="P2195" s="1">
        <f t="shared" ca="1" si="1647"/>
        <v>0</v>
      </c>
      <c r="Q2195" s="1">
        <f t="shared" ca="1" si="1647"/>
        <v>0</v>
      </c>
      <c r="R2195" s="1">
        <f t="shared" ca="1" si="1647"/>
        <v>0</v>
      </c>
      <c r="S2195" s="1">
        <f t="shared" ca="1" si="1647"/>
        <v>0</v>
      </c>
      <c r="T2195" s="1">
        <f t="shared" ca="1" si="1647"/>
        <v>0</v>
      </c>
      <c r="U2195" s="1">
        <f t="shared" ca="1" si="1647"/>
        <v>0</v>
      </c>
      <c r="V2195" s="1">
        <f t="shared" ca="1" si="1647"/>
        <v>0</v>
      </c>
      <c r="W2195" s="1">
        <f t="shared" ca="1" si="1647"/>
        <v>0</v>
      </c>
      <c r="X2195" s="1">
        <f t="shared" ca="1" si="1647"/>
        <v>0</v>
      </c>
    </row>
    <row r="2196" spans="2:24" hidden="1">
      <c r="B2196" s="1">
        <f t="shared" si="1645"/>
        <v>0</v>
      </c>
      <c r="C2196" s="1">
        <f t="shared" si="1645"/>
        <v>0</v>
      </c>
      <c r="J2196" s="336">
        <f t="shared" si="1648"/>
        <v>259</v>
      </c>
      <c r="K2196" s="1">
        <f t="shared" ca="1" si="1647"/>
        <v>0</v>
      </c>
      <c r="L2196" s="1">
        <f t="shared" ca="1" si="1647"/>
        <v>0</v>
      </c>
      <c r="M2196" s="1">
        <f t="shared" ca="1" si="1647"/>
        <v>0</v>
      </c>
      <c r="N2196" s="1">
        <f t="shared" ca="1" si="1647"/>
        <v>0</v>
      </c>
      <c r="O2196" s="1">
        <f t="shared" ca="1" si="1647"/>
        <v>0</v>
      </c>
      <c r="P2196" s="1">
        <f t="shared" ca="1" si="1647"/>
        <v>0</v>
      </c>
      <c r="Q2196" s="1">
        <f t="shared" ca="1" si="1647"/>
        <v>0</v>
      </c>
      <c r="R2196" s="1">
        <f t="shared" ca="1" si="1647"/>
        <v>0</v>
      </c>
      <c r="S2196" s="1">
        <f t="shared" ca="1" si="1647"/>
        <v>0</v>
      </c>
      <c r="T2196" s="1">
        <f t="shared" ca="1" si="1647"/>
        <v>0</v>
      </c>
      <c r="U2196" s="1">
        <f t="shared" ca="1" si="1647"/>
        <v>0</v>
      </c>
      <c r="V2196" s="1">
        <f t="shared" ca="1" si="1647"/>
        <v>0</v>
      </c>
      <c r="W2196" s="1">
        <f t="shared" ca="1" si="1647"/>
        <v>0</v>
      </c>
      <c r="X2196" s="1">
        <f t="shared" ca="1" si="1647"/>
        <v>0</v>
      </c>
    </row>
    <row r="2197" spans="2:24" hidden="1">
      <c r="B2197" s="1">
        <f t="shared" si="1645"/>
        <v>0</v>
      </c>
      <c r="C2197" s="1">
        <f t="shared" si="1645"/>
        <v>0</v>
      </c>
      <c r="J2197" s="336">
        <f t="shared" si="1648"/>
        <v>266</v>
      </c>
      <c r="K2197" s="1">
        <f t="shared" ca="1" si="1647"/>
        <v>0</v>
      </c>
      <c r="L2197" s="1">
        <f t="shared" ca="1" si="1647"/>
        <v>0</v>
      </c>
      <c r="M2197" s="1">
        <f t="shared" ca="1" si="1647"/>
        <v>0</v>
      </c>
      <c r="N2197" s="1">
        <f t="shared" ca="1" si="1647"/>
        <v>0</v>
      </c>
      <c r="O2197" s="1">
        <f t="shared" ca="1" si="1647"/>
        <v>0</v>
      </c>
      <c r="P2197" s="1">
        <f t="shared" ca="1" si="1647"/>
        <v>0</v>
      </c>
      <c r="Q2197" s="1">
        <f t="shared" ca="1" si="1647"/>
        <v>0</v>
      </c>
      <c r="R2197" s="1">
        <f t="shared" ca="1" si="1647"/>
        <v>0</v>
      </c>
      <c r="S2197" s="1">
        <f t="shared" ca="1" si="1647"/>
        <v>0</v>
      </c>
      <c r="T2197" s="1">
        <f t="shared" ca="1" si="1647"/>
        <v>0</v>
      </c>
      <c r="U2197" s="1">
        <f t="shared" ca="1" si="1647"/>
        <v>0</v>
      </c>
      <c r="V2197" s="1">
        <f t="shared" ca="1" si="1647"/>
        <v>0</v>
      </c>
      <c r="W2197" s="1">
        <f t="shared" ca="1" si="1647"/>
        <v>0</v>
      </c>
      <c r="X2197" s="1">
        <f t="shared" ca="1" si="1647"/>
        <v>0</v>
      </c>
    </row>
    <row r="2198" spans="2:24" hidden="1">
      <c r="B2198" s="1">
        <f t="shared" si="1645"/>
        <v>0</v>
      </c>
      <c r="C2198" s="1">
        <f t="shared" si="1645"/>
        <v>0</v>
      </c>
      <c r="J2198" s="336">
        <f t="shared" si="1648"/>
        <v>273</v>
      </c>
      <c r="K2198" s="1">
        <f t="shared" ca="1" si="1647"/>
        <v>0</v>
      </c>
      <c r="L2198" s="1">
        <f t="shared" ca="1" si="1647"/>
        <v>0</v>
      </c>
      <c r="M2198" s="1">
        <f t="shared" ca="1" si="1647"/>
        <v>0</v>
      </c>
      <c r="N2198" s="1">
        <f t="shared" ca="1" si="1647"/>
        <v>0</v>
      </c>
      <c r="O2198" s="1">
        <f t="shared" ca="1" si="1647"/>
        <v>0</v>
      </c>
      <c r="P2198" s="1">
        <f t="shared" ca="1" si="1647"/>
        <v>0</v>
      </c>
      <c r="Q2198" s="1">
        <f t="shared" ca="1" si="1647"/>
        <v>0</v>
      </c>
      <c r="R2198" s="1">
        <f t="shared" ca="1" si="1647"/>
        <v>0</v>
      </c>
      <c r="S2198" s="1">
        <f t="shared" ca="1" si="1647"/>
        <v>0</v>
      </c>
      <c r="T2198" s="1">
        <f t="shared" ca="1" si="1647"/>
        <v>0</v>
      </c>
      <c r="U2198" s="1">
        <f t="shared" ca="1" si="1647"/>
        <v>0</v>
      </c>
      <c r="V2198" s="1">
        <f t="shared" ca="1" si="1647"/>
        <v>0</v>
      </c>
      <c r="W2198" s="1">
        <f t="shared" ca="1" si="1647"/>
        <v>0</v>
      </c>
      <c r="X2198" s="1">
        <f t="shared" ca="1" si="1647"/>
        <v>0</v>
      </c>
    </row>
    <row r="2199" spans="2:24" hidden="1">
      <c r="B2199" s="1" t="str">
        <f t="shared" ref="B2199:C2203" si="1649">B458</f>
        <v/>
      </c>
      <c r="C2199" s="1" t="str">
        <f t="shared" si="1649"/>
        <v/>
      </c>
      <c r="J2199" s="336">
        <v>0</v>
      </c>
      <c r="K2199" s="1">
        <f t="shared" ref="K2199:X2203" ca="1" si="1650">OFFSET($K$1846,$J2199,COLUMN()-11)</f>
        <v>0</v>
      </c>
      <c r="L2199" s="1">
        <f t="shared" ca="1" si="1650"/>
        <v>0</v>
      </c>
      <c r="M2199" s="1">
        <f t="shared" ca="1" si="1650"/>
        <v>0</v>
      </c>
      <c r="N2199" s="1">
        <f t="shared" ca="1" si="1650"/>
        <v>0</v>
      </c>
      <c r="O2199" s="1">
        <f t="shared" ca="1" si="1650"/>
        <v>0</v>
      </c>
      <c r="P2199" s="1">
        <f t="shared" ca="1" si="1650"/>
        <v>0</v>
      </c>
      <c r="Q2199" s="1">
        <f t="shared" ca="1" si="1650"/>
        <v>0</v>
      </c>
      <c r="R2199" s="1">
        <f t="shared" ca="1" si="1650"/>
        <v>0</v>
      </c>
      <c r="S2199" s="1">
        <f t="shared" ca="1" si="1650"/>
        <v>0</v>
      </c>
      <c r="T2199" s="1">
        <f t="shared" ca="1" si="1650"/>
        <v>0</v>
      </c>
      <c r="U2199" s="1">
        <f t="shared" ca="1" si="1650"/>
        <v>0</v>
      </c>
      <c r="V2199" s="1">
        <f t="shared" ca="1" si="1650"/>
        <v>0</v>
      </c>
      <c r="W2199" s="1">
        <f t="shared" ca="1" si="1650"/>
        <v>0</v>
      </c>
      <c r="X2199" s="1">
        <f t="shared" ca="1" si="1650"/>
        <v>0</v>
      </c>
    </row>
    <row r="2200" spans="2:24" hidden="1">
      <c r="B2200" s="1" t="str">
        <f t="shared" si="1649"/>
        <v/>
      </c>
      <c r="C2200" s="1" t="str">
        <f t="shared" si="1649"/>
        <v/>
      </c>
      <c r="J2200" s="336">
        <f t="shared" si="1648"/>
        <v>7</v>
      </c>
      <c r="K2200" s="1">
        <f t="shared" ca="1" si="1650"/>
        <v>0</v>
      </c>
      <c r="L2200" s="1">
        <f t="shared" ca="1" si="1650"/>
        <v>0</v>
      </c>
      <c r="M2200" s="1">
        <f t="shared" ca="1" si="1650"/>
        <v>0</v>
      </c>
      <c r="N2200" s="1">
        <f t="shared" ca="1" si="1650"/>
        <v>0</v>
      </c>
      <c r="O2200" s="1">
        <f t="shared" ca="1" si="1650"/>
        <v>0</v>
      </c>
      <c r="P2200" s="1">
        <f t="shared" ca="1" si="1650"/>
        <v>0</v>
      </c>
      <c r="Q2200" s="1">
        <f t="shared" ca="1" si="1650"/>
        <v>0</v>
      </c>
      <c r="R2200" s="1">
        <f t="shared" ca="1" si="1650"/>
        <v>0</v>
      </c>
      <c r="S2200" s="1">
        <f t="shared" ca="1" si="1650"/>
        <v>0</v>
      </c>
      <c r="T2200" s="1">
        <f t="shared" ca="1" si="1650"/>
        <v>0</v>
      </c>
      <c r="U2200" s="1">
        <f t="shared" ca="1" si="1650"/>
        <v>0</v>
      </c>
      <c r="V2200" s="1">
        <f t="shared" ca="1" si="1650"/>
        <v>0</v>
      </c>
      <c r="W2200" s="1">
        <f t="shared" ca="1" si="1650"/>
        <v>0</v>
      </c>
      <c r="X2200" s="1">
        <f t="shared" ca="1" si="1650"/>
        <v>0</v>
      </c>
    </row>
    <row r="2201" spans="2:24" hidden="1">
      <c r="B2201" s="1" t="str">
        <f t="shared" si="1649"/>
        <v/>
      </c>
      <c r="C2201" s="1" t="str">
        <f t="shared" si="1649"/>
        <v/>
      </c>
      <c r="J2201" s="336">
        <f t="shared" si="1648"/>
        <v>14</v>
      </c>
      <c r="K2201" s="1">
        <f t="shared" ca="1" si="1650"/>
        <v>0</v>
      </c>
      <c r="L2201" s="1">
        <f t="shared" ca="1" si="1650"/>
        <v>0</v>
      </c>
      <c r="M2201" s="1">
        <f t="shared" ca="1" si="1650"/>
        <v>0</v>
      </c>
      <c r="N2201" s="1">
        <f t="shared" ca="1" si="1650"/>
        <v>0</v>
      </c>
      <c r="O2201" s="1">
        <f t="shared" ca="1" si="1650"/>
        <v>0</v>
      </c>
      <c r="P2201" s="1">
        <f t="shared" ca="1" si="1650"/>
        <v>0</v>
      </c>
      <c r="Q2201" s="1">
        <f t="shared" ca="1" si="1650"/>
        <v>0</v>
      </c>
      <c r="R2201" s="1">
        <f t="shared" ca="1" si="1650"/>
        <v>0</v>
      </c>
      <c r="S2201" s="1">
        <f t="shared" ca="1" si="1650"/>
        <v>0</v>
      </c>
      <c r="T2201" s="1">
        <f t="shared" ca="1" si="1650"/>
        <v>0</v>
      </c>
      <c r="U2201" s="1">
        <f t="shared" ca="1" si="1650"/>
        <v>0</v>
      </c>
      <c r="V2201" s="1">
        <f t="shared" ca="1" si="1650"/>
        <v>0</v>
      </c>
      <c r="W2201" s="1">
        <f t="shared" ca="1" si="1650"/>
        <v>0</v>
      </c>
      <c r="X2201" s="1">
        <f t="shared" ca="1" si="1650"/>
        <v>0</v>
      </c>
    </row>
    <row r="2202" spans="2:24" hidden="1">
      <c r="B2202" s="1" t="str">
        <f t="shared" si="1649"/>
        <v/>
      </c>
      <c r="C2202" s="1" t="str">
        <f t="shared" si="1649"/>
        <v/>
      </c>
      <c r="J2202" s="336">
        <f t="shared" si="1648"/>
        <v>21</v>
      </c>
      <c r="K2202" s="1">
        <f t="shared" ca="1" si="1650"/>
        <v>0</v>
      </c>
      <c r="L2202" s="1">
        <f t="shared" ca="1" si="1650"/>
        <v>0</v>
      </c>
      <c r="M2202" s="1">
        <f t="shared" ca="1" si="1650"/>
        <v>0</v>
      </c>
      <c r="N2202" s="1">
        <f t="shared" ca="1" si="1650"/>
        <v>0</v>
      </c>
      <c r="O2202" s="1">
        <f t="shared" ca="1" si="1650"/>
        <v>0</v>
      </c>
      <c r="P2202" s="1">
        <f t="shared" ca="1" si="1650"/>
        <v>0</v>
      </c>
      <c r="Q2202" s="1">
        <f t="shared" ca="1" si="1650"/>
        <v>0</v>
      </c>
      <c r="R2202" s="1">
        <f t="shared" ca="1" si="1650"/>
        <v>0</v>
      </c>
      <c r="S2202" s="1">
        <f t="shared" ca="1" si="1650"/>
        <v>0</v>
      </c>
      <c r="T2202" s="1">
        <f t="shared" ca="1" si="1650"/>
        <v>0</v>
      </c>
      <c r="U2202" s="1">
        <f t="shared" ca="1" si="1650"/>
        <v>0</v>
      </c>
      <c r="V2202" s="1">
        <f t="shared" ca="1" si="1650"/>
        <v>0</v>
      </c>
      <c r="W2202" s="1">
        <f t="shared" ca="1" si="1650"/>
        <v>0</v>
      </c>
      <c r="X2202" s="1">
        <f t="shared" ca="1" si="1650"/>
        <v>0</v>
      </c>
    </row>
    <row r="2203" spans="2:24" hidden="1">
      <c r="B2203" s="1" t="str">
        <f t="shared" si="1649"/>
        <v/>
      </c>
      <c r="C2203" s="1" t="str">
        <f t="shared" si="1649"/>
        <v/>
      </c>
      <c r="J2203" s="336">
        <f t="shared" si="1648"/>
        <v>28</v>
      </c>
      <c r="K2203" s="1">
        <f t="shared" ca="1" si="1650"/>
        <v>0</v>
      </c>
      <c r="L2203" s="1">
        <f t="shared" ca="1" si="1650"/>
        <v>0</v>
      </c>
      <c r="M2203" s="1">
        <f t="shared" ca="1" si="1650"/>
        <v>0</v>
      </c>
      <c r="N2203" s="1">
        <f t="shared" ca="1" si="1650"/>
        <v>0</v>
      </c>
      <c r="O2203" s="1">
        <f t="shared" ca="1" si="1650"/>
        <v>0</v>
      </c>
      <c r="P2203" s="1">
        <f t="shared" ca="1" si="1650"/>
        <v>0</v>
      </c>
      <c r="Q2203" s="1">
        <f t="shared" ca="1" si="1650"/>
        <v>0</v>
      </c>
      <c r="R2203" s="1">
        <f t="shared" ca="1" si="1650"/>
        <v>0</v>
      </c>
      <c r="S2203" s="1">
        <f t="shared" ca="1" si="1650"/>
        <v>0</v>
      </c>
      <c r="T2203" s="1">
        <f t="shared" ca="1" si="1650"/>
        <v>0</v>
      </c>
      <c r="U2203" s="1">
        <f t="shared" ca="1" si="1650"/>
        <v>0</v>
      </c>
      <c r="V2203" s="1">
        <f t="shared" ca="1" si="1650"/>
        <v>0</v>
      </c>
      <c r="W2203" s="1">
        <f t="shared" ca="1" si="1650"/>
        <v>0</v>
      </c>
      <c r="X2203" s="1">
        <f t="shared" ca="1" si="1650"/>
        <v>0</v>
      </c>
    </row>
    <row r="2205" spans="2:24" hidden="1">
      <c r="B2205" s="228" t="s">
        <v>392</v>
      </c>
    </row>
    <row r="2206" spans="2:24" hidden="1">
      <c r="B2206" s="1">
        <f t="shared" ref="B2206:C2215" si="1651">B574</f>
        <v>0</v>
      </c>
      <c r="C2206" s="1">
        <f t="shared" si="1651"/>
        <v>0</v>
      </c>
      <c r="J2206" s="336">
        <v>0</v>
      </c>
      <c r="K2206" s="1">
        <f t="shared" ref="K2206:X2215" ca="1" si="1652">OFFSET($K$1886,$J2206,COLUMN()-11)</f>
        <v>0</v>
      </c>
      <c r="L2206" s="1">
        <f t="shared" ca="1" si="1652"/>
        <v>0</v>
      </c>
      <c r="M2206" s="1">
        <f t="shared" ca="1" si="1652"/>
        <v>0</v>
      </c>
      <c r="N2206" s="1">
        <f t="shared" ca="1" si="1652"/>
        <v>0</v>
      </c>
      <c r="O2206" s="1">
        <f t="shared" ca="1" si="1652"/>
        <v>0</v>
      </c>
      <c r="P2206" s="1">
        <f t="shared" ca="1" si="1652"/>
        <v>0</v>
      </c>
      <c r="Q2206" s="1">
        <f t="shared" ca="1" si="1652"/>
        <v>0</v>
      </c>
      <c r="R2206" s="1">
        <f t="shared" ca="1" si="1652"/>
        <v>0</v>
      </c>
      <c r="S2206" s="1">
        <f t="shared" ca="1" si="1652"/>
        <v>0</v>
      </c>
      <c r="T2206" s="1">
        <f t="shared" ca="1" si="1652"/>
        <v>0</v>
      </c>
      <c r="U2206" s="1">
        <f t="shared" ca="1" si="1652"/>
        <v>0</v>
      </c>
      <c r="V2206" s="1">
        <f t="shared" ca="1" si="1652"/>
        <v>0</v>
      </c>
      <c r="W2206" s="1">
        <f t="shared" ca="1" si="1652"/>
        <v>0</v>
      </c>
      <c r="X2206" s="1">
        <f t="shared" ca="1" si="1652"/>
        <v>0</v>
      </c>
    </row>
    <row r="2207" spans="2:24" hidden="1">
      <c r="B2207" s="1">
        <f t="shared" si="1651"/>
        <v>0</v>
      </c>
      <c r="C2207" s="1">
        <f t="shared" si="1651"/>
        <v>0</v>
      </c>
      <c r="J2207" s="336">
        <f>J2206+7</f>
        <v>7</v>
      </c>
      <c r="K2207" s="1">
        <f t="shared" ca="1" si="1652"/>
        <v>0</v>
      </c>
      <c r="L2207" s="1">
        <f t="shared" ca="1" si="1652"/>
        <v>0</v>
      </c>
      <c r="M2207" s="1">
        <f t="shared" ca="1" si="1652"/>
        <v>0</v>
      </c>
      <c r="N2207" s="1">
        <f t="shared" ca="1" si="1652"/>
        <v>0</v>
      </c>
      <c r="O2207" s="1">
        <f t="shared" ca="1" si="1652"/>
        <v>0</v>
      </c>
      <c r="P2207" s="1">
        <f t="shared" ca="1" si="1652"/>
        <v>0</v>
      </c>
      <c r="Q2207" s="1">
        <f t="shared" ca="1" si="1652"/>
        <v>0</v>
      </c>
      <c r="R2207" s="1">
        <f t="shared" ca="1" si="1652"/>
        <v>0</v>
      </c>
      <c r="S2207" s="1">
        <f t="shared" ca="1" si="1652"/>
        <v>0</v>
      </c>
      <c r="T2207" s="1">
        <f t="shared" ca="1" si="1652"/>
        <v>0</v>
      </c>
      <c r="U2207" s="1">
        <f t="shared" ca="1" si="1652"/>
        <v>0</v>
      </c>
      <c r="V2207" s="1">
        <f t="shared" ca="1" si="1652"/>
        <v>0</v>
      </c>
      <c r="W2207" s="1">
        <f t="shared" ca="1" si="1652"/>
        <v>0</v>
      </c>
      <c r="X2207" s="1">
        <f t="shared" ca="1" si="1652"/>
        <v>0</v>
      </c>
    </row>
    <row r="2208" spans="2:24" hidden="1">
      <c r="B2208" s="1">
        <f t="shared" si="1651"/>
        <v>0</v>
      </c>
      <c r="C2208" s="1">
        <f t="shared" si="1651"/>
        <v>0</v>
      </c>
      <c r="J2208" s="336">
        <f t="shared" ref="J2208:J2215" si="1653">J2207+7</f>
        <v>14</v>
      </c>
      <c r="K2208" s="1">
        <f t="shared" ca="1" si="1652"/>
        <v>0</v>
      </c>
      <c r="L2208" s="1">
        <f t="shared" ca="1" si="1652"/>
        <v>0</v>
      </c>
      <c r="M2208" s="1">
        <f t="shared" ca="1" si="1652"/>
        <v>0</v>
      </c>
      <c r="N2208" s="1">
        <f t="shared" ca="1" si="1652"/>
        <v>0</v>
      </c>
      <c r="O2208" s="1">
        <f t="shared" ca="1" si="1652"/>
        <v>0</v>
      </c>
      <c r="P2208" s="1">
        <f t="shared" ca="1" si="1652"/>
        <v>0</v>
      </c>
      <c r="Q2208" s="1">
        <f t="shared" ca="1" si="1652"/>
        <v>0</v>
      </c>
      <c r="R2208" s="1">
        <f t="shared" ca="1" si="1652"/>
        <v>0</v>
      </c>
      <c r="S2208" s="1">
        <f t="shared" ca="1" si="1652"/>
        <v>0</v>
      </c>
      <c r="T2208" s="1">
        <f t="shared" ca="1" si="1652"/>
        <v>0</v>
      </c>
      <c r="U2208" s="1">
        <f t="shared" ca="1" si="1652"/>
        <v>0</v>
      </c>
      <c r="V2208" s="1">
        <f t="shared" ca="1" si="1652"/>
        <v>0</v>
      </c>
      <c r="W2208" s="1">
        <f t="shared" ca="1" si="1652"/>
        <v>0</v>
      </c>
      <c r="X2208" s="1">
        <f t="shared" ca="1" si="1652"/>
        <v>0</v>
      </c>
    </row>
    <row r="2209" spans="2:24" hidden="1">
      <c r="B2209" s="1">
        <f t="shared" si="1651"/>
        <v>0</v>
      </c>
      <c r="C2209" s="1">
        <f t="shared" si="1651"/>
        <v>0</v>
      </c>
      <c r="J2209" s="336">
        <f t="shared" si="1653"/>
        <v>21</v>
      </c>
      <c r="K2209" s="1">
        <f t="shared" ca="1" si="1652"/>
        <v>0</v>
      </c>
      <c r="L2209" s="1">
        <f t="shared" ca="1" si="1652"/>
        <v>0</v>
      </c>
      <c r="M2209" s="1">
        <f t="shared" ca="1" si="1652"/>
        <v>0</v>
      </c>
      <c r="N2209" s="1">
        <f t="shared" ca="1" si="1652"/>
        <v>0</v>
      </c>
      <c r="O2209" s="1">
        <f t="shared" ca="1" si="1652"/>
        <v>0</v>
      </c>
      <c r="P2209" s="1">
        <f t="shared" ca="1" si="1652"/>
        <v>0</v>
      </c>
      <c r="Q2209" s="1">
        <f t="shared" ca="1" si="1652"/>
        <v>0</v>
      </c>
      <c r="R2209" s="1">
        <f t="shared" ca="1" si="1652"/>
        <v>0</v>
      </c>
      <c r="S2209" s="1">
        <f t="shared" ca="1" si="1652"/>
        <v>0</v>
      </c>
      <c r="T2209" s="1">
        <f t="shared" ca="1" si="1652"/>
        <v>0</v>
      </c>
      <c r="U2209" s="1">
        <f t="shared" ca="1" si="1652"/>
        <v>0</v>
      </c>
      <c r="V2209" s="1">
        <f t="shared" ca="1" si="1652"/>
        <v>0</v>
      </c>
      <c r="W2209" s="1">
        <f t="shared" ca="1" si="1652"/>
        <v>0</v>
      </c>
      <c r="X2209" s="1">
        <f t="shared" ca="1" si="1652"/>
        <v>0</v>
      </c>
    </row>
    <row r="2210" spans="2:24" hidden="1">
      <c r="B2210" s="1">
        <f t="shared" si="1651"/>
        <v>0</v>
      </c>
      <c r="C2210" s="1">
        <f t="shared" si="1651"/>
        <v>0</v>
      </c>
      <c r="J2210" s="336">
        <f t="shared" si="1653"/>
        <v>28</v>
      </c>
      <c r="K2210" s="1">
        <f t="shared" ca="1" si="1652"/>
        <v>0</v>
      </c>
      <c r="L2210" s="1">
        <f t="shared" ca="1" si="1652"/>
        <v>0</v>
      </c>
      <c r="M2210" s="1">
        <f t="shared" ca="1" si="1652"/>
        <v>0</v>
      </c>
      <c r="N2210" s="1">
        <f t="shared" ca="1" si="1652"/>
        <v>0</v>
      </c>
      <c r="O2210" s="1">
        <f t="shared" ca="1" si="1652"/>
        <v>0</v>
      </c>
      <c r="P2210" s="1">
        <f t="shared" ca="1" si="1652"/>
        <v>0</v>
      </c>
      <c r="Q2210" s="1">
        <f t="shared" ca="1" si="1652"/>
        <v>0</v>
      </c>
      <c r="R2210" s="1">
        <f t="shared" ca="1" si="1652"/>
        <v>0</v>
      </c>
      <c r="S2210" s="1">
        <f t="shared" ca="1" si="1652"/>
        <v>0</v>
      </c>
      <c r="T2210" s="1">
        <f t="shared" ca="1" si="1652"/>
        <v>0</v>
      </c>
      <c r="U2210" s="1">
        <f t="shared" ca="1" si="1652"/>
        <v>0</v>
      </c>
      <c r="V2210" s="1">
        <f t="shared" ca="1" si="1652"/>
        <v>0</v>
      </c>
      <c r="W2210" s="1">
        <f t="shared" ca="1" si="1652"/>
        <v>0</v>
      </c>
      <c r="X2210" s="1">
        <f t="shared" ca="1" si="1652"/>
        <v>0</v>
      </c>
    </row>
    <row r="2211" spans="2:24" hidden="1">
      <c r="B2211" s="1">
        <f t="shared" si="1651"/>
        <v>0</v>
      </c>
      <c r="C2211" s="1">
        <f t="shared" si="1651"/>
        <v>0</v>
      </c>
      <c r="J2211" s="336">
        <f t="shared" si="1653"/>
        <v>35</v>
      </c>
      <c r="K2211" s="1">
        <f t="shared" ca="1" si="1652"/>
        <v>0</v>
      </c>
      <c r="L2211" s="1">
        <f t="shared" ca="1" si="1652"/>
        <v>0</v>
      </c>
      <c r="M2211" s="1">
        <f t="shared" ca="1" si="1652"/>
        <v>0</v>
      </c>
      <c r="N2211" s="1">
        <f t="shared" ca="1" si="1652"/>
        <v>0</v>
      </c>
      <c r="O2211" s="1">
        <f t="shared" ca="1" si="1652"/>
        <v>0</v>
      </c>
      <c r="P2211" s="1">
        <f t="shared" ca="1" si="1652"/>
        <v>0</v>
      </c>
      <c r="Q2211" s="1">
        <f t="shared" ca="1" si="1652"/>
        <v>0</v>
      </c>
      <c r="R2211" s="1">
        <f t="shared" ca="1" si="1652"/>
        <v>0</v>
      </c>
      <c r="S2211" s="1">
        <f t="shared" ca="1" si="1652"/>
        <v>0</v>
      </c>
      <c r="T2211" s="1">
        <f t="shared" ca="1" si="1652"/>
        <v>0</v>
      </c>
      <c r="U2211" s="1">
        <f t="shared" ca="1" si="1652"/>
        <v>0</v>
      </c>
      <c r="V2211" s="1">
        <f t="shared" ca="1" si="1652"/>
        <v>0</v>
      </c>
      <c r="W2211" s="1">
        <f t="shared" ca="1" si="1652"/>
        <v>0</v>
      </c>
      <c r="X2211" s="1">
        <f t="shared" ca="1" si="1652"/>
        <v>0</v>
      </c>
    </row>
    <row r="2212" spans="2:24" hidden="1">
      <c r="B2212" s="1">
        <f t="shared" si="1651"/>
        <v>0</v>
      </c>
      <c r="C2212" s="1">
        <f t="shared" si="1651"/>
        <v>0</v>
      </c>
      <c r="J2212" s="336">
        <f t="shared" si="1653"/>
        <v>42</v>
      </c>
      <c r="K2212" s="1">
        <f t="shared" ca="1" si="1652"/>
        <v>0</v>
      </c>
      <c r="L2212" s="1">
        <f t="shared" ca="1" si="1652"/>
        <v>0</v>
      </c>
      <c r="M2212" s="1">
        <f t="shared" ca="1" si="1652"/>
        <v>0</v>
      </c>
      <c r="N2212" s="1">
        <f t="shared" ca="1" si="1652"/>
        <v>0</v>
      </c>
      <c r="O2212" s="1">
        <f t="shared" ca="1" si="1652"/>
        <v>0</v>
      </c>
      <c r="P2212" s="1">
        <f t="shared" ca="1" si="1652"/>
        <v>0</v>
      </c>
      <c r="Q2212" s="1">
        <f t="shared" ca="1" si="1652"/>
        <v>0</v>
      </c>
      <c r="R2212" s="1">
        <f t="shared" ca="1" si="1652"/>
        <v>0</v>
      </c>
      <c r="S2212" s="1">
        <f t="shared" ca="1" si="1652"/>
        <v>0</v>
      </c>
      <c r="T2212" s="1">
        <f t="shared" ca="1" si="1652"/>
        <v>0</v>
      </c>
      <c r="U2212" s="1">
        <f t="shared" ca="1" si="1652"/>
        <v>0</v>
      </c>
      <c r="V2212" s="1">
        <f t="shared" ca="1" si="1652"/>
        <v>0</v>
      </c>
      <c r="W2212" s="1">
        <f t="shared" ca="1" si="1652"/>
        <v>0</v>
      </c>
      <c r="X2212" s="1">
        <f t="shared" ca="1" si="1652"/>
        <v>0</v>
      </c>
    </row>
    <row r="2213" spans="2:24" hidden="1">
      <c r="B2213" s="1">
        <f t="shared" si="1651"/>
        <v>0</v>
      </c>
      <c r="C2213" s="1">
        <f t="shared" si="1651"/>
        <v>0</v>
      </c>
      <c r="J2213" s="336">
        <f t="shared" si="1653"/>
        <v>49</v>
      </c>
      <c r="K2213" s="1">
        <f t="shared" ca="1" si="1652"/>
        <v>0</v>
      </c>
      <c r="L2213" s="1">
        <f t="shared" ca="1" si="1652"/>
        <v>0</v>
      </c>
      <c r="M2213" s="1">
        <f t="shared" ca="1" si="1652"/>
        <v>0</v>
      </c>
      <c r="N2213" s="1">
        <f t="shared" ca="1" si="1652"/>
        <v>0</v>
      </c>
      <c r="O2213" s="1">
        <f t="shared" ca="1" si="1652"/>
        <v>0</v>
      </c>
      <c r="P2213" s="1">
        <f t="shared" ca="1" si="1652"/>
        <v>0</v>
      </c>
      <c r="Q2213" s="1">
        <f t="shared" ca="1" si="1652"/>
        <v>0</v>
      </c>
      <c r="R2213" s="1">
        <f t="shared" ca="1" si="1652"/>
        <v>0</v>
      </c>
      <c r="S2213" s="1">
        <f t="shared" ca="1" si="1652"/>
        <v>0</v>
      </c>
      <c r="T2213" s="1">
        <f t="shared" ca="1" si="1652"/>
        <v>0</v>
      </c>
      <c r="U2213" s="1">
        <f t="shared" ca="1" si="1652"/>
        <v>0</v>
      </c>
      <c r="V2213" s="1">
        <f t="shared" ca="1" si="1652"/>
        <v>0</v>
      </c>
      <c r="W2213" s="1">
        <f t="shared" ca="1" si="1652"/>
        <v>0</v>
      </c>
      <c r="X2213" s="1">
        <f t="shared" ca="1" si="1652"/>
        <v>0</v>
      </c>
    </row>
    <row r="2214" spans="2:24" hidden="1">
      <c r="B2214" s="1">
        <f t="shared" si="1651"/>
        <v>0</v>
      </c>
      <c r="C2214" s="1">
        <f t="shared" si="1651"/>
        <v>0</v>
      </c>
      <c r="J2214" s="336">
        <f t="shared" si="1653"/>
        <v>56</v>
      </c>
      <c r="K2214" s="1">
        <f t="shared" ca="1" si="1652"/>
        <v>0</v>
      </c>
      <c r="L2214" s="1">
        <f t="shared" ca="1" si="1652"/>
        <v>0</v>
      </c>
      <c r="M2214" s="1">
        <f t="shared" ca="1" si="1652"/>
        <v>0</v>
      </c>
      <c r="N2214" s="1">
        <f t="shared" ca="1" si="1652"/>
        <v>0</v>
      </c>
      <c r="O2214" s="1">
        <f t="shared" ca="1" si="1652"/>
        <v>0</v>
      </c>
      <c r="P2214" s="1">
        <f t="shared" ca="1" si="1652"/>
        <v>0</v>
      </c>
      <c r="Q2214" s="1">
        <f t="shared" ca="1" si="1652"/>
        <v>0</v>
      </c>
      <c r="R2214" s="1">
        <f t="shared" ca="1" si="1652"/>
        <v>0</v>
      </c>
      <c r="S2214" s="1">
        <f t="shared" ca="1" si="1652"/>
        <v>0</v>
      </c>
      <c r="T2214" s="1">
        <f t="shared" ca="1" si="1652"/>
        <v>0</v>
      </c>
      <c r="U2214" s="1">
        <f t="shared" ca="1" si="1652"/>
        <v>0</v>
      </c>
      <c r="V2214" s="1">
        <f t="shared" ca="1" si="1652"/>
        <v>0</v>
      </c>
      <c r="W2214" s="1">
        <f t="shared" ca="1" si="1652"/>
        <v>0</v>
      </c>
      <c r="X2214" s="1">
        <f t="shared" ca="1" si="1652"/>
        <v>0</v>
      </c>
    </row>
    <row r="2215" spans="2:24" hidden="1">
      <c r="B2215" s="1">
        <f t="shared" si="1651"/>
        <v>0</v>
      </c>
      <c r="C2215" s="1">
        <f t="shared" si="1651"/>
        <v>0</v>
      </c>
      <c r="J2215" s="336">
        <f t="shared" si="1653"/>
        <v>63</v>
      </c>
      <c r="K2215" s="1">
        <f t="shared" ca="1" si="1652"/>
        <v>0</v>
      </c>
      <c r="L2215" s="1">
        <f t="shared" ca="1" si="1652"/>
        <v>0</v>
      </c>
      <c r="M2215" s="1">
        <f t="shared" ca="1" si="1652"/>
        <v>0</v>
      </c>
      <c r="N2215" s="1">
        <f t="shared" ca="1" si="1652"/>
        <v>0</v>
      </c>
      <c r="O2215" s="1">
        <f t="shared" ca="1" si="1652"/>
        <v>0</v>
      </c>
      <c r="P2215" s="1">
        <f t="shared" ca="1" si="1652"/>
        <v>0</v>
      </c>
      <c r="Q2215" s="1">
        <f t="shared" ca="1" si="1652"/>
        <v>0</v>
      </c>
      <c r="R2215" s="1">
        <f t="shared" ca="1" si="1652"/>
        <v>0</v>
      </c>
      <c r="S2215" s="1">
        <f t="shared" ca="1" si="1652"/>
        <v>0</v>
      </c>
      <c r="T2215" s="1">
        <f t="shared" ca="1" si="1652"/>
        <v>0</v>
      </c>
      <c r="U2215" s="1">
        <f t="shared" ca="1" si="1652"/>
        <v>0</v>
      </c>
      <c r="V2215" s="1">
        <f t="shared" ca="1" si="1652"/>
        <v>0</v>
      </c>
      <c r="W2215" s="1">
        <f t="shared" ca="1" si="1652"/>
        <v>0</v>
      </c>
      <c r="X2215" s="1">
        <f t="shared" ca="1" si="1652"/>
        <v>0</v>
      </c>
    </row>
    <row r="2217" spans="2:24" hidden="1">
      <c r="B2217" s="228" t="s">
        <v>393</v>
      </c>
    </row>
    <row r="2218" spans="2:24" hidden="1">
      <c r="B2218" s="1">
        <f t="shared" ref="B2218:C2227" si="1654">B616</f>
        <v>0</v>
      </c>
      <c r="C2218" s="1">
        <f t="shared" si="1654"/>
        <v>0</v>
      </c>
      <c r="J2218" s="336">
        <v>0</v>
      </c>
      <c r="K2218" s="1">
        <f t="shared" ref="K2218:X2227" ca="1" si="1655">OFFSET($K$1961,$J2218,COLUMN()-11)</f>
        <v>0</v>
      </c>
      <c r="L2218" s="1">
        <f t="shared" ca="1" si="1655"/>
        <v>0</v>
      </c>
      <c r="M2218" s="1">
        <f t="shared" ca="1" si="1655"/>
        <v>0</v>
      </c>
      <c r="N2218" s="1">
        <f t="shared" ca="1" si="1655"/>
        <v>0</v>
      </c>
      <c r="O2218" s="1">
        <f t="shared" ca="1" si="1655"/>
        <v>0</v>
      </c>
      <c r="P2218" s="1">
        <f t="shared" ca="1" si="1655"/>
        <v>0</v>
      </c>
      <c r="Q2218" s="1">
        <f t="shared" ca="1" si="1655"/>
        <v>0</v>
      </c>
      <c r="R2218" s="1">
        <f t="shared" ca="1" si="1655"/>
        <v>0</v>
      </c>
      <c r="S2218" s="1">
        <f t="shared" ca="1" si="1655"/>
        <v>0</v>
      </c>
      <c r="T2218" s="1">
        <f t="shared" ca="1" si="1655"/>
        <v>0</v>
      </c>
      <c r="U2218" s="1">
        <f t="shared" ca="1" si="1655"/>
        <v>0</v>
      </c>
      <c r="V2218" s="1">
        <f t="shared" ca="1" si="1655"/>
        <v>0</v>
      </c>
      <c r="W2218" s="1">
        <f t="shared" ca="1" si="1655"/>
        <v>0</v>
      </c>
      <c r="X2218" s="1">
        <f t="shared" ca="1" si="1655"/>
        <v>0</v>
      </c>
    </row>
    <row r="2219" spans="2:24" hidden="1">
      <c r="B2219" s="1">
        <f t="shared" si="1654"/>
        <v>0</v>
      </c>
      <c r="C2219" s="1">
        <f t="shared" si="1654"/>
        <v>0</v>
      </c>
      <c r="J2219" s="336">
        <f>J2218+7</f>
        <v>7</v>
      </c>
      <c r="K2219" s="1">
        <f t="shared" ca="1" si="1655"/>
        <v>0</v>
      </c>
      <c r="L2219" s="1">
        <f t="shared" ca="1" si="1655"/>
        <v>0</v>
      </c>
      <c r="M2219" s="1">
        <f t="shared" ca="1" si="1655"/>
        <v>0</v>
      </c>
      <c r="N2219" s="1">
        <f t="shared" ca="1" si="1655"/>
        <v>0</v>
      </c>
      <c r="O2219" s="1">
        <f t="shared" ca="1" si="1655"/>
        <v>0</v>
      </c>
      <c r="P2219" s="1">
        <f t="shared" ca="1" si="1655"/>
        <v>0</v>
      </c>
      <c r="Q2219" s="1">
        <f t="shared" ca="1" si="1655"/>
        <v>0</v>
      </c>
      <c r="R2219" s="1">
        <f t="shared" ca="1" si="1655"/>
        <v>0</v>
      </c>
      <c r="S2219" s="1">
        <f t="shared" ca="1" si="1655"/>
        <v>0</v>
      </c>
      <c r="T2219" s="1">
        <f t="shared" ca="1" si="1655"/>
        <v>0</v>
      </c>
      <c r="U2219" s="1">
        <f t="shared" ca="1" si="1655"/>
        <v>0</v>
      </c>
      <c r="V2219" s="1">
        <f t="shared" ca="1" si="1655"/>
        <v>0</v>
      </c>
      <c r="W2219" s="1">
        <f t="shared" ca="1" si="1655"/>
        <v>0</v>
      </c>
      <c r="X2219" s="1">
        <f t="shared" ca="1" si="1655"/>
        <v>0</v>
      </c>
    </row>
    <row r="2220" spans="2:24" hidden="1">
      <c r="B2220" s="1">
        <f t="shared" si="1654"/>
        <v>0</v>
      </c>
      <c r="C2220" s="1">
        <f t="shared" si="1654"/>
        <v>0</v>
      </c>
      <c r="J2220" s="336">
        <f t="shared" ref="J2220:J2227" si="1656">J2219+7</f>
        <v>14</v>
      </c>
      <c r="K2220" s="1">
        <f t="shared" ca="1" si="1655"/>
        <v>0</v>
      </c>
      <c r="L2220" s="1">
        <f t="shared" ca="1" si="1655"/>
        <v>0</v>
      </c>
      <c r="M2220" s="1">
        <f t="shared" ca="1" si="1655"/>
        <v>0</v>
      </c>
      <c r="N2220" s="1">
        <f t="shared" ca="1" si="1655"/>
        <v>0</v>
      </c>
      <c r="O2220" s="1">
        <f t="shared" ca="1" si="1655"/>
        <v>0</v>
      </c>
      <c r="P2220" s="1">
        <f t="shared" ca="1" si="1655"/>
        <v>0</v>
      </c>
      <c r="Q2220" s="1">
        <f t="shared" ca="1" si="1655"/>
        <v>0</v>
      </c>
      <c r="R2220" s="1">
        <f t="shared" ca="1" si="1655"/>
        <v>0</v>
      </c>
      <c r="S2220" s="1">
        <f t="shared" ca="1" si="1655"/>
        <v>0</v>
      </c>
      <c r="T2220" s="1">
        <f t="shared" ca="1" si="1655"/>
        <v>0</v>
      </c>
      <c r="U2220" s="1">
        <f t="shared" ca="1" si="1655"/>
        <v>0</v>
      </c>
      <c r="V2220" s="1">
        <f t="shared" ca="1" si="1655"/>
        <v>0</v>
      </c>
      <c r="W2220" s="1">
        <f t="shared" ca="1" si="1655"/>
        <v>0</v>
      </c>
      <c r="X2220" s="1">
        <f t="shared" ca="1" si="1655"/>
        <v>0</v>
      </c>
    </row>
    <row r="2221" spans="2:24" hidden="1">
      <c r="B2221" s="1">
        <f t="shared" si="1654"/>
        <v>0</v>
      </c>
      <c r="C2221" s="1">
        <f t="shared" si="1654"/>
        <v>0</v>
      </c>
      <c r="J2221" s="336">
        <f t="shared" si="1656"/>
        <v>21</v>
      </c>
      <c r="K2221" s="1">
        <f t="shared" ca="1" si="1655"/>
        <v>0</v>
      </c>
      <c r="L2221" s="1">
        <f t="shared" ca="1" si="1655"/>
        <v>0</v>
      </c>
      <c r="M2221" s="1">
        <f t="shared" ca="1" si="1655"/>
        <v>0</v>
      </c>
      <c r="N2221" s="1">
        <f t="shared" ca="1" si="1655"/>
        <v>0</v>
      </c>
      <c r="O2221" s="1">
        <f t="shared" ca="1" si="1655"/>
        <v>0</v>
      </c>
      <c r="P2221" s="1">
        <f t="shared" ca="1" si="1655"/>
        <v>0</v>
      </c>
      <c r="Q2221" s="1">
        <f t="shared" ca="1" si="1655"/>
        <v>0</v>
      </c>
      <c r="R2221" s="1">
        <f t="shared" ca="1" si="1655"/>
        <v>0</v>
      </c>
      <c r="S2221" s="1">
        <f t="shared" ca="1" si="1655"/>
        <v>0</v>
      </c>
      <c r="T2221" s="1">
        <f t="shared" ca="1" si="1655"/>
        <v>0</v>
      </c>
      <c r="U2221" s="1">
        <f t="shared" ca="1" si="1655"/>
        <v>0</v>
      </c>
      <c r="V2221" s="1">
        <f t="shared" ca="1" si="1655"/>
        <v>0</v>
      </c>
      <c r="W2221" s="1">
        <f t="shared" ca="1" si="1655"/>
        <v>0</v>
      </c>
      <c r="X2221" s="1">
        <f t="shared" ca="1" si="1655"/>
        <v>0</v>
      </c>
    </row>
    <row r="2222" spans="2:24" hidden="1">
      <c r="B2222" s="1">
        <f t="shared" si="1654"/>
        <v>0</v>
      </c>
      <c r="C2222" s="1">
        <f t="shared" si="1654"/>
        <v>0</v>
      </c>
      <c r="J2222" s="336">
        <f t="shared" si="1656"/>
        <v>28</v>
      </c>
      <c r="K2222" s="1">
        <f t="shared" ca="1" si="1655"/>
        <v>0</v>
      </c>
      <c r="L2222" s="1">
        <f t="shared" ca="1" si="1655"/>
        <v>0</v>
      </c>
      <c r="M2222" s="1">
        <f t="shared" ca="1" si="1655"/>
        <v>0</v>
      </c>
      <c r="N2222" s="1">
        <f t="shared" ca="1" si="1655"/>
        <v>0</v>
      </c>
      <c r="O2222" s="1">
        <f t="shared" ca="1" si="1655"/>
        <v>0</v>
      </c>
      <c r="P2222" s="1">
        <f t="shared" ca="1" si="1655"/>
        <v>0</v>
      </c>
      <c r="Q2222" s="1">
        <f t="shared" ca="1" si="1655"/>
        <v>0</v>
      </c>
      <c r="R2222" s="1">
        <f t="shared" ca="1" si="1655"/>
        <v>0</v>
      </c>
      <c r="S2222" s="1">
        <f t="shared" ca="1" si="1655"/>
        <v>0</v>
      </c>
      <c r="T2222" s="1">
        <f t="shared" ca="1" si="1655"/>
        <v>0</v>
      </c>
      <c r="U2222" s="1">
        <f t="shared" ca="1" si="1655"/>
        <v>0</v>
      </c>
      <c r="V2222" s="1">
        <f t="shared" ca="1" si="1655"/>
        <v>0</v>
      </c>
      <c r="W2222" s="1">
        <f t="shared" ca="1" si="1655"/>
        <v>0</v>
      </c>
      <c r="X2222" s="1">
        <f t="shared" ca="1" si="1655"/>
        <v>0</v>
      </c>
    </row>
    <row r="2223" spans="2:24" hidden="1">
      <c r="B2223" s="1">
        <f t="shared" si="1654"/>
        <v>0</v>
      </c>
      <c r="C2223" s="1">
        <f t="shared" si="1654"/>
        <v>0</v>
      </c>
      <c r="J2223" s="336">
        <f t="shared" si="1656"/>
        <v>35</v>
      </c>
      <c r="K2223" s="1">
        <f t="shared" ca="1" si="1655"/>
        <v>0</v>
      </c>
      <c r="L2223" s="1">
        <f t="shared" ca="1" si="1655"/>
        <v>0</v>
      </c>
      <c r="M2223" s="1">
        <f t="shared" ca="1" si="1655"/>
        <v>0</v>
      </c>
      <c r="N2223" s="1">
        <f t="shared" ca="1" si="1655"/>
        <v>0</v>
      </c>
      <c r="O2223" s="1">
        <f t="shared" ca="1" si="1655"/>
        <v>0</v>
      </c>
      <c r="P2223" s="1">
        <f t="shared" ca="1" si="1655"/>
        <v>0</v>
      </c>
      <c r="Q2223" s="1">
        <f t="shared" ca="1" si="1655"/>
        <v>0</v>
      </c>
      <c r="R2223" s="1">
        <f t="shared" ca="1" si="1655"/>
        <v>0</v>
      </c>
      <c r="S2223" s="1">
        <f t="shared" ca="1" si="1655"/>
        <v>0</v>
      </c>
      <c r="T2223" s="1">
        <f t="shared" ca="1" si="1655"/>
        <v>0</v>
      </c>
      <c r="U2223" s="1">
        <f t="shared" ca="1" si="1655"/>
        <v>0</v>
      </c>
      <c r="V2223" s="1">
        <f t="shared" ca="1" si="1655"/>
        <v>0</v>
      </c>
      <c r="W2223" s="1">
        <f t="shared" ca="1" si="1655"/>
        <v>0</v>
      </c>
      <c r="X2223" s="1">
        <f t="shared" ca="1" si="1655"/>
        <v>0</v>
      </c>
    </row>
    <row r="2224" spans="2:24" hidden="1">
      <c r="B2224" s="1">
        <f t="shared" si="1654"/>
        <v>0</v>
      </c>
      <c r="C2224" s="1">
        <f t="shared" si="1654"/>
        <v>0</v>
      </c>
      <c r="J2224" s="336">
        <f t="shared" si="1656"/>
        <v>42</v>
      </c>
      <c r="K2224" s="1">
        <f t="shared" ca="1" si="1655"/>
        <v>0</v>
      </c>
      <c r="L2224" s="1">
        <f t="shared" ca="1" si="1655"/>
        <v>0</v>
      </c>
      <c r="M2224" s="1">
        <f t="shared" ca="1" si="1655"/>
        <v>0</v>
      </c>
      <c r="N2224" s="1">
        <f t="shared" ca="1" si="1655"/>
        <v>0</v>
      </c>
      <c r="O2224" s="1">
        <f t="shared" ca="1" si="1655"/>
        <v>0</v>
      </c>
      <c r="P2224" s="1">
        <f t="shared" ca="1" si="1655"/>
        <v>0</v>
      </c>
      <c r="Q2224" s="1">
        <f t="shared" ca="1" si="1655"/>
        <v>0</v>
      </c>
      <c r="R2224" s="1">
        <f t="shared" ca="1" si="1655"/>
        <v>0</v>
      </c>
      <c r="S2224" s="1">
        <f t="shared" ca="1" si="1655"/>
        <v>0</v>
      </c>
      <c r="T2224" s="1">
        <f t="shared" ca="1" si="1655"/>
        <v>0</v>
      </c>
      <c r="U2224" s="1">
        <f t="shared" ca="1" si="1655"/>
        <v>0</v>
      </c>
      <c r="V2224" s="1">
        <f t="shared" ca="1" si="1655"/>
        <v>0</v>
      </c>
      <c r="W2224" s="1">
        <f t="shared" ca="1" si="1655"/>
        <v>0</v>
      </c>
      <c r="X2224" s="1">
        <f t="shared" ca="1" si="1655"/>
        <v>0</v>
      </c>
    </row>
    <row r="2225" spans="2:24" hidden="1">
      <c r="B2225" s="1">
        <f t="shared" si="1654"/>
        <v>0</v>
      </c>
      <c r="C2225" s="1">
        <f t="shared" si="1654"/>
        <v>0</v>
      </c>
      <c r="J2225" s="336">
        <f t="shared" si="1656"/>
        <v>49</v>
      </c>
      <c r="K2225" s="1">
        <f t="shared" ca="1" si="1655"/>
        <v>0</v>
      </c>
      <c r="L2225" s="1">
        <f t="shared" ca="1" si="1655"/>
        <v>0</v>
      </c>
      <c r="M2225" s="1">
        <f t="shared" ca="1" si="1655"/>
        <v>0</v>
      </c>
      <c r="N2225" s="1">
        <f t="shared" ca="1" si="1655"/>
        <v>0</v>
      </c>
      <c r="O2225" s="1">
        <f t="shared" ca="1" si="1655"/>
        <v>0</v>
      </c>
      <c r="P2225" s="1">
        <f t="shared" ca="1" si="1655"/>
        <v>0</v>
      </c>
      <c r="Q2225" s="1">
        <f t="shared" ca="1" si="1655"/>
        <v>0</v>
      </c>
      <c r="R2225" s="1">
        <f t="shared" ca="1" si="1655"/>
        <v>0</v>
      </c>
      <c r="S2225" s="1">
        <f t="shared" ca="1" si="1655"/>
        <v>0</v>
      </c>
      <c r="T2225" s="1">
        <f t="shared" ca="1" si="1655"/>
        <v>0</v>
      </c>
      <c r="U2225" s="1">
        <f t="shared" ca="1" si="1655"/>
        <v>0</v>
      </c>
      <c r="V2225" s="1">
        <f t="shared" ca="1" si="1655"/>
        <v>0</v>
      </c>
      <c r="W2225" s="1">
        <f t="shared" ca="1" si="1655"/>
        <v>0</v>
      </c>
      <c r="X2225" s="1">
        <f t="shared" ca="1" si="1655"/>
        <v>0</v>
      </c>
    </row>
    <row r="2226" spans="2:24" hidden="1">
      <c r="B2226" s="1">
        <f t="shared" si="1654"/>
        <v>0</v>
      </c>
      <c r="C2226" s="1">
        <f t="shared" si="1654"/>
        <v>0</v>
      </c>
      <c r="J2226" s="336">
        <f t="shared" si="1656"/>
        <v>56</v>
      </c>
      <c r="K2226" s="1">
        <f t="shared" ca="1" si="1655"/>
        <v>0</v>
      </c>
      <c r="L2226" s="1">
        <f t="shared" ca="1" si="1655"/>
        <v>0</v>
      </c>
      <c r="M2226" s="1">
        <f t="shared" ca="1" si="1655"/>
        <v>0</v>
      </c>
      <c r="N2226" s="1">
        <f t="shared" ca="1" si="1655"/>
        <v>0</v>
      </c>
      <c r="O2226" s="1">
        <f t="shared" ca="1" si="1655"/>
        <v>0</v>
      </c>
      <c r="P2226" s="1">
        <f t="shared" ca="1" si="1655"/>
        <v>0</v>
      </c>
      <c r="Q2226" s="1">
        <f t="shared" ca="1" si="1655"/>
        <v>0</v>
      </c>
      <c r="R2226" s="1">
        <f t="shared" ca="1" si="1655"/>
        <v>0</v>
      </c>
      <c r="S2226" s="1">
        <f t="shared" ca="1" si="1655"/>
        <v>0</v>
      </c>
      <c r="T2226" s="1">
        <f t="shared" ca="1" si="1655"/>
        <v>0</v>
      </c>
      <c r="U2226" s="1">
        <f t="shared" ca="1" si="1655"/>
        <v>0</v>
      </c>
      <c r="V2226" s="1">
        <f t="shared" ca="1" si="1655"/>
        <v>0</v>
      </c>
      <c r="W2226" s="1">
        <f t="shared" ca="1" si="1655"/>
        <v>0</v>
      </c>
      <c r="X2226" s="1">
        <f t="shared" ca="1" si="1655"/>
        <v>0</v>
      </c>
    </row>
    <row r="2227" spans="2:24" hidden="1">
      <c r="B2227" s="1">
        <f t="shared" si="1654"/>
        <v>0</v>
      </c>
      <c r="C2227" s="1">
        <f t="shared" si="1654"/>
        <v>0</v>
      </c>
      <c r="J2227" s="336">
        <f t="shared" si="1656"/>
        <v>63</v>
      </c>
      <c r="K2227" s="1">
        <f t="shared" ca="1" si="1655"/>
        <v>0</v>
      </c>
      <c r="L2227" s="1">
        <f t="shared" ca="1" si="1655"/>
        <v>0</v>
      </c>
      <c r="M2227" s="1">
        <f t="shared" ca="1" si="1655"/>
        <v>0</v>
      </c>
      <c r="N2227" s="1">
        <f t="shared" ca="1" si="1655"/>
        <v>0</v>
      </c>
      <c r="O2227" s="1">
        <f t="shared" ca="1" si="1655"/>
        <v>0</v>
      </c>
      <c r="P2227" s="1">
        <f t="shared" ca="1" si="1655"/>
        <v>0</v>
      </c>
      <c r="Q2227" s="1">
        <f t="shared" ca="1" si="1655"/>
        <v>0</v>
      </c>
      <c r="R2227" s="1">
        <f t="shared" ca="1" si="1655"/>
        <v>0</v>
      </c>
      <c r="S2227" s="1">
        <f t="shared" ca="1" si="1655"/>
        <v>0</v>
      </c>
      <c r="T2227" s="1">
        <f t="shared" ca="1" si="1655"/>
        <v>0</v>
      </c>
      <c r="U2227" s="1">
        <f t="shared" ca="1" si="1655"/>
        <v>0</v>
      </c>
      <c r="V2227" s="1">
        <f t="shared" ca="1" si="1655"/>
        <v>0</v>
      </c>
      <c r="W2227" s="1">
        <f t="shared" ca="1" si="1655"/>
        <v>0</v>
      </c>
      <c r="X2227" s="1">
        <f t="shared" ca="1" si="1655"/>
        <v>0</v>
      </c>
    </row>
    <row r="2231" spans="2:24" hidden="1">
      <c r="J2231" s="1" t="s">
        <v>746</v>
      </c>
    </row>
    <row r="2232" spans="2:24" hidden="1">
      <c r="B2232" s="461" t="s">
        <v>381</v>
      </c>
      <c r="C2232" s="462">
        <v>1</v>
      </c>
      <c r="K2232" s="1">
        <f t="shared" ref="K2232:X2232" si="1657">IF($C2232=1,K17,IF($C2232=2,K18,0))</f>
        <v>0</v>
      </c>
      <c r="L2232" s="1">
        <f t="shared" si="1657"/>
        <v>0</v>
      </c>
      <c r="M2232" s="1">
        <f t="shared" si="1657"/>
        <v>0</v>
      </c>
      <c r="N2232" s="1">
        <f t="shared" si="1657"/>
        <v>0</v>
      </c>
      <c r="O2232" s="1">
        <f t="shared" si="1657"/>
        <v>0</v>
      </c>
      <c r="P2232" s="1">
        <f t="shared" si="1657"/>
        <v>0</v>
      </c>
      <c r="Q2232" s="1">
        <f t="shared" si="1657"/>
        <v>0</v>
      </c>
      <c r="R2232" s="1">
        <f t="shared" si="1657"/>
        <v>0</v>
      </c>
      <c r="S2232" s="1">
        <f t="shared" si="1657"/>
        <v>0</v>
      </c>
      <c r="T2232" s="1">
        <f t="shared" si="1657"/>
        <v>0</v>
      </c>
      <c r="U2232" s="1">
        <f t="shared" si="1657"/>
        <v>0</v>
      </c>
      <c r="V2232" s="1">
        <f t="shared" si="1657"/>
        <v>0</v>
      </c>
      <c r="W2232" s="1">
        <f t="shared" si="1657"/>
        <v>0</v>
      </c>
      <c r="X2232" s="1">
        <f t="shared" si="1657"/>
        <v>0</v>
      </c>
    </row>
    <row r="2233" spans="2:24" hidden="1">
      <c r="B2233" s="461" t="s">
        <v>387</v>
      </c>
      <c r="C2233" s="462">
        <v>1</v>
      </c>
      <c r="K2233" s="1">
        <f t="shared" ref="K2233:X2233" si="1658">IF($C2233=1,K25,IF($C2233=2,K26,0))</f>
        <v>0</v>
      </c>
      <c r="L2233" s="1">
        <f t="shared" si="1658"/>
        <v>0</v>
      </c>
      <c r="M2233" s="1">
        <f t="shared" si="1658"/>
        <v>0</v>
      </c>
      <c r="N2233" s="1">
        <f t="shared" si="1658"/>
        <v>0</v>
      </c>
      <c r="O2233" s="1">
        <f t="shared" si="1658"/>
        <v>0</v>
      </c>
      <c r="P2233" s="1">
        <f t="shared" si="1658"/>
        <v>0</v>
      </c>
      <c r="Q2233" s="1">
        <f t="shared" si="1658"/>
        <v>0</v>
      </c>
      <c r="R2233" s="1">
        <f t="shared" si="1658"/>
        <v>0</v>
      </c>
      <c r="S2233" s="1">
        <f t="shared" si="1658"/>
        <v>0</v>
      </c>
      <c r="T2233" s="1">
        <f t="shared" si="1658"/>
        <v>0</v>
      </c>
      <c r="U2233" s="1">
        <f t="shared" si="1658"/>
        <v>0</v>
      </c>
      <c r="V2233" s="1">
        <f t="shared" si="1658"/>
        <v>0</v>
      </c>
      <c r="W2233" s="1">
        <f t="shared" si="1658"/>
        <v>0</v>
      </c>
      <c r="X2233" s="1">
        <f t="shared" si="1658"/>
        <v>0</v>
      </c>
    </row>
    <row r="2234" spans="2:24" hidden="1">
      <c r="B2234" s="461" t="s">
        <v>388</v>
      </c>
      <c r="C2234" s="462">
        <v>1</v>
      </c>
      <c r="K2234" s="1">
        <f t="shared" ref="K2234:X2234" si="1659">IF($C2234=1,K33,IF($C2234=2,K34,0))</f>
        <v>0</v>
      </c>
      <c r="L2234" s="1">
        <f t="shared" si="1659"/>
        <v>0</v>
      </c>
      <c r="M2234" s="1">
        <f t="shared" si="1659"/>
        <v>0</v>
      </c>
      <c r="N2234" s="1">
        <f t="shared" si="1659"/>
        <v>0</v>
      </c>
      <c r="O2234" s="1">
        <f t="shared" si="1659"/>
        <v>0</v>
      </c>
      <c r="P2234" s="1">
        <f t="shared" si="1659"/>
        <v>0</v>
      </c>
      <c r="Q2234" s="1">
        <f t="shared" si="1659"/>
        <v>0</v>
      </c>
      <c r="R2234" s="1">
        <f t="shared" si="1659"/>
        <v>0</v>
      </c>
      <c r="S2234" s="1">
        <f t="shared" si="1659"/>
        <v>0</v>
      </c>
      <c r="T2234" s="1">
        <f t="shared" si="1659"/>
        <v>0</v>
      </c>
      <c r="U2234" s="1">
        <f t="shared" si="1659"/>
        <v>0</v>
      </c>
      <c r="V2234" s="1">
        <f t="shared" si="1659"/>
        <v>0</v>
      </c>
      <c r="W2234" s="1">
        <f t="shared" si="1659"/>
        <v>0</v>
      </c>
      <c r="X2234" s="1">
        <f t="shared" si="1659"/>
        <v>0</v>
      </c>
    </row>
    <row r="2235" spans="2:24" hidden="1">
      <c r="B2235" s="461" t="s">
        <v>389</v>
      </c>
      <c r="C2235" s="462">
        <v>1</v>
      </c>
      <c r="K2235" s="1">
        <f t="shared" ref="K2235:X2235" si="1660">IF($C2235=1,K41,IF($C2235=2,K42,0))</f>
        <v>0</v>
      </c>
      <c r="L2235" s="1">
        <f t="shared" si="1660"/>
        <v>0</v>
      </c>
      <c r="M2235" s="1">
        <f t="shared" si="1660"/>
        <v>0</v>
      </c>
      <c r="N2235" s="1">
        <f t="shared" si="1660"/>
        <v>0</v>
      </c>
      <c r="O2235" s="1">
        <f t="shared" si="1660"/>
        <v>0</v>
      </c>
      <c r="P2235" s="1">
        <f t="shared" si="1660"/>
        <v>0</v>
      </c>
      <c r="Q2235" s="1">
        <f t="shared" si="1660"/>
        <v>0</v>
      </c>
      <c r="R2235" s="1">
        <f t="shared" si="1660"/>
        <v>0</v>
      </c>
      <c r="S2235" s="1">
        <f t="shared" si="1660"/>
        <v>0</v>
      </c>
      <c r="T2235" s="1">
        <f t="shared" si="1660"/>
        <v>0</v>
      </c>
      <c r="U2235" s="1">
        <f t="shared" si="1660"/>
        <v>0</v>
      </c>
      <c r="V2235" s="1">
        <f t="shared" si="1660"/>
        <v>0</v>
      </c>
      <c r="W2235" s="1">
        <f t="shared" si="1660"/>
        <v>0</v>
      </c>
      <c r="X2235" s="1">
        <f t="shared" si="1660"/>
        <v>0</v>
      </c>
    </row>
    <row r="2236" spans="2:24" hidden="1">
      <c r="B2236" s="461" t="s">
        <v>390</v>
      </c>
      <c r="C2236" s="462">
        <v>1</v>
      </c>
      <c r="K2236" s="1">
        <f t="shared" ref="K2236:X2236" si="1661">IF($C2236=1,K49,IF($C2236=2,K50,0))</f>
        <v>0</v>
      </c>
      <c r="L2236" s="1">
        <f t="shared" si="1661"/>
        <v>0</v>
      </c>
      <c r="M2236" s="1">
        <f t="shared" si="1661"/>
        <v>0</v>
      </c>
      <c r="N2236" s="1">
        <f t="shared" si="1661"/>
        <v>0</v>
      </c>
      <c r="O2236" s="1">
        <f t="shared" si="1661"/>
        <v>0</v>
      </c>
      <c r="P2236" s="1">
        <f t="shared" si="1661"/>
        <v>0</v>
      </c>
      <c r="Q2236" s="1">
        <f t="shared" si="1661"/>
        <v>0</v>
      </c>
      <c r="R2236" s="1">
        <f t="shared" si="1661"/>
        <v>0</v>
      </c>
      <c r="S2236" s="1">
        <f t="shared" si="1661"/>
        <v>0</v>
      </c>
      <c r="T2236" s="1">
        <f t="shared" si="1661"/>
        <v>0</v>
      </c>
      <c r="U2236" s="1">
        <f t="shared" si="1661"/>
        <v>0</v>
      </c>
      <c r="V2236" s="1">
        <f t="shared" si="1661"/>
        <v>0</v>
      </c>
      <c r="W2236" s="1">
        <f t="shared" si="1661"/>
        <v>0</v>
      </c>
      <c r="X2236" s="1">
        <f t="shared" si="1661"/>
        <v>0</v>
      </c>
    </row>
    <row r="2237" spans="2:24" hidden="1">
      <c r="B2237" s="461" t="s">
        <v>391</v>
      </c>
      <c r="C2237" s="462">
        <v>1</v>
      </c>
      <c r="K2237" s="1">
        <f t="shared" ref="K2237:X2237" si="1662">IF($C2237=1,K57,IF($C2237=2,K58,0))</f>
        <v>0</v>
      </c>
      <c r="L2237" s="1">
        <f t="shared" si="1662"/>
        <v>0</v>
      </c>
      <c r="M2237" s="1">
        <f t="shared" si="1662"/>
        <v>0</v>
      </c>
      <c r="N2237" s="1">
        <f t="shared" si="1662"/>
        <v>0</v>
      </c>
      <c r="O2237" s="1">
        <f t="shared" si="1662"/>
        <v>0</v>
      </c>
      <c r="P2237" s="1">
        <f t="shared" si="1662"/>
        <v>0</v>
      </c>
      <c r="Q2237" s="1">
        <f t="shared" si="1662"/>
        <v>0</v>
      </c>
      <c r="R2237" s="1">
        <f t="shared" si="1662"/>
        <v>0</v>
      </c>
      <c r="S2237" s="1">
        <f t="shared" si="1662"/>
        <v>0</v>
      </c>
      <c r="T2237" s="1">
        <f t="shared" si="1662"/>
        <v>0</v>
      </c>
      <c r="U2237" s="1">
        <f t="shared" si="1662"/>
        <v>0</v>
      </c>
      <c r="V2237" s="1">
        <f t="shared" si="1662"/>
        <v>0</v>
      </c>
      <c r="W2237" s="1">
        <f t="shared" si="1662"/>
        <v>0</v>
      </c>
      <c r="X2237" s="1">
        <f t="shared" si="1662"/>
        <v>0</v>
      </c>
    </row>
    <row r="2238" spans="2:24" hidden="1">
      <c r="B2238" s="461" t="s">
        <v>392</v>
      </c>
      <c r="C2238" s="462">
        <v>1</v>
      </c>
      <c r="K2238" s="1">
        <f t="shared" ref="K2238:X2238" si="1663">IF($C2238=1,K65,IF($C2238=2,K66,0))</f>
        <v>0</v>
      </c>
      <c r="L2238" s="1">
        <f t="shared" si="1663"/>
        <v>0</v>
      </c>
      <c r="M2238" s="1">
        <f t="shared" si="1663"/>
        <v>0</v>
      </c>
      <c r="N2238" s="1">
        <f t="shared" si="1663"/>
        <v>0</v>
      </c>
      <c r="O2238" s="1">
        <f t="shared" si="1663"/>
        <v>0</v>
      </c>
      <c r="P2238" s="1">
        <f t="shared" si="1663"/>
        <v>0</v>
      </c>
      <c r="Q2238" s="1">
        <f t="shared" si="1663"/>
        <v>0</v>
      </c>
      <c r="R2238" s="1">
        <f t="shared" si="1663"/>
        <v>0</v>
      </c>
      <c r="S2238" s="1">
        <f t="shared" si="1663"/>
        <v>0</v>
      </c>
      <c r="T2238" s="1">
        <f t="shared" si="1663"/>
        <v>0</v>
      </c>
      <c r="U2238" s="1">
        <f t="shared" si="1663"/>
        <v>0</v>
      </c>
      <c r="V2238" s="1">
        <f t="shared" si="1663"/>
        <v>0</v>
      </c>
      <c r="W2238" s="1">
        <f t="shared" si="1663"/>
        <v>0</v>
      </c>
      <c r="X2238" s="1">
        <f t="shared" si="1663"/>
        <v>0</v>
      </c>
    </row>
    <row r="2239" spans="2:24" hidden="1">
      <c r="B2239" s="461" t="s">
        <v>393</v>
      </c>
      <c r="C2239" s="462">
        <v>1</v>
      </c>
      <c r="K2239" s="1">
        <f t="shared" ref="K2239:X2239" si="1664">IF($C2239=1,K73,IF($C2239=2,K74,0))</f>
        <v>0</v>
      </c>
      <c r="L2239" s="1">
        <f t="shared" si="1664"/>
        <v>0</v>
      </c>
      <c r="M2239" s="1">
        <f t="shared" si="1664"/>
        <v>0</v>
      </c>
      <c r="N2239" s="1">
        <f t="shared" si="1664"/>
        <v>0</v>
      </c>
      <c r="O2239" s="1">
        <f t="shared" si="1664"/>
        <v>0</v>
      </c>
      <c r="P2239" s="1">
        <f t="shared" si="1664"/>
        <v>0</v>
      </c>
      <c r="Q2239" s="1">
        <f t="shared" si="1664"/>
        <v>0</v>
      </c>
      <c r="R2239" s="1">
        <f t="shared" si="1664"/>
        <v>0</v>
      </c>
      <c r="S2239" s="1">
        <f t="shared" si="1664"/>
        <v>0</v>
      </c>
      <c r="T2239" s="1">
        <f t="shared" si="1664"/>
        <v>0</v>
      </c>
      <c r="U2239" s="1">
        <f t="shared" si="1664"/>
        <v>0</v>
      </c>
      <c r="V2239" s="1">
        <f t="shared" si="1664"/>
        <v>0</v>
      </c>
      <c r="W2239" s="1">
        <f t="shared" si="1664"/>
        <v>0</v>
      </c>
      <c r="X2239" s="1">
        <f t="shared" si="1664"/>
        <v>0</v>
      </c>
    </row>
    <row r="2240" spans="2:24" hidden="1">
      <c r="J2240" s="7" t="s">
        <v>335</v>
      </c>
      <c r="K2240" s="7">
        <f>SUM(K2232:K2239)</f>
        <v>0</v>
      </c>
      <c r="L2240" s="7">
        <f t="shared" ref="L2240:X2240" si="1665">SUM(L2232:L2239)</f>
        <v>0</v>
      </c>
      <c r="M2240" s="7">
        <f t="shared" si="1665"/>
        <v>0</v>
      </c>
      <c r="N2240" s="7">
        <f t="shared" si="1665"/>
        <v>0</v>
      </c>
      <c r="O2240" s="7">
        <f t="shared" si="1665"/>
        <v>0</v>
      </c>
      <c r="P2240" s="7">
        <f t="shared" si="1665"/>
        <v>0</v>
      </c>
      <c r="Q2240" s="7">
        <f t="shared" si="1665"/>
        <v>0</v>
      </c>
      <c r="R2240" s="7">
        <f t="shared" si="1665"/>
        <v>0</v>
      </c>
      <c r="S2240" s="7">
        <f t="shared" si="1665"/>
        <v>0</v>
      </c>
      <c r="T2240" s="7">
        <f t="shared" si="1665"/>
        <v>0</v>
      </c>
      <c r="U2240" s="7">
        <f t="shared" si="1665"/>
        <v>0</v>
      </c>
      <c r="V2240" s="7">
        <f t="shared" si="1665"/>
        <v>0</v>
      </c>
      <c r="W2240" s="7">
        <f t="shared" si="1665"/>
        <v>0</v>
      </c>
      <c r="X2240" s="7">
        <f t="shared" si="1665"/>
        <v>0</v>
      </c>
    </row>
    <row r="2243" spans="8:24" hidden="1">
      <c r="J2243" s="1" t="s">
        <v>416</v>
      </c>
    </row>
    <row r="2244" spans="8:24" hidden="1">
      <c r="J2244" s="1" t="s">
        <v>381</v>
      </c>
      <c r="K2244" s="1">
        <f>K2232</f>
        <v>0</v>
      </c>
      <c r="L2244" s="1">
        <f>K2244+L2232</f>
        <v>0</v>
      </c>
      <c r="M2244" s="1">
        <f t="shared" ref="M2244:X2244" si="1666">L2244+M2232</f>
        <v>0</v>
      </c>
      <c r="N2244" s="1">
        <f t="shared" si="1666"/>
        <v>0</v>
      </c>
      <c r="O2244" s="1">
        <f t="shared" si="1666"/>
        <v>0</v>
      </c>
      <c r="P2244" s="1">
        <f t="shared" si="1666"/>
        <v>0</v>
      </c>
      <c r="Q2244" s="1">
        <f t="shared" si="1666"/>
        <v>0</v>
      </c>
      <c r="R2244" s="1">
        <f t="shared" si="1666"/>
        <v>0</v>
      </c>
      <c r="S2244" s="1">
        <f t="shared" si="1666"/>
        <v>0</v>
      </c>
      <c r="T2244" s="1">
        <f t="shared" si="1666"/>
        <v>0</v>
      </c>
      <c r="U2244" s="1">
        <f t="shared" si="1666"/>
        <v>0</v>
      </c>
      <c r="V2244" s="1">
        <f t="shared" si="1666"/>
        <v>0</v>
      </c>
      <c r="W2244" s="1">
        <f t="shared" si="1666"/>
        <v>0</v>
      </c>
      <c r="X2244" s="1">
        <f t="shared" si="1666"/>
        <v>0</v>
      </c>
    </row>
    <row r="2245" spans="8:24" hidden="1">
      <c r="J2245" s="1" t="s">
        <v>387</v>
      </c>
      <c r="K2245" s="1">
        <f t="shared" ref="K2245:K2251" si="1667">K2233</f>
        <v>0</v>
      </c>
      <c r="L2245" s="1">
        <f t="shared" ref="L2245:X2245" si="1668">K2245+L2233</f>
        <v>0</v>
      </c>
      <c r="M2245" s="1">
        <f t="shared" si="1668"/>
        <v>0</v>
      </c>
      <c r="N2245" s="1">
        <f t="shared" si="1668"/>
        <v>0</v>
      </c>
      <c r="O2245" s="1">
        <f t="shared" si="1668"/>
        <v>0</v>
      </c>
      <c r="P2245" s="1">
        <f t="shared" si="1668"/>
        <v>0</v>
      </c>
      <c r="Q2245" s="1">
        <f t="shared" si="1668"/>
        <v>0</v>
      </c>
      <c r="R2245" s="1">
        <f t="shared" si="1668"/>
        <v>0</v>
      </c>
      <c r="S2245" s="1">
        <f t="shared" si="1668"/>
        <v>0</v>
      </c>
      <c r="T2245" s="1">
        <f t="shared" si="1668"/>
        <v>0</v>
      </c>
      <c r="U2245" s="1">
        <f t="shared" si="1668"/>
        <v>0</v>
      </c>
      <c r="V2245" s="1">
        <f t="shared" si="1668"/>
        <v>0</v>
      </c>
      <c r="W2245" s="1">
        <f t="shared" si="1668"/>
        <v>0</v>
      </c>
      <c r="X2245" s="1">
        <f t="shared" si="1668"/>
        <v>0</v>
      </c>
    </row>
    <row r="2246" spans="8:24" hidden="1">
      <c r="J2246" s="1" t="s">
        <v>388</v>
      </c>
      <c r="K2246" s="1">
        <f t="shared" si="1667"/>
        <v>0</v>
      </c>
      <c r="L2246" s="1">
        <f t="shared" ref="L2246:X2246" si="1669">K2246+L2234</f>
        <v>0</v>
      </c>
      <c r="M2246" s="1">
        <f t="shared" si="1669"/>
        <v>0</v>
      </c>
      <c r="N2246" s="1">
        <f t="shared" si="1669"/>
        <v>0</v>
      </c>
      <c r="O2246" s="1">
        <f t="shared" si="1669"/>
        <v>0</v>
      </c>
      <c r="P2246" s="1">
        <f t="shared" si="1669"/>
        <v>0</v>
      </c>
      <c r="Q2246" s="1">
        <f t="shared" si="1669"/>
        <v>0</v>
      </c>
      <c r="R2246" s="1">
        <f t="shared" si="1669"/>
        <v>0</v>
      </c>
      <c r="S2246" s="1">
        <f t="shared" si="1669"/>
        <v>0</v>
      </c>
      <c r="T2246" s="1">
        <f t="shared" si="1669"/>
        <v>0</v>
      </c>
      <c r="U2246" s="1">
        <f t="shared" si="1669"/>
        <v>0</v>
      </c>
      <c r="V2246" s="1">
        <f t="shared" si="1669"/>
        <v>0</v>
      </c>
      <c r="W2246" s="1">
        <f t="shared" si="1669"/>
        <v>0</v>
      </c>
      <c r="X2246" s="1">
        <f t="shared" si="1669"/>
        <v>0</v>
      </c>
    </row>
    <row r="2247" spans="8:24" hidden="1">
      <c r="J2247" s="1" t="s">
        <v>389</v>
      </c>
      <c r="K2247" s="1">
        <f t="shared" si="1667"/>
        <v>0</v>
      </c>
      <c r="L2247" s="1">
        <f t="shared" ref="L2247:X2247" si="1670">K2247+L2235</f>
        <v>0</v>
      </c>
      <c r="M2247" s="1">
        <f t="shared" si="1670"/>
        <v>0</v>
      </c>
      <c r="N2247" s="1">
        <f t="shared" si="1670"/>
        <v>0</v>
      </c>
      <c r="O2247" s="1">
        <f t="shared" si="1670"/>
        <v>0</v>
      </c>
      <c r="P2247" s="1">
        <f t="shared" si="1670"/>
        <v>0</v>
      </c>
      <c r="Q2247" s="1">
        <f t="shared" si="1670"/>
        <v>0</v>
      </c>
      <c r="R2247" s="1">
        <f t="shared" si="1670"/>
        <v>0</v>
      </c>
      <c r="S2247" s="1">
        <f t="shared" si="1670"/>
        <v>0</v>
      </c>
      <c r="T2247" s="1">
        <f t="shared" si="1670"/>
        <v>0</v>
      </c>
      <c r="U2247" s="1">
        <f t="shared" si="1670"/>
        <v>0</v>
      </c>
      <c r="V2247" s="1">
        <f t="shared" si="1670"/>
        <v>0</v>
      </c>
      <c r="W2247" s="1">
        <f t="shared" si="1670"/>
        <v>0</v>
      </c>
      <c r="X2247" s="1">
        <f t="shared" si="1670"/>
        <v>0</v>
      </c>
    </row>
    <row r="2248" spans="8:24" hidden="1">
      <c r="J2248" s="1" t="s">
        <v>390</v>
      </c>
      <c r="K2248" s="1">
        <f t="shared" si="1667"/>
        <v>0</v>
      </c>
      <c r="L2248" s="1">
        <f t="shared" ref="L2248:X2248" si="1671">K2248+L2236</f>
        <v>0</v>
      </c>
      <c r="M2248" s="1">
        <f t="shared" si="1671"/>
        <v>0</v>
      </c>
      <c r="N2248" s="1">
        <f t="shared" si="1671"/>
        <v>0</v>
      </c>
      <c r="O2248" s="1">
        <f t="shared" si="1671"/>
        <v>0</v>
      </c>
      <c r="P2248" s="1">
        <f t="shared" si="1671"/>
        <v>0</v>
      </c>
      <c r="Q2248" s="1">
        <f t="shared" si="1671"/>
        <v>0</v>
      </c>
      <c r="R2248" s="1">
        <f t="shared" si="1671"/>
        <v>0</v>
      </c>
      <c r="S2248" s="1">
        <f t="shared" si="1671"/>
        <v>0</v>
      </c>
      <c r="T2248" s="1">
        <f t="shared" si="1671"/>
        <v>0</v>
      </c>
      <c r="U2248" s="1">
        <f t="shared" si="1671"/>
        <v>0</v>
      </c>
      <c r="V2248" s="1">
        <f t="shared" si="1671"/>
        <v>0</v>
      </c>
      <c r="W2248" s="1">
        <f t="shared" si="1671"/>
        <v>0</v>
      </c>
      <c r="X2248" s="1">
        <f t="shared" si="1671"/>
        <v>0</v>
      </c>
    </row>
    <row r="2249" spans="8:24" hidden="1">
      <c r="J2249" s="1" t="s">
        <v>391</v>
      </c>
      <c r="K2249" s="1">
        <f t="shared" si="1667"/>
        <v>0</v>
      </c>
      <c r="L2249" s="1">
        <f t="shared" ref="L2249:X2249" si="1672">K2249+L2237</f>
        <v>0</v>
      </c>
      <c r="M2249" s="1">
        <f t="shared" si="1672"/>
        <v>0</v>
      </c>
      <c r="N2249" s="1">
        <f t="shared" si="1672"/>
        <v>0</v>
      </c>
      <c r="O2249" s="1">
        <f t="shared" si="1672"/>
        <v>0</v>
      </c>
      <c r="P2249" s="1">
        <f t="shared" si="1672"/>
        <v>0</v>
      </c>
      <c r="Q2249" s="1">
        <f t="shared" si="1672"/>
        <v>0</v>
      </c>
      <c r="R2249" s="1">
        <f t="shared" si="1672"/>
        <v>0</v>
      </c>
      <c r="S2249" s="1">
        <f t="shared" si="1672"/>
        <v>0</v>
      </c>
      <c r="T2249" s="1">
        <f t="shared" si="1672"/>
        <v>0</v>
      </c>
      <c r="U2249" s="1">
        <f t="shared" si="1672"/>
        <v>0</v>
      </c>
      <c r="V2249" s="1">
        <f t="shared" si="1672"/>
        <v>0</v>
      </c>
      <c r="W2249" s="1">
        <f t="shared" si="1672"/>
        <v>0</v>
      </c>
      <c r="X2249" s="1">
        <f t="shared" si="1672"/>
        <v>0</v>
      </c>
    </row>
    <row r="2250" spans="8:24" hidden="1">
      <c r="J2250" s="1" t="s">
        <v>392</v>
      </c>
      <c r="K2250" s="1">
        <f t="shared" si="1667"/>
        <v>0</v>
      </c>
      <c r="L2250" s="1">
        <f t="shared" ref="L2250:X2250" si="1673">K2250+L2238</f>
        <v>0</v>
      </c>
      <c r="M2250" s="1">
        <f t="shared" si="1673"/>
        <v>0</v>
      </c>
      <c r="N2250" s="1">
        <f t="shared" si="1673"/>
        <v>0</v>
      </c>
      <c r="O2250" s="1">
        <f t="shared" si="1673"/>
        <v>0</v>
      </c>
      <c r="P2250" s="1">
        <f t="shared" si="1673"/>
        <v>0</v>
      </c>
      <c r="Q2250" s="1">
        <f t="shared" si="1673"/>
        <v>0</v>
      </c>
      <c r="R2250" s="1">
        <f t="shared" si="1673"/>
        <v>0</v>
      </c>
      <c r="S2250" s="1">
        <f t="shared" si="1673"/>
        <v>0</v>
      </c>
      <c r="T2250" s="1">
        <f t="shared" si="1673"/>
        <v>0</v>
      </c>
      <c r="U2250" s="1">
        <f t="shared" si="1673"/>
        <v>0</v>
      </c>
      <c r="V2250" s="1">
        <f t="shared" si="1673"/>
        <v>0</v>
      </c>
      <c r="W2250" s="1">
        <f t="shared" si="1673"/>
        <v>0</v>
      </c>
      <c r="X2250" s="1">
        <f t="shared" si="1673"/>
        <v>0</v>
      </c>
    </row>
    <row r="2251" spans="8:24" hidden="1">
      <c r="J2251" s="1" t="s">
        <v>393</v>
      </c>
      <c r="K2251" s="1">
        <f t="shared" si="1667"/>
        <v>0</v>
      </c>
      <c r="L2251" s="1">
        <f t="shared" ref="L2251:X2251" si="1674">K2251+L2239</f>
        <v>0</v>
      </c>
      <c r="M2251" s="1">
        <f t="shared" si="1674"/>
        <v>0</v>
      </c>
      <c r="N2251" s="1">
        <f t="shared" si="1674"/>
        <v>0</v>
      </c>
      <c r="O2251" s="1">
        <f t="shared" si="1674"/>
        <v>0</v>
      </c>
      <c r="P2251" s="1">
        <f t="shared" si="1674"/>
        <v>0</v>
      </c>
      <c r="Q2251" s="1">
        <f t="shared" si="1674"/>
        <v>0</v>
      </c>
      <c r="R2251" s="1">
        <f t="shared" si="1674"/>
        <v>0</v>
      </c>
      <c r="S2251" s="1">
        <f t="shared" si="1674"/>
        <v>0</v>
      </c>
      <c r="T2251" s="1">
        <f t="shared" si="1674"/>
        <v>0</v>
      </c>
      <c r="U2251" s="1">
        <f t="shared" si="1674"/>
        <v>0</v>
      </c>
      <c r="V2251" s="1">
        <f t="shared" si="1674"/>
        <v>0</v>
      </c>
      <c r="W2251" s="1">
        <f t="shared" si="1674"/>
        <v>0</v>
      </c>
      <c r="X2251" s="1">
        <f t="shared" si="1674"/>
        <v>0</v>
      </c>
    </row>
    <row r="2252" spans="8:24" hidden="1">
      <c r="J2252" s="7" t="s">
        <v>335</v>
      </c>
      <c r="K2252" s="7">
        <f>SUM(K2244:K2251)</f>
        <v>0</v>
      </c>
      <c r="L2252" s="7">
        <f t="shared" ref="L2252:X2252" si="1675">SUM(L2244:L2251)</f>
        <v>0</v>
      </c>
      <c r="M2252" s="7">
        <f t="shared" si="1675"/>
        <v>0</v>
      </c>
      <c r="N2252" s="7">
        <f t="shared" si="1675"/>
        <v>0</v>
      </c>
      <c r="O2252" s="7">
        <f t="shared" si="1675"/>
        <v>0</v>
      </c>
      <c r="P2252" s="7">
        <f t="shared" si="1675"/>
        <v>0</v>
      </c>
      <c r="Q2252" s="7">
        <f t="shared" si="1675"/>
        <v>0</v>
      </c>
      <c r="R2252" s="7">
        <f t="shared" si="1675"/>
        <v>0</v>
      </c>
      <c r="S2252" s="7">
        <f t="shared" si="1675"/>
        <v>0</v>
      </c>
      <c r="T2252" s="7">
        <f t="shared" si="1675"/>
        <v>0</v>
      </c>
      <c r="U2252" s="7">
        <f t="shared" si="1675"/>
        <v>0</v>
      </c>
      <c r="V2252" s="7">
        <f t="shared" si="1675"/>
        <v>0</v>
      </c>
      <c r="W2252" s="7">
        <f t="shared" si="1675"/>
        <v>0</v>
      </c>
      <c r="X2252" s="7">
        <f t="shared" si="1675"/>
        <v>0</v>
      </c>
    </row>
    <row r="2255" spans="8:24" hidden="1">
      <c r="J2255" s="1" t="s">
        <v>747</v>
      </c>
    </row>
    <row r="2256" spans="8:24" hidden="1">
      <c r="H2256" s="1" t="s">
        <v>381</v>
      </c>
      <c r="I2256" s="1">
        <v>0</v>
      </c>
      <c r="J2256" s="5">
        <f ca="1">OFFSET($J$15,I2256,0)</f>
        <v>0</v>
      </c>
      <c r="K2256" s="5">
        <f ca="1">$J2256-K2244</f>
        <v>0</v>
      </c>
      <c r="L2256" s="5">
        <f t="shared" ref="L2256:X2256" ca="1" si="1676">$J2256-L2244</f>
        <v>0</v>
      </c>
      <c r="M2256" s="5">
        <f t="shared" ca="1" si="1676"/>
        <v>0</v>
      </c>
      <c r="N2256" s="5">
        <f t="shared" ca="1" si="1676"/>
        <v>0</v>
      </c>
      <c r="O2256" s="5">
        <f t="shared" ca="1" si="1676"/>
        <v>0</v>
      </c>
      <c r="P2256" s="5">
        <f t="shared" ca="1" si="1676"/>
        <v>0</v>
      </c>
      <c r="Q2256" s="5">
        <f t="shared" ca="1" si="1676"/>
        <v>0</v>
      </c>
      <c r="R2256" s="5">
        <f t="shared" ca="1" si="1676"/>
        <v>0</v>
      </c>
      <c r="S2256" s="5">
        <f t="shared" ca="1" si="1676"/>
        <v>0</v>
      </c>
      <c r="T2256" s="5">
        <f t="shared" ca="1" si="1676"/>
        <v>0</v>
      </c>
      <c r="U2256" s="5">
        <f t="shared" ca="1" si="1676"/>
        <v>0</v>
      </c>
      <c r="V2256" s="5">
        <f t="shared" ca="1" si="1676"/>
        <v>0</v>
      </c>
      <c r="W2256" s="5">
        <f t="shared" ca="1" si="1676"/>
        <v>0</v>
      </c>
      <c r="X2256" s="5">
        <f t="shared" ca="1" si="1676"/>
        <v>0</v>
      </c>
    </row>
    <row r="2257" spans="8:24" hidden="1">
      <c r="H2257" s="1" t="s">
        <v>387</v>
      </c>
      <c r="I2257" s="1">
        <f t="shared" ref="I2257:I2263" si="1677">I2256+8</f>
        <v>8</v>
      </c>
      <c r="J2257" s="5">
        <f t="shared" ref="J2257:J2263" ca="1" si="1678">OFFSET($J$15,I2257,0)</f>
        <v>0</v>
      </c>
      <c r="K2257" s="5">
        <f t="shared" ref="K2257:X2263" ca="1" si="1679">$J2257-K2245</f>
        <v>0</v>
      </c>
      <c r="L2257" s="5">
        <f t="shared" ca="1" si="1679"/>
        <v>0</v>
      </c>
      <c r="M2257" s="5">
        <f t="shared" ca="1" si="1679"/>
        <v>0</v>
      </c>
      <c r="N2257" s="5">
        <f t="shared" ca="1" si="1679"/>
        <v>0</v>
      </c>
      <c r="O2257" s="5">
        <f t="shared" ca="1" si="1679"/>
        <v>0</v>
      </c>
      <c r="P2257" s="5">
        <f t="shared" ca="1" si="1679"/>
        <v>0</v>
      </c>
      <c r="Q2257" s="5">
        <f t="shared" ca="1" si="1679"/>
        <v>0</v>
      </c>
      <c r="R2257" s="5">
        <f t="shared" ca="1" si="1679"/>
        <v>0</v>
      </c>
      <c r="S2257" s="5">
        <f t="shared" ca="1" si="1679"/>
        <v>0</v>
      </c>
      <c r="T2257" s="5">
        <f t="shared" ca="1" si="1679"/>
        <v>0</v>
      </c>
      <c r="U2257" s="5">
        <f t="shared" ca="1" si="1679"/>
        <v>0</v>
      </c>
      <c r="V2257" s="5">
        <f t="shared" ca="1" si="1679"/>
        <v>0</v>
      </c>
      <c r="W2257" s="5">
        <f t="shared" ca="1" si="1679"/>
        <v>0</v>
      </c>
      <c r="X2257" s="5">
        <f t="shared" ca="1" si="1679"/>
        <v>0</v>
      </c>
    </row>
    <row r="2258" spans="8:24" hidden="1">
      <c r="H2258" s="1" t="s">
        <v>388</v>
      </c>
      <c r="I2258" s="1">
        <f t="shared" si="1677"/>
        <v>16</v>
      </c>
      <c r="J2258" s="5">
        <f t="shared" ca="1" si="1678"/>
        <v>0</v>
      </c>
      <c r="K2258" s="5">
        <f t="shared" ca="1" si="1679"/>
        <v>0</v>
      </c>
      <c r="L2258" s="5">
        <f t="shared" ca="1" si="1679"/>
        <v>0</v>
      </c>
      <c r="M2258" s="5">
        <f t="shared" ca="1" si="1679"/>
        <v>0</v>
      </c>
      <c r="N2258" s="5">
        <f t="shared" ca="1" si="1679"/>
        <v>0</v>
      </c>
      <c r="O2258" s="5">
        <f t="shared" ca="1" si="1679"/>
        <v>0</v>
      </c>
      <c r="P2258" s="5">
        <f t="shared" ca="1" si="1679"/>
        <v>0</v>
      </c>
      <c r="Q2258" s="5">
        <f t="shared" ca="1" si="1679"/>
        <v>0</v>
      </c>
      <c r="R2258" s="5">
        <f t="shared" ca="1" si="1679"/>
        <v>0</v>
      </c>
      <c r="S2258" s="5">
        <f t="shared" ca="1" si="1679"/>
        <v>0</v>
      </c>
      <c r="T2258" s="5">
        <f t="shared" ca="1" si="1679"/>
        <v>0</v>
      </c>
      <c r="U2258" s="5">
        <f t="shared" ca="1" si="1679"/>
        <v>0</v>
      </c>
      <c r="V2258" s="5">
        <f t="shared" ca="1" si="1679"/>
        <v>0</v>
      </c>
      <c r="W2258" s="5">
        <f t="shared" ca="1" si="1679"/>
        <v>0</v>
      </c>
      <c r="X2258" s="5">
        <f t="shared" ca="1" si="1679"/>
        <v>0</v>
      </c>
    </row>
    <row r="2259" spans="8:24" hidden="1">
      <c r="H2259" s="1" t="s">
        <v>389</v>
      </c>
      <c r="I2259" s="1">
        <f t="shared" si="1677"/>
        <v>24</v>
      </c>
      <c r="J2259" s="5">
        <f t="shared" ca="1" si="1678"/>
        <v>0</v>
      </c>
      <c r="K2259" s="5">
        <f t="shared" ca="1" si="1679"/>
        <v>0</v>
      </c>
      <c r="L2259" s="5">
        <f t="shared" ca="1" si="1679"/>
        <v>0</v>
      </c>
      <c r="M2259" s="5">
        <f t="shared" ca="1" si="1679"/>
        <v>0</v>
      </c>
      <c r="N2259" s="5">
        <f t="shared" ca="1" si="1679"/>
        <v>0</v>
      </c>
      <c r="O2259" s="5">
        <f t="shared" ca="1" si="1679"/>
        <v>0</v>
      </c>
      <c r="P2259" s="5">
        <f t="shared" ca="1" si="1679"/>
        <v>0</v>
      </c>
      <c r="Q2259" s="5">
        <f t="shared" ca="1" si="1679"/>
        <v>0</v>
      </c>
      <c r="R2259" s="5">
        <f t="shared" ca="1" si="1679"/>
        <v>0</v>
      </c>
      <c r="S2259" s="5">
        <f t="shared" ca="1" si="1679"/>
        <v>0</v>
      </c>
      <c r="T2259" s="5">
        <f t="shared" ca="1" si="1679"/>
        <v>0</v>
      </c>
      <c r="U2259" s="5">
        <f t="shared" ca="1" si="1679"/>
        <v>0</v>
      </c>
      <c r="V2259" s="5">
        <f t="shared" ca="1" si="1679"/>
        <v>0</v>
      </c>
      <c r="W2259" s="5">
        <f t="shared" ca="1" si="1679"/>
        <v>0</v>
      </c>
      <c r="X2259" s="5">
        <f t="shared" ca="1" si="1679"/>
        <v>0</v>
      </c>
    </row>
    <row r="2260" spans="8:24" hidden="1">
      <c r="H2260" s="1" t="s">
        <v>390</v>
      </c>
      <c r="I2260" s="1">
        <f t="shared" si="1677"/>
        <v>32</v>
      </c>
      <c r="J2260" s="5">
        <f t="shared" ca="1" si="1678"/>
        <v>0</v>
      </c>
      <c r="K2260" s="5">
        <f t="shared" ca="1" si="1679"/>
        <v>0</v>
      </c>
      <c r="L2260" s="5">
        <f t="shared" ca="1" si="1679"/>
        <v>0</v>
      </c>
      <c r="M2260" s="5">
        <f t="shared" ca="1" si="1679"/>
        <v>0</v>
      </c>
      <c r="N2260" s="5">
        <f t="shared" ca="1" si="1679"/>
        <v>0</v>
      </c>
      <c r="O2260" s="5">
        <f t="shared" ca="1" si="1679"/>
        <v>0</v>
      </c>
      <c r="P2260" s="5">
        <f t="shared" ca="1" si="1679"/>
        <v>0</v>
      </c>
      <c r="Q2260" s="5">
        <f t="shared" ca="1" si="1679"/>
        <v>0</v>
      </c>
      <c r="R2260" s="5">
        <f t="shared" ca="1" si="1679"/>
        <v>0</v>
      </c>
      <c r="S2260" s="5">
        <f t="shared" ca="1" si="1679"/>
        <v>0</v>
      </c>
      <c r="T2260" s="5">
        <f t="shared" ca="1" si="1679"/>
        <v>0</v>
      </c>
      <c r="U2260" s="5">
        <f t="shared" ca="1" si="1679"/>
        <v>0</v>
      </c>
      <c r="V2260" s="5">
        <f t="shared" ca="1" si="1679"/>
        <v>0</v>
      </c>
      <c r="W2260" s="5">
        <f t="shared" ca="1" si="1679"/>
        <v>0</v>
      </c>
      <c r="X2260" s="5">
        <f t="shared" ca="1" si="1679"/>
        <v>0</v>
      </c>
    </row>
    <row r="2261" spans="8:24" hidden="1">
      <c r="H2261" s="1" t="s">
        <v>391</v>
      </c>
      <c r="I2261" s="1">
        <f t="shared" si="1677"/>
        <v>40</v>
      </c>
      <c r="J2261" s="5">
        <f t="shared" ca="1" si="1678"/>
        <v>0</v>
      </c>
      <c r="K2261" s="5">
        <f t="shared" ca="1" si="1679"/>
        <v>0</v>
      </c>
      <c r="L2261" s="5">
        <f t="shared" ca="1" si="1679"/>
        <v>0</v>
      </c>
      <c r="M2261" s="5">
        <f t="shared" ca="1" si="1679"/>
        <v>0</v>
      </c>
      <c r="N2261" s="5">
        <f t="shared" ca="1" si="1679"/>
        <v>0</v>
      </c>
      <c r="O2261" s="5">
        <f t="shared" ca="1" si="1679"/>
        <v>0</v>
      </c>
      <c r="P2261" s="5">
        <f t="shared" ca="1" si="1679"/>
        <v>0</v>
      </c>
      <c r="Q2261" s="5">
        <f t="shared" ca="1" si="1679"/>
        <v>0</v>
      </c>
      <c r="R2261" s="5">
        <f t="shared" ca="1" si="1679"/>
        <v>0</v>
      </c>
      <c r="S2261" s="5">
        <f t="shared" ca="1" si="1679"/>
        <v>0</v>
      </c>
      <c r="T2261" s="5">
        <f t="shared" ca="1" si="1679"/>
        <v>0</v>
      </c>
      <c r="U2261" s="5">
        <f t="shared" ca="1" si="1679"/>
        <v>0</v>
      </c>
      <c r="V2261" s="5">
        <f t="shared" ca="1" si="1679"/>
        <v>0</v>
      </c>
      <c r="W2261" s="5">
        <f t="shared" ca="1" si="1679"/>
        <v>0</v>
      </c>
      <c r="X2261" s="5">
        <f t="shared" ca="1" si="1679"/>
        <v>0</v>
      </c>
    </row>
    <row r="2262" spans="8:24" hidden="1">
      <c r="H2262" s="1" t="s">
        <v>392</v>
      </c>
      <c r="I2262" s="1">
        <f t="shared" si="1677"/>
        <v>48</v>
      </c>
      <c r="J2262" s="5">
        <f t="shared" ca="1" si="1678"/>
        <v>0</v>
      </c>
      <c r="K2262" s="5">
        <f t="shared" ca="1" si="1679"/>
        <v>0</v>
      </c>
      <c r="L2262" s="5">
        <f t="shared" ca="1" si="1679"/>
        <v>0</v>
      </c>
      <c r="M2262" s="5">
        <f t="shared" ca="1" si="1679"/>
        <v>0</v>
      </c>
      <c r="N2262" s="5">
        <f t="shared" ca="1" si="1679"/>
        <v>0</v>
      </c>
      <c r="O2262" s="5">
        <f t="shared" ca="1" si="1679"/>
        <v>0</v>
      </c>
      <c r="P2262" s="5">
        <f t="shared" ca="1" si="1679"/>
        <v>0</v>
      </c>
      <c r="Q2262" s="5">
        <f t="shared" ca="1" si="1679"/>
        <v>0</v>
      </c>
      <c r="R2262" s="5">
        <f t="shared" ca="1" si="1679"/>
        <v>0</v>
      </c>
      <c r="S2262" s="5">
        <f t="shared" ca="1" si="1679"/>
        <v>0</v>
      </c>
      <c r="T2262" s="5">
        <f t="shared" ca="1" si="1679"/>
        <v>0</v>
      </c>
      <c r="U2262" s="5">
        <f t="shared" ca="1" si="1679"/>
        <v>0</v>
      </c>
      <c r="V2262" s="5">
        <f t="shared" ca="1" si="1679"/>
        <v>0</v>
      </c>
      <c r="W2262" s="5">
        <f t="shared" ca="1" si="1679"/>
        <v>0</v>
      </c>
      <c r="X2262" s="5">
        <f t="shared" ca="1" si="1679"/>
        <v>0</v>
      </c>
    </row>
    <row r="2263" spans="8:24" hidden="1">
      <c r="H2263" s="1" t="s">
        <v>393</v>
      </c>
      <c r="I2263" s="1">
        <f t="shared" si="1677"/>
        <v>56</v>
      </c>
      <c r="J2263" s="5">
        <f t="shared" ca="1" si="1678"/>
        <v>0</v>
      </c>
      <c r="K2263" s="5">
        <f t="shared" ca="1" si="1679"/>
        <v>0</v>
      </c>
      <c r="L2263" s="5">
        <f t="shared" ca="1" si="1679"/>
        <v>0</v>
      </c>
      <c r="M2263" s="5">
        <f t="shared" ca="1" si="1679"/>
        <v>0</v>
      </c>
      <c r="N2263" s="5">
        <f t="shared" ca="1" si="1679"/>
        <v>0</v>
      </c>
      <c r="O2263" s="5">
        <f t="shared" ca="1" si="1679"/>
        <v>0</v>
      </c>
      <c r="P2263" s="5">
        <f t="shared" ca="1" si="1679"/>
        <v>0</v>
      </c>
      <c r="Q2263" s="5">
        <f t="shared" ca="1" si="1679"/>
        <v>0</v>
      </c>
      <c r="R2263" s="5">
        <f t="shared" ca="1" si="1679"/>
        <v>0</v>
      </c>
      <c r="S2263" s="5">
        <f t="shared" ca="1" si="1679"/>
        <v>0</v>
      </c>
      <c r="T2263" s="5">
        <f t="shared" ca="1" si="1679"/>
        <v>0</v>
      </c>
      <c r="U2263" s="5">
        <f t="shared" ca="1" si="1679"/>
        <v>0</v>
      </c>
      <c r="V2263" s="5">
        <f t="shared" ca="1" si="1679"/>
        <v>0</v>
      </c>
      <c r="W2263" s="5">
        <f t="shared" ca="1" si="1679"/>
        <v>0</v>
      </c>
      <c r="X2263" s="5">
        <f t="shared" ca="1" si="1679"/>
        <v>0</v>
      </c>
    </row>
    <row r="2264" spans="8:24" hidden="1">
      <c r="J2264" s="7" t="s">
        <v>335</v>
      </c>
      <c r="K2264" s="7">
        <f ca="1">SUM(K2256:K2263)</f>
        <v>0</v>
      </c>
      <c r="L2264" s="7">
        <f t="shared" ref="L2264:X2264" ca="1" si="1680">SUM(L2256:L2263)</f>
        <v>0</v>
      </c>
      <c r="M2264" s="7">
        <f t="shared" ca="1" si="1680"/>
        <v>0</v>
      </c>
      <c r="N2264" s="7">
        <f t="shared" ca="1" si="1680"/>
        <v>0</v>
      </c>
      <c r="O2264" s="7">
        <f t="shared" ca="1" si="1680"/>
        <v>0</v>
      </c>
      <c r="P2264" s="7">
        <f t="shared" ca="1" si="1680"/>
        <v>0</v>
      </c>
      <c r="Q2264" s="7">
        <f t="shared" ca="1" si="1680"/>
        <v>0</v>
      </c>
      <c r="R2264" s="7">
        <f t="shared" ca="1" si="1680"/>
        <v>0</v>
      </c>
      <c r="S2264" s="7">
        <f t="shared" ca="1" si="1680"/>
        <v>0</v>
      </c>
      <c r="T2264" s="7">
        <f t="shared" ca="1" si="1680"/>
        <v>0</v>
      </c>
      <c r="U2264" s="7">
        <f t="shared" ca="1" si="1680"/>
        <v>0</v>
      </c>
      <c r="V2264" s="7">
        <f t="shared" ca="1" si="1680"/>
        <v>0</v>
      </c>
      <c r="W2264" s="7">
        <f t="shared" ca="1" si="1680"/>
        <v>0</v>
      </c>
      <c r="X2264" s="7">
        <f t="shared" ca="1" si="1680"/>
        <v>0</v>
      </c>
    </row>
  </sheetData>
  <sheetProtection algorithmName="SHA-512" hashValue="LeUzaao71nVYt/q7idHhaIhUDB2EAOQkPzTwpOR3SWh5uf9kkQtGHxTc4k2E2iCDNrn2Ggzet3e1qOLcEyoleA==" saltValue="OfR/eTpHpsaKe1jfMtQH6g==" spinCount="100000" sheet="1" objects="1" scenarios="1"/>
  <mergeCells count="17">
    <mergeCell ref="K390:X390"/>
    <mergeCell ref="K515:X515"/>
    <mergeCell ref="K601:X601"/>
    <mergeCell ref="B2:G3"/>
    <mergeCell ref="K289:X289"/>
    <mergeCell ref="K336:X336"/>
    <mergeCell ref="K373:X373"/>
    <mergeCell ref="K306:X306"/>
    <mergeCell ref="K343:X343"/>
    <mergeCell ref="K222:X222"/>
    <mergeCell ref="K244:X244"/>
    <mergeCell ref="K701:X701"/>
    <mergeCell ref="K743:X743"/>
    <mergeCell ref="K643:X643"/>
    <mergeCell ref="K468:X468"/>
    <mergeCell ref="K589:X589"/>
    <mergeCell ref="K631:X631"/>
  </mergeCells>
  <phoneticPr fontId="58" type="noConversion"/>
  <conditionalFormatting sqref="B363:B367">
    <cfRule type="containsText" dxfId="609" priority="412" operator="containsText" text="zrealizowane">
      <formula>NOT(ISERROR(SEARCH("zrealizowane",B363)))</formula>
    </cfRule>
  </conditionalFormatting>
  <conditionalFormatting sqref="D363:D367">
    <cfRule type="cellIs" dxfId="608" priority="411" operator="equal">
      <formula>0</formula>
    </cfRule>
  </conditionalFormatting>
  <conditionalFormatting sqref="F195:F196">
    <cfRule type="cellIs" dxfId="607" priority="399" operator="equal">
      <formula>0</formula>
    </cfRule>
  </conditionalFormatting>
  <conditionalFormatting sqref="D458:D462">
    <cfRule type="cellIs" dxfId="606" priority="380" operator="equal">
      <formula>0</formula>
    </cfRule>
  </conditionalFormatting>
  <conditionalFormatting sqref="B458:C462">
    <cfRule type="containsText" dxfId="605" priority="381" operator="containsText" text="zrealizowane">
      <formula>NOT(ISERROR(SEARCH("zrealizowane",B458)))</formula>
    </cfRule>
  </conditionalFormatting>
  <conditionalFormatting sqref="B290:C304">
    <cfRule type="expression" dxfId="604" priority="375">
      <formula>OR($F269="nie",AND($F269="tak",$G269="nie"))</formula>
    </cfRule>
  </conditionalFormatting>
  <conditionalFormatting sqref="J269:J283">
    <cfRule type="containsText" dxfId="603" priority="365" operator="containsText" text="wstaw dane">
      <formula>NOT(ISERROR(SEARCH("wstaw dane",J269)))</formula>
    </cfRule>
    <cfRule type="containsText" dxfId="602" priority="370" operator="containsText" text="ok">
      <formula>NOT(ISERROR(SEARCH("ok",J269)))</formula>
    </cfRule>
  </conditionalFormatting>
  <conditionalFormatting sqref="J290:J304">
    <cfRule type="containsText" dxfId="601" priority="368" operator="containsText" text="ok">
      <formula>NOT(ISERROR(SEARCH("ok",J290)))</formula>
    </cfRule>
  </conditionalFormatting>
  <conditionalFormatting sqref="G271:G283">
    <cfRule type="expression" dxfId="600" priority="367">
      <formula>AND($F271="nie",$G271="tak")</formula>
    </cfRule>
  </conditionalFormatting>
  <conditionalFormatting sqref="J326:J330">
    <cfRule type="containsText" dxfId="599" priority="357" operator="containsText" text="wstaw dane">
      <formula>NOT(ISERROR(SEARCH("wstaw dane",J326)))</formula>
    </cfRule>
    <cfRule type="containsText" dxfId="598" priority="360" operator="containsText" text="ok">
      <formula>NOT(ISERROR(SEARCH("ok",J326)))</formula>
    </cfRule>
  </conditionalFormatting>
  <conditionalFormatting sqref="G326:G330">
    <cfRule type="expression" dxfId="597" priority="359">
      <formula>AND($F326="nie",$G326="tak")</formula>
    </cfRule>
  </conditionalFormatting>
  <conditionalFormatting sqref="B337:C341">
    <cfRule type="expression" dxfId="596" priority="354">
      <formula>OR($F326="nie",AND($F326="tak",$G326="nie"))</formula>
    </cfRule>
  </conditionalFormatting>
  <conditionalFormatting sqref="J337:J341">
    <cfRule type="containsText" dxfId="595" priority="353" operator="containsText" text="ok">
      <formula>NOT(ISERROR(SEARCH("ok",J337)))</formula>
    </cfRule>
  </conditionalFormatting>
  <conditionalFormatting sqref="B374:C388">
    <cfRule type="expression" dxfId="594" priority="348">
      <formula>OR($F353="nie",AND($F353="tak",$G353="nie"))</formula>
    </cfRule>
  </conditionalFormatting>
  <conditionalFormatting sqref="J374:J388">
    <cfRule type="containsText" dxfId="593" priority="347" operator="containsText" text="ok">
      <formula>NOT(ISERROR(SEARCH("ok",J374)))</formula>
    </cfRule>
  </conditionalFormatting>
  <conditionalFormatting sqref="J363:J367">
    <cfRule type="containsText" dxfId="592" priority="341" operator="containsText" text="wstaw dane">
      <formula>NOT(ISERROR(SEARCH("wstaw dane",J363)))</formula>
    </cfRule>
    <cfRule type="containsText" dxfId="591" priority="344" operator="containsText" text="ok">
      <formula>NOT(ISERROR(SEARCH("ok",J363)))</formula>
    </cfRule>
  </conditionalFormatting>
  <conditionalFormatting sqref="J353">
    <cfRule type="containsText" dxfId="590" priority="335" operator="containsText" text="wstaw dane">
      <formula>NOT(ISERROR(SEARCH("wstaw dane",J353)))</formula>
    </cfRule>
    <cfRule type="containsText" dxfId="589" priority="338" operator="containsText" text="ok">
      <formula>NOT(ISERROR(SEARCH("ok",J353)))</formula>
    </cfRule>
  </conditionalFormatting>
  <conditionalFormatting sqref="J354:J362">
    <cfRule type="containsText" dxfId="588" priority="329" operator="containsText" text="wstaw dane">
      <formula>NOT(ISERROR(SEARCH("wstaw dane",J354)))</formula>
    </cfRule>
    <cfRule type="containsText" dxfId="587" priority="332" operator="containsText" text="ok">
      <formula>NOT(ISERROR(SEARCH("ok",J354)))</formula>
    </cfRule>
  </conditionalFormatting>
  <conditionalFormatting sqref="G354:G362">
    <cfRule type="expression" dxfId="586" priority="331">
      <formula>AND($F354="nie",$G354="tak")</formula>
    </cfRule>
  </conditionalFormatting>
  <conditionalFormatting sqref="J409">
    <cfRule type="containsText" dxfId="585" priority="323" operator="containsText" text="wstaw dane">
      <formula>NOT(ISERROR(SEARCH("wstaw dane",J409)))</formula>
    </cfRule>
    <cfRule type="containsText" dxfId="584" priority="326" operator="containsText" text="ok">
      <formula>NOT(ISERROR(SEARCH("ok",J409)))</formula>
    </cfRule>
  </conditionalFormatting>
  <conditionalFormatting sqref="G409">
    <cfRule type="expression" dxfId="583" priority="325">
      <formula>AND($F409="nie",$G409="tak")</formula>
    </cfRule>
  </conditionalFormatting>
  <conditionalFormatting sqref="J410:J413">
    <cfRule type="containsText" dxfId="582" priority="317" operator="containsText" text="wstaw dane">
      <formula>NOT(ISERROR(SEARCH("wstaw dane",J410)))</formula>
    </cfRule>
    <cfRule type="containsText" dxfId="581" priority="320" operator="containsText" text="ok">
      <formula>NOT(ISERROR(SEARCH("ok",J410)))</formula>
    </cfRule>
  </conditionalFormatting>
  <conditionalFormatting sqref="G410:G413">
    <cfRule type="expression" dxfId="580" priority="319">
      <formula>AND($F410="nie",$G410="tak")</formula>
    </cfRule>
  </conditionalFormatting>
  <conditionalFormatting sqref="G418">
    <cfRule type="expression" dxfId="579" priority="316">
      <formula>AND($F418="nie",$G418="tak")</formula>
    </cfRule>
  </conditionalFormatting>
  <conditionalFormatting sqref="G419:G462">
    <cfRule type="expression" dxfId="578" priority="315">
      <formula>AND($F419="nie",$G419="tak")</formula>
    </cfRule>
  </conditionalFormatting>
  <conditionalFormatting sqref="J418:J462">
    <cfRule type="containsText" dxfId="577" priority="305" operator="containsText" text="wstaw dane">
      <formula>NOT(ISERROR(SEARCH("wstaw dane",J418)))</formula>
    </cfRule>
    <cfRule type="containsText" dxfId="576" priority="307" operator="containsText" text="ok">
      <formula>NOT(ISERROR(SEARCH("ok",J418)))</formula>
    </cfRule>
  </conditionalFormatting>
  <conditionalFormatting sqref="B469:C513">
    <cfRule type="expression" dxfId="575" priority="301">
      <formula>OR($F418="nie",AND($F418="tak",$G418="nie"))</formula>
    </cfRule>
  </conditionalFormatting>
  <conditionalFormatting sqref="J469:J513">
    <cfRule type="containsText" dxfId="574" priority="300" operator="containsText" text="ok">
      <formula>NOT(ISERROR(SEARCH("ok",J469)))</formula>
    </cfRule>
  </conditionalFormatting>
  <conditionalFormatting sqref="G565">
    <cfRule type="expression" dxfId="573" priority="298">
      <formula>AND($F565="nie",$G565="tak")</formula>
    </cfRule>
  </conditionalFormatting>
  <conditionalFormatting sqref="G566:G569">
    <cfRule type="expression" dxfId="572" priority="297">
      <formula>AND($F566="nie",$G566="tak")</formula>
    </cfRule>
  </conditionalFormatting>
  <conditionalFormatting sqref="J565:J569">
    <cfRule type="containsText" dxfId="571" priority="292" operator="containsText" text="wstaw dane">
      <formula>NOT(ISERROR(SEARCH("wstaw dane",J565)))</formula>
    </cfRule>
    <cfRule type="containsText" dxfId="570" priority="293" operator="containsText" text="ok">
      <formula>NOT(ISERROR(SEARCH("ok",J565)))</formula>
    </cfRule>
  </conditionalFormatting>
  <conditionalFormatting sqref="B590:C599">
    <cfRule type="expression" dxfId="569" priority="285">
      <formula>OR($F574="nie",AND($F574="tak",$G574="nie"))</formula>
    </cfRule>
  </conditionalFormatting>
  <conditionalFormatting sqref="J590:J599">
    <cfRule type="containsText" dxfId="568" priority="284" operator="containsText" text="ok">
      <formula>NOT(ISERROR(SEARCH("ok",J590)))</formula>
    </cfRule>
  </conditionalFormatting>
  <conditionalFormatting sqref="G574">
    <cfRule type="expression" dxfId="567" priority="283">
      <formula>AND($F574="nie",$G574="tak")</formula>
    </cfRule>
  </conditionalFormatting>
  <conditionalFormatting sqref="G575:G583">
    <cfRule type="expression" dxfId="566" priority="282">
      <formula>AND($F575="nie",$G575="tak")</formula>
    </cfRule>
  </conditionalFormatting>
  <conditionalFormatting sqref="J574:J583">
    <cfRule type="containsText" dxfId="565" priority="277" operator="containsText" text="wstaw dane">
      <formula>NOT(ISERROR(SEARCH("wstaw dane",J574)))</formula>
    </cfRule>
    <cfRule type="containsText" dxfId="564" priority="279" operator="containsText" text="ok">
      <formula>NOT(ISERROR(SEARCH("ok",J574)))</formula>
    </cfRule>
  </conditionalFormatting>
  <conditionalFormatting sqref="J616:J625">
    <cfRule type="containsText" dxfId="563" priority="270" operator="containsText" text="wstaw dane">
      <formula>NOT(ISERROR(SEARCH("wstaw dane",J616)))</formula>
    </cfRule>
    <cfRule type="containsText" dxfId="562" priority="272" operator="containsText" text="ok">
      <formula>NOT(ISERROR(SEARCH("ok",J616)))</formula>
    </cfRule>
  </conditionalFormatting>
  <conditionalFormatting sqref="B632:C641">
    <cfRule type="expression" dxfId="561" priority="266">
      <formula>OR($F616="nie",AND($F616="tak",$G616="nie"))</formula>
    </cfRule>
  </conditionalFormatting>
  <conditionalFormatting sqref="J632:J641">
    <cfRule type="containsText" dxfId="560" priority="265" operator="containsText" text="ok">
      <formula>NOT(ISERROR(SEARCH("ok",J632)))</formula>
    </cfRule>
  </conditionalFormatting>
  <conditionalFormatting sqref="I409:I413">
    <cfRule type="containsText" dxfId="559" priority="264" operator="containsText" text="uzupełnij">
      <formula>NOT(ISERROR(SEARCH("uzupełnij",I409)))</formula>
    </cfRule>
  </conditionalFormatting>
  <conditionalFormatting sqref="J307:J321">
    <cfRule type="containsText" dxfId="558" priority="252" operator="containsText" text="ok">
      <formula>NOT(ISERROR(SEARCH("ok",J307)))</formula>
    </cfRule>
  </conditionalFormatting>
  <conditionalFormatting sqref="J344:J348">
    <cfRule type="containsText" dxfId="557" priority="246" operator="containsText" text="ok">
      <formula>NOT(ISERROR(SEARCH("ok",J344)))</formula>
    </cfRule>
  </conditionalFormatting>
  <conditionalFormatting sqref="B391:C405">
    <cfRule type="expression" dxfId="556" priority="244">
      <formula>OR($F353="nie",AND($F353="tak",$G353="nie"))</formula>
    </cfRule>
  </conditionalFormatting>
  <conditionalFormatting sqref="J391:J405">
    <cfRule type="containsText" dxfId="555" priority="240" operator="containsText" text="ok">
      <formula>NOT(ISERROR(SEARCH("ok",J391)))</formula>
    </cfRule>
  </conditionalFormatting>
  <conditionalFormatting sqref="J516:J560">
    <cfRule type="containsText" dxfId="554" priority="234" operator="containsText" text="ok">
      <formula>NOT(ISERROR(SEARCH("ok",J516)))</formula>
    </cfRule>
  </conditionalFormatting>
  <conditionalFormatting sqref="B516:C560">
    <cfRule type="expression" dxfId="553" priority="232">
      <formula>OR($F418="nie",AND($F418="tak",$G418="nie"))</formula>
    </cfRule>
  </conditionalFormatting>
  <conditionalFormatting sqref="J602:J611">
    <cfRule type="containsText" dxfId="552" priority="227" operator="containsText" text="ok">
      <formula>NOT(ISERROR(SEARCH("ok",J602)))</formula>
    </cfRule>
  </conditionalFormatting>
  <conditionalFormatting sqref="B602:C611">
    <cfRule type="expression" dxfId="551" priority="226">
      <formula>OR($F574="nie",AND($F574="tak",$G574="nie"))</formula>
    </cfRule>
  </conditionalFormatting>
  <conditionalFormatting sqref="J644:J653">
    <cfRule type="containsText" dxfId="550" priority="221" operator="containsText" text="ok">
      <formula>NOT(ISERROR(SEARCH("ok",J644)))</formula>
    </cfRule>
  </conditionalFormatting>
  <conditionalFormatting sqref="B644:C653">
    <cfRule type="expression" dxfId="549" priority="220">
      <formula>OR($F616="nie",AND($F616="tak",$G616="nie"))</formula>
    </cfRule>
  </conditionalFormatting>
  <conditionalFormatting sqref="B307:C321">
    <cfRule type="expression" dxfId="548" priority="214">
      <formula>OR($F269="nie",AND($F269="tak",$G269="nie"))</formula>
    </cfRule>
  </conditionalFormatting>
  <conditionalFormatting sqref="G353">
    <cfRule type="expression" dxfId="547" priority="213">
      <formula>AND($F353="nie",$G353="tak")</formula>
    </cfRule>
  </conditionalFormatting>
  <conditionalFormatting sqref="G616">
    <cfRule type="expression" dxfId="546" priority="208">
      <formula>AND($F616="nie",$G616="tak")</formula>
    </cfRule>
  </conditionalFormatting>
  <conditionalFormatting sqref="G617:G625">
    <cfRule type="expression" dxfId="545" priority="207">
      <formula>AND($F617="nie",$G617="tak")</formula>
    </cfRule>
  </conditionalFormatting>
  <conditionalFormatting sqref="J658:J697">
    <cfRule type="containsText" dxfId="544" priority="174" operator="containsText" text="wstaw dane">
      <formula>NOT(ISERROR(SEARCH("wstaw dane",J658)))</formula>
    </cfRule>
    <cfRule type="containsText" dxfId="543" priority="176" operator="containsText" text="ok">
      <formula>NOT(ISERROR(SEARCH("ok",J658)))</formula>
    </cfRule>
  </conditionalFormatting>
  <conditionalFormatting sqref="B702:C741">
    <cfRule type="expression" dxfId="542" priority="170">
      <formula>OR($F658="nie",AND($F658="tak",$G658="nie"))</formula>
    </cfRule>
  </conditionalFormatting>
  <conditionalFormatting sqref="J702:J741">
    <cfRule type="containsText" dxfId="541" priority="169" operator="containsText" text="ok">
      <formula>NOT(ISERROR(SEARCH("ok",J702)))</formula>
    </cfRule>
  </conditionalFormatting>
  <conditionalFormatting sqref="J744:J783">
    <cfRule type="containsText" dxfId="540" priority="157" operator="containsText" text="ok">
      <formula>NOT(ISERROR(SEARCH("ok",J744)))</formula>
    </cfRule>
  </conditionalFormatting>
  <conditionalFormatting sqref="B744:C783">
    <cfRule type="expression" dxfId="539" priority="156">
      <formula>OR($F658="nie",AND($F658="tak",$G658="nie"))</formula>
    </cfRule>
  </conditionalFormatting>
  <conditionalFormatting sqref="I658:I697">
    <cfRule type="expression" dxfId="538" priority="139">
      <formula>OR($J658="uzupełnij dane",$J658="popraw dane")</formula>
    </cfRule>
    <cfRule type="expression" dxfId="537" priority="140">
      <formula>$J658="wstaw dane"</formula>
    </cfRule>
  </conditionalFormatting>
  <conditionalFormatting sqref="K337:X341">
    <cfRule type="expression" dxfId="536" priority="1">
      <formula>AND(K$192&gt;=Poczatek,K$192&lt;=Koniec_Projekt,$G326="tak")</formula>
    </cfRule>
  </conditionalFormatting>
  <conditionalFormatting sqref="K290:X304">
    <cfRule type="expression" dxfId="535" priority="136">
      <formula>AND($G269="tak",K$192&gt;=Poczatek,K$192&lt;=Koniec_Projekt)</formula>
    </cfRule>
  </conditionalFormatting>
  <conditionalFormatting sqref="K469:X513">
    <cfRule type="expression" dxfId="534" priority="135">
      <formula>AND($G418="tak",K$192&gt;=Poczatek,K$192&lt;=Koniec_Projekt)</formula>
    </cfRule>
  </conditionalFormatting>
  <conditionalFormatting sqref="K590:X599 K632:X641">
    <cfRule type="expression" dxfId="533" priority="133">
      <formula>AND($G574="tak",K$192&gt;=Poczatek,K$192&lt;=Koniec_Projekt)</formula>
    </cfRule>
  </conditionalFormatting>
  <conditionalFormatting sqref="K702:X741">
    <cfRule type="expression" dxfId="532" priority="131">
      <formula>AND($G658="tak",K$192&gt;=Poczatek,K$192&lt;=Koniec_Projekt)</formula>
    </cfRule>
  </conditionalFormatting>
  <conditionalFormatting sqref="E658:E697">
    <cfRule type="expression" dxfId="531" priority="129">
      <formula>$J658="wstaw dane"</formula>
    </cfRule>
  </conditionalFormatting>
  <conditionalFormatting sqref="G269:G270">
    <cfRule type="expression" dxfId="530" priority="128">
      <formula>AND($F269="nie",$G269="tak")</formula>
    </cfRule>
  </conditionalFormatting>
  <conditionalFormatting sqref="H269:H283">
    <cfRule type="expression" dxfId="529" priority="125">
      <formula>OR(AND($F269="tak",$G269="tak",ISBLANK($H269)=FALSE),AND($F269="nie",ISBLANK($H269)=FALSE))</formula>
    </cfRule>
    <cfRule type="expression" dxfId="528" priority="126">
      <formula>OR($F269="nie",AND($F269="tak",$G269="tak"))</formula>
    </cfRule>
    <cfRule type="expression" dxfId="527" priority="127">
      <formula>AND($F269="tak",$G269="nie")</formula>
    </cfRule>
  </conditionalFormatting>
  <conditionalFormatting sqref="I269:I283">
    <cfRule type="expression" dxfId="526" priority="123">
      <formula>OR($J269="uzupełnij dane",$J269="popraw dane")</formula>
    </cfRule>
    <cfRule type="expression" dxfId="525" priority="124">
      <formula>$J269="wstaw dane"</formula>
    </cfRule>
  </conditionalFormatting>
  <conditionalFormatting sqref="H326:H330">
    <cfRule type="expression" dxfId="524" priority="120">
      <formula>OR(AND($F326="tak",$G326="tak",ISBLANK($H326)=FALSE),AND($F326="nie",ISBLANK($H326)=FALSE))</formula>
    </cfRule>
    <cfRule type="expression" dxfId="523" priority="121">
      <formula>OR($F326="nie",AND($F326="tak",$G326="tak"))</formula>
    </cfRule>
    <cfRule type="expression" dxfId="522" priority="122">
      <formula>AND($F326="tak",$G326="nie")</formula>
    </cfRule>
  </conditionalFormatting>
  <conditionalFormatting sqref="I326:I330">
    <cfRule type="expression" dxfId="521" priority="118">
      <formula>OR($J326="uzupełnij dane",$J326="popraw dane")</formula>
    </cfRule>
    <cfRule type="expression" dxfId="520" priority="119">
      <formula>$J326="wstaw dane"</formula>
    </cfRule>
  </conditionalFormatting>
  <conditionalFormatting sqref="H353:H362">
    <cfRule type="expression" dxfId="519" priority="110">
      <formula>OR(AND($F353="tak",$G353="tak",ISBLANK($H353)=FALSE),AND($F353="nie",ISBLANK($H353)=FALSE))</formula>
    </cfRule>
    <cfRule type="expression" dxfId="518" priority="111">
      <formula>OR($F353="nie",AND($F353="tak",$G353="tak"))</formula>
    </cfRule>
    <cfRule type="expression" dxfId="517" priority="112">
      <formula>AND($F353="tak",$G353="nie")</formula>
    </cfRule>
  </conditionalFormatting>
  <conditionalFormatting sqref="I353:I367">
    <cfRule type="expression" dxfId="516" priority="108">
      <formula>OR($J353="uzupełnij dane",$J353="popraw dane")</formula>
    </cfRule>
    <cfRule type="expression" dxfId="515" priority="109">
      <formula>$J353="wstaw dane"</formula>
    </cfRule>
  </conditionalFormatting>
  <conditionalFormatting sqref="I565:I569">
    <cfRule type="containsText" dxfId="514" priority="104" operator="containsText" text="uzupełnij">
      <formula>NOT(ISERROR(SEARCH("uzupełnij",I565)))</formula>
    </cfRule>
  </conditionalFormatting>
  <conditionalFormatting sqref="H565:H569">
    <cfRule type="expression" dxfId="513" priority="101">
      <formula>OR(AND($F565="tak",$G565="tak",ISBLANK($H565)=FALSE),AND($F565="nie",ISBLANK($H565)=FALSE))</formula>
    </cfRule>
    <cfRule type="expression" dxfId="512" priority="102">
      <formula>OR($F565="nie",AND($F565="tak",$G565="tak"))</formula>
    </cfRule>
    <cfRule type="expression" dxfId="511" priority="103">
      <formula>AND($F565="tak",$G565="nie")</formula>
    </cfRule>
  </conditionalFormatting>
  <conditionalFormatting sqref="H574:H583">
    <cfRule type="expression" dxfId="510" priority="98">
      <formula>OR(AND($F574="tak",$G574="tak",ISBLANK($H574)=FALSE),AND($F574="nie",ISBLANK($H574)=FALSE))</formula>
    </cfRule>
    <cfRule type="expression" dxfId="509" priority="99">
      <formula>OR($F574="nie",AND($F574="tak",$G574="tak"))</formula>
    </cfRule>
    <cfRule type="expression" dxfId="508" priority="100">
      <formula>AND($F574="tak",$G574="nie")</formula>
    </cfRule>
  </conditionalFormatting>
  <conditionalFormatting sqref="I574:I583">
    <cfRule type="expression" dxfId="507" priority="96">
      <formula>OR($J574="uzupełnij dane",$J574="popraw dane")</formula>
    </cfRule>
    <cfRule type="expression" dxfId="506" priority="97">
      <formula>$J574="wstaw dane"</formula>
    </cfRule>
  </conditionalFormatting>
  <conditionalFormatting sqref="H616:H625">
    <cfRule type="expression" dxfId="505" priority="93">
      <formula>OR(AND($F616="tak",$G616="tak",ISBLANK($H616)=FALSE),AND($F616="nie",ISBLANK($H616)=FALSE))</formula>
    </cfRule>
    <cfRule type="expression" dxfId="504" priority="94">
      <formula>OR($F616="nie",AND($F616="tak",$G616="tak"))</formula>
    </cfRule>
    <cfRule type="expression" dxfId="503" priority="95">
      <formula>AND($F616="tak",$G616="nie")</formula>
    </cfRule>
  </conditionalFormatting>
  <conditionalFormatting sqref="I616:I625">
    <cfRule type="expression" dxfId="502" priority="91">
      <formula>OR($J616="uzupełnij dane",$J616="popraw dane")</formula>
    </cfRule>
    <cfRule type="expression" dxfId="501" priority="92">
      <formula>$J616="wstaw dane"</formula>
    </cfRule>
  </conditionalFormatting>
  <conditionalFormatting sqref="G195">
    <cfRule type="cellIs" dxfId="500" priority="90" operator="equal">
      <formula>0</formula>
    </cfRule>
  </conditionalFormatting>
  <conditionalFormatting sqref="J195">
    <cfRule type="containsText" dxfId="499" priority="88" operator="containsText" text="wstaw dane">
      <formula>NOT(ISERROR(SEARCH("wstaw dane",J195)))</formula>
    </cfRule>
    <cfRule type="containsText" dxfId="498" priority="89" operator="containsText" text="ok">
      <formula>NOT(ISERROR(SEARCH("ok",J195)))</formula>
    </cfRule>
  </conditionalFormatting>
  <conditionalFormatting sqref="G196">
    <cfRule type="cellIs" dxfId="497" priority="87" operator="equal">
      <formula>0</formula>
    </cfRule>
  </conditionalFormatting>
  <conditionalFormatting sqref="B241:C241">
    <cfRule type="expression" dxfId="496" priority="86">
      <formula>OR($F135="nie",AND($F135="tak",$G135="nie"))</formula>
    </cfRule>
  </conditionalFormatting>
  <conditionalFormatting sqref="J223:J242">
    <cfRule type="containsText" dxfId="495" priority="85" operator="containsText" text="ok">
      <formula>NOT(ISERROR(SEARCH("ok",J223)))</formula>
    </cfRule>
  </conditionalFormatting>
  <conditionalFormatting sqref="J245:J264">
    <cfRule type="containsText" dxfId="494" priority="84" operator="containsText" text="ok">
      <formula>NOT(ISERROR(SEARCH("ok",J245)))</formula>
    </cfRule>
  </conditionalFormatting>
  <conditionalFormatting sqref="B263:C263">
    <cfRule type="expression" dxfId="493" priority="83">
      <formula>OR($F135="nie",AND($F135="tak",$G135="nie"))</formula>
    </cfRule>
  </conditionalFormatting>
  <conditionalFormatting sqref="K223:X242">
    <cfRule type="expression" dxfId="492" priority="82">
      <formula>AND($G197="tak",K$192&gt;=Poczatek,K$192&lt;=Koniec_Projekt)</formula>
    </cfRule>
  </conditionalFormatting>
  <conditionalFormatting sqref="J197:J216">
    <cfRule type="containsText" dxfId="491" priority="77" operator="containsText" text="wstaw dane">
      <formula>NOT(ISERROR(SEARCH("wstaw dane",J197)))</formula>
    </cfRule>
    <cfRule type="containsText" dxfId="490" priority="78" operator="containsText" text="ok">
      <formula>NOT(ISERROR(SEARCH("ok",J197)))</formula>
    </cfRule>
  </conditionalFormatting>
  <conditionalFormatting sqref="H197:H216">
    <cfRule type="expression" dxfId="489" priority="72">
      <formula>OR(AND($F197="tak",$G197="tak",ISBLANK($H197)=FALSE),AND($F197="nie",ISBLANK($H197)=FALSE))</formula>
    </cfRule>
    <cfRule type="expression" dxfId="488" priority="73">
      <formula>OR($F197="nie",AND($F197="tak",$G197="tak"))</formula>
    </cfRule>
    <cfRule type="expression" dxfId="487" priority="74">
      <formula>AND($F197="tak",$G197="nie")</formula>
    </cfRule>
  </conditionalFormatting>
  <conditionalFormatting sqref="I195:I216">
    <cfRule type="expression" dxfId="486" priority="68">
      <formula>OR($J195="uzupełnij dane",$J195="popraw dane")</formula>
    </cfRule>
    <cfRule type="expression" dxfId="485" priority="69">
      <formula>$J195="wstaw dane"</formula>
    </cfRule>
  </conditionalFormatting>
  <conditionalFormatting sqref="H409:H413">
    <cfRule type="expression" dxfId="484" priority="65">
      <formula>OR(AND($F409="tak",$G409="tak",ISBLANK($H409)=FALSE),AND($F409="nie",ISBLANK($H409)=FALSE))</formula>
    </cfRule>
    <cfRule type="expression" dxfId="483" priority="66">
      <formula>OR($F409="nie",AND($F409="tak",$G409="tak"))</formula>
    </cfRule>
    <cfRule type="expression" dxfId="482" priority="67">
      <formula>AND($F409="tak",$G409="nie")</formula>
    </cfRule>
  </conditionalFormatting>
  <conditionalFormatting sqref="B344:C348">
    <cfRule type="expression" dxfId="481" priority="64">
      <formula>OR($F326="nie",AND($F326="tak",$G326="nie"))</formula>
    </cfRule>
  </conditionalFormatting>
  <conditionalFormatting sqref="H418:H457">
    <cfRule type="expression" dxfId="480" priority="56">
      <formula>OR(AND($F418="tak",$G418="tak",ISBLANK($H418)=FALSE),AND($F418="nie",ISBLANK($H418)=FALSE))</formula>
    </cfRule>
    <cfRule type="expression" dxfId="479" priority="57">
      <formula>OR($F418="nie",AND($F418="tak",$G418="tak"))</formula>
    </cfRule>
    <cfRule type="expression" dxfId="478" priority="58">
      <formula>AND($F418="tak",$G418="nie")</formula>
    </cfRule>
  </conditionalFormatting>
  <conditionalFormatting sqref="C384:C388 C401:C405">
    <cfRule type="cellIs" dxfId="477" priority="53" operator="equal">
      <formula>0</formula>
    </cfRule>
  </conditionalFormatting>
  <conditionalFormatting sqref="I418:I462">
    <cfRule type="expression" dxfId="476" priority="54">
      <formula>OR($J418="uzupełnij dane",$J418="popraw dane")</formula>
    </cfRule>
    <cfRule type="expression" dxfId="475" priority="55">
      <formula>$J418="wstaw dane"</formula>
    </cfRule>
  </conditionalFormatting>
  <conditionalFormatting sqref="G197">
    <cfRule type="expression" dxfId="474" priority="52">
      <formula>AND($F197="nie",$G197="tak")</formula>
    </cfRule>
  </conditionalFormatting>
  <conditionalFormatting sqref="G198:G216">
    <cfRule type="expression" dxfId="473" priority="51">
      <formula>AND($F198="nie",$G198="tak")</formula>
    </cfRule>
  </conditionalFormatting>
  <conditionalFormatting sqref="K409:X413 K565:X569 K658:X697">
    <cfRule type="expression" dxfId="472" priority="48">
      <formula>AND(K$657&gt;Koniec_Projekt,K$657&lt;=Koniec)</formula>
    </cfRule>
    <cfRule type="expression" dxfId="471" priority="49">
      <formula>AND(K$657&gt;=Poczatek,K$657&lt;=Koniec_Projekt)</formula>
    </cfRule>
  </conditionalFormatting>
  <conditionalFormatting sqref="J96:J135">
    <cfRule type="containsText" dxfId="470" priority="46" operator="containsText" text="wstaw dane">
      <formula>NOT(ISERROR(SEARCH("wstaw dane",J96)))</formula>
    </cfRule>
    <cfRule type="containsText" dxfId="469" priority="47" operator="containsText" text="ok">
      <formula>NOT(ISERROR(SEARCH("ok",J96)))</formula>
    </cfRule>
  </conditionalFormatting>
  <conditionalFormatting sqref="K151:X151">
    <cfRule type="expression" dxfId="468" priority="42">
      <formula>AND(K$12&gt;Koniec_Projekt,K$12&lt;=Koniec)</formula>
    </cfRule>
    <cfRule type="expression" dxfId="467" priority="43">
      <formula>K$12&lt;=Koniec_Projekt</formula>
    </cfRule>
  </conditionalFormatting>
  <conditionalFormatting sqref="K152:M152 O152:X152">
    <cfRule type="cellIs" dxfId="466" priority="41" operator="lessThan">
      <formula>0</formula>
    </cfRule>
  </conditionalFormatting>
  <conditionalFormatting sqref="K145:X145">
    <cfRule type="expression" dxfId="465" priority="39">
      <formula>AND(K$12&gt;Koniec_Projekt,K$12&lt;=Koniec)</formula>
    </cfRule>
    <cfRule type="expression" dxfId="464" priority="40">
      <formula>K$12&lt;=Koniec_Projekt</formula>
    </cfRule>
  </conditionalFormatting>
  <conditionalFormatting sqref="K146:X146">
    <cfRule type="cellIs" dxfId="463" priority="38" operator="lessThan">
      <formula>0</formula>
    </cfRule>
  </conditionalFormatting>
  <conditionalFormatting sqref="B73 K73:X73">
    <cfRule type="expression" dxfId="462" priority="413">
      <formula>$C2239=2</formula>
    </cfRule>
  </conditionalFormatting>
  <conditionalFormatting sqref="B74">
    <cfRule type="expression" dxfId="461" priority="417">
      <formula>$C2239=2</formula>
    </cfRule>
  </conditionalFormatting>
  <conditionalFormatting sqref="B65 K65:X65">
    <cfRule type="expression" dxfId="460" priority="418">
      <formula>$C2238=2</formula>
    </cfRule>
  </conditionalFormatting>
  <conditionalFormatting sqref="B66">
    <cfRule type="expression" dxfId="459" priority="422">
      <formula>$C2238=2</formula>
    </cfRule>
  </conditionalFormatting>
  <conditionalFormatting sqref="B57 K57:X57">
    <cfRule type="expression" dxfId="458" priority="423">
      <formula>$C2237=2</formula>
    </cfRule>
  </conditionalFormatting>
  <conditionalFormatting sqref="B58">
    <cfRule type="expression" dxfId="457" priority="427">
      <formula>$C2237=2</formula>
    </cfRule>
  </conditionalFormatting>
  <conditionalFormatting sqref="B49 K49:X49">
    <cfRule type="expression" dxfId="456" priority="428">
      <formula>$C2236=2</formula>
    </cfRule>
  </conditionalFormatting>
  <conditionalFormatting sqref="B50">
    <cfRule type="expression" dxfId="455" priority="432">
      <formula>$C2236=2</formula>
    </cfRule>
  </conditionalFormatting>
  <conditionalFormatting sqref="B41 K41:X41">
    <cfRule type="expression" dxfId="454" priority="433">
      <formula>$C2235=2</formula>
    </cfRule>
  </conditionalFormatting>
  <conditionalFormatting sqref="B42">
    <cfRule type="expression" dxfId="453" priority="437">
      <formula>$C2235=2</formula>
    </cfRule>
  </conditionalFormatting>
  <conditionalFormatting sqref="B33 K33:X33">
    <cfRule type="expression" dxfId="452" priority="438">
      <formula>$C2234=2</formula>
    </cfRule>
  </conditionalFormatting>
  <conditionalFormatting sqref="B34">
    <cfRule type="expression" dxfId="451" priority="442">
      <formula>$C2234=2</formula>
    </cfRule>
  </conditionalFormatting>
  <conditionalFormatting sqref="B25 K25:X25">
    <cfRule type="expression" dxfId="450" priority="443">
      <formula>$C2233=2</formula>
    </cfRule>
  </conditionalFormatting>
  <conditionalFormatting sqref="B26">
    <cfRule type="expression" dxfId="449" priority="447">
      <formula>$C2233=2</formula>
    </cfRule>
  </conditionalFormatting>
  <conditionalFormatting sqref="B17 K17:X17">
    <cfRule type="expression" dxfId="448" priority="448">
      <formula>$C2232=2</formula>
    </cfRule>
  </conditionalFormatting>
  <conditionalFormatting sqref="B18">
    <cfRule type="expression" dxfId="447" priority="452">
      <formula>$C2232=2</formula>
    </cfRule>
  </conditionalFormatting>
  <conditionalFormatting sqref="K20:X20 K28:X28 K36:X36 K44:X44 K52:X52 K60:X60 K68:X68 K76:X76">
    <cfRule type="cellIs" dxfId="446" priority="32" operator="lessThan">
      <formula>0</formula>
    </cfRule>
  </conditionalFormatting>
  <conditionalFormatting sqref="K81:X83 K85:X89">
    <cfRule type="cellIs" dxfId="445" priority="5" operator="lessThan">
      <formula>0</formula>
    </cfRule>
  </conditionalFormatting>
  <conditionalFormatting sqref="B242:C242">
    <cfRule type="expression" dxfId="444" priority="469">
      <formula>OR($F89="nie",AND($F89="tak",$G89="nie"))</formula>
    </cfRule>
  </conditionalFormatting>
  <conditionalFormatting sqref="B264:C264">
    <cfRule type="expression" dxfId="443" priority="846">
      <formula>OR($F89="nie",AND($F89="tak",$G89="nie"))</formula>
    </cfRule>
  </conditionalFormatting>
  <conditionalFormatting sqref="B223:C240">
    <cfRule type="expression" dxfId="442" priority="892">
      <formula>OR($F87="nie",AND($F87="tak",$G87="nie"))</formula>
    </cfRule>
  </conditionalFormatting>
  <conditionalFormatting sqref="B245:C262">
    <cfRule type="expression" dxfId="441" priority="894">
      <formula>OR($F87="nie",AND($F87="tak",$G87="nie"))</formula>
    </cfRule>
  </conditionalFormatting>
  <conditionalFormatting sqref="K66:X66">
    <cfRule type="expression" dxfId="440" priority="1442">
      <formula>AND($C2238=1,ISNUMBER(K66)=TRUE)</formula>
    </cfRule>
    <cfRule type="expression" dxfId="439" priority="1443">
      <formula>AND($C2238=2,K$12&gt;Koniec_Projekt,K$12&lt;=Koniec)</formula>
    </cfRule>
    <cfRule type="expression" dxfId="438" priority="1444">
      <formula>AND($C2238=2,K$12&lt;=Koniec_Projekt)</formula>
    </cfRule>
  </conditionalFormatting>
  <conditionalFormatting sqref="K26:X26">
    <cfRule type="expression" dxfId="437" priority="1445">
      <formula>AND($C2233=1,ISNUMBER(K26)=TRUE)</formula>
    </cfRule>
    <cfRule type="expression" dxfId="436" priority="1446">
      <formula>AND($C2233=2,K$12&gt;Koniec_Projekt,K$12&lt;=Koniec)</formula>
    </cfRule>
    <cfRule type="expression" dxfId="435" priority="1447">
      <formula>AND($C2233=2,K$12&lt;=Koniec_Projekt)</formula>
    </cfRule>
  </conditionalFormatting>
  <conditionalFormatting sqref="K18:X18">
    <cfRule type="expression" dxfId="434" priority="1448">
      <formula>AND($C2232=1,ISNUMBER(K18)=TRUE)</formula>
    </cfRule>
    <cfRule type="expression" dxfId="433" priority="1449">
      <formula>AND($C2232=2,K$12&gt;Koniec_Projekt,K$12&lt;=Koniec)</formula>
    </cfRule>
    <cfRule type="expression" dxfId="432" priority="1450">
      <formula>AND($C2232=2,K$12&lt;=Koniec_Projekt)</formula>
    </cfRule>
  </conditionalFormatting>
  <conditionalFormatting sqref="K74:X74">
    <cfRule type="expression" dxfId="431" priority="1451">
      <formula>AND($C2239=1,ISNUMBER(K74)=TRUE)</formula>
    </cfRule>
    <cfRule type="expression" dxfId="430" priority="1452">
      <formula>AND($C2239=2,K$12&gt;Koniec_Projekt,K$12&lt;=Koniec)</formula>
    </cfRule>
    <cfRule type="expression" dxfId="429" priority="1453">
      <formula>AND($C2239=2,K$12&lt;=Koniec_Projekt)</formula>
    </cfRule>
  </conditionalFormatting>
  <conditionalFormatting sqref="K58:X58">
    <cfRule type="expression" dxfId="428" priority="1454">
      <formula>AND($C2237=1,ISNUMBER(K58)=TRUE)</formula>
    </cfRule>
    <cfRule type="expression" dxfId="427" priority="1455">
      <formula>AND($C2237=2,K$12&gt;Koniec_Projekt,K$12&lt;=Koniec)</formula>
    </cfRule>
    <cfRule type="expression" dxfId="426" priority="1456">
      <formula>AND($C2237=2,K$12&lt;=Koniec_Projekt)</formula>
    </cfRule>
  </conditionalFormatting>
  <conditionalFormatting sqref="K50:X50">
    <cfRule type="expression" dxfId="425" priority="1457">
      <formula>AND($C2236=1,ISNUMBER(K50)=TRUE)</formula>
    </cfRule>
    <cfRule type="expression" dxfId="424" priority="1458">
      <formula>AND($C2236=2,K$12&gt;Koniec_Projekt,K$12&lt;=Koniec)</formula>
    </cfRule>
    <cfRule type="expression" dxfId="423" priority="1459">
      <formula>AND($C2236=2,K$12&lt;=Koniec_Projekt)</formula>
    </cfRule>
  </conditionalFormatting>
  <conditionalFormatting sqref="K42:X42">
    <cfRule type="expression" dxfId="422" priority="1460">
      <formula>AND($C2235=1,ISNUMBER(K42)=TRUE)</formula>
    </cfRule>
    <cfRule type="expression" dxfId="421" priority="1461">
      <formula>AND($C2235=2,K$12&gt;Koniec_Projekt,K$12&lt;=Koniec)</formula>
    </cfRule>
    <cfRule type="expression" dxfId="420" priority="1462">
      <formula>AND($C2235=2,K$12&lt;=Koniec_Projekt)</formula>
    </cfRule>
  </conditionalFormatting>
  <conditionalFormatting sqref="K34:X34">
    <cfRule type="expression" dxfId="419" priority="1463">
      <formula>AND($C2234=1,ISNUMBER(K34)=TRUE)</formula>
    </cfRule>
    <cfRule type="expression" dxfId="418" priority="1464">
      <formula>AND($C2234=2,K$12&gt;Koniec_Projekt,K$12&lt;=Koniec)</formula>
    </cfRule>
    <cfRule type="expression" dxfId="417" priority="1465">
      <formula>AND($C2234=2,K$12&lt;=Koniec_Projekt)</formula>
    </cfRule>
  </conditionalFormatting>
  <conditionalFormatting sqref="N152">
    <cfRule type="cellIs" dxfId="416" priority="4" operator="lessThan">
      <formula>0</formula>
    </cfRule>
  </conditionalFormatting>
  <conditionalFormatting sqref="B195 B196">
    <cfRule type="expression" dxfId="415" priority="3">
      <formula>Modul_badawczo_rozwojowy=tak</formula>
    </cfRule>
  </conditionalFormatting>
  <conditionalFormatting sqref="C269:C283 C326:C330 C353:C362 C409:C413 C418:C457 C565:C569 C574:C583 C616:C625 C658:C697 C197:C216">
    <cfRule type="expression" dxfId="414" priority="2">
      <formula>Kontrola_modulow_Srodki_Trwale</formula>
    </cfRule>
  </conditionalFormatting>
  <conditionalFormatting sqref="K374:X388">
    <cfRule type="expression" dxfId="413" priority="137">
      <formula>AND(K$192&gt;=Poczatek,K$192&lt;=Koniec_Projekt,$G353="tak")</formula>
    </cfRule>
  </conditionalFormatting>
  <dataValidations count="59">
    <dataValidation type="custom" allowBlank="1" showErrorMessage="1" errorTitle="Nieprawidłowy rok" error="Rok zakupu nie może przekraczać okresu realizacji Projektu" sqref="E1500:E1504 E363:E367 E1833:E1837" xr:uid="{91C52C2B-BD8B-4419-A436-BD4D4E2C99EA}">
      <formula1>E363&lt;=Koniec_Projekt</formula1>
    </dataValidation>
    <dataValidation type="custom" allowBlank="1" showErrorMessage="1" errorTitle="Nieprawidłowy rok" error="Rok rozpoczęcia prac budowlanych nie może przekraczać okresu realizacji Projektu" sqref="D409:D413 D565:D569" xr:uid="{716B3A9F-109E-4E49-9978-C7299C991375}">
      <formula1>D409&lt;=Koniec_Projekt</formula1>
    </dataValidation>
    <dataValidation allowBlank="1" sqref="E195:E196" xr:uid="{EBF5A644-D29F-4717-ADBC-A0397BC49A45}"/>
    <dataValidation allowBlank="1" showErrorMessage="1" errorTitle="Nieprawidłowy rok" error="Rok zakupu nie może przekraczać okresu realizacji Projektu" sqref="E458:E462" xr:uid="{A28FC6A1-B2E8-475B-950D-3E6984275CE9}"/>
    <dataValidation type="list" allowBlank="1" showInputMessage="1" showErrorMessage="1" sqref="C658:C697 C326:C330 C409:C413 C353:C367 C418:C457 C574:C583 C565:C569 C616:C625 C269:C283 C197:C216" xr:uid="{58256A15-F2B2-4F00-B5C2-7E05104B9B15}">
      <formula1>Lista_Modulow_Menu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574:F583 F269:F283 F326:F330 F197:F216 F409:F413 F418:F457 F565:F569 F616:F625 F658:F697 F353:F362" xr:uid="{4180BA54-CAA0-48CB-85AA-802B1A374DBB}">
      <formula1>tak_nie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469:X513" xr:uid="{5E7E7047-7B10-43B7-B4FE-049E66AC8AED}">
      <formula1>AND(K469&gt;0,K469&lt;=1,$F418="tak",$G418="tak")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niżej_x000a__x000a_&quot;nie&quot; - dla kosztów kwalifikowalnych uzupełnij poziom dofinansowania w następnej kolumnie" sqref="G269:G283 G326:G330 G197:G216 G353:G362 G418:G457 G616:G625 G574:G583" xr:uid="{43C1AF17-0970-4A45-ADFA-DDD1856644E2}">
      <formula1>tak_nie</formula1>
    </dataValidation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616:H625 H326:H330 H353:H362 H418:H457 H409:H413 H565:H569 H574:H583 H269:H283 H658:H697 H197:H216" xr:uid="{29157F16-048B-4887-9DFD-91228F26AE89}">
      <formula1>AND(H197&gt;0,H197&lt;=1,$F197="tak",$G197="nie")</formula1>
    </dataValidation>
    <dataValidation type="date" allowBlank="1" showInputMessage="1" showErrorMessage="1" errorTitle="Nieprawidłowa data" error="Wskazana data nie mieści się w określe kwalifikowalności" promptTitle="Wyjaśnienie" prompt="Wstaw datę w układzie RRRR-MM-DD._x000a__x000a_Dzień miesiąca może być dowolny, nie wpływa to na obliczenia w modelu." sqref="E616:E625 E269:E283 E326:E330 E353:E362 E409:E413 E418:E457 E565:E569 E574:E583 E197:E216" xr:uid="{D8F3FFCD-FEA4-4960-89F2-5BD97EF3918C}">
      <formula1>wydatki_start</formula1>
      <formula2>wydatki_koniec</formula2>
    </dataValidation>
    <dataValidation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07:X321 K344:X348 K391:X405 K516:X560 K602:X611 K644:X653 K744:X783 K245:X264" xr:uid="{3FF375EF-68AF-480C-B82A-76271EFE26A1}"/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590:X599" xr:uid="{888CA104-01ED-4E57-A964-2FC66A93EE21}">
      <formula1>AND(K590&gt;0,K590&lt;=1,$F574="tak",$G574="tak")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702:X741" xr:uid="{CAE5ED3A-6AD9-4ACD-9C3D-A798D45C2DB8}">
      <formula1>AND(K702&gt;0,K702&lt;=1,$F658="tak",$G658="tak")</formula1>
    </dataValidation>
    <dataValidation operator="equal" allowBlank="1" showInputMessage="1" showErrorMessage="1" sqref="D658" xr:uid="{5BB2C8BF-AD88-4E8D-A36E-F7DCAB989255}"/>
    <dataValidation type="custom" allowBlank="1" showInputMessage="1" showErrorMessage="1" errorTitle="W tym roku nie zaplanowano robót" error="W tym roku nie zaplanowano robót budowlanych. Sprawdź dane zawarte w kolumnach: &quot;Rok rozpoczęcia prac budowlanych&quot; oraz &quot;Rok zakończenia prac budowlanych&quot;." sqref="K409:X413" xr:uid="{30A9D112-5423-4E4B-9991-81AE50D97753}">
      <formula1>AND(K$408&gt;=$D409,K$408&lt;=YEAR($E409))</formula1>
    </dataValidation>
    <dataValidation type="list" allowBlank="1" showInputMessage="1" showErrorMessage="1" sqref="C96:C135" xr:uid="{55830A8A-D556-4E79-99FC-3E581627B750}">
      <formula1>lista_st</formula1>
    </dataValidation>
    <dataValidation type="date" allowBlank="1" showInputMessage="1" showErrorMessage="1" errorTitle="Nieprawidłowa data" error="Wskazana data nie mieści się w określe prognozy" promptTitle="Wyjaśnienie" prompt="Wstaw datę w układzie RRRR-MM-DD._x000a__x000a_Dzień miesiąca może być dowolny, nie wpływa to na obliczenia w modelu." sqref="E96:E135" xr:uid="{9AFE5282-6E12-48D2-88A3-4047EFC0C77B}">
      <formula1>stwb_start</formula1>
      <formula2>stwb_stop</formula2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23:X223 K226:X226" xr:uid="{C59A8710-3DD8-4838-A755-6ABF3A484115}">
      <formula1>AND(K223&gt;0,K223&lt;=1,$F41="tak",$G41="tak")</formula1>
    </dataValidation>
    <dataValidation type="custom" allowBlank="1" showInputMessage="1" showErrorMessage="1" errorTitle="Uwaga" error="Aby wprowadzić wartość zaznacz &quot;Kalkulacja amortyzacji -&gt; własna&quot;" sqref="K74:X74" xr:uid="{A77F0723-F6E6-4050-BD51-419E56137665}">
      <formula1>$C2239=2</formula1>
    </dataValidation>
    <dataValidation type="custom" allowBlank="1" showInputMessage="1" showErrorMessage="1" sqref="K66:X66" xr:uid="{DF8F6E9C-9199-4076-952B-9699217BCE90}">
      <formula1>$C2238=2</formula1>
    </dataValidation>
    <dataValidation type="custom" allowBlank="1" showInputMessage="1" showErrorMessage="1" errorTitle="Uwaga" error="Aby wprowadzić wartość zaznacz &quot;Kalkulacja amortyzacji -&gt; własna&quot;" sqref="K58:X58" xr:uid="{40C7A3F5-7CB5-4C47-89B5-1DBA00C152ED}">
      <formula1>$C2237=2</formula1>
    </dataValidation>
    <dataValidation type="custom" allowBlank="1" showInputMessage="1" showErrorMessage="1" errorTitle="Uwaga" error="Aby wprowadzić wartość zaznacz &quot;Kalkulacja amortyzacji -&gt; własna&quot;" sqref="K50:X50" xr:uid="{E59A8DD2-606B-4B46-A5FD-AB0BD2E118A6}">
      <formula1>$C2236=2</formula1>
    </dataValidation>
    <dataValidation type="custom" allowBlank="1" showInputMessage="1" showErrorMessage="1" errorTitle="Uwaga" error="Aby wprowadzić wartość zaznacz &quot;Kalkulacja amortyzacji -&gt; własna&quot;" sqref="K42:X42" xr:uid="{D36E06AC-BC30-4E00-8FD1-99B9ED81F5CB}">
      <formula1>$C2235=2</formula1>
    </dataValidation>
    <dataValidation type="custom" allowBlank="1" showInputMessage="1" showErrorMessage="1" errorTitle="Uwaga" error="Aby wprowadzić wartość zaznacz &quot;Kalkulacja amortyzacji -&gt; własna&quot;" sqref="K34:X34" xr:uid="{E802DC6F-1E3D-42C8-8A9F-8838F6869C1F}">
      <formula1>$C2234=2</formula1>
    </dataValidation>
    <dataValidation type="custom" allowBlank="1" showInputMessage="1" showErrorMessage="1" errorTitle="Uwaga" error="Aby wprowadzić wartość zaznacz &quot;Kalkulacja amortyzacji -&gt; własna&quot;" sqref="K26:X26" xr:uid="{BC323A4E-DF5F-4872-BDCF-84B05801295A}">
      <formula1>$C2233=2</formula1>
    </dataValidation>
    <dataValidation type="custom" allowBlank="1" showInputMessage="1" showErrorMessage="1" errorTitle="Uwaga" error="Aby wprowadzić wartość zaznacz &quot;Kalkulacja amortyzacji -&gt; własna&quot;" sqref="K18:X18" xr:uid="{1DE6C373-FE27-4A68-A3B8-10B9FD135935}">
      <formula1>$C2232=2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42:X242" xr:uid="{1E19C234-CABB-4331-8537-569BC83B10BD}">
      <formula1>AND(K242&gt;0,K242&lt;=1,$F44="tak",$G44="tak")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41:X241" xr:uid="{0746CEAB-C740-430B-96DA-C9A2A5E84703}">
      <formula1>AND(K241&gt;0,K241&lt;=1,$F44="tak",$G44="tak")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40:X240" xr:uid="{766EFF20-BF6A-4A75-BBBE-F2AD4695B79C}">
      <formula1>AND(K240&gt;0,K240&lt;=1,$F44="tak",$G44="tak")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39:X239" xr:uid="{F67CBDFA-8ACF-4E87-AF2E-1B665B3BD137}">
      <formula1>AND(K239&gt;0,K239&lt;=1,$F44="tak",$G44="tak")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38:X238" xr:uid="{CA6EFCFD-E349-4782-B608-598A8F0FE0B1}">
      <formula1>AND(K238&gt;0,K238&lt;=1,$F44="tak",$G44="tak")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37:X237" xr:uid="{81CE83EB-0146-47B1-9D68-B13550F9674A}">
      <formula1>AND(K237&gt;0,K237&lt;=1,$F44="tak",$G44="tak")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36:X236" xr:uid="{E05729C5-1D3D-4D7C-999A-974BAF41EFB3}">
      <formula1>AND(K236&gt;0,K236&lt;=1,$F44="tak",$G44="tak")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35:X235" xr:uid="{ADE41C9A-5D38-453D-A128-6BDF6515A7CA}">
      <formula1>AND(K235&gt;0,K235&lt;=1,$F44="tak",$G44="tak")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34:X234" xr:uid="{AC1AFFD3-76F0-4752-8D7A-FDB71CEF6332}">
      <formula1>AND(K234&gt;0,K234&lt;=1,$F44="tak",$G44="tak")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33:X233" xr:uid="{5C5CB1AB-437F-4FC9-B318-06E1805C2BE6}">
      <formula1>AND(K233&gt;0,K233&lt;=1,$F44="tak",$G44="tak")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32:X232" xr:uid="{F5D6E815-60B7-438A-915B-50FBAAA59C93}">
      <formula1>AND(K232&gt;0,K232&lt;=1,$F44="tak",$G44="tak")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31:X231" xr:uid="{782F39CE-7F8C-48AF-8ABB-EE49BD064BAB}">
      <formula1>AND(K231&gt;0,K231&lt;=1,$F44="tak",$G44="tak")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30:X230" xr:uid="{72FAD888-BB34-41D0-94F6-08A1D13DFB6C}">
      <formula1>AND(K230&gt;0,K230&lt;=1,$F44="tak",$G44="tak")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29:X229" xr:uid="{1C456585-F1D4-4F19-A516-90BE8BA6CB79}">
      <formula1>AND(K229&gt;0,K229&lt;=1,$F44="tak",$G44="tak")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28:X228" xr:uid="{0FC93B28-145C-47EE-9AD6-E9CC01FE7F56}">
      <formula1>AND(K228&gt;0,K228&lt;=1,$F44="tak",$G44="tak")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27:X227" xr:uid="{6F023F93-FAB8-4ABC-BFA7-26690328129E}">
      <formula1>AND(K227&gt;0,K227&lt;=1,$F44="tak",$G44="tak")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24:X225" xr:uid="{C59C88CD-4C6A-4899-8262-A4D8DC73F167}">
      <formula1>AND(K224&gt;0,K224&lt;=1,$F43="tak",$G43="tak")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32:X642" xr:uid="{DF11FF57-9D9C-4E9F-ABC1-1C852D37CC9B}">
      <formula1>AND(K632&gt;0,K632&lt;=1,$F1920="tak",$G1920="tak")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55:X655" xr:uid="{B7A28143-F9B0-4B87-A85F-E05CF7CD8DD9}">
      <formula1>AND(K655&gt;0,K655&lt;=1,$F1931="tak",$G1931="tak")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957:X1957" xr:uid="{F8E679AA-045E-4DF8-BC09-0BDF2CE08EAD}">
      <formula1>AND(K1957&gt;0,K1957&lt;=1,$F1931="tak",$G1931="tak")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00:X600" xr:uid="{E4BF047B-6371-48D1-8B15-6AA447E2B6E8}">
      <formula1>AND(K600&gt;0,K600&lt;=1,$F1855="tak",$G1855="tak")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13:X613" xr:uid="{BB80560D-6E17-4BCB-BD9B-4AD3B056F08F}">
      <formula1>AND(K613&gt;0,K613&lt;=1,$F1856="tak",$G1856="tak")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882:X1882" xr:uid="{CD2C78F8-750E-46BD-9FCD-DE62D388A916}">
      <formula1>AND(K1882&gt;0,K1882&lt;=1,$F1857="tak",$G1857="tak")</formula1>
    </dataValidation>
    <dataValidation type="custom" allowBlank="1" showInputMessage="1" showErrorMessage="1" errorTitle="W tym roku nie zaplanowano robót" error="W tym roku nie zaplanowano robót budowlanych. Sprawdź dane zawarte w kolumnach: &quot;Rok rozpoczęcia prac budowlanych&quot; oraz &quot;Rok zakończenia prac budowlanych&quot;." sqref="K565:X569" xr:uid="{DC2E3173-FED4-4E02-8BC3-4DBA3132074B}">
      <formula1>AND(K$564&gt;=$D565,K$564&lt;=YEAR($E565))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74:X388" xr:uid="{B3C944B8-1734-40A0-A4C9-D82CF35AE132}">
      <formula1>AND(K374&gt;0,K374&lt;=1,$F1395="tak",$G1395="tak")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37:X341" xr:uid="{F446C715-9A9F-44F3-9AA9-16BCACBA1778}">
      <formula1>AND(K337&gt;0,K337&lt;=1,$F1345="tak",$G1345="tak")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290:X304" xr:uid="{6E61D95B-EDA0-4ABD-9BEC-EB66478BDEC2}">
      <formula1>AND(K290&gt;0,K290&lt;=1,$F1124="tak",$G1124="tak")</formula1>
    </dataValidation>
    <dataValidation type="list" allowBlank="1" showInputMessage="1" showErrorMessage="1" errorTitle="Nieprawidłowe dane" error="Wybierz &quot;tak&quot; lub &quot;nie&quot;" promptTitle="Wyjaśnienie" prompt="_x000a_&quot;tak&quot; - uzupełnij poziom dofinansowania w kolejnych latach w tabeli poniżej_x000a__x000a_&quot;nie&quot; - dla kosztów kwalifikowalnych uzupełnij poziom dofinansowania w następnej kolumnie" sqref="G658:G697" xr:uid="{E7A4DA95-8E1F-4D8F-A7F8-F330397884DA}">
      <formula1>tak_nie</formula1>
    </dataValidation>
    <dataValidation type="list" allowBlank="1" showInputMessage="1" showErrorMessage="1" sqref="F97:F135" xr:uid="{3FBE4E52-4D79-44EA-9BE6-E0D73F80953E}">
      <formula1>nowy_wbudowie</formula1>
    </dataValidation>
    <dataValidation type="list" allowBlank="1" showInputMessage="1" showErrorMessage="1" sqref="F363:G367" xr:uid="{620136FC-EE1F-4267-AA74-AC995E19346E}">
      <formula1>tak_nie</formula1>
    </dataValidation>
    <dataValidation type="custom" allowBlank="1" showInputMessage="1" showErrorMessage="1" errorTitle="Nie można edytować tego pola" error="Aby edytować to pole należy realizować Moduł B+R._x000a__x000a_W arkuszu &quot;Założenia&quot; zaznacz B+R jako realizowany moduł." sqref="B195:B196" xr:uid="{0493A2D8-5058-472A-B829-12434A577C73}">
      <formula1>Modul_badawczo_rozwojowy=tak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wyżej_x000a__x000a_&quot;nie&quot; - dla kosztów kwalifikowalnych uzupełnij poziom dofinansowania w następnej kolumnie" sqref="G409:G413 G565:G569" xr:uid="{6F5C93FA-FB72-4D5B-A5B0-B46C397EF733}">
      <formula1>tak_nie</formula1>
    </dataValidation>
    <dataValidation type="list" allowBlank="1" showInputMessage="1" showErrorMessage="1" errorTitle="Uwaga!" error="Wybierz właściwą pozycję z listy rozwijalnej" sqref="F96" xr:uid="{7AF50979-03F3-4233-AA4A-552139ACC933}">
      <formula1>nowy_wbudowie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1" fitToHeight="0" orientation="landscape" r:id="rId1"/>
  <headerFooter>
    <oddHeader>&amp;A</oddHeader>
    <oddFooter>&amp;L&amp;F&amp;CStrona &amp;P z &amp;N&amp;RData i godzina wydruku: &amp;D &amp;T</oddFooter>
  </headerFooter>
  <rowBreaks count="16" manualBreakCount="16">
    <brk id="94" min="1" max="23" man="1"/>
    <brk id="140" min="1" max="23" man="1"/>
    <brk id="191" min="1" max="23" man="1"/>
    <brk id="267" min="1" max="23" man="1"/>
    <brk id="324" min="1" max="23" man="1"/>
    <brk id="351" min="1" max="23" man="1"/>
    <brk id="416" min="1" max="23" man="1"/>
    <brk id="467" min="1" max="23" man="1"/>
    <brk id="514" min="1" max="23" man="1"/>
    <brk id="563" min="1" max="23" man="1"/>
    <brk id="614" min="1" max="23" man="1"/>
    <brk id="656" min="1" max="23" man="1"/>
    <brk id="700" min="1" max="23" man="1"/>
    <brk id="742" min="1" max="23" man="1"/>
    <brk id="785" min="1" max="23" man="1"/>
    <brk id="817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42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83820</xdr:rowOff>
                  </from>
                  <to>
                    <xdr:col>10</xdr:col>
                    <xdr:colOff>114300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Group Box 4">
              <controlPr defaultSize="0" autoFill="0" autoPict="0">
                <anchor moveWithCells="1">
                  <from>
                    <xdr:col>5</xdr:col>
                    <xdr:colOff>99060</xdr:colOff>
                    <xdr:row>15</xdr:row>
                    <xdr:rowOff>68580</xdr:rowOff>
                  </from>
                  <to>
                    <xdr:col>7</xdr:col>
                    <xdr:colOff>693420</xdr:colOff>
                    <xdr:row>17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6" name="Group Box 10">
              <controlPr defaultSize="0" autoFill="0" autoPict="0">
                <anchor moveWithCells="1">
                  <from>
                    <xdr:col>5</xdr:col>
                    <xdr:colOff>106680</xdr:colOff>
                    <xdr:row>23</xdr:row>
                    <xdr:rowOff>68580</xdr:rowOff>
                  </from>
                  <to>
                    <xdr:col>7</xdr:col>
                    <xdr:colOff>701040</xdr:colOff>
                    <xdr:row>25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7" name="Option Button 11">
              <controlPr defaultSize="0" autoFill="0" autoLine="0" autoPict="0">
                <anchor moveWithCells="1">
                  <from>
                    <xdr:col>5</xdr:col>
                    <xdr:colOff>205740</xdr:colOff>
                    <xdr:row>24</xdr:row>
                    <xdr:rowOff>22860</xdr:rowOff>
                  </from>
                  <to>
                    <xdr:col>6</xdr:col>
                    <xdr:colOff>426720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8" name="Option Button 12">
              <controlPr defaultSize="0" autoFill="0" autoLine="0" autoPict="0">
                <anchor moveWithCells="1">
                  <from>
                    <xdr:col>6</xdr:col>
                    <xdr:colOff>434340</xdr:colOff>
                    <xdr:row>24</xdr:row>
                    <xdr:rowOff>22860</xdr:rowOff>
                  </from>
                  <to>
                    <xdr:col>7</xdr:col>
                    <xdr:colOff>662940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9" name="Option Button 13">
              <controlPr defaultSize="0" autoFill="0" autoLine="0" autoPict="0">
                <anchor moveWithCells="1">
                  <from>
                    <xdr:col>5</xdr:col>
                    <xdr:colOff>190500</xdr:colOff>
                    <xdr:row>16</xdr:row>
                    <xdr:rowOff>30480</xdr:rowOff>
                  </from>
                  <to>
                    <xdr:col>6</xdr:col>
                    <xdr:colOff>381000</xdr:colOff>
                    <xdr:row>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0" name="Option Button 14">
              <controlPr defaultSize="0" autoFill="0" autoLine="0" autoPict="0">
                <anchor moveWithCells="1">
                  <from>
                    <xdr:col>6</xdr:col>
                    <xdr:colOff>403860</xdr:colOff>
                    <xdr:row>16</xdr:row>
                    <xdr:rowOff>30480</xdr:rowOff>
                  </from>
                  <to>
                    <xdr:col>7</xdr:col>
                    <xdr:colOff>594360</xdr:colOff>
                    <xdr:row>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1" name="Group Box 15">
              <controlPr defaultSize="0" autoFill="0" autoPict="0">
                <anchor moveWithCells="1">
                  <from>
                    <xdr:col>5</xdr:col>
                    <xdr:colOff>99060</xdr:colOff>
                    <xdr:row>31</xdr:row>
                    <xdr:rowOff>60960</xdr:rowOff>
                  </from>
                  <to>
                    <xdr:col>7</xdr:col>
                    <xdr:colOff>693420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2" name="Option Button 16">
              <controlPr defaultSize="0" autoFill="0" autoLine="0" autoPict="0">
                <anchor moveWithCells="1">
                  <from>
                    <xdr:col>5</xdr:col>
                    <xdr:colOff>198120</xdr:colOff>
                    <xdr:row>32</xdr:row>
                    <xdr:rowOff>15240</xdr:rowOff>
                  </from>
                  <to>
                    <xdr:col>6</xdr:col>
                    <xdr:colOff>419100</xdr:colOff>
                    <xdr:row>33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3" name="Option Button 17">
              <controlPr defaultSize="0" autoFill="0" autoLine="0" autoPict="0">
                <anchor moveWithCells="1">
                  <from>
                    <xdr:col>6</xdr:col>
                    <xdr:colOff>426720</xdr:colOff>
                    <xdr:row>32</xdr:row>
                    <xdr:rowOff>15240</xdr:rowOff>
                  </from>
                  <to>
                    <xdr:col>7</xdr:col>
                    <xdr:colOff>647700</xdr:colOff>
                    <xdr:row>33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4" name="Group Box 18">
              <controlPr defaultSize="0" autoFill="0" autoPict="0">
                <anchor moveWithCells="1">
                  <from>
                    <xdr:col>5</xdr:col>
                    <xdr:colOff>114300</xdr:colOff>
                    <xdr:row>39</xdr:row>
                    <xdr:rowOff>45720</xdr:rowOff>
                  </from>
                  <to>
                    <xdr:col>7</xdr:col>
                    <xdr:colOff>708660</xdr:colOff>
                    <xdr:row>41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5" name="Option Button 19">
              <controlPr defaultSize="0" autoFill="0" autoLine="0" autoPict="0">
                <anchor moveWithCells="1">
                  <from>
                    <xdr:col>5</xdr:col>
                    <xdr:colOff>213360</xdr:colOff>
                    <xdr:row>39</xdr:row>
                    <xdr:rowOff>152400</xdr:rowOff>
                  </from>
                  <to>
                    <xdr:col>6</xdr:col>
                    <xdr:colOff>434340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6" name="Option Button 20">
              <controlPr defaultSize="0" autoFill="0" autoLine="0" autoPict="0">
                <anchor moveWithCells="1">
                  <from>
                    <xdr:col>6</xdr:col>
                    <xdr:colOff>434340</xdr:colOff>
                    <xdr:row>39</xdr:row>
                    <xdr:rowOff>152400</xdr:rowOff>
                  </from>
                  <to>
                    <xdr:col>7</xdr:col>
                    <xdr:colOff>662940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7" name="Group Box 21">
              <controlPr defaultSize="0" autoFill="0" autoPict="0">
                <anchor moveWithCells="1">
                  <from>
                    <xdr:col>5</xdr:col>
                    <xdr:colOff>106680</xdr:colOff>
                    <xdr:row>47</xdr:row>
                    <xdr:rowOff>45720</xdr:rowOff>
                  </from>
                  <to>
                    <xdr:col>7</xdr:col>
                    <xdr:colOff>701040</xdr:colOff>
                    <xdr:row>49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8" name="Option Button 22">
              <controlPr defaultSize="0" autoFill="0" autoLine="0" autoPict="0">
                <anchor moveWithCells="1">
                  <from>
                    <xdr:col>5</xdr:col>
                    <xdr:colOff>205740</xdr:colOff>
                    <xdr:row>48</xdr:row>
                    <xdr:rowOff>0</xdr:rowOff>
                  </from>
                  <to>
                    <xdr:col>6</xdr:col>
                    <xdr:colOff>426720</xdr:colOff>
                    <xdr:row>49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9" name="Option Button 23">
              <controlPr defaultSize="0" autoFill="0" autoLine="0" autoPict="0">
                <anchor moveWithCells="1">
                  <from>
                    <xdr:col>6</xdr:col>
                    <xdr:colOff>426720</xdr:colOff>
                    <xdr:row>48</xdr:row>
                    <xdr:rowOff>0</xdr:rowOff>
                  </from>
                  <to>
                    <xdr:col>7</xdr:col>
                    <xdr:colOff>647700</xdr:colOff>
                    <xdr:row>49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0" name="Group Box 24">
              <controlPr defaultSize="0" autoFill="0" autoPict="0">
                <anchor moveWithCells="1">
                  <from>
                    <xdr:col>5</xdr:col>
                    <xdr:colOff>106680</xdr:colOff>
                    <xdr:row>55</xdr:row>
                    <xdr:rowOff>45720</xdr:rowOff>
                  </from>
                  <to>
                    <xdr:col>7</xdr:col>
                    <xdr:colOff>701040</xdr:colOff>
                    <xdr:row>57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1" name="Option Button 25">
              <controlPr defaultSize="0" autoFill="0" autoLine="0" autoPict="0">
                <anchor moveWithCells="1">
                  <from>
                    <xdr:col>5</xdr:col>
                    <xdr:colOff>205740</xdr:colOff>
                    <xdr:row>56</xdr:row>
                    <xdr:rowOff>7620</xdr:rowOff>
                  </from>
                  <to>
                    <xdr:col>6</xdr:col>
                    <xdr:colOff>426720</xdr:colOff>
                    <xdr:row>57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2" name="Option Button 26">
              <controlPr defaultSize="0" autoFill="0" autoLine="0" autoPict="0">
                <anchor moveWithCells="1">
                  <from>
                    <xdr:col>6</xdr:col>
                    <xdr:colOff>426720</xdr:colOff>
                    <xdr:row>56</xdr:row>
                    <xdr:rowOff>7620</xdr:rowOff>
                  </from>
                  <to>
                    <xdr:col>7</xdr:col>
                    <xdr:colOff>647700</xdr:colOff>
                    <xdr:row>57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3" name="Group Box 27">
              <controlPr defaultSize="0" autoFill="0" autoPict="0">
                <anchor moveWithCells="1">
                  <from>
                    <xdr:col>5</xdr:col>
                    <xdr:colOff>106680</xdr:colOff>
                    <xdr:row>63</xdr:row>
                    <xdr:rowOff>60960</xdr:rowOff>
                  </from>
                  <to>
                    <xdr:col>7</xdr:col>
                    <xdr:colOff>701040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4" name="Option Button 28">
              <controlPr defaultSize="0" autoFill="0" autoLine="0" autoPict="0">
                <anchor moveWithCells="1">
                  <from>
                    <xdr:col>5</xdr:col>
                    <xdr:colOff>205740</xdr:colOff>
                    <xdr:row>64</xdr:row>
                    <xdr:rowOff>22860</xdr:rowOff>
                  </from>
                  <to>
                    <xdr:col>6</xdr:col>
                    <xdr:colOff>426720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5" name="Option Button 29">
              <controlPr defaultSize="0" autoFill="0" autoLine="0" autoPict="0">
                <anchor moveWithCells="1">
                  <from>
                    <xdr:col>6</xdr:col>
                    <xdr:colOff>426720</xdr:colOff>
                    <xdr:row>64</xdr:row>
                    <xdr:rowOff>22860</xdr:rowOff>
                  </from>
                  <to>
                    <xdr:col>7</xdr:col>
                    <xdr:colOff>647700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6" name="Group Box 30">
              <controlPr defaultSize="0" autoFill="0" autoPict="0">
                <anchor moveWithCells="1">
                  <from>
                    <xdr:col>5</xdr:col>
                    <xdr:colOff>91440</xdr:colOff>
                    <xdr:row>71</xdr:row>
                    <xdr:rowOff>60960</xdr:rowOff>
                  </from>
                  <to>
                    <xdr:col>7</xdr:col>
                    <xdr:colOff>693420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7" name="Option Button 31">
              <controlPr defaultSize="0" autoFill="0" autoLine="0" autoPict="0">
                <anchor moveWithCells="1">
                  <from>
                    <xdr:col>5</xdr:col>
                    <xdr:colOff>198120</xdr:colOff>
                    <xdr:row>72</xdr:row>
                    <xdr:rowOff>15240</xdr:rowOff>
                  </from>
                  <to>
                    <xdr:col>6</xdr:col>
                    <xdr:colOff>419100</xdr:colOff>
                    <xdr:row>73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8" name="Option Button 32">
              <controlPr defaultSize="0" autoFill="0" autoLine="0" autoPict="0">
                <anchor moveWithCells="1">
                  <from>
                    <xdr:col>6</xdr:col>
                    <xdr:colOff>419100</xdr:colOff>
                    <xdr:row>72</xdr:row>
                    <xdr:rowOff>15240</xdr:rowOff>
                  </from>
                  <to>
                    <xdr:col>7</xdr:col>
                    <xdr:colOff>640080</xdr:colOff>
                    <xdr:row>73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>
    <pageSetUpPr fitToPage="1"/>
  </sheetPr>
  <dimension ref="A1:Z1218"/>
  <sheetViews>
    <sheetView showGridLines="0" workbookViewId="0"/>
  </sheetViews>
  <sheetFormatPr defaultColWidth="0" defaultRowHeight="12" zeroHeight="1"/>
  <cols>
    <col min="1" max="1" width="2.85546875" style="1" customWidth="1"/>
    <col min="2" max="2" width="47.28515625" style="1" bestFit="1" customWidth="1"/>
    <col min="3" max="4" width="12.7109375" style="1" customWidth="1"/>
    <col min="5" max="7" width="13.7109375" style="1" customWidth="1"/>
    <col min="8" max="8" width="9.85546875" style="255" hidden="1" customWidth="1"/>
    <col min="9" max="9" width="9.85546875" style="1" hidden="1" customWidth="1"/>
    <col min="10" max="24" width="12.85546875" style="1" customWidth="1"/>
    <col min="25" max="25" width="2.85546875" style="1" customWidth="1"/>
    <col min="26" max="26" width="0" style="1" hidden="1" customWidth="1"/>
    <col min="27" max="16384" width="9.28515625" style="1" hidden="1"/>
  </cols>
  <sheetData>
    <row r="1" spans="2:24"/>
    <row r="2" spans="2:24" ht="12" customHeight="1">
      <c r="B2" s="543" t="str">
        <f>IF(ISBLANK(Firma),"Wstaw nazwę firmy w zakładce Dane Firmy",Firma)</f>
        <v>Wstaw nazwę firmy w zakładce Dane Firmy</v>
      </c>
      <c r="C2" s="543"/>
      <c r="D2" s="543"/>
      <c r="E2" s="543"/>
      <c r="F2" s="57"/>
    </row>
    <row r="3" spans="2:24" ht="12" customHeight="1">
      <c r="B3" s="544"/>
      <c r="C3" s="544"/>
      <c r="D3" s="544"/>
      <c r="E3" s="544"/>
      <c r="F3" s="57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4">
      <c r="B12" s="23" t="s">
        <v>265</v>
      </c>
      <c r="C12" s="35"/>
      <c r="D12" s="35"/>
      <c r="E12" s="35"/>
      <c r="F12" s="23"/>
      <c r="G12" s="23"/>
      <c r="H12" s="312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9" t="s">
        <v>701</v>
      </c>
      <c r="C14" s="30"/>
      <c r="D14" s="30"/>
      <c r="E14" s="30"/>
      <c r="F14" s="30"/>
      <c r="G14" s="30"/>
      <c r="H14" s="313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spans="2:24">
      <c r="B15" s="304"/>
      <c r="C15" s="95"/>
      <c r="D15" s="19"/>
      <c r="E15" s="19"/>
      <c r="F15" s="19"/>
      <c r="G15" s="19"/>
      <c r="H15" s="314"/>
      <c r="I15" s="19"/>
      <c r="J15" s="95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</row>
    <row r="16" spans="2:24">
      <c r="B16" s="305"/>
      <c r="C16" s="79"/>
      <c r="D16" s="52"/>
      <c r="E16" s="52"/>
      <c r="F16" s="52"/>
      <c r="G16" s="52"/>
      <c r="H16" s="316"/>
      <c r="I16" s="52"/>
      <c r="J16" s="52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</row>
    <row r="17" spans="2:26">
      <c r="B17" s="305"/>
      <c r="C17" s="52"/>
      <c r="D17" s="52"/>
      <c r="E17" s="52"/>
      <c r="F17" s="52"/>
      <c r="G17" s="52"/>
      <c r="H17" s="316"/>
      <c r="I17" s="52"/>
      <c r="J17" s="52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</row>
    <row r="18" spans="2:26">
      <c r="B18" s="305"/>
      <c r="C18" s="52"/>
      <c r="D18" s="52"/>
      <c r="E18" s="52"/>
      <c r="F18" s="52"/>
      <c r="G18" s="52"/>
      <c r="H18" s="316"/>
      <c r="I18" s="52"/>
      <c r="J18" s="52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</row>
    <row r="19" spans="2:26">
      <c r="B19" s="306"/>
      <c r="C19" s="90"/>
      <c r="D19" s="90"/>
      <c r="E19" s="90"/>
      <c r="F19" s="90"/>
      <c r="G19" s="90"/>
      <c r="H19" s="315"/>
      <c r="I19" s="90"/>
      <c r="J19" s="90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</row>
    <row r="20" spans="2:26">
      <c r="B20" s="179" t="s">
        <v>447</v>
      </c>
      <c r="C20" s="180"/>
      <c r="D20" s="180"/>
      <c r="E20" s="180"/>
      <c r="F20" s="180"/>
      <c r="G20" s="180"/>
      <c r="H20" s="319"/>
      <c r="I20" s="180"/>
      <c r="J20" s="180"/>
      <c r="K20" s="181">
        <f>ROUND(SUM(K15:K19),0)</f>
        <v>0</v>
      </c>
      <c r="L20" s="181">
        <f t="shared" ref="L20:X20" si="0">ROUND(SUM(L15:L19),0)</f>
        <v>0</v>
      </c>
      <c r="M20" s="181">
        <f t="shared" si="0"/>
        <v>0</v>
      </c>
      <c r="N20" s="181">
        <f t="shared" si="0"/>
        <v>0</v>
      </c>
      <c r="O20" s="181">
        <f t="shared" si="0"/>
        <v>0</v>
      </c>
      <c r="P20" s="181">
        <f t="shared" si="0"/>
        <v>0</v>
      </c>
      <c r="Q20" s="181">
        <f t="shared" si="0"/>
        <v>0</v>
      </c>
      <c r="R20" s="181">
        <f t="shared" si="0"/>
        <v>0</v>
      </c>
      <c r="S20" s="181">
        <f t="shared" si="0"/>
        <v>0</v>
      </c>
      <c r="T20" s="181">
        <f t="shared" si="0"/>
        <v>0</v>
      </c>
      <c r="U20" s="181">
        <f t="shared" si="0"/>
        <v>0</v>
      </c>
      <c r="V20" s="181">
        <f t="shared" si="0"/>
        <v>0</v>
      </c>
      <c r="W20" s="181">
        <f t="shared" si="0"/>
        <v>0</v>
      </c>
      <c r="X20" s="181">
        <f t="shared" si="0"/>
        <v>0</v>
      </c>
    </row>
    <row r="21" spans="2:26"/>
    <row r="22" spans="2:26">
      <c r="B22" s="7" t="s">
        <v>448</v>
      </c>
      <c r="J22" s="13">
        <f>IF(ISBLANK(DaneBiezace),ROUND('Sprawozdania finansowe'!E141,0),ROUND('Sprawozdania finansowe'!F141,0))</f>
        <v>0</v>
      </c>
      <c r="K22" s="5">
        <f>ROUND(J22-K20,0)</f>
        <v>0</v>
      </c>
      <c r="L22" s="5">
        <f t="shared" ref="L22:X22" si="1">ROUND(K22-L20,0)</f>
        <v>0</v>
      </c>
      <c r="M22" s="5">
        <f t="shared" si="1"/>
        <v>0</v>
      </c>
      <c r="N22" s="5">
        <f t="shared" si="1"/>
        <v>0</v>
      </c>
      <c r="O22" s="5">
        <f t="shared" si="1"/>
        <v>0</v>
      </c>
      <c r="P22" s="5">
        <f t="shared" si="1"/>
        <v>0</v>
      </c>
      <c r="Q22" s="5">
        <f t="shared" si="1"/>
        <v>0</v>
      </c>
      <c r="R22" s="5">
        <f t="shared" si="1"/>
        <v>0</v>
      </c>
      <c r="S22" s="5">
        <f t="shared" si="1"/>
        <v>0</v>
      </c>
      <c r="T22" s="5">
        <f t="shared" si="1"/>
        <v>0</v>
      </c>
      <c r="U22" s="5">
        <f t="shared" si="1"/>
        <v>0</v>
      </c>
      <c r="V22" s="5">
        <f t="shared" si="1"/>
        <v>0</v>
      </c>
      <c r="W22" s="5">
        <f t="shared" si="1"/>
        <v>0</v>
      </c>
      <c r="X22" s="5">
        <f t="shared" si="1"/>
        <v>0</v>
      </c>
    </row>
    <row r="23" spans="2:26"/>
    <row r="24" spans="2:26"/>
    <row r="25" spans="2:26" ht="14.4">
      <c r="B25" s="32" t="s">
        <v>294</v>
      </c>
      <c r="C25" s="36"/>
      <c r="D25" s="36"/>
      <c r="E25" s="36"/>
      <c r="F25" s="36"/>
      <c r="G25" s="36"/>
      <c r="H25" s="320"/>
      <c r="I25" s="36"/>
      <c r="J25" s="36"/>
      <c r="K25" s="32" t="str">
        <f t="shared" ref="K25:X25" si="2">K12</f>
        <v>Uzupełnij dane</v>
      </c>
      <c r="L25" s="32" t="str">
        <f t="shared" si="2"/>
        <v/>
      </c>
      <c r="M25" s="32" t="str">
        <f t="shared" si="2"/>
        <v/>
      </c>
      <c r="N25" s="32" t="str">
        <f t="shared" si="2"/>
        <v/>
      </c>
      <c r="O25" s="32" t="str">
        <f t="shared" si="2"/>
        <v/>
      </c>
      <c r="P25" s="32" t="str">
        <f t="shared" si="2"/>
        <v/>
      </c>
      <c r="Q25" s="32" t="str">
        <f t="shared" si="2"/>
        <v/>
      </c>
      <c r="R25" s="32" t="str">
        <f t="shared" si="2"/>
        <v/>
      </c>
      <c r="S25" s="32" t="str">
        <f t="shared" si="2"/>
        <v/>
      </c>
      <c r="T25" s="32" t="str">
        <f t="shared" si="2"/>
        <v/>
      </c>
      <c r="U25" s="32" t="str">
        <f t="shared" si="2"/>
        <v/>
      </c>
      <c r="V25" s="32" t="str">
        <f t="shared" si="2"/>
        <v/>
      </c>
      <c r="W25" s="32" t="str">
        <f t="shared" si="2"/>
        <v/>
      </c>
      <c r="X25" s="32" t="str">
        <f t="shared" si="2"/>
        <v/>
      </c>
    </row>
    <row r="26" spans="2:26"/>
    <row r="27" spans="2:26" ht="24">
      <c r="B27" s="228" t="s">
        <v>381</v>
      </c>
      <c r="C27" s="229" t="s">
        <v>406</v>
      </c>
      <c r="D27" s="230" t="s">
        <v>407</v>
      </c>
      <c r="E27" s="230" t="s">
        <v>408</v>
      </c>
      <c r="F27" s="230" t="s">
        <v>409</v>
      </c>
      <c r="G27" s="230" t="s">
        <v>449</v>
      </c>
      <c r="H27" s="313"/>
      <c r="I27" s="231"/>
      <c r="J27" s="530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</row>
    <row r="28" spans="2:26">
      <c r="B28" s="104" t="str">
        <f>IF(ISBLANK('Środki trwałe'!B195),"",'Środki trwałe'!B195)</f>
        <v/>
      </c>
      <c r="C28" s="103">
        <f>IF(ISBLANK('Środki trwałe'!D195),"",'Środki trwałe'!D195)</f>
        <v>0</v>
      </c>
      <c r="D28" s="246" t="str">
        <f>IF(ISBLANK('Środki trwałe'!E195),"",'Środki trwałe'!E195)</f>
        <v/>
      </c>
      <c r="E28" s="198">
        <f>IFERROR(ROUND(F28/C28,3),0)</f>
        <v>0</v>
      </c>
      <c r="F28" s="95">
        <f>MAX('Koszty operacyjne'!K1406:X1406)</f>
        <v>0</v>
      </c>
      <c r="G28" s="103"/>
      <c r="H28" s="317"/>
      <c r="I28" s="102"/>
      <c r="J28" s="524" t="str">
        <f>'Środki trwałe'!C195</f>
        <v/>
      </c>
      <c r="K28" s="103">
        <f t="shared" ref="K28:X49" si="3">IFERROR(ROUND(IF(AND(YEAR($D28)=LataProjekcji,$F28&gt;0),$F28,0),0),0)</f>
        <v>0</v>
      </c>
      <c r="L28" s="103">
        <f t="shared" si="3"/>
        <v>0</v>
      </c>
      <c r="M28" s="103">
        <f t="shared" si="3"/>
        <v>0</v>
      </c>
      <c r="N28" s="103">
        <f t="shared" si="3"/>
        <v>0</v>
      </c>
      <c r="O28" s="103">
        <f t="shared" si="3"/>
        <v>0</v>
      </c>
      <c r="P28" s="103">
        <f t="shared" si="3"/>
        <v>0</v>
      </c>
      <c r="Q28" s="103">
        <f t="shared" si="3"/>
        <v>0</v>
      </c>
      <c r="R28" s="103">
        <f t="shared" si="3"/>
        <v>0</v>
      </c>
      <c r="S28" s="103">
        <f t="shared" si="3"/>
        <v>0</v>
      </c>
      <c r="T28" s="103">
        <f t="shared" si="3"/>
        <v>0</v>
      </c>
      <c r="U28" s="103">
        <f t="shared" si="3"/>
        <v>0</v>
      </c>
      <c r="V28" s="103">
        <f t="shared" si="3"/>
        <v>0</v>
      </c>
      <c r="W28" s="103">
        <f t="shared" si="3"/>
        <v>0</v>
      </c>
      <c r="X28" s="103">
        <f t="shared" si="3"/>
        <v>0</v>
      </c>
      <c r="Z28" s="332"/>
    </row>
    <row r="29" spans="2:26">
      <c r="B29" s="37" t="str">
        <f>IF(ISBLANK('Środki trwałe'!B196),"",'Środki trwałe'!B196)</f>
        <v/>
      </c>
      <c r="C29" s="33">
        <f>IF(ISBLANK('Środki trwałe'!D196),"",'Środki trwałe'!D196)</f>
        <v>0</v>
      </c>
      <c r="D29" s="246" t="str">
        <f>IF(ISBLANK('Środki trwałe'!E196),"",'Środki trwałe'!E196)</f>
        <v/>
      </c>
      <c r="E29" s="198">
        <f ca="1">IF(AND('Środki trwałe'!F1119="tak",'Środki trwałe'!G1119="nie"),'Środki trwałe'!H1119,0)</f>
        <v>0</v>
      </c>
      <c r="F29" s="95">
        <f ca="1">IFERROR(IF(E29=0,0,ROUND(E29*C29,0)),0)</f>
        <v>0</v>
      </c>
      <c r="G29" s="33"/>
      <c r="H29" s="316"/>
      <c r="I29" s="52"/>
      <c r="J29" s="525" t="str">
        <f>'Środki trwałe'!C196</f>
        <v/>
      </c>
      <c r="K29" s="33">
        <f t="shared" ca="1" si="3"/>
        <v>0</v>
      </c>
      <c r="L29" s="33">
        <f t="shared" ca="1" si="3"/>
        <v>0</v>
      </c>
      <c r="M29" s="33">
        <f t="shared" ca="1" si="3"/>
        <v>0</v>
      </c>
      <c r="N29" s="33">
        <f t="shared" ca="1" si="3"/>
        <v>0</v>
      </c>
      <c r="O29" s="33">
        <f t="shared" ca="1" si="3"/>
        <v>0</v>
      </c>
      <c r="P29" s="33">
        <f t="shared" ca="1" si="3"/>
        <v>0</v>
      </c>
      <c r="Q29" s="33">
        <f t="shared" ca="1" si="3"/>
        <v>0</v>
      </c>
      <c r="R29" s="33">
        <f t="shared" ca="1" si="3"/>
        <v>0</v>
      </c>
      <c r="S29" s="33">
        <f t="shared" ca="1" si="3"/>
        <v>0</v>
      </c>
      <c r="T29" s="33">
        <f t="shared" ca="1" si="3"/>
        <v>0</v>
      </c>
      <c r="U29" s="33">
        <f t="shared" ca="1" si="3"/>
        <v>0</v>
      </c>
      <c r="V29" s="33">
        <f t="shared" ca="1" si="3"/>
        <v>0</v>
      </c>
      <c r="W29" s="33">
        <f t="shared" ca="1" si="3"/>
        <v>0</v>
      </c>
      <c r="X29" s="33">
        <f t="shared" ca="1" si="3"/>
        <v>0</v>
      </c>
    </row>
    <row r="30" spans="2:26">
      <c r="B30" s="37" t="str">
        <f>IF(ISBLANK('Środki trwałe'!B197),"",'Środki trwałe'!B197)</f>
        <v/>
      </c>
      <c r="C30" s="33" t="str">
        <f>IF(ISBLANK('Środki trwałe'!D197),"",'Środki trwałe'!D197)</f>
        <v/>
      </c>
      <c r="D30" s="246" t="str">
        <f>IF(ISBLANK('Środki trwałe'!E197),"",'Środki trwałe'!E197)</f>
        <v/>
      </c>
      <c r="E30" s="198">
        <f>IF(AND('Środki trwałe'!F197="tak",'Środki trwałe'!G197="nie"),'Środki trwałe'!H197,0)</f>
        <v>0</v>
      </c>
      <c r="F30" s="95">
        <f>IFERROR(IF(E30=0,0,ROUND(E30*C30,0)),0)</f>
        <v>0</v>
      </c>
      <c r="G30" s="33">
        <f>IF(AND('Środki trwałe'!F197="tak",'Środki trwałe'!G197="tak"),'Środki trwałe'!I197,0)</f>
        <v>0</v>
      </c>
      <c r="H30" s="316"/>
      <c r="I30" s="52"/>
      <c r="J30" s="525" t="str">
        <f>IF(ISBLANK('Środki trwałe'!C197),"",'Środki trwałe'!C197)</f>
        <v/>
      </c>
      <c r="K30" s="33">
        <f t="shared" si="3"/>
        <v>0</v>
      </c>
      <c r="L30" s="33">
        <f t="shared" si="3"/>
        <v>0</v>
      </c>
      <c r="M30" s="33">
        <f t="shared" si="3"/>
        <v>0</v>
      </c>
      <c r="N30" s="33">
        <f t="shared" si="3"/>
        <v>0</v>
      </c>
      <c r="O30" s="33">
        <f t="shared" si="3"/>
        <v>0</v>
      </c>
      <c r="P30" s="33">
        <f t="shared" si="3"/>
        <v>0</v>
      </c>
      <c r="Q30" s="33">
        <f t="shared" si="3"/>
        <v>0</v>
      </c>
      <c r="R30" s="33">
        <f t="shared" si="3"/>
        <v>0</v>
      </c>
      <c r="S30" s="33">
        <f t="shared" si="3"/>
        <v>0</v>
      </c>
      <c r="T30" s="33">
        <f t="shared" si="3"/>
        <v>0</v>
      </c>
      <c r="U30" s="33">
        <f t="shared" si="3"/>
        <v>0</v>
      </c>
      <c r="V30" s="33">
        <f t="shared" si="3"/>
        <v>0</v>
      </c>
      <c r="W30" s="33">
        <f t="shared" si="3"/>
        <v>0</v>
      </c>
      <c r="X30" s="33">
        <f t="shared" si="3"/>
        <v>0</v>
      </c>
    </row>
    <row r="31" spans="2:26">
      <c r="B31" s="37" t="str">
        <f>IF(ISBLANK('Środki trwałe'!B198),"",'Środki trwałe'!B198)</f>
        <v/>
      </c>
      <c r="C31" s="33" t="str">
        <f>IF(ISBLANK('Środki trwałe'!D198),"",'Środki trwałe'!D198)</f>
        <v/>
      </c>
      <c r="D31" s="246" t="str">
        <f>IF(ISBLANK('Środki trwałe'!E198),"",'Środki trwałe'!E198)</f>
        <v/>
      </c>
      <c r="E31" s="198">
        <f>IF(AND('Środki trwałe'!F198="tak",'Środki trwałe'!G198="nie"),'Środki trwałe'!H198,0)</f>
        <v>0</v>
      </c>
      <c r="F31" s="95">
        <f>IFERROR(IF(E31=0,0,ROUND(E31*C31,0)),0)</f>
        <v>0</v>
      </c>
      <c r="G31" s="33">
        <f>IF(AND('Środki trwałe'!F198="tak",'Środki trwałe'!G198="tak"),'Środki trwałe'!I198,0)</f>
        <v>0</v>
      </c>
      <c r="H31" s="316"/>
      <c r="I31" s="52"/>
      <c r="J31" s="525" t="str">
        <f>IF(ISBLANK('Środki trwałe'!C198),"",'Środki trwałe'!C198)</f>
        <v/>
      </c>
      <c r="K31" s="33">
        <f t="shared" si="3"/>
        <v>0</v>
      </c>
      <c r="L31" s="33">
        <f t="shared" si="3"/>
        <v>0</v>
      </c>
      <c r="M31" s="33">
        <f t="shared" si="3"/>
        <v>0</v>
      </c>
      <c r="N31" s="33">
        <f t="shared" si="3"/>
        <v>0</v>
      </c>
      <c r="O31" s="33">
        <f t="shared" si="3"/>
        <v>0</v>
      </c>
      <c r="P31" s="33">
        <f t="shared" si="3"/>
        <v>0</v>
      </c>
      <c r="Q31" s="33">
        <f t="shared" si="3"/>
        <v>0</v>
      </c>
      <c r="R31" s="33">
        <f t="shared" si="3"/>
        <v>0</v>
      </c>
      <c r="S31" s="33">
        <f t="shared" si="3"/>
        <v>0</v>
      </c>
      <c r="T31" s="33">
        <f t="shared" si="3"/>
        <v>0</v>
      </c>
      <c r="U31" s="33">
        <f t="shared" si="3"/>
        <v>0</v>
      </c>
      <c r="V31" s="33">
        <f t="shared" si="3"/>
        <v>0</v>
      </c>
      <c r="W31" s="33">
        <f t="shared" si="3"/>
        <v>0</v>
      </c>
      <c r="X31" s="33">
        <f t="shared" si="3"/>
        <v>0</v>
      </c>
    </row>
    <row r="32" spans="2:26">
      <c r="B32" s="37" t="str">
        <f>IF(ISBLANK('Środki trwałe'!B199),"",'Środki trwałe'!B199)</f>
        <v/>
      </c>
      <c r="C32" s="33" t="str">
        <f>IF(ISBLANK('Środki trwałe'!D199),"",'Środki trwałe'!D199)</f>
        <v/>
      </c>
      <c r="D32" s="246" t="str">
        <f>IF(ISBLANK('Środki trwałe'!E199),"",'Środki trwałe'!E199)</f>
        <v/>
      </c>
      <c r="E32" s="198">
        <f>IF(AND('Środki trwałe'!F199="tak",'Środki trwałe'!G199="nie"),'Środki trwałe'!H199,0)</f>
        <v>0</v>
      </c>
      <c r="F32" s="95">
        <f t="shared" ref="F32:F48" si="4">IFERROR(IF(E32=0,0,ROUND(E32*C32,0)),0)</f>
        <v>0</v>
      </c>
      <c r="G32" s="33">
        <f>IF(AND('Środki trwałe'!F199="tak",'Środki trwałe'!G199="tak"),'Środki trwałe'!I199,0)</f>
        <v>0</v>
      </c>
      <c r="H32" s="316"/>
      <c r="I32" s="52"/>
      <c r="J32" s="525" t="str">
        <f>IF(ISBLANK('Środki trwałe'!C199),"",'Środki trwałe'!C199)</f>
        <v/>
      </c>
      <c r="K32" s="33">
        <f t="shared" si="3"/>
        <v>0</v>
      </c>
      <c r="L32" s="33">
        <f t="shared" si="3"/>
        <v>0</v>
      </c>
      <c r="M32" s="33">
        <f t="shared" si="3"/>
        <v>0</v>
      </c>
      <c r="N32" s="33">
        <f t="shared" si="3"/>
        <v>0</v>
      </c>
      <c r="O32" s="33">
        <f t="shared" si="3"/>
        <v>0</v>
      </c>
      <c r="P32" s="33">
        <f t="shared" si="3"/>
        <v>0</v>
      </c>
      <c r="Q32" s="33">
        <f t="shared" si="3"/>
        <v>0</v>
      </c>
      <c r="R32" s="33">
        <f t="shared" si="3"/>
        <v>0</v>
      </c>
      <c r="S32" s="33">
        <f t="shared" si="3"/>
        <v>0</v>
      </c>
      <c r="T32" s="33">
        <f t="shared" si="3"/>
        <v>0</v>
      </c>
      <c r="U32" s="33">
        <f t="shared" si="3"/>
        <v>0</v>
      </c>
      <c r="V32" s="33">
        <f t="shared" si="3"/>
        <v>0</v>
      </c>
      <c r="W32" s="33">
        <f t="shared" si="3"/>
        <v>0</v>
      </c>
      <c r="X32" s="33">
        <f t="shared" si="3"/>
        <v>0</v>
      </c>
    </row>
    <row r="33" spans="2:24">
      <c r="B33" s="37" t="str">
        <f>IF(ISBLANK('Środki trwałe'!B200),"",'Środki trwałe'!B200)</f>
        <v/>
      </c>
      <c r="C33" s="33" t="str">
        <f>IF(ISBLANK('Środki trwałe'!D200),"",'Środki trwałe'!D200)</f>
        <v/>
      </c>
      <c r="D33" s="246" t="str">
        <f>IF(ISBLANK('Środki trwałe'!E200),"",'Środki trwałe'!E200)</f>
        <v/>
      </c>
      <c r="E33" s="198">
        <f>IF(AND('Środki trwałe'!F200="tak",'Środki trwałe'!G200="nie"),'Środki trwałe'!H200,0)</f>
        <v>0</v>
      </c>
      <c r="F33" s="95">
        <f t="shared" si="4"/>
        <v>0</v>
      </c>
      <c r="G33" s="33">
        <f>IF(AND('Środki trwałe'!F200="tak",'Środki trwałe'!G200="tak"),'Środki trwałe'!I200,0)</f>
        <v>0</v>
      </c>
      <c r="H33" s="316"/>
      <c r="I33" s="52"/>
      <c r="J33" s="525" t="str">
        <f>IF(ISBLANK('Środki trwałe'!C200),"",'Środki trwałe'!C200)</f>
        <v/>
      </c>
      <c r="K33" s="33">
        <f t="shared" si="3"/>
        <v>0</v>
      </c>
      <c r="L33" s="33">
        <f t="shared" si="3"/>
        <v>0</v>
      </c>
      <c r="M33" s="33">
        <f t="shared" si="3"/>
        <v>0</v>
      </c>
      <c r="N33" s="33">
        <f t="shared" si="3"/>
        <v>0</v>
      </c>
      <c r="O33" s="33">
        <f t="shared" si="3"/>
        <v>0</v>
      </c>
      <c r="P33" s="33">
        <f t="shared" si="3"/>
        <v>0</v>
      </c>
      <c r="Q33" s="33">
        <f t="shared" si="3"/>
        <v>0</v>
      </c>
      <c r="R33" s="33">
        <f t="shared" si="3"/>
        <v>0</v>
      </c>
      <c r="S33" s="33">
        <f t="shared" si="3"/>
        <v>0</v>
      </c>
      <c r="T33" s="33">
        <f t="shared" si="3"/>
        <v>0</v>
      </c>
      <c r="U33" s="33">
        <f t="shared" si="3"/>
        <v>0</v>
      </c>
      <c r="V33" s="33">
        <f t="shared" si="3"/>
        <v>0</v>
      </c>
      <c r="W33" s="33">
        <f t="shared" si="3"/>
        <v>0</v>
      </c>
      <c r="X33" s="33">
        <f t="shared" si="3"/>
        <v>0</v>
      </c>
    </row>
    <row r="34" spans="2:24">
      <c r="B34" s="37" t="str">
        <f>IF(ISBLANK('Środki trwałe'!B201),"",'Środki trwałe'!B201)</f>
        <v/>
      </c>
      <c r="C34" s="33" t="str">
        <f>IF(ISBLANK('Środki trwałe'!D201),"",'Środki trwałe'!D201)</f>
        <v/>
      </c>
      <c r="D34" s="246" t="str">
        <f>IF(ISBLANK('Środki trwałe'!E201),"",'Środki trwałe'!E201)</f>
        <v/>
      </c>
      <c r="E34" s="198">
        <f>IF(AND('Środki trwałe'!F201="tak",'Środki trwałe'!G201="nie"),'Środki trwałe'!H201,0)</f>
        <v>0</v>
      </c>
      <c r="F34" s="95">
        <f t="shared" si="4"/>
        <v>0</v>
      </c>
      <c r="G34" s="33">
        <f>IF(AND('Środki trwałe'!F201="tak",'Środki trwałe'!G201="tak"),'Środki trwałe'!I201,0)</f>
        <v>0</v>
      </c>
      <c r="H34" s="316"/>
      <c r="I34" s="52"/>
      <c r="J34" s="525" t="str">
        <f>IF(ISBLANK('Środki trwałe'!C201),"",'Środki trwałe'!C201)</f>
        <v/>
      </c>
      <c r="K34" s="33">
        <f t="shared" si="3"/>
        <v>0</v>
      </c>
      <c r="L34" s="33">
        <f t="shared" si="3"/>
        <v>0</v>
      </c>
      <c r="M34" s="33">
        <f t="shared" si="3"/>
        <v>0</v>
      </c>
      <c r="N34" s="33">
        <f t="shared" si="3"/>
        <v>0</v>
      </c>
      <c r="O34" s="33">
        <f t="shared" si="3"/>
        <v>0</v>
      </c>
      <c r="P34" s="33">
        <f t="shared" si="3"/>
        <v>0</v>
      </c>
      <c r="Q34" s="33">
        <f t="shared" si="3"/>
        <v>0</v>
      </c>
      <c r="R34" s="33">
        <f t="shared" si="3"/>
        <v>0</v>
      </c>
      <c r="S34" s="33">
        <f t="shared" si="3"/>
        <v>0</v>
      </c>
      <c r="T34" s="33">
        <f t="shared" si="3"/>
        <v>0</v>
      </c>
      <c r="U34" s="33">
        <f t="shared" si="3"/>
        <v>0</v>
      </c>
      <c r="V34" s="33">
        <f t="shared" si="3"/>
        <v>0</v>
      </c>
      <c r="W34" s="33">
        <f t="shared" si="3"/>
        <v>0</v>
      </c>
      <c r="X34" s="33">
        <f t="shared" si="3"/>
        <v>0</v>
      </c>
    </row>
    <row r="35" spans="2:24">
      <c r="B35" s="37" t="str">
        <f>IF(ISBLANK('Środki trwałe'!B202),"",'Środki trwałe'!B202)</f>
        <v/>
      </c>
      <c r="C35" s="33" t="str">
        <f>IF(ISBLANK('Środki trwałe'!D202),"",'Środki trwałe'!D202)</f>
        <v/>
      </c>
      <c r="D35" s="246" t="str">
        <f>IF(ISBLANK('Środki trwałe'!E202),"",'Środki trwałe'!E202)</f>
        <v/>
      </c>
      <c r="E35" s="198">
        <f>IF(AND('Środki trwałe'!F202="tak",'Środki trwałe'!G202="nie"),'Środki trwałe'!H202,0)</f>
        <v>0</v>
      </c>
      <c r="F35" s="95">
        <f t="shared" si="4"/>
        <v>0</v>
      </c>
      <c r="G35" s="33">
        <f>IF(AND('Środki trwałe'!F202="tak",'Środki trwałe'!G202="tak"),'Środki trwałe'!I202,0)</f>
        <v>0</v>
      </c>
      <c r="H35" s="316"/>
      <c r="I35" s="52"/>
      <c r="J35" s="525" t="str">
        <f>IF(ISBLANK('Środki trwałe'!C202),"",'Środki trwałe'!C202)</f>
        <v/>
      </c>
      <c r="K35" s="33">
        <f t="shared" si="3"/>
        <v>0</v>
      </c>
      <c r="L35" s="33">
        <f t="shared" si="3"/>
        <v>0</v>
      </c>
      <c r="M35" s="33">
        <f t="shared" si="3"/>
        <v>0</v>
      </c>
      <c r="N35" s="33">
        <f t="shared" si="3"/>
        <v>0</v>
      </c>
      <c r="O35" s="33">
        <f t="shared" si="3"/>
        <v>0</v>
      </c>
      <c r="P35" s="33">
        <f t="shared" si="3"/>
        <v>0</v>
      </c>
      <c r="Q35" s="33">
        <f t="shared" si="3"/>
        <v>0</v>
      </c>
      <c r="R35" s="33">
        <f t="shared" si="3"/>
        <v>0</v>
      </c>
      <c r="S35" s="33">
        <f t="shared" si="3"/>
        <v>0</v>
      </c>
      <c r="T35" s="33">
        <f t="shared" si="3"/>
        <v>0</v>
      </c>
      <c r="U35" s="33">
        <f t="shared" si="3"/>
        <v>0</v>
      </c>
      <c r="V35" s="33">
        <f t="shared" si="3"/>
        <v>0</v>
      </c>
      <c r="W35" s="33">
        <f t="shared" si="3"/>
        <v>0</v>
      </c>
      <c r="X35" s="33">
        <f t="shared" si="3"/>
        <v>0</v>
      </c>
    </row>
    <row r="36" spans="2:24">
      <c r="B36" s="37" t="str">
        <f>IF(ISBLANK('Środki trwałe'!B203),"",'Środki trwałe'!B203)</f>
        <v/>
      </c>
      <c r="C36" s="33" t="str">
        <f>IF(ISBLANK('Środki trwałe'!D203),"",'Środki trwałe'!D203)</f>
        <v/>
      </c>
      <c r="D36" s="246" t="str">
        <f>IF(ISBLANK('Środki trwałe'!E203),"",'Środki trwałe'!E203)</f>
        <v/>
      </c>
      <c r="E36" s="198">
        <f>IF(AND('Środki trwałe'!F203="tak",'Środki trwałe'!G203="nie"),'Środki trwałe'!H203,0)</f>
        <v>0</v>
      </c>
      <c r="F36" s="95">
        <f t="shared" si="4"/>
        <v>0</v>
      </c>
      <c r="G36" s="33">
        <f>IF(AND('Środki trwałe'!F203="tak",'Środki trwałe'!G203="tak"),'Środki trwałe'!I203,0)</f>
        <v>0</v>
      </c>
      <c r="H36" s="316"/>
      <c r="I36" s="52"/>
      <c r="J36" s="525" t="str">
        <f>IF(ISBLANK('Środki trwałe'!C203),"",'Środki trwałe'!C203)</f>
        <v/>
      </c>
      <c r="K36" s="33">
        <f t="shared" si="3"/>
        <v>0</v>
      </c>
      <c r="L36" s="33">
        <f t="shared" si="3"/>
        <v>0</v>
      </c>
      <c r="M36" s="33">
        <f t="shared" si="3"/>
        <v>0</v>
      </c>
      <c r="N36" s="33">
        <f t="shared" si="3"/>
        <v>0</v>
      </c>
      <c r="O36" s="33">
        <f t="shared" si="3"/>
        <v>0</v>
      </c>
      <c r="P36" s="33">
        <f t="shared" si="3"/>
        <v>0</v>
      </c>
      <c r="Q36" s="33">
        <f t="shared" si="3"/>
        <v>0</v>
      </c>
      <c r="R36" s="33">
        <f t="shared" si="3"/>
        <v>0</v>
      </c>
      <c r="S36" s="33">
        <f t="shared" si="3"/>
        <v>0</v>
      </c>
      <c r="T36" s="33">
        <f t="shared" si="3"/>
        <v>0</v>
      </c>
      <c r="U36" s="33">
        <f t="shared" si="3"/>
        <v>0</v>
      </c>
      <c r="V36" s="33">
        <f t="shared" si="3"/>
        <v>0</v>
      </c>
      <c r="W36" s="33">
        <f t="shared" si="3"/>
        <v>0</v>
      </c>
      <c r="X36" s="33">
        <f t="shared" si="3"/>
        <v>0</v>
      </c>
    </row>
    <row r="37" spans="2:24">
      <c r="B37" s="37" t="str">
        <f>IF(ISBLANK('Środki trwałe'!B204),"",'Środki trwałe'!B204)</f>
        <v/>
      </c>
      <c r="C37" s="33" t="str">
        <f>IF(ISBLANK('Środki trwałe'!D204),"",'Środki trwałe'!D204)</f>
        <v/>
      </c>
      <c r="D37" s="246" t="str">
        <f>IF(ISBLANK('Środki trwałe'!E204),"",'Środki trwałe'!E204)</f>
        <v/>
      </c>
      <c r="E37" s="198">
        <f>IF(AND('Środki trwałe'!F204="tak",'Środki trwałe'!G204="nie"),'Środki trwałe'!H204,0)</f>
        <v>0</v>
      </c>
      <c r="F37" s="95">
        <f t="shared" si="4"/>
        <v>0</v>
      </c>
      <c r="G37" s="33">
        <f>IF(AND('Środki trwałe'!F204="tak",'Środki trwałe'!G204="tak"),'Środki trwałe'!I204,0)</f>
        <v>0</v>
      </c>
      <c r="H37" s="316"/>
      <c r="I37" s="52"/>
      <c r="J37" s="525" t="str">
        <f>IF(ISBLANK('Środki trwałe'!C204),"",'Środki trwałe'!C204)</f>
        <v/>
      </c>
      <c r="K37" s="33">
        <f t="shared" si="3"/>
        <v>0</v>
      </c>
      <c r="L37" s="33">
        <f t="shared" si="3"/>
        <v>0</v>
      </c>
      <c r="M37" s="33">
        <f t="shared" si="3"/>
        <v>0</v>
      </c>
      <c r="N37" s="33">
        <f t="shared" si="3"/>
        <v>0</v>
      </c>
      <c r="O37" s="33">
        <f t="shared" si="3"/>
        <v>0</v>
      </c>
      <c r="P37" s="33">
        <f t="shared" si="3"/>
        <v>0</v>
      </c>
      <c r="Q37" s="33">
        <f t="shared" si="3"/>
        <v>0</v>
      </c>
      <c r="R37" s="33">
        <f t="shared" si="3"/>
        <v>0</v>
      </c>
      <c r="S37" s="33">
        <f t="shared" si="3"/>
        <v>0</v>
      </c>
      <c r="T37" s="33">
        <f t="shared" si="3"/>
        <v>0</v>
      </c>
      <c r="U37" s="33">
        <f t="shared" si="3"/>
        <v>0</v>
      </c>
      <c r="V37" s="33">
        <f t="shared" si="3"/>
        <v>0</v>
      </c>
      <c r="W37" s="33">
        <f t="shared" si="3"/>
        <v>0</v>
      </c>
      <c r="X37" s="33">
        <f t="shared" si="3"/>
        <v>0</v>
      </c>
    </row>
    <row r="38" spans="2:24">
      <c r="B38" s="37" t="str">
        <f>IF(ISBLANK('Środki trwałe'!B205),"",'Środki trwałe'!B205)</f>
        <v/>
      </c>
      <c r="C38" s="33" t="str">
        <f>IF(ISBLANK('Środki trwałe'!D205),"",'Środki trwałe'!D205)</f>
        <v/>
      </c>
      <c r="D38" s="246" t="str">
        <f>IF(ISBLANK('Środki trwałe'!E205),"",'Środki trwałe'!E205)</f>
        <v/>
      </c>
      <c r="E38" s="198">
        <f>IF(AND('Środki trwałe'!F205="tak",'Środki trwałe'!G205="nie"),'Środki trwałe'!H205,0)</f>
        <v>0</v>
      </c>
      <c r="F38" s="95">
        <f t="shared" si="4"/>
        <v>0</v>
      </c>
      <c r="G38" s="33">
        <f>IF(AND('Środki trwałe'!F205="tak",'Środki trwałe'!G205="tak"),'Środki trwałe'!I205,0)</f>
        <v>0</v>
      </c>
      <c r="H38" s="316"/>
      <c r="I38" s="52"/>
      <c r="J38" s="525" t="str">
        <f>IF(ISBLANK('Środki trwałe'!C205),"",'Środki trwałe'!C205)</f>
        <v/>
      </c>
      <c r="K38" s="33">
        <f t="shared" si="3"/>
        <v>0</v>
      </c>
      <c r="L38" s="33">
        <f t="shared" si="3"/>
        <v>0</v>
      </c>
      <c r="M38" s="33">
        <f t="shared" si="3"/>
        <v>0</v>
      </c>
      <c r="N38" s="33">
        <f t="shared" si="3"/>
        <v>0</v>
      </c>
      <c r="O38" s="33">
        <f t="shared" si="3"/>
        <v>0</v>
      </c>
      <c r="P38" s="33">
        <f t="shared" si="3"/>
        <v>0</v>
      </c>
      <c r="Q38" s="33">
        <f t="shared" si="3"/>
        <v>0</v>
      </c>
      <c r="R38" s="33">
        <f t="shared" si="3"/>
        <v>0</v>
      </c>
      <c r="S38" s="33">
        <f t="shared" si="3"/>
        <v>0</v>
      </c>
      <c r="T38" s="33">
        <f t="shared" si="3"/>
        <v>0</v>
      </c>
      <c r="U38" s="33">
        <f t="shared" si="3"/>
        <v>0</v>
      </c>
      <c r="V38" s="33">
        <f t="shared" si="3"/>
        <v>0</v>
      </c>
      <c r="W38" s="33">
        <f t="shared" si="3"/>
        <v>0</v>
      </c>
      <c r="X38" s="33">
        <f t="shared" si="3"/>
        <v>0</v>
      </c>
    </row>
    <row r="39" spans="2:24">
      <c r="B39" s="37" t="str">
        <f>IF(ISBLANK('Środki trwałe'!B206),"",'Środki trwałe'!B206)</f>
        <v/>
      </c>
      <c r="C39" s="33" t="str">
        <f>IF(ISBLANK('Środki trwałe'!D206),"",'Środki trwałe'!D206)</f>
        <v/>
      </c>
      <c r="D39" s="246" t="str">
        <f>IF(ISBLANK('Środki trwałe'!E206),"",'Środki trwałe'!E206)</f>
        <v/>
      </c>
      <c r="E39" s="198">
        <f>IF(AND('Środki trwałe'!F206="tak",'Środki trwałe'!G206="nie"),'Środki trwałe'!H206,0)</f>
        <v>0</v>
      </c>
      <c r="F39" s="95">
        <f t="shared" si="4"/>
        <v>0</v>
      </c>
      <c r="G39" s="33">
        <f>IF(AND('Środki trwałe'!F206="tak",'Środki trwałe'!G206="tak"),'Środki trwałe'!I206,0)</f>
        <v>0</v>
      </c>
      <c r="H39" s="316"/>
      <c r="I39" s="52"/>
      <c r="J39" s="525" t="str">
        <f>IF(ISBLANK('Środki trwałe'!C206),"",'Środki trwałe'!C206)</f>
        <v/>
      </c>
      <c r="K39" s="33">
        <f t="shared" si="3"/>
        <v>0</v>
      </c>
      <c r="L39" s="33">
        <f t="shared" si="3"/>
        <v>0</v>
      </c>
      <c r="M39" s="33">
        <f t="shared" si="3"/>
        <v>0</v>
      </c>
      <c r="N39" s="33">
        <f t="shared" si="3"/>
        <v>0</v>
      </c>
      <c r="O39" s="33">
        <f t="shared" si="3"/>
        <v>0</v>
      </c>
      <c r="P39" s="33">
        <f t="shared" si="3"/>
        <v>0</v>
      </c>
      <c r="Q39" s="33">
        <f t="shared" si="3"/>
        <v>0</v>
      </c>
      <c r="R39" s="33">
        <f t="shared" si="3"/>
        <v>0</v>
      </c>
      <c r="S39" s="33">
        <f t="shared" si="3"/>
        <v>0</v>
      </c>
      <c r="T39" s="33">
        <f t="shared" si="3"/>
        <v>0</v>
      </c>
      <c r="U39" s="33">
        <f t="shared" si="3"/>
        <v>0</v>
      </c>
      <c r="V39" s="33">
        <f t="shared" si="3"/>
        <v>0</v>
      </c>
      <c r="W39" s="33">
        <f t="shared" si="3"/>
        <v>0</v>
      </c>
      <c r="X39" s="33">
        <f t="shared" si="3"/>
        <v>0</v>
      </c>
    </row>
    <row r="40" spans="2:24">
      <c r="B40" s="37" t="str">
        <f>IF(ISBLANK('Środki trwałe'!B207),"",'Środki trwałe'!B207)</f>
        <v/>
      </c>
      <c r="C40" s="33" t="str">
        <f>IF(ISBLANK('Środki trwałe'!D207),"",'Środki trwałe'!D207)</f>
        <v/>
      </c>
      <c r="D40" s="246" t="str">
        <f>IF(ISBLANK('Środki trwałe'!E207),"",'Środki trwałe'!E207)</f>
        <v/>
      </c>
      <c r="E40" s="198">
        <f>IF(AND('Środki trwałe'!F207="tak",'Środki trwałe'!G207="nie"),'Środki trwałe'!H207,0)</f>
        <v>0</v>
      </c>
      <c r="F40" s="95">
        <f t="shared" si="4"/>
        <v>0</v>
      </c>
      <c r="G40" s="33">
        <f>IF(AND('Środki trwałe'!F207="tak",'Środki trwałe'!G207="tak"),'Środki trwałe'!I207,0)</f>
        <v>0</v>
      </c>
      <c r="H40" s="316"/>
      <c r="I40" s="52"/>
      <c r="J40" s="525" t="str">
        <f>IF(ISBLANK('Środki trwałe'!C207),"",'Środki trwałe'!C207)</f>
        <v/>
      </c>
      <c r="K40" s="33">
        <f t="shared" si="3"/>
        <v>0</v>
      </c>
      <c r="L40" s="33">
        <f t="shared" si="3"/>
        <v>0</v>
      </c>
      <c r="M40" s="33">
        <f t="shared" si="3"/>
        <v>0</v>
      </c>
      <c r="N40" s="33">
        <f t="shared" si="3"/>
        <v>0</v>
      </c>
      <c r="O40" s="33">
        <f t="shared" si="3"/>
        <v>0</v>
      </c>
      <c r="P40" s="33">
        <f t="shared" si="3"/>
        <v>0</v>
      </c>
      <c r="Q40" s="33">
        <f t="shared" si="3"/>
        <v>0</v>
      </c>
      <c r="R40" s="33">
        <f t="shared" si="3"/>
        <v>0</v>
      </c>
      <c r="S40" s="33">
        <f t="shared" si="3"/>
        <v>0</v>
      </c>
      <c r="T40" s="33">
        <f t="shared" si="3"/>
        <v>0</v>
      </c>
      <c r="U40" s="33">
        <f t="shared" si="3"/>
        <v>0</v>
      </c>
      <c r="V40" s="33">
        <f t="shared" si="3"/>
        <v>0</v>
      </c>
      <c r="W40" s="33">
        <f t="shared" si="3"/>
        <v>0</v>
      </c>
      <c r="X40" s="33">
        <f t="shared" si="3"/>
        <v>0</v>
      </c>
    </row>
    <row r="41" spans="2:24">
      <c r="B41" s="37" t="str">
        <f>IF(ISBLANK('Środki trwałe'!B208),"",'Środki trwałe'!B208)</f>
        <v/>
      </c>
      <c r="C41" s="33" t="str">
        <f>IF(ISBLANK('Środki trwałe'!D208),"",'Środki trwałe'!D208)</f>
        <v/>
      </c>
      <c r="D41" s="246" t="str">
        <f>IF(ISBLANK('Środki trwałe'!E208),"",'Środki trwałe'!E208)</f>
        <v/>
      </c>
      <c r="E41" s="198">
        <f>IF(AND('Środki trwałe'!F208="tak",'Środki trwałe'!G208="nie"),'Środki trwałe'!H208,0)</f>
        <v>0</v>
      </c>
      <c r="F41" s="95">
        <f t="shared" si="4"/>
        <v>0</v>
      </c>
      <c r="G41" s="33">
        <f>IF(AND('Środki trwałe'!F208="tak",'Środki trwałe'!G208="tak"),'Środki trwałe'!I208,0)</f>
        <v>0</v>
      </c>
      <c r="H41" s="316"/>
      <c r="I41" s="52"/>
      <c r="J41" s="525" t="str">
        <f>IF(ISBLANK('Środki trwałe'!C208),"",'Środki trwałe'!C208)</f>
        <v/>
      </c>
      <c r="K41" s="33">
        <f t="shared" si="3"/>
        <v>0</v>
      </c>
      <c r="L41" s="33">
        <f t="shared" si="3"/>
        <v>0</v>
      </c>
      <c r="M41" s="33">
        <f t="shared" si="3"/>
        <v>0</v>
      </c>
      <c r="N41" s="33">
        <f t="shared" si="3"/>
        <v>0</v>
      </c>
      <c r="O41" s="33">
        <f t="shared" si="3"/>
        <v>0</v>
      </c>
      <c r="P41" s="33">
        <f t="shared" si="3"/>
        <v>0</v>
      </c>
      <c r="Q41" s="33">
        <f t="shared" si="3"/>
        <v>0</v>
      </c>
      <c r="R41" s="33">
        <f t="shared" si="3"/>
        <v>0</v>
      </c>
      <c r="S41" s="33">
        <f t="shared" si="3"/>
        <v>0</v>
      </c>
      <c r="T41" s="33">
        <f t="shared" si="3"/>
        <v>0</v>
      </c>
      <c r="U41" s="33">
        <f t="shared" si="3"/>
        <v>0</v>
      </c>
      <c r="V41" s="33">
        <f t="shared" si="3"/>
        <v>0</v>
      </c>
      <c r="W41" s="33">
        <f t="shared" si="3"/>
        <v>0</v>
      </c>
      <c r="X41" s="33">
        <f t="shared" si="3"/>
        <v>0</v>
      </c>
    </row>
    <row r="42" spans="2:24">
      <c r="B42" s="37" t="str">
        <f>IF(ISBLANK('Środki trwałe'!B209),"",'Środki trwałe'!B209)</f>
        <v/>
      </c>
      <c r="C42" s="33" t="str">
        <f>IF(ISBLANK('Środki trwałe'!D209),"",'Środki trwałe'!D209)</f>
        <v/>
      </c>
      <c r="D42" s="246" t="str">
        <f>IF(ISBLANK('Środki trwałe'!E209),"",'Środki trwałe'!E209)</f>
        <v/>
      </c>
      <c r="E42" s="198">
        <f>IF(AND('Środki trwałe'!F209="tak",'Środki trwałe'!G209="nie"),'Środki trwałe'!H209,0)</f>
        <v>0</v>
      </c>
      <c r="F42" s="95">
        <f t="shared" si="4"/>
        <v>0</v>
      </c>
      <c r="G42" s="33">
        <f>IF(AND('Środki trwałe'!F209="tak",'Środki trwałe'!G209="tak"),'Środki trwałe'!I209,0)</f>
        <v>0</v>
      </c>
      <c r="H42" s="316"/>
      <c r="I42" s="52"/>
      <c r="J42" s="525" t="str">
        <f>IF(ISBLANK('Środki trwałe'!C209),"",'Środki trwałe'!C209)</f>
        <v/>
      </c>
      <c r="K42" s="33">
        <f t="shared" si="3"/>
        <v>0</v>
      </c>
      <c r="L42" s="33">
        <f t="shared" si="3"/>
        <v>0</v>
      </c>
      <c r="M42" s="33">
        <f t="shared" si="3"/>
        <v>0</v>
      </c>
      <c r="N42" s="33">
        <f t="shared" si="3"/>
        <v>0</v>
      </c>
      <c r="O42" s="33">
        <f t="shared" si="3"/>
        <v>0</v>
      </c>
      <c r="P42" s="33">
        <f t="shared" si="3"/>
        <v>0</v>
      </c>
      <c r="Q42" s="33">
        <f t="shared" si="3"/>
        <v>0</v>
      </c>
      <c r="R42" s="33">
        <f t="shared" si="3"/>
        <v>0</v>
      </c>
      <c r="S42" s="33">
        <f t="shared" si="3"/>
        <v>0</v>
      </c>
      <c r="T42" s="33">
        <f t="shared" si="3"/>
        <v>0</v>
      </c>
      <c r="U42" s="33">
        <f t="shared" si="3"/>
        <v>0</v>
      </c>
      <c r="V42" s="33">
        <f t="shared" si="3"/>
        <v>0</v>
      </c>
      <c r="W42" s="33">
        <f t="shared" si="3"/>
        <v>0</v>
      </c>
      <c r="X42" s="33">
        <f t="shared" si="3"/>
        <v>0</v>
      </c>
    </row>
    <row r="43" spans="2:24">
      <c r="B43" s="37" t="str">
        <f>IF(ISBLANK('Środki trwałe'!B210),"",'Środki trwałe'!B210)</f>
        <v/>
      </c>
      <c r="C43" s="33" t="str">
        <f>IF(ISBLANK('Środki trwałe'!D210),"",'Środki trwałe'!D210)</f>
        <v/>
      </c>
      <c r="D43" s="246" t="str">
        <f>IF(ISBLANK('Środki trwałe'!E210),"",'Środki trwałe'!E210)</f>
        <v/>
      </c>
      <c r="E43" s="198">
        <f>IF(AND('Środki trwałe'!F210="tak",'Środki trwałe'!G210="nie"),'Środki trwałe'!H210,0)</f>
        <v>0</v>
      </c>
      <c r="F43" s="95">
        <f t="shared" si="4"/>
        <v>0</v>
      </c>
      <c r="G43" s="33">
        <f>IF(AND('Środki trwałe'!F210="tak",'Środki trwałe'!G210="tak"),'Środki trwałe'!I210,0)</f>
        <v>0</v>
      </c>
      <c r="H43" s="316"/>
      <c r="I43" s="52"/>
      <c r="J43" s="525" t="str">
        <f>IF(ISBLANK('Środki trwałe'!C210),"",'Środki trwałe'!C210)</f>
        <v/>
      </c>
      <c r="K43" s="33">
        <f t="shared" si="3"/>
        <v>0</v>
      </c>
      <c r="L43" s="33">
        <f t="shared" si="3"/>
        <v>0</v>
      </c>
      <c r="M43" s="33">
        <f t="shared" si="3"/>
        <v>0</v>
      </c>
      <c r="N43" s="33">
        <f t="shared" si="3"/>
        <v>0</v>
      </c>
      <c r="O43" s="33">
        <f t="shared" si="3"/>
        <v>0</v>
      </c>
      <c r="P43" s="33">
        <f t="shared" si="3"/>
        <v>0</v>
      </c>
      <c r="Q43" s="33">
        <f t="shared" si="3"/>
        <v>0</v>
      </c>
      <c r="R43" s="33">
        <f t="shared" si="3"/>
        <v>0</v>
      </c>
      <c r="S43" s="33">
        <f t="shared" si="3"/>
        <v>0</v>
      </c>
      <c r="T43" s="33">
        <f t="shared" si="3"/>
        <v>0</v>
      </c>
      <c r="U43" s="33">
        <f t="shared" si="3"/>
        <v>0</v>
      </c>
      <c r="V43" s="33">
        <f t="shared" si="3"/>
        <v>0</v>
      </c>
      <c r="W43" s="33">
        <f t="shared" si="3"/>
        <v>0</v>
      </c>
      <c r="X43" s="33">
        <f t="shared" si="3"/>
        <v>0</v>
      </c>
    </row>
    <row r="44" spans="2:24">
      <c r="B44" s="37" t="str">
        <f>IF(ISBLANK('Środki trwałe'!B211),"",'Środki trwałe'!B211)</f>
        <v/>
      </c>
      <c r="C44" s="33" t="str">
        <f>IF(ISBLANK('Środki trwałe'!D211),"",'Środki trwałe'!D211)</f>
        <v/>
      </c>
      <c r="D44" s="246" t="str">
        <f>IF(ISBLANK('Środki trwałe'!E211),"",'Środki trwałe'!E211)</f>
        <v/>
      </c>
      <c r="E44" s="198">
        <f>IF(AND('Środki trwałe'!F211="tak",'Środki trwałe'!G211="nie"),'Środki trwałe'!H211,0)</f>
        <v>0</v>
      </c>
      <c r="F44" s="95">
        <f t="shared" si="4"/>
        <v>0</v>
      </c>
      <c r="G44" s="33">
        <f>IF(AND('Środki trwałe'!F211="tak",'Środki trwałe'!G211="tak"),'Środki trwałe'!I211,0)</f>
        <v>0</v>
      </c>
      <c r="H44" s="316"/>
      <c r="I44" s="52"/>
      <c r="J44" s="525" t="str">
        <f>IF(ISBLANK('Środki trwałe'!C211),"",'Środki trwałe'!C211)</f>
        <v/>
      </c>
      <c r="K44" s="33">
        <f t="shared" si="3"/>
        <v>0</v>
      </c>
      <c r="L44" s="33">
        <f t="shared" si="3"/>
        <v>0</v>
      </c>
      <c r="M44" s="33">
        <f t="shared" si="3"/>
        <v>0</v>
      </c>
      <c r="N44" s="33">
        <f t="shared" si="3"/>
        <v>0</v>
      </c>
      <c r="O44" s="33">
        <f t="shared" si="3"/>
        <v>0</v>
      </c>
      <c r="P44" s="33">
        <f t="shared" si="3"/>
        <v>0</v>
      </c>
      <c r="Q44" s="33">
        <f t="shared" si="3"/>
        <v>0</v>
      </c>
      <c r="R44" s="33">
        <f t="shared" si="3"/>
        <v>0</v>
      </c>
      <c r="S44" s="33">
        <f t="shared" si="3"/>
        <v>0</v>
      </c>
      <c r="T44" s="33">
        <f t="shared" si="3"/>
        <v>0</v>
      </c>
      <c r="U44" s="33">
        <f t="shared" si="3"/>
        <v>0</v>
      </c>
      <c r="V44" s="33">
        <f t="shared" si="3"/>
        <v>0</v>
      </c>
      <c r="W44" s="33">
        <f t="shared" si="3"/>
        <v>0</v>
      </c>
      <c r="X44" s="33">
        <f t="shared" si="3"/>
        <v>0</v>
      </c>
    </row>
    <row r="45" spans="2:24">
      <c r="B45" s="37" t="str">
        <f>IF(ISBLANK('Środki trwałe'!B212),"",'Środki trwałe'!B212)</f>
        <v/>
      </c>
      <c r="C45" s="33" t="str">
        <f>IF(ISBLANK('Środki trwałe'!D212),"",'Środki trwałe'!D212)</f>
        <v/>
      </c>
      <c r="D45" s="246" t="str">
        <f>IF(ISBLANK('Środki trwałe'!E212),"",'Środki trwałe'!E212)</f>
        <v/>
      </c>
      <c r="E45" s="198">
        <f>IF(AND('Środki trwałe'!F212="tak",'Środki trwałe'!G212="nie"),'Środki trwałe'!H212,0)</f>
        <v>0</v>
      </c>
      <c r="F45" s="95">
        <f t="shared" si="4"/>
        <v>0</v>
      </c>
      <c r="G45" s="33">
        <f>IF(AND('Środki trwałe'!F212="tak",'Środki trwałe'!G212="tak"),'Środki trwałe'!I212,0)</f>
        <v>0</v>
      </c>
      <c r="H45" s="316"/>
      <c r="I45" s="52"/>
      <c r="J45" s="525" t="str">
        <f>IF(ISBLANK('Środki trwałe'!C212),"",'Środki trwałe'!C212)</f>
        <v/>
      </c>
      <c r="K45" s="33">
        <f t="shared" si="3"/>
        <v>0</v>
      </c>
      <c r="L45" s="33">
        <f t="shared" si="3"/>
        <v>0</v>
      </c>
      <c r="M45" s="33">
        <f t="shared" si="3"/>
        <v>0</v>
      </c>
      <c r="N45" s="33">
        <f t="shared" ref="K45:X48" si="5">IFERROR(ROUND(IF(AND(YEAR($D45)=LataProjekcji,$F45&gt;0),$F45,0),0),0)</f>
        <v>0</v>
      </c>
      <c r="O45" s="33">
        <f t="shared" si="5"/>
        <v>0</v>
      </c>
      <c r="P45" s="33">
        <f t="shared" si="5"/>
        <v>0</v>
      </c>
      <c r="Q45" s="33">
        <f t="shared" si="5"/>
        <v>0</v>
      </c>
      <c r="R45" s="33">
        <f t="shared" si="5"/>
        <v>0</v>
      </c>
      <c r="S45" s="33">
        <f t="shared" si="5"/>
        <v>0</v>
      </c>
      <c r="T45" s="33">
        <f t="shared" si="5"/>
        <v>0</v>
      </c>
      <c r="U45" s="33">
        <f t="shared" si="5"/>
        <v>0</v>
      </c>
      <c r="V45" s="33">
        <f t="shared" si="5"/>
        <v>0</v>
      </c>
      <c r="W45" s="33">
        <f t="shared" si="5"/>
        <v>0</v>
      </c>
      <c r="X45" s="33">
        <f t="shared" si="5"/>
        <v>0</v>
      </c>
    </row>
    <row r="46" spans="2:24">
      <c r="B46" s="37" t="str">
        <f>IF(ISBLANK('Środki trwałe'!B213),"",'Środki trwałe'!B213)</f>
        <v/>
      </c>
      <c r="C46" s="33" t="str">
        <f>IF(ISBLANK('Środki trwałe'!D213),"",'Środki trwałe'!D213)</f>
        <v/>
      </c>
      <c r="D46" s="246" t="str">
        <f>IF(ISBLANK('Środki trwałe'!E213),"",'Środki trwałe'!E213)</f>
        <v/>
      </c>
      <c r="E46" s="198">
        <f>IF(AND('Środki trwałe'!F213="tak",'Środki trwałe'!G213="nie"),'Środki trwałe'!H213,0)</f>
        <v>0</v>
      </c>
      <c r="F46" s="95">
        <f t="shared" si="4"/>
        <v>0</v>
      </c>
      <c r="G46" s="33">
        <f>IF(AND('Środki trwałe'!F213="tak",'Środki trwałe'!G213="tak"),'Środki trwałe'!I213,0)</f>
        <v>0</v>
      </c>
      <c r="H46" s="316"/>
      <c r="I46" s="52"/>
      <c r="J46" s="525" t="str">
        <f>IF(ISBLANK('Środki trwałe'!C213),"",'Środki trwałe'!C213)</f>
        <v/>
      </c>
      <c r="K46" s="33">
        <f t="shared" si="5"/>
        <v>0</v>
      </c>
      <c r="L46" s="33">
        <f t="shared" si="5"/>
        <v>0</v>
      </c>
      <c r="M46" s="33">
        <f t="shared" si="5"/>
        <v>0</v>
      </c>
      <c r="N46" s="33">
        <f t="shared" si="5"/>
        <v>0</v>
      </c>
      <c r="O46" s="33">
        <f t="shared" si="5"/>
        <v>0</v>
      </c>
      <c r="P46" s="33">
        <f t="shared" si="5"/>
        <v>0</v>
      </c>
      <c r="Q46" s="33">
        <f t="shared" si="5"/>
        <v>0</v>
      </c>
      <c r="R46" s="33">
        <f t="shared" si="5"/>
        <v>0</v>
      </c>
      <c r="S46" s="33">
        <f t="shared" si="5"/>
        <v>0</v>
      </c>
      <c r="T46" s="33">
        <f t="shared" si="5"/>
        <v>0</v>
      </c>
      <c r="U46" s="33">
        <f t="shared" si="5"/>
        <v>0</v>
      </c>
      <c r="V46" s="33">
        <f t="shared" si="5"/>
        <v>0</v>
      </c>
      <c r="W46" s="33">
        <f t="shared" si="5"/>
        <v>0</v>
      </c>
      <c r="X46" s="33">
        <f t="shared" si="5"/>
        <v>0</v>
      </c>
    </row>
    <row r="47" spans="2:24">
      <c r="B47" s="37" t="str">
        <f>IF(ISBLANK('Środki trwałe'!B214),"",'Środki trwałe'!B214)</f>
        <v/>
      </c>
      <c r="C47" s="33" t="str">
        <f>IF(ISBLANK('Środki trwałe'!D214),"",'Środki trwałe'!D214)</f>
        <v/>
      </c>
      <c r="D47" s="246" t="str">
        <f>IF(ISBLANK('Środki trwałe'!E214),"",'Środki trwałe'!E214)</f>
        <v/>
      </c>
      <c r="E47" s="198">
        <f>IF(AND('Środki trwałe'!F214="tak",'Środki trwałe'!G214="nie"),'Środki trwałe'!H214,0)</f>
        <v>0</v>
      </c>
      <c r="F47" s="95">
        <f t="shared" si="4"/>
        <v>0</v>
      </c>
      <c r="G47" s="33">
        <f>IF(AND('Środki trwałe'!F214="tak",'Środki trwałe'!G214="tak"),'Środki trwałe'!I214,0)</f>
        <v>0</v>
      </c>
      <c r="H47" s="316"/>
      <c r="I47" s="52"/>
      <c r="J47" s="525" t="str">
        <f>IF(ISBLANK('Środki trwałe'!C214),"",'Środki trwałe'!C214)</f>
        <v/>
      </c>
      <c r="K47" s="33">
        <f t="shared" si="5"/>
        <v>0</v>
      </c>
      <c r="L47" s="33">
        <f t="shared" si="5"/>
        <v>0</v>
      </c>
      <c r="M47" s="33">
        <f t="shared" si="5"/>
        <v>0</v>
      </c>
      <c r="N47" s="33">
        <f t="shared" si="5"/>
        <v>0</v>
      </c>
      <c r="O47" s="33">
        <f t="shared" si="5"/>
        <v>0</v>
      </c>
      <c r="P47" s="33">
        <f t="shared" si="5"/>
        <v>0</v>
      </c>
      <c r="Q47" s="33">
        <f t="shared" si="5"/>
        <v>0</v>
      </c>
      <c r="R47" s="33">
        <f t="shared" si="5"/>
        <v>0</v>
      </c>
      <c r="S47" s="33">
        <f t="shared" si="5"/>
        <v>0</v>
      </c>
      <c r="T47" s="33">
        <f t="shared" si="5"/>
        <v>0</v>
      </c>
      <c r="U47" s="33">
        <f t="shared" si="5"/>
        <v>0</v>
      </c>
      <c r="V47" s="33">
        <f t="shared" si="5"/>
        <v>0</v>
      </c>
      <c r="W47" s="33">
        <f t="shared" si="5"/>
        <v>0</v>
      </c>
      <c r="X47" s="33">
        <f t="shared" si="5"/>
        <v>0</v>
      </c>
    </row>
    <row r="48" spans="2:24">
      <c r="B48" s="37" t="str">
        <f>IF(ISBLANK('Środki trwałe'!B215),"",'Środki trwałe'!B215)</f>
        <v/>
      </c>
      <c r="C48" s="33" t="str">
        <f>IF(ISBLANK('Środki trwałe'!D215),"",'Środki trwałe'!D215)</f>
        <v/>
      </c>
      <c r="D48" s="246" t="str">
        <f>IF(ISBLANK('Środki trwałe'!E215),"",'Środki trwałe'!E215)</f>
        <v/>
      </c>
      <c r="E48" s="198">
        <f>IF(AND('Środki trwałe'!F215="tak",'Środki trwałe'!G215="nie"),'Środki trwałe'!H215,0)</f>
        <v>0</v>
      </c>
      <c r="F48" s="95">
        <f t="shared" si="4"/>
        <v>0</v>
      </c>
      <c r="G48" s="33">
        <f>IF(AND('Środki trwałe'!F215="tak",'Środki trwałe'!G215="tak"),'Środki trwałe'!I215,0)</f>
        <v>0</v>
      </c>
      <c r="H48" s="316"/>
      <c r="I48" s="52"/>
      <c r="J48" s="525" t="str">
        <f>IF(ISBLANK('Środki trwałe'!C215),"",'Środki trwałe'!C215)</f>
        <v/>
      </c>
      <c r="K48" s="33">
        <f t="shared" si="5"/>
        <v>0</v>
      </c>
      <c r="L48" s="33">
        <f t="shared" si="5"/>
        <v>0</v>
      </c>
      <c r="M48" s="33">
        <f t="shared" si="5"/>
        <v>0</v>
      </c>
      <c r="N48" s="33">
        <f t="shared" si="5"/>
        <v>0</v>
      </c>
      <c r="O48" s="33">
        <f t="shared" si="5"/>
        <v>0</v>
      </c>
      <c r="P48" s="33">
        <f t="shared" si="5"/>
        <v>0</v>
      </c>
      <c r="Q48" s="33">
        <f t="shared" si="5"/>
        <v>0</v>
      </c>
      <c r="R48" s="33">
        <f t="shared" si="5"/>
        <v>0</v>
      </c>
      <c r="S48" s="33">
        <f t="shared" si="5"/>
        <v>0</v>
      </c>
      <c r="T48" s="33">
        <f t="shared" si="5"/>
        <v>0</v>
      </c>
      <c r="U48" s="33">
        <f t="shared" si="5"/>
        <v>0</v>
      </c>
      <c r="V48" s="33">
        <f t="shared" si="5"/>
        <v>0</v>
      </c>
      <c r="W48" s="33">
        <f t="shared" si="5"/>
        <v>0</v>
      </c>
      <c r="X48" s="33">
        <f t="shared" si="5"/>
        <v>0</v>
      </c>
    </row>
    <row r="49" spans="2:24">
      <c r="B49" s="37" t="str">
        <f>IF(ISBLANK('Środki trwałe'!B216),"",'Środki trwałe'!B216)</f>
        <v/>
      </c>
      <c r="C49" s="33" t="str">
        <f>IF(ISBLANK('Środki trwałe'!D216),"",'Środki trwałe'!D216)</f>
        <v/>
      </c>
      <c r="D49" s="246" t="str">
        <f>IF(ISBLANK('Środki trwałe'!E216),"",'Środki trwałe'!E216)</f>
        <v/>
      </c>
      <c r="E49" s="198">
        <f>IF(AND('Środki trwałe'!F216="tak",'Środki trwałe'!G216="nie"),'Środki trwałe'!H216,0)</f>
        <v>0</v>
      </c>
      <c r="F49" s="95">
        <f t="shared" ref="F49" si="6">IFERROR(IF(E49=0,0,ROUND(E49*C49,0)),0)</f>
        <v>0</v>
      </c>
      <c r="G49" s="33">
        <f>IF(AND('Środki trwałe'!F216="tak",'Środki trwałe'!G216="tak"),'Środki trwałe'!I216,0)</f>
        <v>0</v>
      </c>
      <c r="H49" s="316"/>
      <c r="I49" s="52"/>
      <c r="J49" s="525" t="str">
        <f>IF(ISBLANK('Środki trwałe'!C216),"",'Środki trwałe'!C216)</f>
        <v/>
      </c>
      <c r="K49" s="33">
        <f t="shared" si="3"/>
        <v>0</v>
      </c>
      <c r="L49" s="33">
        <f t="shared" si="3"/>
        <v>0</v>
      </c>
      <c r="M49" s="33">
        <f t="shared" si="3"/>
        <v>0</v>
      </c>
      <c r="N49" s="33">
        <f t="shared" si="3"/>
        <v>0</v>
      </c>
      <c r="O49" s="33">
        <f t="shared" si="3"/>
        <v>0</v>
      </c>
      <c r="P49" s="33">
        <f t="shared" si="3"/>
        <v>0</v>
      </c>
      <c r="Q49" s="33">
        <f t="shared" si="3"/>
        <v>0</v>
      </c>
      <c r="R49" s="33">
        <f t="shared" si="3"/>
        <v>0</v>
      </c>
      <c r="S49" s="33">
        <f t="shared" si="3"/>
        <v>0</v>
      </c>
      <c r="T49" s="33">
        <f t="shared" si="3"/>
        <v>0</v>
      </c>
      <c r="U49" s="33">
        <f t="shared" si="3"/>
        <v>0</v>
      </c>
      <c r="V49" s="33">
        <f t="shared" si="3"/>
        <v>0</v>
      </c>
      <c r="W49" s="33">
        <f t="shared" si="3"/>
        <v>0</v>
      </c>
      <c r="X49" s="33">
        <f t="shared" si="3"/>
        <v>0</v>
      </c>
    </row>
    <row r="50" spans="2:24">
      <c r="B50" s="99" t="s">
        <v>335</v>
      </c>
      <c r="C50" s="98">
        <f>SUM(C28:C49)</f>
        <v>0</v>
      </c>
      <c r="D50" s="200"/>
      <c r="E50" s="97"/>
      <c r="F50" s="98">
        <f ca="1">SUM(F28:F49)</f>
        <v>0</v>
      </c>
      <c r="G50" s="97"/>
      <c r="H50" s="321"/>
      <c r="I50" s="97"/>
      <c r="J50" s="526"/>
      <c r="K50" s="98">
        <f ca="1">ROUND(SUM(K28:K49),0)</f>
        <v>0</v>
      </c>
      <c r="L50" s="98">
        <f t="shared" ref="L50:X50" ca="1" si="7">ROUND(SUM(L28:L49),0)</f>
        <v>0</v>
      </c>
      <c r="M50" s="98">
        <f t="shared" ca="1" si="7"/>
        <v>0</v>
      </c>
      <c r="N50" s="98">
        <f t="shared" ca="1" si="7"/>
        <v>0</v>
      </c>
      <c r="O50" s="98">
        <f t="shared" ca="1" si="7"/>
        <v>0</v>
      </c>
      <c r="P50" s="98">
        <f t="shared" ca="1" si="7"/>
        <v>0</v>
      </c>
      <c r="Q50" s="98">
        <f t="shared" ca="1" si="7"/>
        <v>0</v>
      </c>
      <c r="R50" s="98">
        <f t="shared" ca="1" si="7"/>
        <v>0</v>
      </c>
      <c r="S50" s="98">
        <f t="shared" ca="1" si="7"/>
        <v>0</v>
      </c>
      <c r="T50" s="98">
        <f t="shared" ca="1" si="7"/>
        <v>0</v>
      </c>
      <c r="U50" s="98">
        <f t="shared" ca="1" si="7"/>
        <v>0</v>
      </c>
      <c r="V50" s="98">
        <f t="shared" ca="1" si="7"/>
        <v>0</v>
      </c>
      <c r="W50" s="98">
        <f t="shared" ca="1" si="7"/>
        <v>0</v>
      </c>
      <c r="X50" s="98">
        <f t="shared" ca="1" si="7"/>
        <v>0</v>
      </c>
    </row>
    <row r="51" spans="2:24">
      <c r="B51" s="104" t="s">
        <v>450</v>
      </c>
      <c r="C51" s="102"/>
      <c r="D51" s="102"/>
      <c r="E51" s="102"/>
      <c r="F51" s="102"/>
      <c r="G51" s="102"/>
      <c r="H51" s="317"/>
      <c r="I51" s="102"/>
      <c r="J51" s="527"/>
      <c r="K51" s="103">
        <f t="shared" ref="K51:X51" ca="1" si="8">ROUND(K314+K321+K328+K335+K461+K342+K349+K356+K363+K370+K377+K384+K391+K398+K405+K412+K419+K426+K433+K440+K447+K454,0)</f>
        <v>0</v>
      </c>
      <c r="L51" s="103">
        <f t="shared" ca="1" si="8"/>
        <v>0</v>
      </c>
      <c r="M51" s="103">
        <f t="shared" ca="1" si="8"/>
        <v>0</v>
      </c>
      <c r="N51" s="103">
        <f t="shared" ca="1" si="8"/>
        <v>0</v>
      </c>
      <c r="O51" s="103">
        <f t="shared" ca="1" si="8"/>
        <v>0</v>
      </c>
      <c r="P51" s="103">
        <f t="shared" ca="1" si="8"/>
        <v>0</v>
      </c>
      <c r="Q51" s="103">
        <f t="shared" ca="1" si="8"/>
        <v>0</v>
      </c>
      <c r="R51" s="103">
        <f t="shared" ca="1" si="8"/>
        <v>0</v>
      </c>
      <c r="S51" s="103">
        <f t="shared" ca="1" si="8"/>
        <v>0</v>
      </c>
      <c r="T51" s="103">
        <f t="shared" ca="1" si="8"/>
        <v>0</v>
      </c>
      <c r="U51" s="103">
        <f t="shared" ca="1" si="8"/>
        <v>0</v>
      </c>
      <c r="V51" s="103">
        <f t="shared" ca="1" si="8"/>
        <v>0</v>
      </c>
      <c r="W51" s="103">
        <f t="shared" ca="1" si="8"/>
        <v>0</v>
      </c>
      <c r="X51" s="103">
        <f t="shared" ca="1" si="8"/>
        <v>0</v>
      </c>
    </row>
    <row r="52" spans="2:24">
      <c r="B52" s="37" t="s">
        <v>451</v>
      </c>
      <c r="C52" s="52"/>
      <c r="D52" s="52"/>
      <c r="E52" s="52"/>
      <c r="F52" s="52"/>
      <c r="G52" s="52"/>
      <c r="H52" s="316"/>
      <c r="I52" s="52"/>
      <c r="J52" s="528"/>
      <c r="K52" s="33">
        <f t="shared" ref="K52:X52" ca="1" si="9">ROUND(K315+K322+K329+K336+K462+K343+K350+K357+K364+K371+K378+K385+K392+K399+K406+K413+K420+K427+K434+K441+K448+K455,0)</f>
        <v>0</v>
      </c>
      <c r="L52" s="33">
        <f t="shared" ca="1" si="9"/>
        <v>0</v>
      </c>
      <c r="M52" s="33">
        <f t="shared" ca="1" si="9"/>
        <v>0</v>
      </c>
      <c r="N52" s="33">
        <f t="shared" ca="1" si="9"/>
        <v>0</v>
      </c>
      <c r="O52" s="33">
        <f t="shared" ca="1" si="9"/>
        <v>0</v>
      </c>
      <c r="P52" s="33">
        <f t="shared" ca="1" si="9"/>
        <v>0</v>
      </c>
      <c r="Q52" s="33">
        <f t="shared" ca="1" si="9"/>
        <v>0</v>
      </c>
      <c r="R52" s="33">
        <f t="shared" ca="1" si="9"/>
        <v>0</v>
      </c>
      <c r="S52" s="33">
        <f t="shared" ca="1" si="9"/>
        <v>0</v>
      </c>
      <c r="T52" s="33">
        <f t="shared" ca="1" si="9"/>
        <v>0</v>
      </c>
      <c r="U52" s="33">
        <f t="shared" ca="1" si="9"/>
        <v>0</v>
      </c>
      <c r="V52" s="33">
        <f t="shared" ca="1" si="9"/>
        <v>0</v>
      </c>
      <c r="W52" s="33">
        <f t="shared" ca="1" si="9"/>
        <v>0</v>
      </c>
      <c r="X52" s="33">
        <f t="shared" ca="1" si="9"/>
        <v>0</v>
      </c>
    </row>
    <row r="53" spans="2:24">
      <c r="B53" s="106" t="s">
        <v>452</v>
      </c>
      <c r="C53" s="106"/>
      <c r="D53" s="106"/>
      <c r="E53" s="106"/>
      <c r="F53" s="106"/>
      <c r="G53" s="106"/>
      <c r="H53" s="325"/>
      <c r="I53" s="106"/>
      <c r="J53" s="529"/>
      <c r="K53" s="107">
        <f>'Środki trwałe'!K265</f>
        <v>0</v>
      </c>
      <c r="L53" s="107">
        <f>'Środki trwałe'!L265</f>
        <v>0</v>
      </c>
      <c r="M53" s="107">
        <f>'Środki trwałe'!M265</f>
        <v>0</v>
      </c>
      <c r="N53" s="107">
        <f>'Środki trwałe'!N265</f>
        <v>0</v>
      </c>
      <c r="O53" s="107">
        <f>'Środki trwałe'!O265</f>
        <v>0</v>
      </c>
      <c r="P53" s="107">
        <f>'Środki trwałe'!P265</f>
        <v>0</v>
      </c>
      <c r="Q53" s="107">
        <f>'Środki trwałe'!Q265</f>
        <v>0</v>
      </c>
      <c r="R53" s="107">
        <f>'Środki trwałe'!R265</f>
        <v>0</v>
      </c>
      <c r="S53" s="107">
        <f>'Środki trwałe'!S265</f>
        <v>0</v>
      </c>
      <c r="T53" s="107">
        <f>'Środki trwałe'!T265</f>
        <v>0</v>
      </c>
      <c r="U53" s="107">
        <f>'Środki trwałe'!U265</f>
        <v>0</v>
      </c>
      <c r="V53" s="107">
        <f>'Środki trwałe'!V265</f>
        <v>0</v>
      </c>
      <c r="W53" s="107">
        <f>'Środki trwałe'!W265</f>
        <v>0</v>
      </c>
      <c r="X53" s="107">
        <f>'Środki trwałe'!X265</f>
        <v>0</v>
      </c>
    </row>
    <row r="54" spans="2:24">
      <c r="B54" s="201" t="s">
        <v>453</v>
      </c>
      <c r="C54" s="52"/>
      <c r="D54" s="52"/>
      <c r="E54" s="52"/>
      <c r="F54" s="52"/>
      <c r="G54" s="52"/>
      <c r="H54" s="316"/>
      <c r="I54" s="52"/>
      <c r="J54" s="528"/>
      <c r="K54" s="87">
        <f t="shared" ref="K54:X54" ca="1" si="10">ROUND(K316+K323+K330+K337+K463+K344+K351+K358+K365+K372+K379+K386+K393+K400+K407+K414+K421+K428+K435+K442+K449+K456,0)-K28</f>
        <v>0</v>
      </c>
      <c r="L54" s="87">
        <f t="shared" ca="1" si="10"/>
        <v>0</v>
      </c>
      <c r="M54" s="87">
        <f t="shared" ca="1" si="10"/>
        <v>0</v>
      </c>
      <c r="N54" s="87">
        <f t="shared" ca="1" si="10"/>
        <v>0</v>
      </c>
      <c r="O54" s="87">
        <f t="shared" ca="1" si="10"/>
        <v>0</v>
      </c>
      <c r="P54" s="87">
        <f t="shared" ca="1" si="10"/>
        <v>0</v>
      </c>
      <c r="Q54" s="87">
        <f t="shared" ca="1" si="10"/>
        <v>0</v>
      </c>
      <c r="R54" s="87">
        <f t="shared" ca="1" si="10"/>
        <v>0</v>
      </c>
      <c r="S54" s="87">
        <f t="shared" ca="1" si="10"/>
        <v>0</v>
      </c>
      <c r="T54" s="87">
        <f t="shared" ca="1" si="10"/>
        <v>0</v>
      </c>
      <c r="U54" s="87">
        <f t="shared" ca="1" si="10"/>
        <v>0</v>
      </c>
      <c r="V54" s="87">
        <f t="shared" ca="1" si="10"/>
        <v>0</v>
      </c>
      <c r="W54" s="87">
        <f t="shared" ca="1" si="10"/>
        <v>0</v>
      </c>
      <c r="X54" s="87">
        <f t="shared" ca="1" si="10"/>
        <v>0</v>
      </c>
    </row>
    <row r="55" spans="2:24">
      <c r="J55" s="531"/>
    </row>
    <row r="56" spans="2:24">
      <c r="B56"/>
      <c r="C56"/>
      <c r="D56"/>
      <c r="E56"/>
      <c r="F56"/>
      <c r="G56"/>
      <c r="H56"/>
      <c r="I56"/>
      <c r="J56" s="505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2:24" ht="24">
      <c r="B57" s="228" t="s">
        <v>388</v>
      </c>
      <c r="C57" s="229" t="s">
        <v>406</v>
      </c>
      <c r="D57" s="230" t="s">
        <v>421</v>
      </c>
      <c r="E57" s="230" t="s">
        <v>408</v>
      </c>
      <c r="F57" s="230" t="s">
        <v>409</v>
      </c>
      <c r="G57" s="230" t="s">
        <v>449</v>
      </c>
      <c r="H57" s="313"/>
      <c r="I57" s="231"/>
      <c r="J57" s="530"/>
      <c r="K57" s="232" t="str">
        <f t="shared" ref="K57:X57" si="11">LataProjekcji</f>
        <v>Uzupełnij dane</v>
      </c>
      <c r="L57" s="232" t="str">
        <f t="shared" si="11"/>
        <v/>
      </c>
      <c r="M57" s="232" t="str">
        <f t="shared" si="11"/>
        <v/>
      </c>
      <c r="N57" s="232" t="str">
        <f t="shared" si="11"/>
        <v/>
      </c>
      <c r="O57" s="232" t="str">
        <f t="shared" si="11"/>
        <v/>
      </c>
      <c r="P57" s="232" t="str">
        <f t="shared" si="11"/>
        <v/>
      </c>
      <c r="Q57" s="232" t="str">
        <f t="shared" si="11"/>
        <v/>
      </c>
      <c r="R57" s="232" t="str">
        <f t="shared" si="11"/>
        <v/>
      </c>
      <c r="S57" s="232" t="str">
        <f t="shared" si="11"/>
        <v/>
      </c>
      <c r="T57" s="232" t="str">
        <f t="shared" si="11"/>
        <v/>
      </c>
      <c r="U57" s="232" t="str">
        <f t="shared" si="11"/>
        <v/>
      </c>
      <c r="V57" s="232" t="str">
        <f t="shared" si="11"/>
        <v/>
      </c>
      <c r="W57" s="232" t="str">
        <f t="shared" si="11"/>
        <v/>
      </c>
      <c r="X57" s="232" t="str">
        <f t="shared" si="11"/>
        <v/>
      </c>
    </row>
    <row r="58" spans="2:24">
      <c r="B58" s="104" t="str">
        <f>IF(ISBLANK('Środki trwałe'!B269),"",'Środki trwałe'!B269)</f>
        <v/>
      </c>
      <c r="C58" s="103" t="str">
        <f>IF(ISBLANK('Środki trwałe'!D269),"",'Środki trwałe'!D269)</f>
        <v/>
      </c>
      <c r="D58" s="246" t="str">
        <f>IF(ISBLANK('Środki trwałe'!E269),"",'Środki trwałe'!E269)</f>
        <v/>
      </c>
      <c r="E58" s="198">
        <f>IF(AND('Środki trwałe'!F269="tak",'Środki trwałe'!G269="nie"),'Środki trwałe'!H269,0)</f>
        <v>0</v>
      </c>
      <c r="F58" s="95">
        <f>IFERROR(IF(E58=0,0,ROUND(E58*C58,0)),0)</f>
        <v>0</v>
      </c>
      <c r="G58" s="103">
        <f>IF(AND('Środki trwałe'!F269="tak",'Środki trwałe'!G269="tak"),'Środki trwałe'!I269,0)</f>
        <v>0</v>
      </c>
      <c r="H58" s="317"/>
      <c r="I58" s="102"/>
      <c r="J58" s="532" t="str">
        <f>IF(ISBLANK('Środki trwałe'!C269),"",'Środki trwałe'!C269)</f>
        <v/>
      </c>
      <c r="K58" s="103">
        <f t="shared" ref="K58:X72" si="12">IFERROR(ROUND(IF(AND(YEAR($D58)=LataProjekcji,$F58&gt;0),$F58,0),0),0)</f>
        <v>0</v>
      </c>
      <c r="L58" s="103">
        <f t="shared" si="12"/>
        <v>0</v>
      </c>
      <c r="M58" s="103">
        <f t="shared" si="12"/>
        <v>0</v>
      </c>
      <c r="N58" s="103">
        <f t="shared" si="12"/>
        <v>0</v>
      </c>
      <c r="O58" s="103">
        <f t="shared" si="12"/>
        <v>0</v>
      </c>
      <c r="P58" s="103">
        <f t="shared" si="12"/>
        <v>0</v>
      </c>
      <c r="Q58" s="103">
        <f t="shared" si="12"/>
        <v>0</v>
      </c>
      <c r="R58" s="103">
        <f t="shared" si="12"/>
        <v>0</v>
      </c>
      <c r="S58" s="103">
        <f t="shared" si="12"/>
        <v>0</v>
      </c>
      <c r="T58" s="103">
        <f t="shared" si="12"/>
        <v>0</v>
      </c>
      <c r="U58" s="103">
        <f t="shared" si="12"/>
        <v>0</v>
      </c>
      <c r="V58" s="103">
        <f t="shared" si="12"/>
        <v>0</v>
      </c>
      <c r="W58" s="103">
        <f t="shared" si="12"/>
        <v>0</v>
      </c>
      <c r="X58" s="103">
        <f t="shared" si="12"/>
        <v>0</v>
      </c>
    </row>
    <row r="59" spans="2:24">
      <c r="B59" s="37" t="str">
        <f>IF(ISBLANK('Środki trwałe'!B270),"",'Środki trwałe'!B270)</f>
        <v/>
      </c>
      <c r="C59" s="33" t="str">
        <f>IF(ISBLANK('Środki trwałe'!D270),"",'Środki trwałe'!D270)</f>
        <v/>
      </c>
      <c r="D59" s="246" t="str">
        <f>IF(ISBLANK('Środki trwałe'!E270),"",'Środki trwałe'!E270)</f>
        <v/>
      </c>
      <c r="E59" s="198">
        <f>IF(AND('Środki trwałe'!F270="tak",'Środki trwałe'!G270="nie"),'Środki trwałe'!H270,0)</f>
        <v>0</v>
      </c>
      <c r="F59" s="95">
        <f>IFERROR(IF(E59=0,0,ROUND(E59*C59,0)),0)</f>
        <v>0</v>
      </c>
      <c r="G59" s="33">
        <f>IF(AND('Środki trwałe'!F270="tak",'Środki trwałe'!G270="tak"),'Środki trwałe'!I270,0)</f>
        <v>0</v>
      </c>
      <c r="H59" s="316"/>
      <c r="I59" s="52"/>
      <c r="J59" s="525" t="str">
        <f>IF(ISBLANK('Środki trwałe'!C270),"",'Środki trwałe'!C270)</f>
        <v/>
      </c>
      <c r="K59" s="33">
        <f t="shared" si="12"/>
        <v>0</v>
      </c>
      <c r="L59" s="33">
        <f t="shared" si="12"/>
        <v>0</v>
      </c>
      <c r="M59" s="33">
        <f t="shared" si="12"/>
        <v>0</v>
      </c>
      <c r="N59" s="33">
        <f t="shared" si="12"/>
        <v>0</v>
      </c>
      <c r="O59" s="33">
        <f t="shared" si="12"/>
        <v>0</v>
      </c>
      <c r="P59" s="33">
        <f t="shared" si="12"/>
        <v>0</v>
      </c>
      <c r="Q59" s="33">
        <f t="shared" si="12"/>
        <v>0</v>
      </c>
      <c r="R59" s="33">
        <f t="shared" si="12"/>
        <v>0</v>
      </c>
      <c r="S59" s="33">
        <f t="shared" si="12"/>
        <v>0</v>
      </c>
      <c r="T59" s="33">
        <f t="shared" si="12"/>
        <v>0</v>
      </c>
      <c r="U59" s="33">
        <f t="shared" si="12"/>
        <v>0</v>
      </c>
      <c r="V59" s="33">
        <f t="shared" si="12"/>
        <v>0</v>
      </c>
      <c r="W59" s="33">
        <f t="shared" si="12"/>
        <v>0</v>
      </c>
      <c r="X59" s="33">
        <f t="shared" si="12"/>
        <v>0</v>
      </c>
    </row>
    <row r="60" spans="2:24">
      <c r="B60" s="37" t="str">
        <f>IF(ISBLANK('Środki trwałe'!B271),"",'Środki trwałe'!B271)</f>
        <v/>
      </c>
      <c r="C60" s="33" t="str">
        <f>IF(ISBLANK('Środki trwałe'!D271),"",'Środki trwałe'!D271)</f>
        <v/>
      </c>
      <c r="D60" s="246" t="str">
        <f>IF(ISBLANK('Środki trwałe'!E271),"",'Środki trwałe'!E271)</f>
        <v/>
      </c>
      <c r="E60" s="198">
        <f>IF(AND('Środki trwałe'!F271="tak",'Środki trwałe'!G271="nie"),'Środki trwałe'!H271,0)</f>
        <v>0</v>
      </c>
      <c r="F60" s="95">
        <f>IFERROR(IF(E60=0,0,ROUND(E60*C60,0)),0)</f>
        <v>0</v>
      </c>
      <c r="G60" s="33">
        <f>IF(AND('Środki trwałe'!F271="tak",'Środki trwałe'!G271="tak"),'Środki trwałe'!I271,0)</f>
        <v>0</v>
      </c>
      <c r="H60" s="316"/>
      <c r="I60" s="52"/>
      <c r="J60" s="525" t="str">
        <f>IF(ISBLANK('Środki trwałe'!C271),"",'Środki trwałe'!C271)</f>
        <v/>
      </c>
      <c r="K60" s="33">
        <f t="shared" si="12"/>
        <v>0</v>
      </c>
      <c r="L60" s="33">
        <f t="shared" si="12"/>
        <v>0</v>
      </c>
      <c r="M60" s="33">
        <f t="shared" si="12"/>
        <v>0</v>
      </c>
      <c r="N60" s="33">
        <f t="shared" si="12"/>
        <v>0</v>
      </c>
      <c r="O60" s="33">
        <f t="shared" si="12"/>
        <v>0</v>
      </c>
      <c r="P60" s="33">
        <f t="shared" si="12"/>
        <v>0</v>
      </c>
      <c r="Q60" s="33">
        <f t="shared" si="12"/>
        <v>0</v>
      </c>
      <c r="R60" s="33">
        <f t="shared" si="12"/>
        <v>0</v>
      </c>
      <c r="S60" s="33">
        <f t="shared" si="12"/>
        <v>0</v>
      </c>
      <c r="T60" s="33">
        <f t="shared" si="12"/>
        <v>0</v>
      </c>
      <c r="U60" s="33">
        <f t="shared" si="12"/>
        <v>0</v>
      </c>
      <c r="V60" s="33">
        <f t="shared" si="12"/>
        <v>0</v>
      </c>
      <c r="W60" s="33">
        <f t="shared" si="12"/>
        <v>0</v>
      </c>
      <c r="X60" s="33">
        <f t="shared" si="12"/>
        <v>0</v>
      </c>
    </row>
    <row r="61" spans="2:24">
      <c r="B61" s="37" t="str">
        <f>IF(ISBLANK('Środki trwałe'!B272),"",'Środki trwałe'!B272)</f>
        <v/>
      </c>
      <c r="C61" s="33" t="str">
        <f>IF(ISBLANK('Środki trwałe'!D272),"",'Środki trwałe'!D272)</f>
        <v/>
      </c>
      <c r="D61" s="246" t="str">
        <f>IF(ISBLANK('Środki trwałe'!E272),"",'Środki trwałe'!E272)</f>
        <v/>
      </c>
      <c r="E61" s="198">
        <f>IF(AND('Środki trwałe'!F272="tak",'Środki trwałe'!G272="nie"),'Środki trwałe'!H272,0)</f>
        <v>0</v>
      </c>
      <c r="F61" s="95">
        <f t="shared" ref="F61:F71" si="13">IFERROR(IF(E61=0,0,ROUND(E61*C61,0)),0)</f>
        <v>0</v>
      </c>
      <c r="G61" s="33">
        <f>IF(AND('Środki trwałe'!F272="tak",'Środki trwałe'!G272="tak"),'Środki trwałe'!I272,0)</f>
        <v>0</v>
      </c>
      <c r="H61" s="316"/>
      <c r="I61" s="52"/>
      <c r="J61" s="525" t="str">
        <f>IF(ISBLANK('Środki trwałe'!C272),"",'Środki trwałe'!C272)</f>
        <v/>
      </c>
      <c r="K61" s="33">
        <f t="shared" si="12"/>
        <v>0</v>
      </c>
      <c r="L61" s="33">
        <f t="shared" si="12"/>
        <v>0</v>
      </c>
      <c r="M61" s="33">
        <f t="shared" si="12"/>
        <v>0</v>
      </c>
      <c r="N61" s="33">
        <f t="shared" si="12"/>
        <v>0</v>
      </c>
      <c r="O61" s="33">
        <f t="shared" si="12"/>
        <v>0</v>
      </c>
      <c r="P61" s="33">
        <f t="shared" si="12"/>
        <v>0</v>
      </c>
      <c r="Q61" s="33">
        <f t="shared" si="12"/>
        <v>0</v>
      </c>
      <c r="R61" s="33">
        <f t="shared" si="12"/>
        <v>0</v>
      </c>
      <c r="S61" s="33">
        <f t="shared" si="12"/>
        <v>0</v>
      </c>
      <c r="T61" s="33">
        <f t="shared" si="12"/>
        <v>0</v>
      </c>
      <c r="U61" s="33">
        <f t="shared" si="12"/>
        <v>0</v>
      </c>
      <c r="V61" s="33">
        <f t="shared" si="12"/>
        <v>0</v>
      </c>
      <c r="W61" s="33">
        <f t="shared" si="12"/>
        <v>0</v>
      </c>
      <c r="X61" s="33">
        <f t="shared" si="12"/>
        <v>0</v>
      </c>
    </row>
    <row r="62" spans="2:24">
      <c r="B62" s="37" t="str">
        <f>IF(ISBLANK('Środki trwałe'!B273),"",'Środki trwałe'!B273)</f>
        <v/>
      </c>
      <c r="C62" s="33" t="str">
        <f>IF(ISBLANK('Środki trwałe'!D273),"",'Środki trwałe'!D273)</f>
        <v/>
      </c>
      <c r="D62" s="246" t="str">
        <f>IF(ISBLANK('Środki trwałe'!E273),"",'Środki trwałe'!E273)</f>
        <v/>
      </c>
      <c r="E62" s="198">
        <f>IF(AND('Środki trwałe'!F273="tak",'Środki trwałe'!G273="nie"),'Środki trwałe'!H273,0)</f>
        <v>0</v>
      </c>
      <c r="F62" s="95">
        <f t="shared" si="13"/>
        <v>0</v>
      </c>
      <c r="G62" s="33">
        <f>IF(AND('Środki trwałe'!F273="tak",'Środki trwałe'!G273="tak"),'Środki trwałe'!I273,0)</f>
        <v>0</v>
      </c>
      <c r="H62" s="316"/>
      <c r="I62" s="52"/>
      <c r="J62" s="525" t="str">
        <f>IF(ISBLANK('Środki trwałe'!C273),"",'Środki trwałe'!C273)</f>
        <v/>
      </c>
      <c r="K62" s="33">
        <f t="shared" si="12"/>
        <v>0</v>
      </c>
      <c r="L62" s="33">
        <f t="shared" si="12"/>
        <v>0</v>
      </c>
      <c r="M62" s="33">
        <f t="shared" si="12"/>
        <v>0</v>
      </c>
      <c r="N62" s="33">
        <f t="shared" si="12"/>
        <v>0</v>
      </c>
      <c r="O62" s="33">
        <f t="shared" si="12"/>
        <v>0</v>
      </c>
      <c r="P62" s="33">
        <f t="shared" si="12"/>
        <v>0</v>
      </c>
      <c r="Q62" s="33">
        <f t="shared" si="12"/>
        <v>0</v>
      </c>
      <c r="R62" s="33">
        <f t="shared" si="12"/>
        <v>0</v>
      </c>
      <c r="S62" s="33">
        <f t="shared" si="12"/>
        <v>0</v>
      </c>
      <c r="T62" s="33">
        <f t="shared" si="12"/>
        <v>0</v>
      </c>
      <c r="U62" s="33">
        <f t="shared" si="12"/>
        <v>0</v>
      </c>
      <c r="V62" s="33">
        <f t="shared" si="12"/>
        <v>0</v>
      </c>
      <c r="W62" s="33">
        <f t="shared" si="12"/>
        <v>0</v>
      </c>
      <c r="X62" s="33">
        <f t="shared" si="12"/>
        <v>0</v>
      </c>
    </row>
    <row r="63" spans="2:24">
      <c r="B63" s="37" t="str">
        <f>IF(ISBLANK('Środki trwałe'!B274),"",'Środki trwałe'!B274)</f>
        <v/>
      </c>
      <c r="C63" s="33" t="str">
        <f>IF(ISBLANK('Środki trwałe'!D274),"",'Środki trwałe'!D274)</f>
        <v/>
      </c>
      <c r="D63" s="246" t="str">
        <f>IF(ISBLANK('Środki trwałe'!E274),"",'Środki trwałe'!E274)</f>
        <v/>
      </c>
      <c r="E63" s="198">
        <f>IF(AND('Środki trwałe'!F274="tak",'Środki trwałe'!G274="nie"),'Środki trwałe'!H274,0)</f>
        <v>0</v>
      </c>
      <c r="F63" s="95">
        <f t="shared" si="13"/>
        <v>0</v>
      </c>
      <c r="G63" s="33">
        <f>IF(AND('Środki trwałe'!F274="tak",'Środki trwałe'!G274="tak"),'Środki trwałe'!I274,0)</f>
        <v>0</v>
      </c>
      <c r="H63" s="316"/>
      <c r="I63" s="52"/>
      <c r="J63" s="525" t="str">
        <f>IF(ISBLANK('Środki trwałe'!C274),"",'Środki trwałe'!C274)</f>
        <v/>
      </c>
      <c r="K63" s="33">
        <f t="shared" si="12"/>
        <v>0</v>
      </c>
      <c r="L63" s="33">
        <f t="shared" si="12"/>
        <v>0</v>
      </c>
      <c r="M63" s="33">
        <f t="shared" si="12"/>
        <v>0</v>
      </c>
      <c r="N63" s="33">
        <f t="shared" si="12"/>
        <v>0</v>
      </c>
      <c r="O63" s="33">
        <f t="shared" si="12"/>
        <v>0</v>
      </c>
      <c r="P63" s="33">
        <f t="shared" si="12"/>
        <v>0</v>
      </c>
      <c r="Q63" s="33">
        <f t="shared" si="12"/>
        <v>0</v>
      </c>
      <c r="R63" s="33">
        <f t="shared" si="12"/>
        <v>0</v>
      </c>
      <c r="S63" s="33">
        <f t="shared" si="12"/>
        <v>0</v>
      </c>
      <c r="T63" s="33">
        <f t="shared" si="12"/>
        <v>0</v>
      </c>
      <c r="U63" s="33">
        <f t="shared" si="12"/>
        <v>0</v>
      </c>
      <c r="V63" s="33">
        <f t="shared" si="12"/>
        <v>0</v>
      </c>
      <c r="W63" s="33">
        <f t="shared" si="12"/>
        <v>0</v>
      </c>
      <c r="X63" s="33">
        <f t="shared" si="12"/>
        <v>0</v>
      </c>
    </row>
    <row r="64" spans="2:24">
      <c r="B64" s="37" t="str">
        <f>IF(ISBLANK('Środki trwałe'!B275),"",'Środki trwałe'!B275)</f>
        <v/>
      </c>
      <c r="C64" s="33" t="str">
        <f>IF(ISBLANK('Środki trwałe'!D275),"",'Środki trwałe'!D275)</f>
        <v/>
      </c>
      <c r="D64" s="246" t="str">
        <f>IF(ISBLANK('Środki trwałe'!E275),"",'Środki trwałe'!E275)</f>
        <v/>
      </c>
      <c r="E64" s="198">
        <f>IF(AND('Środki trwałe'!F275="tak",'Środki trwałe'!G275="nie"),'Środki trwałe'!H275,0)</f>
        <v>0</v>
      </c>
      <c r="F64" s="95">
        <f t="shared" si="13"/>
        <v>0</v>
      </c>
      <c r="G64" s="33">
        <f>IF(AND('Środki trwałe'!F275="tak",'Środki trwałe'!G275="tak"),'Środki trwałe'!I275,0)</f>
        <v>0</v>
      </c>
      <c r="H64" s="316"/>
      <c r="I64" s="52"/>
      <c r="J64" s="525" t="str">
        <f>IF(ISBLANK('Środki trwałe'!C275),"",'Środki trwałe'!C275)</f>
        <v/>
      </c>
      <c r="K64" s="33">
        <f t="shared" si="12"/>
        <v>0</v>
      </c>
      <c r="L64" s="33">
        <f t="shared" si="12"/>
        <v>0</v>
      </c>
      <c r="M64" s="33">
        <f t="shared" si="12"/>
        <v>0</v>
      </c>
      <c r="N64" s="33">
        <f t="shared" si="12"/>
        <v>0</v>
      </c>
      <c r="O64" s="33">
        <f t="shared" si="12"/>
        <v>0</v>
      </c>
      <c r="P64" s="33">
        <f t="shared" si="12"/>
        <v>0</v>
      </c>
      <c r="Q64" s="33">
        <f t="shared" si="12"/>
        <v>0</v>
      </c>
      <c r="R64" s="33">
        <f t="shared" si="12"/>
        <v>0</v>
      </c>
      <c r="S64" s="33">
        <f t="shared" si="12"/>
        <v>0</v>
      </c>
      <c r="T64" s="33">
        <f t="shared" si="12"/>
        <v>0</v>
      </c>
      <c r="U64" s="33">
        <f t="shared" si="12"/>
        <v>0</v>
      </c>
      <c r="V64" s="33">
        <f t="shared" si="12"/>
        <v>0</v>
      </c>
      <c r="W64" s="33">
        <f t="shared" si="12"/>
        <v>0</v>
      </c>
      <c r="X64" s="33">
        <f t="shared" si="12"/>
        <v>0</v>
      </c>
    </row>
    <row r="65" spans="1:24">
      <c r="B65" s="37" t="str">
        <f>IF(ISBLANK('Środki trwałe'!B276),"",'Środki trwałe'!B276)</f>
        <v/>
      </c>
      <c r="C65" s="33" t="str">
        <f>IF(ISBLANK('Środki trwałe'!D276),"",'Środki trwałe'!D276)</f>
        <v/>
      </c>
      <c r="D65" s="246" t="str">
        <f>IF(ISBLANK('Środki trwałe'!E276),"",'Środki trwałe'!E276)</f>
        <v/>
      </c>
      <c r="E65" s="198">
        <f>IF(AND('Środki trwałe'!F276="tak",'Środki trwałe'!G276="nie"),'Środki trwałe'!H276,0)</f>
        <v>0</v>
      </c>
      <c r="F65" s="95">
        <f t="shared" si="13"/>
        <v>0</v>
      </c>
      <c r="G65" s="33">
        <f>IF(AND('Środki trwałe'!F276="tak",'Środki trwałe'!G276="tak"),'Środki trwałe'!I276,0)</f>
        <v>0</v>
      </c>
      <c r="H65" s="316"/>
      <c r="I65" s="52"/>
      <c r="J65" s="525" t="str">
        <f>IF(ISBLANK('Środki trwałe'!C276),"",'Środki trwałe'!C276)</f>
        <v/>
      </c>
      <c r="K65" s="33">
        <f t="shared" si="12"/>
        <v>0</v>
      </c>
      <c r="L65" s="33">
        <f t="shared" si="12"/>
        <v>0</v>
      </c>
      <c r="M65" s="33">
        <f t="shared" si="12"/>
        <v>0</v>
      </c>
      <c r="N65" s="33">
        <f t="shared" si="12"/>
        <v>0</v>
      </c>
      <c r="O65" s="33">
        <f t="shared" si="12"/>
        <v>0</v>
      </c>
      <c r="P65" s="33">
        <f t="shared" si="12"/>
        <v>0</v>
      </c>
      <c r="Q65" s="33">
        <f t="shared" si="12"/>
        <v>0</v>
      </c>
      <c r="R65" s="33">
        <f t="shared" si="12"/>
        <v>0</v>
      </c>
      <c r="S65" s="33">
        <f t="shared" si="12"/>
        <v>0</v>
      </c>
      <c r="T65" s="33">
        <f t="shared" si="12"/>
        <v>0</v>
      </c>
      <c r="U65" s="33">
        <f t="shared" si="12"/>
        <v>0</v>
      </c>
      <c r="V65" s="33">
        <f t="shared" si="12"/>
        <v>0</v>
      </c>
      <c r="W65" s="33">
        <f t="shared" si="12"/>
        <v>0</v>
      </c>
      <c r="X65" s="33">
        <f t="shared" si="12"/>
        <v>0</v>
      </c>
    </row>
    <row r="66" spans="1:24">
      <c r="B66" s="37" t="str">
        <f>IF(ISBLANK('Środki trwałe'!B277),"",'Środki trwałe'!B277)</f>
        <v/>
      </c>
      <c r="C66" s="33" t="str">
        <f>IF(ISBLANK('Środki trwałe'!D277),"",'Środki trwałe'!D277)</f>
        <v/>
      </c>
      <c r="D66" s="246" t="str">
        <f>IF(ISBLANK('Środki trwałe'!E277),"",'Środki trwałe'!E277)</f>
        <v/>
      </c>
      <c r="E66" s="198">
        <f>IF(AND('Środki trwałe'!F277="tak",'Środki trwałe'!G277="nie"),'Środki trwałe'!H277,0)</f>
        <v>0</v>
      </c>
      <c r="F66" s="95">
        <f t="shared" si="13"/>
        <v>0</v>
      </c>
      <c r="G66" s="33">
        <f>IF(AND('Środki trwałe'!F277="tak",'Środki trwałe'!G277="tak"),'Środki trwałe'!I277,0)</f>
        <v>0</v>
      </c>
      <c r="H66" s="316"/>
      <c r="I66" s="52"/>
      <c r="J66" s="525" t="str">
        <f>IF(ISBLANK('Środki trwałe'!C277),"",'Środki trwałe'!C277)</f>
        <v/>
      </c>
      <c r="K66" s="33">
        <f t="shared" si="12"/>
        <v>0</v>
      </c>
      <c r="L66" s="33">
        <f t="shared" si="12"/>
        <v>0</v>
      </c>
      <c r="M66" s="33">
        <f t="shared" si="12"/>
        <v>0</v>
      </c>
      <c r="N66" s="33">
        <f t="shared" si="12"/>
        <v>0</v>
      </c>
      <c r="O66" s="33">
        <f t="shared" si="12"/>
        <v>0</v>
      </c>
      <c r="P66" s="33">
        <f t="shared" si="12"/>
        <v>0</v>
      </c>
      <c r="Q66" s="33">
        <f t="shared" si="12"/>
        <v>0</v>
      </c>
      <c r="R66" s="33">
        <f t="shared" si="12"/>
        <v>0</v>
      </c>
      <c r="S66" s="33">
        <f t="shared" si="12"/>
        <v>0</v>
      </c>
      <c r="T66" s="33">
        <f t="shared" si="12"/>
        <v>0</v>
      </c>
      <c r="U66" s="33">
        <f t="shared" si="12"/>
        <v>0</v>
      </c>
      <c r="V66" s="33">
        <f t="shared" si="12"/>
        <v>0</v>
      </c>
      <c r="W66" s="33">
        <f t="shared" si="12"/>
        <v>0</v>
      </c>
      <c r="X66" s="33">
        <f t="shared" si="12"/>
        <v>0</v>
      </c>
    </row>
    <row r="67" spans="1:24">
      <c r="B67" s="37" t="str">
        <f>IF(ISBLANK('Środki trwałe'!B278),"",'Środki trwałe'!B278)</f>
        <v/>
      </c>
      <c r="C67" s="33" t="str">
        <f>IF(ISBLANK('Środki trwałe'!D278),"",'Środki trwałe'!D278)</f>
        <v/>
      </c>
      <c r="D67" s="246" t="str">
        <f>IF(ISBLANK('Środki trwałe'!E278),"",'Środki trwałe'!E278)</f>
        <v/>
      </c>
      <c r="E67" s="198">
        <f>IF(AND('Środki trwałe'!F278="tak",'Środki trwałe'!G278="nie"),'Środki trwałe'!H278,0)</f>
        <v>0</v>
      </c>
      <c r="F67" s="95">
        <f t="shared" si="13"/>
        <v>0</v>
      </c>
      <c r="G67" s="33">
        <f>IF(AND('Środki trwałe'!F278="tak",'Środki trwałe'!G278="tak"),'Środki trwałe'!I278,0)</f>
        <v>0</v>
      </c>
      <c r="H67" s="316"/>
      <c r="I67" s="52"/>
      <c r="J67" s="525" t="str">
        <f>IF(ISBLANK('Środki trwałe'!C278),"",'Środki trwałe'!C278)</f>
        <v/>
      </c>
      <c r="K67" s="33">
        <f t="shared" si="12"/>
        <v>0</v>
      </c>
      <c r="L67" s="33">
        <f t="shared" si="12"/>
        <v>0</v>
      </c>
      <c r="M67" s="33">
        <f t="shared" si="12"/>
        <v>0</v>
      </c>
      <c r="N67" s="33">
        <f t="shared" si="12"/>
        <v>0</v>
      </c>
      <c r="O67" s="33">
        <f t="shared" si="12"/>
        <v>0</v>
      </c>
      <c r="P67" s="33">
        <f t="shared" si="12"/>
        <v>0</v>
      </c>
      <c r="Q67" s="33">
        <f t="shared" si="12"/>
        <v>0</v>
      </c>
      <c r="R67" s="33">
        <f t="shared" si="12"/>
        <v>0</v>
      </c>
      <c r="S67" s="33">
        <f t="shared" si="12"/>
        <v>0</v>
      </c>
      <c r="T67" s="33">
        <f t="shared" si="12"/>
        <v>0</v>
      </c>
      <c r="U67" s="33">
        <f t="shared" si="12"/>
        <v>0</v>
      </c>
      <c r="V67" s="33">
        <f t="shared" si="12"/>
        <v>0</v>
      </c>
      <c r="W67" s="33">
        <f t="shared" si="12"/>
        <v>0</v>
      </c>
      <c r="X67" s="33">
        <f t="shared" si="12"/>
        <v>0</v>
      </c>
    </row>
    <row r="68" spans="1:24">
      <c r="B68" s="37" t="str">
        <f>IF(ISBLANK('Środki trwałe'!B279),"",'Środki trwałe'!B279)</f>
        <v/>
      </c>
      <c r="C68" s="33" t="str">
        <f>IF(ISBLANK('Środki trwałe'!D279),"",'Środki trwałe'!D279)</f>
        <v/>
      </c>
      <c r="D68" s="246" t="str">
        <f>IF(ISBLANK('Środki trwałe'!E279),"",'Środki trwałe'!E279)</f>
        <v/>
      </c>
      <c r="E68" s="198">
        <f>IF(AND('Środki trwałe'!F279="tak",'Środki trwałe'!G279="nie"),'Środki trwałe'!H279,0)</f>
        <v>0</v>
      </c>
      <c r="F68" s="95">
        <f t="shared" si="13"/>
        <v>0</v>
      </c>
      <c r="G68" s="33">
        <f>IF(AND('Środki trwałe'!F279="tak",'Środki trwałe'!G279="tak"),'Środki trwałe'!I279,0)</f>
        <v>0</v>
      </c>
      <c r="H68" s="316"/>
      <c r="I68" s="52"/>
      <c r="J68" s="525" t="str">
        <f>IF(ISBLANK('Środki trwałe'!C279),"",'Środki trwałe'!C279)</f>
        <v/>
      </c>
      <c r="K68" s="33">
        <f t="shared" si="12"/>
        <v>0</v>
      </c>
      <c r="L68" s="33">
        <f t="shared" si="12"/>
        <v>0</v>
      </c>
      <c r="M68" s="33">
        <f t="shared" si="12"/>
        <v>0</v>
      </c>
      <c r="N68" s="33">
        <f t="shared" si="12"/>
        <v>0</v>
      </c>
      <c r="O68" s="33">
        <f t="shared" si="12"/>
        <v>0</v>
      </c>
      <c r="P68" s="33">
        <f t="shared" si="12"/>
        <v>0</v>
      </c>
      <c r="Q68" s="33">
        <f t="shared" si="12"/>
        <v>0</v>
      </c>
      <c r="R68" s="33">
        <f t="shared" si="12"/>
        <v>0</v>
      </c>
      <c r="S68" s="33">
        <f t="shared" si="12"/>
        <v>0</v>
      </c>
      <c r="T68" s="33">
        <f t="shared" si="12"/>
        <v>0</v>
      </c>
      <c r="U68" s="33">
        <f t="shared" si="12"/>
        <v>0</v>
      </c>
      <c r="V68" s="33">
        <f t="shared" si="12"/>
        <v>0</v>
      </c>
      <c r="W68" s="33">
        <f t="shared" si="12"/>
        <v>0</v>
      </c>
      <c r="X68" s="33">
        <f t="shared" si="12"/>
        <v>0</v>
      </c>
    </row>
    <row r="69" spans="1:24">
      <c r="B69" s="37" t="str">
        <f>IF(ISBLANK('Środki trwałe'!B280),"",'Środki trwałe'!B280)</f>
        <v/>
      </c>
      <c r="C69" s="33" t="str">
        <f>IF(ISBLANK('Środki trwałe'!D280),"",'Środki trwałe'!D280)</f>
        <v/>
      </c>
      <c r="D69" s="246" t="str">
        <f>IF(ISBLANK('Środki trwałe'!E280),"",'Środki trwałe'!E280)</f>
        <v/>
      </c>
      <c r="E69" s="198">
        <f>IF(AND('Środki trwałe'!F280="tak",'Środki trwałe'!G280="nie"),'Środki trwałe'!H280,0)</f>
        <v>0</v>
      </c>
      <c r="F69" s="95">
        <f t="shared" si="13"/>
        <v>0</v>
      </c>
      <c r="G69" s="33">
        <f>IF(AND('Środki trwałe'!F280="tak",'Środki trwałe'!G280="tak"),'Środki trwałe'!I280,0)</f>
        <v>0</v>
      </c>
      <c r="H69" s="316"/>
      <c r="I69" s="52"/>
      <c r="J69" s="525" t="str">
        <f>IF(ISBLANK('Środki trwałe'!C280),"",'Środki trwałe'!C280)</f>
        <v/>
      </c>
      <c r="K69" s="33">
        <f t="shared" si="12"/>
        <v>0</v>
      </c>
      <c r="L69" s="33">
        <f t="shared" si="12"/>
        <v>0</v>
      </c>
      <c r="M69" s="33">
        <f t="shared" si="12"/>
        <v>0</v>
      </c>
      <c r="N69" s="33">
        <f t="shared" si="12"/>
        <v>0</v>
      </c>
      <c r="O69" s="33">
        <f t="shared" si="12"/>
        <v>0</v>
      </c>
      <c r="P69" s="33">
        <f t="shared" si="12"/>
        <v>0</v>
      </c>
      <c r="Q69" s="33">
        <f t="shared" si="12"/>
        <v>0</v>
      </c>
      <c r="R69" s="33">
        <f t="shared" si="12"/>
        <v>0</v>
      </c>
      <c r="S69" s="33">
        <f t="shared" si="12"/>
        <v>0</v>
      </c>
      <c r="T69" s="33">
        <f t="shared" si="12"/>
        <v>0</v>
      </c>
      <c r="U69" s="33">
        <f t="shared" si="12"/>
        <v>0</v>
      </c>
      <c r="V69" s="33">
        <f t="shared" si="12"/>
        <v>0</v>
      </c>
      <c r="W69" s="33">
        <f t="shared" si="12"/>
        <v>0</v>
      </c>
      <c r="X69" s="33">
        <f t="shared" si="12"/>
        <v>0</v>
      </c>
    </row>
    <row r="70" spans="1:24">
      <c r="B70" s="37" t="str">
        <f>IF(ISBLANK('Środki trwałe'!B281),"",'Środki trwałe'!B281)</f>
        <v/>
      </c>
      <c r="C70" s="33" t="str">
        <f>IF(ISBLANK('Środki trwałe'!D281),"",'Środki trwałe'!D281)</f>
        <v/>
      </c>
      <c r="D70" s="246" t="str">
        <f>IF(ISBLANK('Środki trwałe'!E281),"",'Środki trwałe'!E281)</f>
        <v/>
      </c>
      <c r="E70" s="198">
        <f>IF(AND('Środki trwałe'!F281="tak",'Środki trwałe'!G281="nie"),'Środki trwałe'!H281,0)</f>
        <v>0</v>
      </c>
      <c r="F70" s="95">
        <f t="shared" si="13"/>
        <v>0</v>
      </c>
      <c r="G70" s="33">
        <f>IF(AND('Środki trwałe'!F281="tak",'Środki trwałe'!G281="tak"),'Środki trwałe'!I281,0)</f>
        <v>0</v>
      </c>
      <c r="H70" s="316"/>
      <c r="I70" s="52"/>
      <c r="J70" s="525" t="str">
        <f>IF(ISBLANK('Środki trwałe'!C281),"",'Środki trwałe'!C281)</f>
        <v/>
      </c>
      <c r="K70" s="33">
        <f t="shared" si="12"/>
        <v>0</v>
      </c>
      <c r="L70" s="33">
        <f t="shared" si="12"/>
        <v>0</v>
      </c>
      <c r="M70" s="33">
        <f t="shared" si="12"/>
        <v>0</v>
      </c>
      <c r="N70" s="33">
        <f t="shared" si="12"/>
        <v>0</v>
      </c>
      <c r="O70" s="33">
        <f t="shared" si="12"/>
        <v>0</v>
      </c>
      <c r="P70" s="33">
        <f t="shared" si="12"/>
        <v>0</v>
      </c>
      <c r="Q70" s="33">
        <f t="shared" si="12"/>
        <v>0</v>
      </c>
      <c r="R70" s="33">
        <f t="shared" si="12"/>
        <v>0</v>
      </c>
      <c r="S70" s="33">
        <f t="shared" si="12"/>
        <v>0</v>
      </c>
      <c r="T70" s="33">
        <f t="shared" si="12"/>
        <v>0</v>
      </c>
      <c r="U70" s="33">
        <f t="shared" si="12"/>
        <v>0</v>
      </c>
      <c r="V70" s="33">
        <f t="shared" si="12"/>
        <v>0</v>
      </c>
      <c r="W70" s="33">
        <f t="shared" si="12"/>
        <v>0</v>
      </c>
      <c r="X70" s="33">
        <f t="shared" si="12"/>
        <v>0</v>
      </c>
    </row>
    <row r="71" spans="1:24">
      <c r="B71" s="37" t="str">
        <f>IF(ISBLANK('Środki trwałe'!B282),"",'Środki trwałe'!B282)</f>
        <v/>
      </c>
      <c r="C71" s="33" t="str">
        <f>IF(ISBLANK('Środki trwałe'!D282),"",'Środki trwałe'!D282)</f>
        <v/>
      </c>
      <c r="D71" s="246" t="str">
        <f>IF(ISBLANK('Środki trwałe'!E282),"",'Środki trwałe'!E282)</f>
        <v/>
      </c>
      <c r="E71" s="198">
        <f>IF(AND('Środki trwałe'!F282="tak",'Środki trwałe'!G282="nie"),'Środki trwałe'!H282,0)</f>
        <v>0</v>
      </c>
      <c r="F71" s="95">
        <f t="shared" si="13"/>
        <v>0</v>
      </c>
      <c r="G71" s="33">
        <f>IF(AND('Środki trwałe'!F282="tak",'Środki trwałe'!G282="tak"),'Środki trwałe'!I282,0)</f>
        <v>0</v>
      </c>
      <c r="H71" s="316"/>
      <c r="I71" s="52"/>
      <c r="J71" s="525" t="str">
        <f>IF(ISBLANK('Środki trwałe'!C282),"",'Środki trwałe'!C282)</f>
        <v/>
      </c>
      <c r="K71" s="33">
        <f t="shared" si="12"/>
        <v>0</v>
      </c>
      <c r="L71" s="33">
        <f t="shared" si="12"/>
        <v>0</v>
      </c>
      <c r="M71" s="33">
        <f t="shared" si="12"/>
        <v>0</v>
      </c>
      <c r="N71" s="33">
        <f t="shared" si="12"/>
        <v>0</v>
      </c>
      <c r="O71" s="33">
        <f t="shared" si="12"/>
        <v>0</v>
      </c>
      <c r="P71" s="33">
        <f t="shared" si="12"/>
        <v>0</v>
      </c>
      <c r="Q71" s="33">
        <f t="shared" si="12"/>
        <v>0</v>
      </c>
      <c r="R71" s="33">
        <f t="shared" si="12"/>
        <v>0</v>
      </c>
      <c r="S71" s="33">
        <f t="shared" si="12"/>
        <v>0</v>
      </c>
      <c r="T71" s="33">
        <f t="shared" si="12"/>
        <v>0</v>
      </c>
      <c r="U71" s="33">
        <f t="shared" si="12"/>
        <v>0</v>
      </c>
      <c r="V71" s="33">
        <f t="shared" si="12"/>
        <v>0</v>
      </c>
      <c r="W71" s="33">
        <f t="shared" si="12"/>
        <v>0</v>
      </c>
      <c r="X71" s="33">
        <f t="shared" si="12"/>
        <v>0</v>
      </c>
    </row>
    <row r="72" spans="1:24">
      <c r="B72" s="37" t="str">
        <f>IF(ISBLANK('Środki trwałe'!B283),"",'Środki trwałe'!B283)</f>
        <v/>
      </c>
      <c r="C72" s="33" t="str">
        <f>IF(ISBLANK('Środki trwałe'!D283),"",'Środki trwałe'!D283)</f>
        <v/>
      </c>
      <c r="D72" s="246" t="str">
        <f>IF(ISBLANK('Środki trwałe'!E283),"",'Środki trwałe'!E283)</f>
        <v/>
      </c>
      <c r="E72" s="198">
        <f>IF(AND('Środki trwałe'!F283="tak",'Środki trwałe'!G283="nie"),'Środki trwałe'!H283,0)</f>
        <v>0</v>
      </c>
      <c r="F72" s="95">
        <f t="shared" ref="F72" si="14">IFERROR(IF(E72=0,0,ROUND(E72*C72,0)),0)</f>
        <v>0</v>
      </c>
      <c r="G72" s="33">
        <f>IF(AND('Środki trwałe'!F283="tak",'Środki trwałe'!G283="tak"),'Środki trwałe'!I283,0)</f>
        <v>0</v>
      </c>
      <c r="H72" s="316"/>
      <c r="I72" s="52"/>
      <c r="J72" s="525" t="str">
        <f>IF(ISBLANK('Środki trwałe'!C283),"",'Środki trwałe'!C283)</f>
        <v/>
      </c>
      <c r="K72" s="33">
        <f t="shared" si="12"/>
        <v>0</v>
      </c>
      <c r="L72" s="33">
        <f t="shared" si="12"/>
        <v>0</v>
      </c>
      <c r="M72" s="33">
        <f t="shared" si="12"/>
        <v>0</v>
      </c>
      <c r="N72" s="33">
        <f t="shared" si="12"/>
        <v>0</v>
      </c>
      <c r="O72" s="33">
        <f t="shared" si="12"/>
        <v>0</v>
      </c>
      <c r="P72" s="33">
        <f t="shared" si="12"/>
        <v>0</v>
      </c>
      <c r="Q72" s="33">
        <f t="shared" si="12"/>
        <v>0</v>
      </c>
      <c r="R72" s="33">
        <f t="shared" si="12"/>
        <v>0</v>
      </c>
      <c r="S72" s="33">
        <f t="shared" si="12"/>
        <v>0</v>
      </c>
      <c r="T72" s="33">
        <f t="shared" si="12"/>
        <v>0</v>
      </c>
      <c r="U72" s="33">
        <f t="shared" si="12"/>
        <v>0</v>
      </c>
      <c r="V72" s="33">
        <f t="shared" si="12"/>
        <v>0</v>
      </c>
      <c r="W72" s="33">
        <f t="shared" si="12"/>
        <v>0</v>
      </c>
      <c r="X72" s="33">
        <f t="shared" si="12"/>
        <v>0</v>
      </c>
    </row>
    <row r="73" spans="1:24">
      <c r="B73" s="99" t="s">
        <v>335</v>
      </c>
      <c r="C73" s="98">
        <f>SUM(C58:C72)</f>
        <v>0</v>
      </c>
      <c r="D73" s="200"/>
      <c r="E73" s="97"/>
      <c r="F73" s="98">
        <f>SUM(F58:F72)</f>
        <v>0</v>
      </c>
      <c r="G73" s="98">
        <f>SUM(G58:G72)</f>
        <v>0</v>
      </c>
      <c r="H73" s="321"/>
      <c r="I73" s="97"/>
      <c r="J73" s="526"/>
      <c r="K73" s="98">
        <f t="shared" ref="K73:X73" si="15">ROUND(SUM(K58:K72),0)</f>
        <v>0</v>
      </c>
      <c r="L73" s="98">
        <f t="shared" si="15"/>
        <v>0</v>
      </c>
      <c r="M73" s="98">
        <f t="shared" si="15"/>
        <v>0</v>
      </c>
      <c r="N73" s="98">
        <f t="shared" si="15"/>
        <v>0</v>
      </c>
      <c r="O73" s="98">
        <f t="shared" si="15"/>
        <v>0</v>
      </c>
      <c r="P73" s="98">
        <f t="shared" si="15"/>
        <v>0</v>
      </c>
      <c r="Q73" s="98">
        <f t="shared" si="15"/>
        <v>0</v>
      </c>
      <c r="R73" s="98">
        <f t="shared" si="15"/>
        <v>0</v>
      </c>
      <c r="S73" s="98">
        <f t="shared" si="15"/>
        <v>0</v>
      </c>
      <c r="T73" s="98">
        <f t="shared" si="15"/>
        <v>0</v>
      </c>
      <c r="U73" s="98">
        <f t="shared" si="15"/>
        <v>0</v>
      </c>
      <c r="V73" s="98">
        <f t="shared" si="15"/>
        <v>0</v>
      </c>
      <c r="W73" s="98">
        <f t="shared" si="15"/>
        <v>0</v>
      </c>
      <c r="X73" s="98">
        <f t="shared" si="15"/>
        <v>0</v>
      </c>
    </row>
    <row r="74" spans="1:24">
      <c r="B74" s="104" t="s">
        <v>450</v>
      </c>
      <c r="C74" s="102"/>
      <c r="D74" s="102"/>
      <c r="E74" s="102"/>
      <c r="F74" s="102"/>
      <c r="G74" s="102"/>
      <c r="H74" s="317"/>
      <c r="I74" s="102"/>
      <c r="J74" s="527"/>
      <c r="K74" s="103">
        <f t="shared" ref="K74:X74" ca="1" si="16">ROUND(K471+K478+K485+K492+K569+K562+K555+K548+K541+K534+K527+K520+K513+K506+K499,0)</f>
        <v>0</v>
      </c>
      <c r="L74" s="103">
        <f ca="1">ROUND(L471+L478+L485+L492+L569+L562+L555+L548+L541+L534+L527+L520+L513+L506+L499,0)</f>
        <v>0</v>
      </c>
      <c r="M74" s="103">
        <f t="shared" ca="1" si="16"/>
        <v>0</v>
      </c>
      <c r="N74" s="103">
        <f t="shared" ca="1" si="16"/>
        <v>0</v>
      </c>
      <c r="O74" s="103">
        <f t="shared" ca="1" si="16"/>
        <v>0</v>
      </c>
      <c r="P74" s="103">
        <f t="shared" ca="1" si="16"/>
        <v>0</v>
      </c>
      <c r="Q74" s="103">
        <f t="shared" ca="1" si="16"/>
        <v>0</v>
      </c>
      <c r="R74" s="103">
        <f t="shared" ca="1" si="16"/>
        <v>0</v>
      </c>
      <c r="S74" s="103">
        <f t="shared" ca="1" si="16"/>
        <v>0</v>
      </c>
      <c r="T74" s="103">
        <f t="shared" ca="1" si="16"/>
        <v>0</v>
      </c>
      <c r="U74" s="103">
        <f t="shared" ca="1" si="16"/>
        <v>0</v>
      </c>
      <c r="V74" s="103">
        <f t="shared" ca="1" si="16"/>
        <v>0</v>
      </c>
      <c r="W74" s="103">
        <f t="shared" ca="1" si="16"/>
        <v>0</v>
      </c>
      <c r="X74" s="103">
        <f t="shared" ca="1" si="16"/>
        <v>0</v>
      </c>
    </row>
    <row r="75" spans="1:24">
      <c r="B75" s="37" t="s">
        <v>451</v>
      </c>
      <c r="C75" s="52"/>
      <c r="D75" s="52"/>
      <c r="E75" s="52"/>
      <c r="F75" s="52"/>
      <c r="G75" s="52"/>
      <c r="H75" s="316"/>
      <c r="I75" s="52"/>
      <c r="J75" s="528"/>
      <c r="K75" s="33">
        <f t="shared" ref="K75:X75" ca="1" si="17">ROUND(K472+K479+K486+K493+K570+K563+K556+K549+K542+K535+K528+K521+K514+K507+K500,0)</f>
        <v>0</v>
      </c>
      <c r="L75" s="33">
        <f t="shared" ca="1" si="17"/>
        <v>0</v>
      </c>
      <c r="M75" s="33">
        <f t="shared" ca="1" si="17"/>
        <v>0</v>
      </c>
      <c r="N75" s="33">
        <f t="shared" ca="1" si="17"/>
        <v>0</v>
      </c>
      <c r="O75" s="33">
        <f t="shared" ca="1" si="17"/>
        <v>0</v>
      </c>
      <c r="P75" s="33">
        <f t="shared" ca="1" si="17"/>
        <v>0</v>
      </c>
      <c r="Q75" s="33">
        <f t="shared" ca="1" si="17"/>
        <v>0</v>
      </c>
      <c r="R75" s="33">
        <f t="shared" ca="1" si="17"/>
        <v>0</v>
      </c>
      <c r="S75" s="33">
        <f t="shared" ca="1" si="17"/>
        <v>0</v>
      </c>
      <c r="T75" s="33">
        <f t="shared" ca="1" si="17"/>
        <v>0</v>
      </c>
      <c r="U75" s="33">
        <f t="shared" ca="1" si="17"/>
        <v>0</v>
      </c>
      <c r="V75" s="33">
        <f t="shared" ca="1" si="17"/>
        <v>0</v>
      </c>
      <c r="W75" s="33">
        <f t="shared" ca="1" si="17"/>
        <v>0</v>
      </c>
      <c r="X75" s="33">
        <f t="shared" ca="1" si="17"/>
        <v>0</v>
      </c>
    </row>
    <row r="76" spans="1:24">
      <c r="B76" s="106" t="s">
        <v>452</v>
      </c>
      <c r="C76" s="106"/>
      <c r="D76" s="106"/>
      <c r="E76" s="106"/>
      <c r="F76" s="106"/>
      <c r="G76" s="106"/>
      <c r="H76" s="325"/>
      <c r="I76" s="106"/>
      <c r="J76" s="529"/>
      <c r="K76" s="107">
        <f>'Środki trwałe'!K322</f>
        <v>0</v>
      </c>
      <c r="L76" s="107">
        <f>'Środki trwałe'!L322</f>
        <v>0</v>
      </c>
      <c r="M76" s="107">
        <f>'Środki trwałe'!M322</f>
        <v>0</v>
      </c>
      <c r="N76" s="107">
        <f>'Środki trwałe'!N322</f>
        <v>0</v>
      </c>
      <c r="O76" s="107">
        <f>'Środki trwałe'!O322</f>
        <v>0</v>
      </c>
      <c r="P76" s="107">
        <f>'Środki trwałe'!P322</f>
        <v>0</v>
      </c>
      <c r="Q76" s="107">
        <f>'Środki trwałe'!Q322</f>
        <v>0</v>
      </c>
      <c r="R76" s="107">
        <f>'Środki trwałe'!R322</f>
        <v>0</v>
      </c>
      <c r="S76" s="107">
        <f>'Środki trwałe'!S322</f>
        <v>0</v>
      </c>
      <c r="T76" s="107">
        <f>'Środki trwałe'!T322</f>
        <v>0</v>
      </c>
      <c r="U76" s="107">
        <f>'Środki trwałe'!U322</f>
        <v>0</v>
      </c>
      <c r="V76" s="107">
        <f>'Środki trwałe'!V322</f>
        <v>0</v>
      </c>
      <c r="W76" s="107">
        <f>'Środki trwałe'!W322</f>
        <v>0</v>
      </c>
      <c r="X76" s="107">
        <f>'Środki trwałe'!X322</f>
        <v>0</v>
      </c>
    </row>
    <row r="77" spans="1:24">
      <c r="B77" s="201" t="s">
        <v>453</v>
      </c>
      <c r="C77" s="52"/>
      <c r="D77" s="52"/>
      <c r="E77" s="52"/>
      <c r="F77" s="52"/>
      <c r="G77" s="52"/>
      <c r="H77" s="316"/>
      <c r="I77" s="52"/>
      <c r="J77" s="528"/>
      <c r="K77" s="87">
        <f t="shared" ref="K77:X77" ca="1" si="18">ROUND(K473+K480+K487+K494+K571+K501+K508+K515+K522+K529+K536+K543+K550+K557+K564,0)</f>
        <v>0</v>
      </c>
      <c r="L77" s="87">
        <f t="shared" ca="1" si="18"/>
        <v>0</v>
      </c>
      <c r="M77" s="87">
        <f t="shared" ca="1" si="18"/>
        <v>0</v>
      </c>
      <c r="N77" s="87">
        <f t="shared" ca="1" si="18"/>
        <v>0</v>
      </c>
      <c r="O77" s="87">
        <f t="shared" ca="1" si="18"/>
        <v>0</v>
      </c>
      <c r="P77" s="87">
        <f t="shared" ca="1" si="18"/>
        <v>0</v>
      </c>
      <c r="Q77" s="87">
        <f t="shared" ca="1" si="18"/>
        <v>0</v>
      </c>
      <c r="R77" s="87">
        <f t="shared" ca="1" si="18"/>
        <v>0</v>
      </c>
      <c r="S77" s="87">
        <f t="shared" ca="1" si="18"/>
        <v>0</v>
      </c>
      <c r="T77" s="87">
        <f t="shared" ca="1" si="18"/>
        <v>0</v>
      </c>
      <c r="U77" s="87">
        <f t="shared" ca="1" si="18"/>
        <v>0</v>
      </c>
      <c r="V77" s="87">
        <f t="shared" ca="1" si="18"/>
        <v>0</v>
      </c>
      <c r="W77" s="87">
        <f t="shared" ca="1" si="18"/>
        <v>0</v>
      </c>
      <c r="X77" s="87">
        <f t="shared" ca="1" si="18"/>
        <v>0</v>
      </c>
    </row>
    <row r="78" spans="1:24">
      <c r="J78" s="531"/>
    </row>
    <row r="79" spans="1:24" customFormat="1">
      <c r="A79" s="1"/>
      <c r="J79" s="505"/>
    </row>
    <row r="80" spans="1:24" ht="24">
      <c r="B80" s="228" t="s">
        <v>389</v>
      </c>
      <c r="C80" s="229" t="s">
        <v>406</v>
      </c>
      <c r="D80" s="230" t="s">
        <v>421</v>
      </c>
      <c r="E80" s="230" t="s">
        <v>408</v>
      </c>
      <c r="F80" s="230" t="s">
        <v>409</v>
      </c>
      <c r="G80" s="230" t="s">
        <v>449</v>
      </c>
      <c r="H80" s="313"/>
      <c r="I80" s="231"/>
      <c r="J80" s="530"/>
      <c r="K80" s="232" t="str">
        <f t="shared" ref="K80:X80" si="19">LataProjekcji</f>
        <v>Uzupełnij dane</v>
      </c>
      <c r="L80" s="232" t="str">
        <f t="shared" si="19"/>
        <v/>
      </c>
      <c r="M80" s="232" t="str">
        <f t="shared" si="19"/>
        <v/>
      </c>
      <c r="N80" s="232" t="str">
        <f t="shared" si="19"/>
        <v/>
      </c>
      <c r="O80" s="232" t="str">
        <f t="shared" si="19"/>
        <v/>
      </c>
      <c r="P80" s="232" t="str">
        <f t="shared" si="19"/>
        <v/>
      </c>
      <c r="Q80" s="232" t="str">
        <f t="shared" si="19"/>
        <v/>
      </c>
      <c r="R80" s="232" t="str">
        <f t="shared" si="19"/>
        <v/>
      </c>
      <c r="S80" s="232" t="str">
        <f t="shared" si="19"/>
        <v/>
      </c>
      <c r="T80" s="232" t="str">
        <f t="shared" si="19"/>
        <v/>
      </c>
      <c r="U80" s="232" t="str">
        <f t="shared" si="19"/>
        <v/>
      </c>
      <c r="V80" s="232" t="str">
        <f t="shared" si="19"/>
        <v/>
      </c>
      <c r="W80" s="232" t="str">
        <f t="shared" si="19"/>
        <v/>
      </c>
      <c r="X80" s="232" t="str">
        <f t="shared" si="19"/>
        <v/>
      </c>
    </row>
    <row r="81" spans="1:24">
      <c r="B81" s="104" t="str">
        <f>IF(ISBLANK('Środki trwałe'!B326),"",'Środki trwałe'!B326)</f>
        <v/>
      </c>
      <c r="C81" s="103" t="str">
        <f>IF(ISBLANK('Środki trwałe'!D326),"",'Środki trwałe'!D326)</f>
        <v/>
      </c>
      <c r="D81" s="246" t="str">
        <f>IF(ISBLANK('Środki trwałe'!E326),"",'Środki trwałe'!E326)</f>
        <v/>
      </c>
      <c r="E81" s="198">
        <f>IF(AND('Środki trwałe'!F326="tak",'Środki trwałe'!G326="nie"),'Środki trwałe'!H326,0)</f>
        <v>0</v>
      </c>
      <c r="F81" s="95">
        <f>IFERROR(IF(E81=0,0,ROUND(E81*C81,0)),0)</f>
        <v>0</v>
      </c>
      <c r="G81" s="103">
        <f>IF(AND('Środki trwałe'!F326="tak",'Środki trwałe'!G326="tak"),'Środki trwałe'!I326,0)</f>
        <v>0</v>
      </c>
      <c r="H81" s="317"/>
      <c r="I81" s="102"/>
      <c r="J81" s="532" t="str">
        <f>IF(ISBLANK('Środki trwałe'!C326),"",'Środki trwałe'!C326)</f>
        <v/>
      </c>
      <c r="K81" s="103">
        <f t="shared" ref="K81:X85" si="20">IFERROR(ROUND(IF(AND(YEAR($D81)=LataProjekcji,$F81&gt;0),$F81,0),0),0)</f>
        <v>0</v>
      </c>
      <c r="L81" s="103">
        <f t="shared" si="20"/>
        <v>0</v>
      </c>
      <c r="M81" s="103">
        <f t="shared" si="20"/>
        <v>0</v>
      </c>
      <c r="N81" s="103">
        <f t="shared" si="20"/>
        <v>0</v>
      </c>
      <c r="O81" s="103">
        <f t="shared" si="20"/>
        <v>0</v>
      </c>
      <c r="P81" s="103">
        <f t="shared" si="20"/>
        <v>0</v>
      </c>
      <c r="Q81" s="103">
        <f t="shared" si="20"/>
        <v>0</v>
      </c>
      <c r="R81" s="103">
        <f t="shared" si="20"/>
        <v>0</v>
      </c>
      <c r="S81" s="103">
        <f t="shared" si="20"/>
        <v>0</v>
      </c>
      <c r="T81" s="103">
        <f t="shared" si="20"/>
        <v>0</v>
      </c>
      <c r="U81" s="103">
        <f t="shared" si="20"/>
        <v>0</v>
      </c>
      <c r="V81" s="103">
        <f t="shared" si="20"/>
        <v>0</v>
      </c>
      <c r="W81" s="103">
        <f t="shared" si="20"/>
        <v>0</v>
      </c>
      <c r="X81" s="103">
        <f t="shared" si="20"/>
        <v>0</v>
      </c>
    </row>
    <row r="82" spans="1:24">
      <c r="B82" s="37" t="str">
        <f>IF(ISBLANK('Środki trwałe'!B327),"",'Środki trwałe'!B327)</f>
        <v/>
      </c>
      <c r="C82" s="33" t="str">
        <f>IF(ISBLANK('Środki trwałe'!D327),"",'Środki trwałe'!D327)</f>
        <v/>
      </c>
      <c r="D82" s="246" t="str">
        <f>IF(ISBLANK('Środki trwałe'!E327),"",'Środki trwałe'!E327)</f>
        <v/>
      </c>
      <c r="E82" s="198">
        <f>IF(AND('Środki trwałe'!F327="tak",'Środki trwałe'!G327="nie"),'Środki trwałe'!H327,0)</f>
        <v>0</v>
      </c>
      <c r="F82" s="95">
        <f>IFERROR(IF(E82=0,0,ROUND(E82*C82,0)),0)</f>
        <v>0</v>
      </c>
      <c r="G82" s="33">
        <f>IF(AND('Środki trwałe'!F327="tak",'Środki trwałe'!G327="tak"),'Środki trwałe'!I327,0)</f>
        <v>0</v>
      </c>
      <c r="H82" s="316"/>
      <c r="I82" s="52"/>
      <c r="J82" s="525" t="str">
        <f>IF(ISBLANK('Środki trwałe'!C327),"",'Środki trwałe'!C327)</f>
        <v/>
      </c>
      <c r="K82" s="33">
        <f t="shared" si="20"/>
        <v>0</v>
      </c>
      <c r="L82" s="33">
        <f t="shared" si="20"/>
        <v>0</v>
      </c>
      <c r="M82" s="33">
        <f t="shared" si="20"/>
        <v>0</v>
      </c>
      <c r="N82" s="33">
        <f t="shared" si="20"/>
        <v>0</v>
      </c>
      <c r="O82" s="33">
        <f t="shared" si="20"/>
        <v>0</v>
      </c>
      <c r="P82" s="33">
        <f t="shared" si="20"/>
        <v>0</v>
      </c>
      <c r="Q82" s="33">
        <f t="shared" si="20"/>
        <v>0</v>
      </c>
      <c r="R82" s="33">
        <f t="shared" si="20"/>
        <v>0</v>
      </c>
      <c r="S82" s="33">
        <f t="shared" si="20"/>
        <v>0</v>
      </c>
      <c r="T82" s="33">
        <f t="shared" si="20"/>
        <v>0</v>
      </c>
      <c r="U82" s="33">
        <f t="shared" si="20"/>
        <v>0</v>
      </c>
      <c r="V82" s="33">
        <f t="shared" si="20"/>
        <v>0</v>
      </c>
      <c r="W82" s="33">
        <f t="shared" si="20"/>
        <v>0</v>
      </c>
      <c r="X82" s="33">
        <f t="shared" si="20"/>
        <v>0</v>
      </c>
    </row>
    <row r="83" spans="1:24">
      <c r="B83" s="37" t="str">
        <f>IF(ISBLANK('Środki trwałe'!B328),"",'Środki trwałe'!B328)</f>
        <v/>
      </c>
      <c r="C83" s="33" t="str">
        <f>IF(ISBLANK('Środki trwałe'!D328),"",'Środki trwałe'!D328)</f>
        <v/>
      </c>
      <c r="D83" s="246" t="str">
        <f>IF(ISBLANK('Środki trwałe'!E328),"",'Środki trwałe'!E328)</f>
        <v/>
      </c>
      <c r="E83" s="198">
        <f>IF(AND('Środki trwałe'!F328="tak",'Środki trwałe'!G328="nie"),'Środki trwałe'!H328,0)</f>
        <v>0</v>
      </c>
      <c r="F83" s="95">
        <f>IFERROR(IF(E83=0,0,ROUND(E83*C83,0)),0)</f>
        <v>0</v>
      </c>
      <c r="G83" s="33">
        <f>IF(AND('Środki trwałe'!F328="tak",'Środki trwałe'!G328="tak"),'Środki trwałe'!I328,0)</f>
        <v>0</v>
      </c>
      <c r="H83" s="316"/>
      <c r="I83" s="52"/>
      <c r="J83" s="525" t="str">
        <f>IF(ISBLANK('Środki trwałe'!C328),"",'Środki trwałe'!C328)</f>
        <v/>
      </c>
      <c r="K83" s="33">
        <f t="shared" si="20"/>
        <v>0</v>
      </c>
      <c r="L83" s="33">
        <f t="shared" si="20"/>
        <v>0</v>
      </c>
      <c r="M83" s="33">
        <f t="shared" si="20"/>
        <v>0</v>
      </c>
      <c r="N83" s="33">
        <f t="shared" si="20"/>
        <v>0</v>
      </c>
      <c r="O83" s="33">
        <f t="shared" si="20"/>
        <v>0</v>
      </c>
      <c r="P83" s="33">
        <f t="shared" si="20"/>
        <v>0</v>
      </c>
      <c r="Q83" s="33">
        <f t="shared" si="20"/>
        <v>0</v>
      </c>
      <c r="R83" s="33">
        <f t="shared" si="20"/>
        <v>0</v>
      </c>
      <c r="S83" s="33">
        <f t="shared" si="20"/>
        <v>0</v>
      </c>
      <c r="T83" s="33">
        <f t="shared" si="20"/>
        <v>0</v>
      </c>
      <c r="U83" s="33">
        <f t="shared" si="20"/>
        <v>0</v>
      </c>
      <c r="V83" s="33">
        <f t="shared" si="20"/>
        <v>0</v>
      </c>
      <c r="W83" s="33">
        <f t="shared" si="20"/>
        <v>0</v>
      </c>
      <c r="X83" s="33">
        <f t="shared" si="20"/>
        <v>0</v>
      </c>
    </row>
    <row r="84" spans="1:24">
      <c r="B84" s="37" t="str">
        <f>IF(ISBLANK('Środki trwałe'!B329),"",'Środki trwałe'!B329)</f>
        <v/>
      </c>
      <c r="C84" s="33" t="str">
        <f>IF(ISBLANK('Środki trwałe'!D329),"",'Środki trwałe'!D329)</f>
        <v/>
      </c>
      <c r="D84" s="246" t="str">
        <f>IF(ISBLANK('Środki trwałe'!E329),"",'Środki trwałe'!E329)</f>
        <v/>
      </c>
      <c r="E84" s="198">
        <f>IF(AND('Środki trwałe'!F329="tak",'Środki trwałe'!G329="nie"),'Środki trwałe'!H329,0)</f>
        <v>0</v>
      </c>
      <c r="F84" s="95">
        <f>IFERROR(IF(E84=0,0,ROUND(E84*C84,0)),0)</f>
        <v>0</v>
      </c>
      <c r="G84" s="33">
        <f>IF(AND('Środki trwałe'!F329="tak",'Środki trwałe'!G329="tak"),'Środki trwałe'!I329,0)</f>
        <v>0</v>
      </c>
      <c r="H84" s="316"/>
      <c r="I84" s="52"/>
      <c r="J84" s="525" t="str">
        <f>IF(ISBLANK('Środki trwałe'!C329),"",'Środki trwałe'!C329)</f>
        <v/>
      </c>
      <c r="K84" s="33">
        <f t="shared" si="20"/>
        <v>0</v>
      </c>
      <c r="L84" s="33">
        <f t="shared" si="20"/>
        <v>0</v>
      </c>
      <c r="M84" s="33">
        <f t="shared" si="20"/>
        <v>0</v>
      </c>
      <c r="N84" s="33">
        <f t="shared" si="20"/>
        <v>0</v>
      </c>
      <c r="O84" s="33">
        <f t="shared" si="20"/>
        <v>0</v>
      </c>
      <c r="P84" s="33">
        <f t="shared" si="20"/>
        <v>0</v>
      </c>
      <c r="Q84" s="33">
        <f t="shared" si="20"/>
        <v>0</v>
      </c>
      <c r="R84" s="33">
        <f t="shared" si="20"/>
        <v>0</v>
      </c>
      <c r="S84" s="33">
        <f t="shared" si="20"/>
        <v>0</v>
      </c>
      <c r="T84" s="33">
        <f t="shared" si="20"/>
        <v>0</v>
      </c>
      <c r="U84" s="33">
        <f t="shared" si="20"/>
        <v>0</v>
      </c>
      <c r="V84" s="33">
        <f t="shared" si="20"/>
        <v>0</v>
      </c>
      <c r="W84" s="33">
        <f t="shared" si="20"/>
        <v>0</v>
      </c>
      <c r="X84" s="33">
        <f t="shared" si="20"/>
        <v>0</v>
      </c>
    </row>
    <row r="85" spans="1:24">
      <c r="B85" s="37" t="str">
        <f>IF(ISBLANK('Środki trwałe'!B330),"",'Środki trwałe'!B330)</f>
        <v/>
      </c>
      <c r="C85" s="33" t="str">
        <f>IF(ISBLANK('Środki trwałe'!D330),"",'Środki trwałe'!D330)</f>
        <v/>
      </c>
      <c r="D85" s="246" t="str">
        <f>IF(ISBLANK('Środki trwałe'!E330),"",'Środki trwałe'!E330)</f>
        <v/>
      </c>
      <c r="E85" s="198">
        <f>IF(AND('Środki trwałe'!F330="tak",'Środki trwałe'!G330="nie"),'Środki trwałe'!H330,0)</f>
        <v>0</v>
      </c>
      <c r="F85" s="95">
        <f>IFERROR(IF(E85=0,0,ROUND(E85*C85,0)),0)</f>
        <v>0</v>
      </c>
      <c r="G85" s="33">
        <f>IF(AND('Środki trwałe'!F330="tak",'Środki trwałe'!G330="tak"),'Środki trwałe'!I330,0)</f>
        <v>0</v>
      </c>
      <c r="H85" s="316"/>
      <c r="I85" s="52"/>
      <c r="J85" s="525" t="str">
        <f>IF(ISBLANK('Środki trwałe'!C330),"",'Środki trwałe'!C330)</f>
        <v/>
      </c>
      <c r="K85" s="33">
        <f t="shared" si="20"/>
        <v>0</v>
      </c>
      <c r="L85" s="33">
        <f t="shared" si="20"/>
        <v>0</v>
      </c>
      <c r="M85" s="33">
        <f t="shared" si="20"/>
        <v>0</v>
      </c>
      <c r="N85" s="33">
        <f t="shared" si="20"/>
        <v>0</v>
      </c>
      <c r="O85" s="33">
        <f t="shared" si="20"/>
        <v>0</v>
      </c>
      <c r="P85" s="33">
        <f t="shared" si="20"/>
        <v>0</v>
      </c>
      <c r="Q85" s="33">
        <f t="shared" si="20"/>
        <v>0</v>
      </c>
      <c r="R85" s="33">
        <f t="shared" si="20"/>
        <v>0</v>
      </c>
      <c r="S85" s="33">
        <f t="shared" si="20"/>
        <v>0</v>
      </c>
      <c r="T85" s="33">
        <f t="shared" si="20"/>
        <v>0</v>
      </c>
      <c r="U85" s="33">
        <f t="shared" si="20"/>
        <v>0</v>
      </c>
      <c r="V85" s="33">
        <f t="shared" si="20"/>
        <v>0</v>
      </c>
      <c r="W85" s="33">
        <f t="shared" si="20"/>
        <v>0</v>
      </c>
      <c r="X85" s="33">
        <f t="shared" si="20"/>
        <v>0</v>
      </c>
    </row>
    <row r="86" spans="1:24">
      <c r="B86" s="99" t="s">
        <v>335</v>
      </c>
      <c r="C86" s="98">
        <f>SUM(C81:C85)</f>
        <v>0</v>
      </c>
      <c r="D86" s="200"/>
      <c r="E86" s="97"/>
      <c r="F86" s="98">
        <f>SUM(F81:F85)</f>
        <v>0</v>
      </c>
      <c r="G86" s="98">
        <f>SUM(G81:G85)</f>
        <v>0</v>
      </c>
      <c r="H86" s="321"/>
      <c r="I86" s="97"/>
      <c r="J86" s="526"/>
      <c r="K86" s="98">
        <f t="shared" ref="K86:X86" si="21">ROUND(SUM(K81:K85),0)</f>
        <v>0</v>
      </c>
      <c r="L86" s="98">
        <f t="shared" si="21"/>
        <v>0</v>
      </c>
      <c r="M86" s="98">
        <f t="shared" si="21"/>
        <v>0</v>
      </c>
      <c r="N86" s="98">
        <f t="shared" si="21"/>
        <v>0</v>
      </c>
      <c r="O86" s="98">
        <f t="shared" si="21"/>
        <v>0</v>
      </c>
      <c r="P86" s="98">
        <f t="shared" si="21"/>
        <v>0</v>
      </c>
      <c r="Q86" s="98">
        <f t="shared" si="21"/>
        <v>0</v>
      </c>
      <c r="R86" s="98">
        <f t="shared" si="21"/>
        <v>0</v>
      </c>
      <c r="S86" s="98">
        <f t="shared" si="21"/>
        <v>0</v>
      </c>
      <c r="T86" s="98">
        <f t="shared" si="21"/>
        <v>0</v>
      </c>
      <c r="U86" s="98">
        <f t="shared" si="21"/>
        <v>0</v>
      </c>
      <c r="V86" s="98">
        <f t="shared" si="21"/>
        <v>0</v>
      </c>
      <c r="W86" s="98">
        <f t="shared" si="21"/>
        <v>0</v>
      </c>
      <c r="X86" s="98">
        <f t="shared" si="21"/>
        <v>0</v>
      </c>
    </row>
    <row r="87" spans="1:24">
      <c r="B87" s="104" t="s">
        <v>450</v>
      </c>
      <c r="C87" s="102"/>
      <c r="D87" s="102"/>
      <c r="E87" s="102"/>
      <c r="F87" s="102"/>
      <c r="G87" s="102"/>
      <c r="H87" s="317"/>
      <c r="I87" s="102"/>
      <c r="J87" s="527"/>
      <c r="K87" s="103">
        <f t="shared" ref="K87:X87" ca="1" si="22">ROUND(K579+K586+K593+K600+K607,0)</f>
        <v>0</v>
      </c>
      <c r="L87" s="103">
        <f t="shared" ca="1" si="22"/>
        <v>0</v>
      </c>
      <c r="M87" s="103">
        <f t="shared" ca="1" si="22"/>
        <v>0</v>
      </c>
      <c r="N87" s="103">
        <f t="shared" ca="1" si="22"/>
        <v>0</v>
      </c>
      <c r="O87" s="103">
        <f t="shared" ca="1" si="22"/>
        <v>0</v>
      </c>
      <c r="P87" s="103">
        <f t="shared" ca="1" si="22"/>
        <v>0</v>
      </c>
      <c r="Q87" s="103">
        <f t="shared" ca="1" si="22"/>
        <v>0</v>
      </c>
      <c r="R87" s="103">
        <f t="shared" ca="1" si="22"/>
        <v>0</v>
      </c>
      <c r="S87" s="103">
        <f t="shared" ca="1" si="22"/>
        <v>0</v>
      </c>
      <c r="T87" s="103">
        <f t="shared" ca="1" si="22"/>
        <v>0</v>
      </c>
      <c r="U87" s="103">
        <f t="shared" ca="1" si="22"/>
        <v>0</v>
      </c>
      <c r="V87" s="103">
        <f t="shared" ca="1" si="22"/>
        <v>0</v>
      </c>
      <c r="W87" s="103">
        <f t="shared" ca="1" si="22"/>
        <v>0</v>
      </c>
      <c r="X87" s="103">
        <f t="shared" ca="1" si="22"/>
        <v>0</v>
      </c>
    </row>
    <row r="88" spans="1:24">
      <c r="B88" s="37" t="s">
        <v>451</v>
      </c>
      <c r="C88" s="52"/>
      <c r="D88" s="52"/>
      <c r="E88" s="52"/>
      <c r="F88" s="52"/>
      <c r="G88" s="52"/>
      <c r="H88" s="316"/>
      <c r="I88" s="52"/>
      <c r="J88" s="528"/>
      <c r="K88" s="33">
        <f t="shared" ref="K88:X88" ca="1" si="23">ROUND(K580+K587+K594+K601+K608,0)</f>
        <v>0</v>
      </c>
      <c r="L88" s="33">
        <f t="shared" ca="1" si="23"/>
        <v>0</v>
      </c>
      <c r="M88" s="33">
        <f t="shared" ca="1" si="23"/>
        <v>0</v>
      </c>
      <c r="N88" s="33">
        <f t="shared" ca="1" si="23"/>
        <v>0</v>
      </c>
      <c r="O88" s="33">
        <f t="shared" ca="1" si="23"/>
        <v>0</v>
      </c>
      <c r="P88" s="33">
        <f t="shared" ca="1" si="23"/>
        <v>0</v>
      </c>
      <c r="Q88" s="33">
        <f t="shared" ca="1" si="23"/>
        <v>0</v>
      </c>
      <c r="R88" s="33">
        <f t="shared" ca="1" si="23"/>
        <v>0</v>
      </c>
      <c r="S88" s="33">
        <f t="shared" ca="1" si="23"/>
        <v>0</v>
      </c>
      <c r="T88" s="33">
        <f t="shared" ca="1" si="23"/>
        <v>0</v>
      </c>
      <c r="U88" s="33">
        <f t="shared" ca="1" si="23"/>
        <v>0</v>
      </c>
      <c r="V88" s="33">
        <f t="shared" ca="1" si="23"/>
        <v>0</v>
      </c>
      <c r="W88" s="33">
        <f t="shared" ca="1" si="23"/>
        <v>0</v>
      </c>
      <c r="X88" s="33">
        <f t="shared" ca="1" si="23"/>
        <v>0</v>
      </c>
    </row>
    <row r="89" spans="1:24">
      <c r="B89" s="106" t="s">
        <v>452</v>
      </c>
      <c r="C89" s="106"/>
      <c r="D89" s="106"/>
      <c r="E89" s="106"/>
      <c r="F89" s="106"/>
      <c r="G89" s="106"/>
      <c r="H89" s="325"/>
      <c r="I89" s="106"/>
      <c r="J89" s="529"/>
      <c r="K89" s="107">
        <f>'Środki trwałe'!K349</f>
        <v>0</v>
      </c>
      <c r="L89" s="107">
        <f>'Środki trwałe'!L349</f>
        <v>0</v>
      </c>
      <c r="M89" s="107">
        <f>'Środki trwałe'!M349</f>
        <v>0</v>
      </c>
      <c r="N89" s="107">
        <f>'Środki trwałe'!N349</f>
        <v>0</v>
      </c>
      <c r="O89" s="107">
        <f>'Środki trwałe'!O349</f>
        <v>0</v>
      </c>
      <c r="P89" s="107">
        <f>'Środki trwałe'!P349</f>
        <v>0</v>
      </c>
      <c r="Q89" s="107">
        <f>'Środki trwałe'!Q349</f>
        <v>0</v>
      </c>
      <c r="R89" s="107">
        <f>'Środki trwałe'!R349</f>
        <v>0</v>
      </c>
      <c r="S89" s="107">
        <f>'Środki trwałe'!S349</f>
        <v>0</v>
      </c>
      <c r="T89" s="107">
        <f>'Środki trwałe'!T349</f>
        <v>0</v>
      </c>
      <c r="U89" s="107">
        <f>'Środki trwałe'!U349</f>
        <v>0</v>
      </c>
      <c r="V89" s="107">
        <f>'Środki trwałe'!V349</f>
        <v>0</v>
      </c>
      <c r="W89" s="107">
        <f>'Środki trwałe'!W349</f>
        <v>0</v>
      </c>
      <c r="X89" s="107">
        <f>'Środki trwałe'!X349</f>
        <v>0</v>
      </c>
    </row>
    <row r="90" spans="1:24">
      <c r="B90" s="201" t="s">
        <v>453</v>
      </c>
      <c r="C90" s="52"/>
      <c r="D90" s="52"/>
      <c r="E90" s="52"/>
      <c r="F90" s="52"/>
      <c r="G90" s="52"/>
      <c r="H90" s="316"/>
      <c r="I90" s="52"/>
      <c r="J90" s="528"/>
      <c r="K90" s="87">
        <f t="shared" ref="K90:X90" ca="1" si="24">ROUND(K581+K588+K595+K602+K609,0)</f>
        <v>0</v>
      </c>
      <c r="L90" s="87">
        <f t="shared" ca="1" si="24"/>
        <v>0</v>
      </c>
      <c r="M90" s="87">
        <f t="shared" ca="1" si="24"/>
        <v>0</v>
      </c>
      <c r="N90" s="87">
        <f t="shared" ca="1" si="24"/>
        <v>0</v>
      </c>
      <c r="O90" s="87">
        <f t="shared" ca="1" si="24"/>
        <v>0</v>
      </c>
      <c r="P90" s="87">
        <f t="shared" ca="1" si="24"/>
        <v>0</v>
      </c>
      <c r="Q90" s="87">
        <f t="shared" ca="1" si="24"/>
        <v>0</v>
      </c>
      <c r="R90" s="87">
        <f t="shared" ca="1" si="24"/>
        <v>0</v>
      </c>
      <c r="S90" s="87">
        <f t="shared" ca="1" si="24"/>
        <v>0</v>
      </c>
      <c r="T90" s="87">
        <f t="shared" ca="1" si="24"/>
        <v>0</v>
      </c>
      <c r="U90" s="87">
        <f t="shared" ca="1" si="24"/>
        <v>0</v>
      </c>
      <c r="V90" s="87">
        <f t="shared" ca="1" si="24"/>
        <v>0</v>
      </c>
      <c r="W90" s="87">
        <f t="shared" ca="1" si="24"/>
        <v>0</v>
      </c>
      <c r="X90" s="87">
        <f t="shared" ca="1" si="24"/>
        <v>0</v>
      </c>
    </row>
    <row r="91" spans="1:24">
      <c r="J91" s="531"/>
    </row>
    <row r="92" spans="1:24" customFormat="1">
      <c r="A92" s="1"/>
      <c r="J92" s="505"/>
    </row>
    <row r="93" spans="1:24" ht="24">
      <c r="B93" s="228" t="s">
        <v>390</v>
      </c>
      <c r="C93" s="229" t="s">
        <v>406</v>
      </c>
      <c r="D93" s="230" t="s">
        <v>421</v>
      </c>
      <c r="E93" s="230" t="s">
        <v>408</v>
      </c>
      <c r="F93" s="230" t="s">
        <v>409</v>
      </c>
      <c r="G93" s="230" t="s">
        <v>449</v>
      </c>
      <c r="H93" s="313"/>
      <c r="I93" s="231"/>
      <c r="J93" s="530"/>
      <c r="K93" s="232" t="str">
        <f t="shared" ref="K93:X93" si="25">LataProjekcji</f>
        <v>Uzupełnij dane</v>
      </c>
      <c r="L93" s="232" t="str">
        <f t="shared" si="25"/>
        <v/>
      </c>
      <c r="M93" s="232" t="str">
        <f t="shared" si="25"/>
        <v/>
      </c>
      <c r="N93" s="232" t="str">
        <f t="shared" si="25"/>
        <v/>
      </c>
      <c r="O93" s="232" t="str">
        <f t="shared" si="25"/>
        <v/>
      </c>
      <c r="P93" s="232" t="str">
        <f t="shared" si="25"/>
        <v/>
      </c>
      <c r="Q93" s="232" t="str">
        <f t="shared" si="25"/>
        <v/>
      </c>
      <c r="R93" s="232" t="str">
        <f t="shared" si="25"/>
        <v/>
      </c>
      <c r="S93" s="232" t="str">
        <f t="shared" si="25"/>
        <v/>
      </c>
      <c r="T93" s="232" t="str">
        <f t="shared" si="25"/>
        <v/>
      </c>
      <c r="U93" s="232" t="str">
        <f t="shared" si="25"/>
        <v/>
      </c>
      <c r="V93" s="232" t="str">
        <f t="shared" si="25"/>
        <v/>
      </c>
      <c r="W93" s="232" t="str">
        <f t="shared" si="25"/>
        <v/>
      </c>
      <c r="X93" s="232" t="str">
        <f t="shared" si="25"/>
        <v/>
      </c>
    </row>
    <row r="94" spans="1:24">
      <c r="B94" s="104" t="str">
        <f>IF(ISBLANK('Środki trwałe'!B353),"",'Środki trwałe'!B353)</f>
        <v/>
      </c>
      <c r="C94" s="103" t="str">
        <f>IF(ISBLANK('Środki trwałe'!D353),"",'Środki trwałe'!D353)</f>
        <v/>
      </c>
      <c r="D94" s="246" t="str">
        <f>IF(ISBLANK('Środki trwałe'!E353),"",'Środki trwałe'!E353)</f>
        <v/>
      </c>
      <c r="E94" s="198">
        <f>IF(AND('Środki trwałe'!F353="tak",'Środki trwałe'!G353="nie"),'Środki trwałe'!H353,0)</f>
        <v>0</v>
      </c>
      <c r="F94" s="95">
        <f>IFERROR(IF(E94=0,0,ROUND(E94*C94,0)),0)</f>
        <v>0</v>
      </c>
      <c r="G94" s="103">
        <f>IF(AND('Środki trwałe'!F353="tak",'Środki trwałe'!G353="tak"),'Środki trwałe'!I353,0)</f>
        <v>0</v>
      </c>
      <c r="H94" s="317"/>
      <c r="I94" s="102"/>
      <c r="J94" s="532" t="str">
        <f>IF(ISBLANK('Środki trwałe'!C353),"",'Środki trwałe'!C353)</f>
        <v/>
      </c>
      <c r="K94" s="103">
        <f t="shared" ref="K94:X108" si="26">IFERROR(ROUND(IF(AND(YEAR($D94)=LataProjekcji,$F94&gt;0),$F94,0),0),0)</f>
        <v>0</v>
      </c>
      <c r="L94" s="103">
        <f t="shared" si="26"/>
        <v>0</v>
      </c>
      <c r="M94" s="103">
        <f t="shared" si="26"/>
        <v>0</v>
      </c>
      <c r="N94" s="103">
        <f t="shared" si="26"/>
        <v>0</v>
      </c>
      <c r="O94" s="103">
        <f t="shared" si="26"/>
        <v>0</v>
      </c>
      <c r="P94" s="103">
        <f t="shared" si="26"/>
        <v>0</v>
      </c>
      <c r="Q94" s="103">
        <f t="shared" si="26"/>
        <v>0</v>
      </c>
      <c r="R94" s="103">
        <f t="shared" si="26"/>
        <v>0</v>
      </c>
      <c r="S94" s="103">
        <f t="shared" si="26"/>
        <v>0</v>
      </c>
      <c r="T94" s="103">
        <f t="shared" si="26"/>
        <v>0</v>
      </c>
      <c r="U94" s="103">
        <f t="shared" si="26"/>
        <v>0</v>
      </c>
      <c r="V94" s="103">
        <f t="shared" si="26"/>
        <v>0</v>
      </c>
      <c r="W94" s="103">
        <f t="shared" si="26"/>
        <v>0</v>
      </c>
      <c r="X94" s="103">
        <f t="shared" si="26"/>
        <v>0</v>
      </c>
    </row>
    <row r="95" spans="1:24">
      <c r="B95" s="37" t="str">
        <f>IF(ISBLANK('Środki trwałe'!B354),"",'Środki trwałe'!B354)</f>
        <v/>
      </c>
      <c r="C95" s="33" t="str">
        <f>IF(ISBLANK('Środki trwałe'!D354),"",'Środki trwałe'!D354)</f>
        <v/>
      </c>
      <c r="D95" s="246" t="str">
        <f>IF(ISBLANK('Środki trwałe'!E354),"",'Środki trwałe'!E354)</f>
        <v/>
      </c>
      <c r="E95" s="198">
        <f>IF(AND('Środki trwałe'!F354="tak",'Środki trwałe'!G354="nie"),'Środki trwałe'!H354,0)</f>
        <v>0</v>
      </c>
      <c r="F95" s="95">
        <f>IFERROR(IF(E95=0,0,ROUND(E95*C95,0)),0)</f>
        <v>0</v>
      </c>
      <c r="G95" s="33">
        <f>IF(AND('Środki trwałe'!F354="tak",'Środki trwałe'!G354="tak"),'Środki trwałe'!I354,0)</f>
        <v>0</v>
      </c>
      <c r="H95" s="316"/>
      <c r="I95" s="52"/>
      <c r="J95" s="525" t="str">
        <f>IF(ISBLANK('Środki trwałe'!C354),"",'Środki trwałe'!C354)</f>
        <v/>
      </c>
      <c r="K95" s="33">
        <f t="shared" si="26"/>
        <v>0</v>
      </c>
      <c r="L95" s="33">
        <f t="shared" si="26"/>
        <v>0</v>
      </c>
      <c r="M95" s="33">
        <f t="shared" si="26"/>
        <v>0</v>
      </c>
      <c r="N95" s="33">
        <f t="shared" si="26"/>
        <v>0</v>
      </c>
      <c r="O95" s="33">
        <f t="shared" si="26"/>
        <v>0</v>
      </c>
      <c r="P95" s="33">
        <f t="shared" si="26"/>
        <v>0</v>
      </c>
      <c r="Q95" s="33">
        <f t="shared" si="26"/>
        <v>0</v>
      </c>
      <c r="R95" s="33">
        <f t="shared" si="26"/>
        <v>0</v>
      </c>
      <c r="S95" s="33">
        <f t="shared" si="26"/>
        <v>0</v>
      </c>
      <c r="T95" s="33">
        <f t="shared" si="26"/>
        <v>0</v>
      </c>
      <c r="U95" s="33">
        <f t="shared" si="26"/>
        <v>0</v>
      </c>
      <c r="V95" s="33">
        <f t="shared" si="26"/>
        <v>0</v>
      </c>
      <c r="W95" s="33">
        <f t="shared" si="26"/>
        <v>0</v>
      </c>
      <c r="X95" s="33">
        <f t="shared" si="26"/>
        <v>0</v>
      </c>
    </row>
    <row r="96" spans="1:24">
      <c r="B96" s="37" t="str">
        <f>IF(ISBLANK('Środki trwałe'!B355),"",'Środki trwałe'!B355)</f>
        <v/>
      </c>
      <c r="C96" s="33" t="str">
        <f>IF(ISBLANK('Środki trwałe'!D355),"",'Środki trwałe'!D355)</f>
        <v/>
      </c>
      <c r="D96" s="246" t="str">
        <f>IF(ISBLANK('Środki trwałe'!E355),"",'Środki trwałe'!E355)</f>
        <v/>
      </c>
      <c r="E96" s="198">
        <f>IF(AND('Środki trwałe'!F355="tak",'Środki trwałe'!G355="nie"),'Środki trwałe'!H355,0)</f>
        <v>0</v>
      </c>
      <c r="F96" s="95">
        <f>IFERROR(IF(E96=0,0,ROUND(E96*C96,0)),0)</f>
        <v>0</v>
      </c>
      <c r="G96" s="33">
        <f>IF(AND('Środki trwałe'!F355="tak",'Środki trwałe'!G355="tak"),'Środki trwałe'!I355,0)</f>
        <v>0</v>
      </c>
      <c r="H96" s="316"/>
      <c r="I96" s="52"/>
      <c r="J96" s="525" t="str">
        <f>IF(ISBLANK('Środki trwałe'!C355),"",'Środki trwałe'!C355)</f>
        <v/>
      </c>
      <c r="K96" s="33">
        <f t="shared" si="26"/>
        <v>0</v>
      </c>
      <c r="L96" s="33">
        <f t="shared" si="26"/>
        <v>0</v>
      </c>
      <c r="M96" s="33">
        <f t="shared" si="26"/>
        <v>0</v>
      </c>
      <c r="N96" s="33">
        <f t="shared" si="26"/>
        <v>0</v>
      </c>
      <c r="O96" s="33">
        <f t="shared" si="26"/>
        <v>0</v>
      </c>
      <c r="P96" s="33">
        <f t="shared" si="26"/>
        <v>0</v>
      </c>
      <c r="Q96" s="33">
        <f t="shared" si="26"/>
        <v>0</v>
      </c>
      <c r="R96" s="33">
        <f t="shared" si="26"/>
        <v>0</v>
      </c>
      <c r="S96" s="33">
        <f t="shared" si="26"/>
        <v>0</v>
      </c>
      <c r="T96" s="33">
        <f t="shared" si="26"/>
        <v>0</v>
      </c>
      <c r="U96" s="33">
        <f t="shared" si="26"/>
        <v>0</v>
      </c>
      <c r="V96" s="33">
        <f t="shared" si="26"/>
        <v>0</v>
      </c>
      <c r="W96" s="33">
        <f t="shared" si="26"/>
        <v>0</v>
      </c>
      <c r="X96" s="33">
        <f t="shared" si="26"/>
        <v>0</v>
      </c>
    </row>
    <row r="97" spans="2:24">
      <c r="B97" s="37" t="str">
        <f>IF(ISBLANK('Środki trwałe'!B356),"",'Środki trwałe'!B356)</f>
        <v/>
      </c>
      <c r="C97" s="33" t="str">
        <f>IF(ISBLANK('Środki trwałe'!D356),"",'Środki trwałe'!D356)</f>
        <v/>
      </c>
      <c r="D97" s="246" t="str">
        <f>IF(ISBLANK('Środki trwałe'!E356),"",'Środki trwałe'!E356)</f>
        <v/>
      </c>
      <c r="E97" s="198">
        <f>IF(AND('Środki trwałe'!F356="tak",'Środki trwałe'!G356="nie"),'Środki trwałe'!H356,0)</f>
        <v>0</v>
      </c>
      <c r="F97" s="95">
        <f t="shared" ref="F97:F103" si="27">IFERROR(IF(E97=0,0,ROUND(E97*C97,0)),0)</f>
        <v>0</v>
      </c>
      <c r="G97" s="33">
        <f>IF(AND('Środki trwałe'!F356="tak",'Środki trwałe'!G356="tak"),'Środki trwałe'!I356,0)</f>
        <v>0</v>
      </c>
      <c r="H97" s="316"/>
      <c r="I97" s="52"/>
      <c r="J97" s="525" t="str">
        <f>IF(ISBLANK('Środki trwałe'!C356),"",'Środki trwałe'!C356)</f>
        <v/>
      </c>
      <c r="K97" s="33">
        <f t="shared" si="26"/>
        <v>0</v>
      </c>
      <c r="L97" s="33">
        <f t="shared" si="26"/>
        <v>0</v>
      </c>
      <c r="M97" s="33">
        <f t="shared" si="26"/>
        <v>0</v>
      </c>
      <c r="N97" s="33">
        <f t="shared" si="26"/>
        <v>0</v>
      </c>
      <c r="O97" s="33">
        <f t="shared" si="26"/>
        <v>0</v>
      </c>
      <c r="P97" s="33">
        <f t="shared" si="26"/>
        <v>0</v>
      </c>
      <c r="Q97" s="33">
        <f t="shared" si="26"/>
        <v>0</v>
      </c>
      <c r="R97" s="33">
        <f t="shared" si="26"/>
        <v>0</v>
      </c>
      <c r="S97" s="33">
        <f t="shared" si="26"/>
        <v>0</v>
      </c>
      <c r="T97" s="33">
        <f t="shared" si="26"/>
        <v>0</v>
      </c>
      <c r="U97" s="33">
        <f t="shared" si="26"/>
        <v>0</v>
      </c>
      <c r="V97" s="33">
        <f t="shared" si="26"/>
        <v>0</v>
      </c>
      <c r="W97" s="33">
        <f t="shared" si="26"/>
        <v>0</v>
      </c>
      <c r="X97" s="33">
        <f t="shared" si="26"/>
        <v>0</v>
      </c>
    </row>
    <row r="98" spans="2:24">
      <c r="B98" s="37" t="str">
        <f>IF(ISBLANK('Środki trwałe'!B357),"",'Środki trwałe'!B357)</f>
        <v/>
      </c>
      <c r="C98" s="33" t="str">
        <f>IF(ISBLANK('Środki trwałe'!D357),"",'Środki trwałe'!D357)</f>
        <v/>
      </c>
      <c r="D98" s="246" t="str">
        <f>IF(ISBLANK('Środki trwałe'!E357),"",'Środki trwałe'!E357)</f>
        <v/>
      </c>
      <c r="E98" s="198">
        <f>IF(AND('Środki trwałe'!F357="tak",'Środki trwałe'!G357="nie"),'Środki trwałe'!H357,0)</f>
        <v>0</v>
      </c>
      <c r="F98" s="95">
        <f t="shared" si="27"/>
        <v>0</v>
      </c>
      <c r="G98" s="33">
        <f>IF(AND('Środki trwałe'!F357="tak",'Środki trwałe'!G357="tak"),'Środki trwałe'!I357,0)</f>
        <v>0</v>
      </c>
      <c r="H98" s="316"/>
      <c r="I98" s="52"/>
      <c r="J98" s="525" t="str">
        <f>IF(ISBLANK('Środki trwałe'!C357),"",'Środki trwałe'!C357)</f>
        <v/>
      </c>
      <c r="K98" s="33">
        <f t="shared" si="26"/>
        <v>0</v>
      </c>
      <c r="L98" s="33">
        <f t="shared" si="26"/>
        <v>0</v>
      </c>
      <c r="M98" s="33">
        <f t="shared" si="26"/>
        <v>0</v>
      </c>
      <c r="N98" s="33">
        <f t="shared" si="26"/>
        <v>0</v>
      </c>
      <c r="O98" s="33">
        <f t="shared" si="26"/>
        <v>0</v>
      </c>
      <c r="P98" s="33">
        <f t="shared" si="26"/>
        <v>0</v>
      </c>
      <c r="Q98" s="33">
        <f t="shared" si="26"/>
        <v>0</v>
      </c>
      <c r="R98" s="33">
        <f t="shared" si="26"/>
        <v>0</v>
      </c>
      <c r="S98" s="33">
        <f t="shared" si="26"/>
        <v>0</v>
      </c>
      <c r="T98" s="33">
        <f t="shared" si="26"/>
        <v>0</v>
      </c>
      <c r="U98" s="33">
        <f t="shared" si="26"/>
        <v>0</v>
      </c>
      <c r="V98" s="33">
        <f t="shared" si="26"/>
        <v>0</v>
      </c>
      <c r="W98" s="33">
        <f t="shared" si="26"/>
        <v>0</v>
      </c>
      <c r="X98" s="33">
        <f t="shared" si="26"/>
        <v>0</v>
      </c>
    </row>
    <row r="99" spans="2:24">
      <c r="B99" s="37" t="str">
        <f>IF(ISBLANK('Środki trwałe'!B358),"",'Środki trwałe'!B358)</f>
        <v/>
      </c>
      <c r="C99" s="33" t="str">
        <f>IF(ISBLANK('Środki trwałe'!D358),"",'Środki trwałe'!D358)</f>
        <v/>
      </c>
      <c r="D99" s="246" t="str">
        <f>IF(ISBLANK('Środki trwałe'!E358),"",'Środki trwałe'!E358)</f>
        <v/>
      </c>
      <c r="E99" s="198">
        <f>IF(AND('Środki trwałe'!F358="tak",'Środki trwałe'!G358="nie"),'Środki trwałe'!H358,0)</f>
        <v>0</v>
      </c>
      <c r="F99" s="95">
        <f t="shared" si="27"/>
        <v>0</v>
      </c>
      <c r="G99" s="33">
        <f>IF(AND('Środki trwałe'!F358="tak",'Środki trwałe'!G358="tak"),'Środki trwałe'!I358,0)</f>
        <v>0</v>
      </c>
      <c r="H99" s="316"/>
      <c r="I99" s="52"/>
      <c r="J99" s="525" t="str">
        <f>IF(ISBLANK('Środki trwałe'!C358),"",'Środki trwałe'!C358)</f>
        <v/>
      </c>
      <c r="K99" s="33">
        <f t="shared" si="26"/>
        <v>0</v>
      </c>
      <c r="L99" s="33">
        <f t="shared" si="26"/>
        <v>0</v>
      </c>
      <c r="M99" s="33">
        <f t="shared" si="26"/>
        <v>0</v>
      </c>
      <c r="N99" s="33">
        <f t="shared" si="26"/>
        <v>0</v>
      </c>
      <c r="O99" s="33">
        <f t="shared" si="26"/>
        <v>0</v>
      </c>
      <c r="P99" s="33">
        <f t="shared" si="26"/>
        <v>0</v>
      </c>
      <c r="Q99" s="33">
        <f t="shared" si="26"/>
        <v>0</v>
      </c>
      <c r="R99" s="33">
        <f t="shared" si="26"/>
        <v>0</v>
      </c>
      <c r="S99" s="33">
        <f t="shared" si="26"/>
        <v>0</v>
      </c>
      <c r="T99" s="33">
        <f t="shared" si="26"/>
        <v>0</v>
      </c>
      <c r="U99" s="33">
        <f t="shared" si="26"/>
        <v>0</v>
      </c>
      <c r="V99" s="33">
        <f t="shared" si="26"/>
        <v>0</v>
      </c>
      <c r="W99" s="33">
        <f t="shared" si="26"/>
        <v>0</v>
      </c>
      <c r="X99" s="33">
        <f t="shared" si="26"/>
        <v>0</v>
      </c>
    </row>
    <row r="100" spans="2:24">
      <c r="B100" s="37" t="str">
        <f>IF(ISBLANK('Środki trwałe'!B359),"",'Środki trwałe'!B359)</f>
        <v/>
      </c>
      <c r="C100" s="33" t="str">
        <f>IF(ISBLANK('Środki trwałe'!D359),"",'Środki trwałe'!D359)</f>
        <v/>
      </c>
      <c r="D100" s="246" t="str">
        <f>IF(ISBLANK('Środki trwałe'!E359),"",'Środki trwałe'!E359)</f>
        <v/>
      </c>
      <c r="E100" s="198">
        <f>IF(AND('Środki trwałe'!F359="tak",'Środki trwałe'!G359="nie"),'Środki trwałe'!H359,0)</f>
        <v>0</v>
      </c>
      <c r="F100" s="95">
        <f t="shared" si="27"/>
        <v>0</v>
      </c>
      <c r="G100" s="33">
        <f>IF(AND('Środki trwałe'!F359="tak",'Środki trwałe'!G359="tak"),'Środki trwałe'!I359,0)</f>
        <v>0</v>
      </c>
      <c r="H100" s="316"/>
      <c r="I100" s="52"/>
      <c r="J100" s="525" t="str">
        <f>IF(ISBLANK('Środki trwałe'!C359),"",'Środki trwałe'!C359)</f>
        <v/>
      </c>
      <c r="K100" s="33">
        <f t="shared" si="26"/>
        <v>0</v>
      </c>
      <c r="L100" s="33">
        <f t="shared" si="26"/>
        <v>0</v>
      </c>
      <c r="M100" s="33">
        <f t="shared" si="26"/>
        <v>0</v>
      </c>
      <c r="N100" s="33">
        <f t="shared" si="26"/>
        <v>0</v>
      </c>
      <c r="O100" s="33">
        <f t="shared" si="26"/>
        <v>0</v>
      </c>
      <c r="P100" s="33">
        <f t="shared" si="26"/>
        <v>0</v>
      </c>
      <c r="Q100" s="33">
        <f t="shared" si="26"/>
        <v>0</v>
      </c>
      <c r="R100" s="33">
        <f t="shared" si="26"/>
        <v>0</v>
      </c>
      <c r="S100" s="33">
        <f t="shared" si="26"/>
        <v>0</v>
      </c>
      <c r="T100" s="33">
        <f t="shared" si="26"/>
        <v>0</v>
      </c>
      <c r="U100" s="33">
        <f t="shared" si="26"/>
        <v>0</v>
      </c>
      <c r="V100" s="33">
        <f t="shared" si="26"/>
        <v>0</v>
      </c>
      <c r="W100" s="33">
        <f t="shared" si="26"/>
        <v>0</v>
      </c>
      <c r="X100" s="33">
        <f t="shared" si="26"/>
        <v>0</v>
      </c>
    </row>
    <row r="101" spans="2:24">
      <c r="B101" s="37" t="str">
        <f>IF(ISBLANK('Środki trwałe'!B360),"",'Środki trwałe'!B360)</f>
        <v/>
      </c>
      <c r="C101" s="33" t="str">
        <f>IF(ISBLANK('Środki trwałe'!D360),"",'Środki trwałe'!D360)</f>
        <v/>
      </c>
      <c r="D101" s="246" t="str">
        <f>IF(ISBLANK('Środki trwałe'!E360),"",'Środki trwałe'!E360)</f>
        <v/>
      </c>
      <c r="E101" s="198">
        <f>IF(AND('Środki trwałe'!F360="tak",'Środki trwałe'!G360="nie"),'Środki trwałe'!H360,0)</f>
        <v>0</v>
      </c>
      <c r="F101" s="95">
        <f t="shared" si="27"/>
        <v>0</v>
      </c>
      <c r="G101" s="33">
        <f>IF(AND('Środki trwałe'!F360="tak",'Środki trwałe'!G360="tak"),'Środki trwałe'!I360,0)</f>
        <v>0</v>
      </c>
      <c r="H101" s="316"/>
      <c r="I101" s="52"/>
      <c r="J101" s="525" t="str">
        <f>IF(ISBLANK('Środki trwałe'!C360),"",'Środki trwałe'!C360)</f>
        <v/>
      </c>
      <c r="K101" s="33">
        <f t="shared" si="26"/>
        <v>0</v>
      </c>
      <c r="L101" s="33">
        <f t="shared" si="26"/>
        <v>0</v>
      </c>
      <c r="M101" s="33">
        <f t="shared" si="26"/>
        <v>0</v>
      </c>
      <c r="N101" s="33">
        <f t="shared" si="26"/>
        <v>0</v>
      </c>
      <c r="O101" s="33">
        <f t="shared" si="26"/>
        <v>0</v>
      </c>
      <c r="P101" s="33">
        <f t="shared" si="26"/>
        <v>0</v>
      </c>
      <c r="Q101" s="33">
        <f t="shared" si="26"/>
        <v>0</v>
      </c>
      <c r="R101" s="33">
        <f t="shared" si="26"/>
        <v>0</v>
      </c>
      <c r="S101" s="33">
        <f t="shared" si="26"/>
        <v>0</v>
      </c>
      <c r="T101" s="33">
        <f t="shared" si="26"/>
        <v>0</v>
      </c>
      <c r="U101" s="33">
        <f t="shared" si="26"/>
        <v>0</v>
      </c>
      <c r="V101" s="33">
        <f t="shared" si="26"/>
        <v>0</v>
      </c>
      <c r="W101" s="33">
        <f t="shared" si="26"/>
        <v>0</v>
      </c>
      <c r="X101" s="33">
        <f t="shared" si="26"/>
        <v>0</v>
      </c>
    </row>
    <row r="102" spans="2:24">
      <c r="B102" s="37" t="str">
        <f>IF(ISBLANK('Środki trwałe'!B361),"",'Środki trwałe'!B361)</f>
        <v/>
      </c>
      <c r="C102" s="33" t="str">
        <f>IF(ISBLANK('Środki trwałe'!D361),"",'Środki trwałe'!D361)</f>
        <v/>
      </c>
      <c r="D102" s="246" t="str">
        <f>IF(ISBLANK('Środki trwałe'!E361),"",'Środki trwałe'!E361)</f>
        <v/>
      </c>
      <c r="E102" s="198">
        <f>IF(AND('Środki trwałe'!F361="tak",'Środki trwałe'!G361="nie"),'Środki trwałe'!H361,0)</f>
        <v>0</v>
      </c>
      <c r="F102" s="95">
        <f t="shared" si="27"/>
        <v>0</v>
      </c>
      <c r="G102" s="33">
        <f>IF(AND('Środki trwałe'!F361="tak",'Środki trwałe'!G361="tak"),'Środki trwałe'!I361,0)</f>
        <v>0</v>
      </c>
      <c r="H102" s="316"/>
      <c r="I102" s="52"/>
      <c r="J102" s="525" t="str">
        <f>IF(ISBLANK('Środki trwałe'!C361),"",'Środki trwałe'!C361)</f>
        <v/>
      </c>
      <c r="K102" s="33">
        <f t="shared" si="26"/>
        <v>0</v>
      </c>
      <c r="L102" s="33">
        <f t="shared" si="26"/>
        <v>0</v>
      </c>
      <c r="M102" s="33">
        <f t="shared" si="26"/>
        <v>0</v>
      </c>
      <c r="N102" s="33">
        <f t="shared" si="26"/>
        <v>0</v>
      </c>
      <c r="O102" s="33">
        <f t="shared" si="26"/>
        <v>0</v>
      </c>
      <c r="P102" s="33">
        <f t="shared" si="26"/>
        <v>0</v>
      </c>
      <c r="Q102" s="33">
        <f t="shared" si="26"/>
        <v>0</v>
      </c>
      <c r="R102" s="33">
        <f t="shared" si="26"/>
        <v>0</v>
      </c>
      <c r="S102" s="33">
        <f t="shared" si="26"/>
        <v>0</v>
      </c>
      <c r="T102" s="33">
        <f t="shared" si="26"/>
        <v>0</v>
      </c>
      <c r="U102" s="33">
        <f t="shared" si="26"/>
        <v>0</v>
      </c>
      <c r="V102" s="33">
        <f t="shared" si="26"/>
        <v>0</v>
      </c>
      <c r="W102" s="33">
        <f t="shared" si="26"/>
        <v>0</v>
      </c>
      <c r="X102" s="33">
        <f t="shared" si="26"/>
        <v>0</v>
      </c>
    </row>
    <row r="103" spans="2:24">
      <c r="B103" s="37" t="str">
        <f>IF(ISBLANK('Środki trwałe'!B362),"",'Środki trwałe'!B362)</f>
        <v/>
      </c>
      <c r="C103" s="33" t="str">
        <f>IF(ISBLANK('Środki trwałe'!D362),"",'Środki trwałe'!D362)</f>
        <v/>
      </c>
      <c r="D103" s="246" t="str">
        <f>IF(ISBLANK('Środki trwałe'!E362),"",'Środki trwałe'!E362)</f>
        <v/>
      </c>
      <c r="E103" s="198">
        <f>IF(AND('Środki trwałe'!F362="tak",'Środki trwałe'!G362="nie"),'Środki trwałe'!H362,0)</f>
        <v>0</v>
      </c>
      <c r="F103" s="95">
        <f t="shared" si="27"/>
        <v>0</v>
      </c>
      <c r="G103" s="33">
        <f>IF(AND('Środki trwałe'!F362="tak",'Środki trwałe'!G362="tak"),'Środki trwałe'!I362,0)</f>
        <v>0</v>
      </c>
      <c r="H103" s="316"/>
      <c r="I103" s="52"/>
      <c r="J103" s="525" t="str">
        <f>IF(ISBLANK('Środki trwałe'!C362),"",'Środki trwałe'!C362)</f>
        <v/>
      </c>
      <c r="K103" s="33">
        <f t="shared" si="26"/>
        <v>0</v>
      </c>
      <c r="L103" s="33">
        <f t="shared" si="26"/>
        <v>0</v>
      </c>
      <c r="M103" s="33">
        <f t="shared" si="26"/>
        <v>0</v>
      </c>
      <c r="N103" s="33">
        <f t="shared" si="26"/>
        <v>0</v>
      </c>
      <c r="O103" s="33">
        <f t="shared" si="26"/>
        <v>0</v>
      </c>
      <c r="P103" s="33">
        <f t="shared" si="26"/>
        <v>0</v>
      </c>
      <c r="Q103" s="33">
        <f t="shared" si="26"/>
        <v>0</v>
      </c>
      <c r="R103" s="33">
        <f t="shared" si="26"/>
        <v>0</v>
      </c>
      <c r="S103" s="33">
        <f t="shared" si="26"/>
        <v>0</v>
      </c>
      <c r="T103" s="33">
        <f t="shared" si="26"/>
        <v>0</v>
      </c>
      <c r="U103" s="33">
        <f t="shared" si="26"/>
        <v>0</v>
      </c>
      <c r="V103" s="33">
        <f t="shared" si="26"/>
        <v>0</v>
      </c>
      <c r="W103" s="33">
        <f t="shared" si="26"/>
        <v>0</v>
      </c>
      <c r="X103" s="33">
        <f t="shared" si="26"/>
        <v>0</v>
      </c>
    </row>
    <row r="104" spans="2:24">
      <c r="B104" s="37" t="str">
        <f>IF(ISBLANK('Środki trwałe'!B363),"",'Środki trwałe'!B363)</f>
        <v/>
      </c>
      <c r="C104" s="33">
        <f ca="1">IF(ISBLANK('Środki trwałe'!D363),"",'Środki trwałe'!D363)</f>
        <v>0</v>
      </c>
      <c r="D104" s="246" t="str">
        <f>IF(ISBLANK('Środki trwałe'!E363),"",'Środki trwałe'!E363)</f>
        <v/>
      </c>
      <c r="E104" s="198">
        <f>IF(AND('Środki trwałe'!F363="tak",'Środki trwałe'!G363="nie"),'Środki trwałe'!H363,0)</f>
        <v>0</v>
      </c>
      <c r="F104" s="95">
        <f>IFERROR(IF(E104=0,0,ROUND(E104*C104,0)),0)</f>
        <v>0</v>
      </c>
      <c r="G104" s="33">
        <f>IF(AND('Środki trwałe'!F363="tak",'Środki trwałe'!G363="tak"),'Środki trwałe'!I363,0)</f>
        <v>0</v>
      </c>
      <c r="H104" s="316"/>
      <c r="I104" s="52"/>
      <c r="J104" s="525" t="str">
        <f>IF(ISBLANK('Środki trwałe'!C363),"",'Środki trwałe'!C363)</f>
        <v/>
      </c>
      <c r="K104" s="33">
        <f t="shared" si="26"/>
        <v>0</v>
      </c>
      <c r="L104" s="33">
        <f t="shared" si="26"/>
        <v>0</v>
      </c>
      <c r="M104" s="33">
        <f t="shared" si="26"/>
        <v>0</v>
      </c>
      <c r="N104" s="33">
        <f t="shared" si="26"/>
        <v>0</v>
      </c>
      <c r="O104" s="33">
        <f t="shared" si="26"/>
        <v>0</v>
      </c>
      <c r="P104" s="33">
        <f t="shared" si="26"/>
        <v>0</v>
      </c>
      <c r="Q104" s="33">
        <f t="shared" si="26"/>
        <v>0</v>
      </c>
      <c r="R104" s="33">
        <f t="shared" si="26"/>
        <v>0</v>
      </c>
      <c r="S104" s="33">
        <f t="shared" si="26"/>
        <v>0</v>
      </c>
      <c r="T104" s="33">
        <f t="shared" si="26"/>
        <v>0</v>
      </c>
      <c r="U104" s="33">
        <f t="shared" si="26"/>
        <v>0</v>
      </c>
      <c r="V104" s="33">
        <f t="shared" si="26"/>
        <v>0</v>
      </c>
      <c r="W104" s="33">
        <f t="shared" si="26"/>
        <v>0</v>
      </c>
      <c r="X104" s="33">
        <f t="shared" si="26"/>
        <v>0</v>
      </c>
    </row>
    <row r="105" spans="2:24">
      <c r="B105" s="37" t="str">
        <f>IF(ISBLANK('Środki trwałe'!B364),"",'Środki trwałe'!B364)</f>
        <v/>
      </c>
      <c r="C105" s="33">
        <f ca="1">IF(ISBLANK('Środki trwałe'!D364),"",'Środki trwałe'!D364)</f>
        <v>0</v>
      </c>
      <c r="D105" s="246" t="str">
        <f>IF(ISBLANK('Środki trwałe'!E364),"",'Środki trwałe'!E364)</f>
        <v/>
      </c>
      <c r="E105" s="198">
        <f>IF(AND('Środki trwałe'!F364="tak",'Środki trwałe'!G364="nie"),'Środki trwałe'!H364,0)</f>
        <v>0</v>
      </c>
      <c r="F105" s="95">
        <f>IFERROR(IF(E105=0,0,ROUND(E105*C105,0)),0)</f>
        <v>0</v>
      </c>
      <c r="G105" s="33">
        <f>IF(AND('Środki trwałe'!F364="tak",'Środki trwałe'!G364="tak"),'Środki trwałe'!I364,0)</f>
        <v>0</v>
      </c>
      <c r="H105" s="316"/>
      <c r="I105" s="52"/>
      <c r="J105" s="525" t="str">
        <f>IF(ISBLANK('Środki trwałe'!C364),"",'Środki trwałe'!C364)</f>
        <v/>
      </c>
      <c r="K105" s="33">
        <f t="shared" si="26"/>
        <v>0</v>
      </c>
      <c r="L105" s="33">
        <f t="shared" si="26"/>
        <v>0</v>
      </c>
      <c r="M105" s="33">
        <f t="shared" si="26"/>
        <v>0</v>
      </c>
      <c r="N105" s="33">
        <f t="shared" si="26"/>
        <v>0</v>
      </c>
      <c r="O105" s="33">
        <f t="shared" si="26"/>
        <v>0</v>
      </c>
      <c r="P105" s="33">
        <f t="shared" si="26"/>
        <v>0</v>
      </c>
      <c r="Q105" s="33">
        <f t="shared" si="26"/>
        <v>0</v>
      </c>
      <c r="R105" s="33">
        <f t="shared" si="26"/>
        <v>0</v>
      </c>
      <c r="S105" s="33">
        <f t="shared" si="26"/>
        <v>0</v>
      </c>
      <c r="T105" s="33">
        <f t="shared" si="26"/>
        <v>0</v>
      </c>
      <c r="U105" s="33">
        <f t="shared" si="26"/>
        <v>0</v>
      </c>
      <c r="V105" s="33">
        <f t="shared" si="26"/>
        <v>0</v>
      </c>
      <c r="W105" s="33">
        <f t="shared" si="26"/>
        <v>0</v>
      </c>
      <c r="X105" s="33">
        <f t="shared" si="26"/>
        <v>0</v>
      </c>
    </row>
    <row r="106" spans="2:24">
      <c r="B106" s="37" t="str">
        <f>IF(ISBLANK('Środki trwałe'!B365),"",'Środki trwałe'!B365)</f>
        <v/>
      </c>
      <c r="C106" s="33">
        <f ca="1">IF(ISBLANK('Środki trwałe'!D365),"",'Środki trwałe'!D365)</f>
        <v>0</v>
      </c>
      <c r="D106" s="246" t="str">
        <f>IF(ISBLANK('Środki trwałe'!E365),"",'Środki trwałe'!E365)</f>
        <v/>
      </c>
      <c r="E106" s="198">
        <f>IF(AND('Środki trwałe'!F365="tak",'Środki trwałe'!G365="nie"),'Środki trwałe'!H365,0)</f>
        <v>0</v>
      </c>
      <c r="F106" s="95">
        <f>IFERROR(IF(E106=0,0,ROUND(E106*C106,0)),0)</f>
        <v>0</v>
      </c>
      <c r="G106" s="33">
        <f>IF(AND('Środki trwałe'!F365="tak",'Środki trwałe'!G365="tak"),'Środki trwałe'!I365,0)</f>
        <v>0</v>
      </c>
      <c r="H106" s="316"/>
      <c r="I106" s="52"/>
      <c r="J106" s="525" t="str">
        <f>IF(ISBLANK('Środki trwałe'!C365),"",'Środki trwałe'!C365)</f>
        <v/>
      </c>
      <c r="K106" s="33">
        <f t="shared" si="26"/>
        <v>0</v>
      </c>
      <c r="L106" s="33">
        <f t="shared" si="26"/>
        <v>0</v>
      </c>
      <c r="M106" s="33">
        <f t="shared" si="26"/>
        <v>0</v>
      </c>
      <c r="N106" s="33">
        <f t="shared" si="26"/>
        <v>0</v>
      </c>
      <c r="O106" s="33">
        <f t="shared" si="26"/>
        <v>0</v>
      </c>
      <c r="P106" s="33">
        <f t="shared" si="26"/>
        <v>0</v>
      </c>
      <c r="Q106" s="33">
        <f t="shared" si="26"/>
        <v>0</v>
      </c>
      <c r="R106" s="33">
        <f t="shared" si="26"/>
        <v>0</v>
      </c>
      <c r="S106" s="33">
        <f t="shared" si="26"/>
        <v>0</v>
      </c>
      <c r="T106" s="33">
        <f t="shared" si="26"/>
        <v>0</v>
      </c>
      <c r="U106" s="33">
        <f t="shared" si="26"/>
        <v>0</v>
      </c>
      <c r="V106" s="33">
        <f t="shared" si="26"/>
        <v>0</v>
      </c>
      <c r="W106" s="33">
        <f t="shared" si="26"/>
        <v>0</v>
      </c>
      <c r="X106" s="33">
        <f t="shared" si="26"/>
        <v>0</v>
      </c>
    </row>
    <row r="107" spans="2:24">
      <c r="B107" s="37" t="str">
        <f>IF(ISBLANK('Środki trwałe'!B366),"",'Środki trwałe'!B366)</f>
        <v/>
      </c>
      <c r="C107" s="33">
        <f ca="1">IF(ISBLANK('Środki trwałe'!D366),"",'Środki trwałe'!D366)</f>
        <v>0</v>
      </c>
      <c r="D107" s="246" t="str">
        <f>IF(ISBLANK('Środki trwałe'!E366),"",'Środki trwałe'!E366)</f>
        <v/>
      </c>
      <c r="E107" s="198">
        <f>IF(AND('Środki trwałe'!F366="tak",'Środki trwałe'!G366="nie"),'Środki trwałe'!H366,0)</f>
        <v>0</v>
      </c>
      <c r="F107" s="95">
        <f>IFERROR(IF(E107=0,0,ROUND(E107*C107,0)),0)</f>
        <v>0</v>
      </c>
      <c r="G107" s="33">
        <f>IF(AND('Środki trwałe'!F366="tak",'Środki trwałe'!G366="tak"),'Środki trwałe'!I366,0)</f>
        <v>0</v>
      </c>
      <c r="H107" s="316"/>
      <c r="I107" s="52"/>
      <c r="J107" s="525" t="str">
        <f>IF(ISBLANK('Środki trwałe'!C366),"",'Środki trwałe'!C366)</f>
        <v/>
      </c>
      <c r="K107" s="33">
        <f t="shared" si="26"/>
        <v>0</v>
      </c>
      <c r="L107" s="33">
        <f t="shared" si="26"/>
        <v>0</v>
      </c>
      <c r="M107" s="33">
        <f t="shared" si="26"/>
        <v>0</v>
      </c>
      <c r="N107" s="33">
        <f t="shared" si="26"/>
        <v>0</v>
      </c>
      <c r="O107" s="33">
        <f t="shared" si="26"/>
        <v>0</v>
      </c>
      <c r="P107" s="33">
        <f t="shared" si="26"/>
        <v>0</v>
      </c>
      <c r="Q107" s="33">
        <f t="shared" si="26"/>
        <v>0</v>
      </c>
      <c r="R107" s="33">
        <f t="shared" si="26"/>
        <v>0</v>
      </c>
      <c r="S107" s="33">
        <f t="shared" si="26"/>
        <v>0</v>
      </c>
      <c r="T107" s="33">
        <f t="shared" si="26"/>
        <v>0</v>
      </c>
      <c r="U107" s="33">
        <f t="shared" si="26"/>
        <v>0</v>
      </c>
      <c r="V107" s="33">
        <f t="shared" si="26"/>
        <v>0</v>
      </c>
      <c r="W107" s="33">
        <f t="shared" si="26"/>
        <v>0</v>
      </c>
      <c r="X107" s="33">
        <f t="shared" si="26"/>
        <v>0</v>
      </c>
    </row>
    <row r="108" spans="2:24">
      <c r="B108" s="37" t="str">
        <f>IF(ISBLANK('Środki trwałe'!B367),"",'Środki trwałe'!B367)</f>
        <v/>
      </c>
      <c r="C108" s="33">
        <f ca="1">IF(ISBLANK('Środki trwałe'!D367),"",'Środki trwałe'!D367)</f>
        <v>0</v>
      </c>
      <c r="D108" s="246" t="str">
        <f>IF(ISBLANK('Środki trwałe'!E367),"",'Środki trwałe'!E367)</f>
        <v/>
      </c>
      <c r="E108" s="198">
        <f>IF(AND('Środki trwałe'!F367="tak",'Środki trwałe'!G367="nie"),'Środki trwałe'!H367,0)</f>
        <v>0</v>
      </c>
      <c r="F108" s="95">
        <f>IFERROR(IF(E108=0,0,ROUND(E108*C108,0)),0)</f>
        <v>0</v>
      </c>
      <c r="G108" s="33">
        <f>IF(AND('Środki trwałe'!F367="tak",'Środki trwałe'!G367="tak"),'Środki trwałe'!I367,0)</f>
        <v>0</v>
      </c>
      <c r="H108" s="316"/>
      <c r="I108" s="52"/>
      <c r="J108" s="525" t="str">
        <f>IF(ISBLANK('Środki trwałe'!C367),"",'Środki trwałe'!C367)</f>
        <v/>
      </c>
      <c r="K108" s="33">
        <f t="shared" si="26"/>
        <v>0</v>
      </c>
      <c r="L108" s="33">
        <f t="shared" si="26"/>
        <v>0</v>
      </c>
      <c r="M108" s="33">
        <f t="shared" si="26"/>
        <v>0</v>
      </c>
      <c r="N108" s="33">
        <f t="shared" si="26"/>
        <v>0</v>
      </c>
      <c r="O108" s="33">
        <f t="shared" si="26"/>
        <v>0</v>
      </c>
      <c r="P108" s="33">
        <f t="shared" si="26"/>
        <v>0</v>
      </c>
      <c r="Q108" s="33">
        <f t="shared" si="26"/>
        <v>0</v>
      </c>
      <c r="R108" s="33">
        <f t="shared" si="26"/>
        <v>0</v>
      </c>
      <c r="S108" s="33">
        <f t="shared" si="26"/>
        <v>0</v>
      </c>
      <c r="T108" s="33">
        <f t="shared" si="26"/>
        <v>0</v>
      </c>
      <c r="U108" s="33">
        <f t="shared" si="26"/>
        <v>0</v>
      </c>
      <c r="V108" s="33">
        <f t="shared" si="26"/>
        <v>0</v>
      </c>
      <c r="W108" s="33">
        <f t="shared" si="26"/>
        <v>0</v>
      </c>
      <c r="X108" s="33">
        <f t="shared" si="26"/>
        <v>0</v>
      </c>
    </row>
    <row r="109" spans="2:24">
      <c r="B109" s="99" t="s">
        <v>335</v>
      </c>
      <c r="C109" s="98">
        <f ca="1">SUM(C94:C108)</f>
        <v>0</v>
      </c>
      <c r="D109" s="200"/>
      <c r="E109" s="97"/>
      <c r="F109" s="98">
        <f>ROUND(SUM(F94:F108),0)</f>
        <v>0</v>
      </c>
      <c r="G109" s="98">
        <f>ROUND(SUM(G94:G108),0)</f>
        <v>0</v>
      </c>
      <c r="H109" s="321"/>
      <c r="I109" s="97"/>
      <c r="J109" s="526"/>
      <c r="K109" s="98">
        <f>ROUND(SUM(K94:K108),0)</f>
        <v>0</v>
      </c>
      <c r="L109" s="98">
        <f t="shared" ref="L109:X109" si="28">ROUND(SUM(L94:L108),0)</f>
        <v>0</v>
      </c>
      <c r="M109" s="98">
        <f t="shared" si="28"/>
        <v>0</v>
      </c>
      <c r="N109" s="98">
        <f t="shared" si="28"/>
        <v>0</v>
      </c>
      <c r="O109" s="98">
        <f t="shared" si="28"/>
        <v>0</v>
      </c>
      <c r="P109" s="98">
        <f t="shared" si="28"/>
        <v>0</v>
      </c>
      <c r="Q109" s="98">
        <f t="shared" si="28"/>
        <v>0</v>
      </c>
      <c r="R109" s="98">
        <f t="shared" si="28"/>
        <v>0</v>
      </c>
      <c r="S109" s="98">
        <f t="shared" si="28"/>
        <v>0</v>
      </c>
      <c r="T109" s="98">
        <f t="shared" si="28"/>
        <v>0</v>
      </c>
      <c r="U109" s="98">
        <f t="shared" si="28"/>
        <v>0</v>
      </c>
      <c r="V109" s="98">
        <f t="shared" si="28"/>
        <v>0</v>
      </c>
      <c r="W109" s="98">
        <f t="shared" si="28"/>
        <v>0</v>
      </c>
      <c r="X109" s="98">
        <f t="shared" si="28"/>
        <v>0</v>
      </c>
    </row>
    <row r="110" spans="2:24">
      <c r="B110" s="104" t="s">
        <v>450</v>
      </c>
      <c r="C110" s="102"/>
      <c r="D110" s="102"/>
      <c r="E110" s="102"/>
      <c r="F110" s="102"/>
      <c r="G110" s="102"/>
      <c r="H110" s="317"/>
      <c r="I110" s="102"/>
      <c r="J110" s="527"/>
      <c r="K110" s="103">
        <f t="shared" ref="K110:X110" ca="1" si="29">ROUND(K617+K624+K631+K638+K680+K687+K694+K701+K708+K715+K645+K652+K659+K666+K673,0)</f>
        <v>0</v>
      </c>
      <c r="L110" s="103">
        <f t="shared" ca="1" si="29"/>
        <v>0</v>
      </c>
      <c r="M110" s="103">
        <f t="shared" ca="1" si="29"/>
        <v>0</v>
      </c>
      <c r="N110" s="103">
        <f t="shared" ca="1" si="29"/>
        <v>0</v>
      </c>
      <c r="O110" s="103">
        <f t="shared" ca="1" si="29"/>
        <v>0</v>
      </c>
      <c r="P110" s="103">
        <f t="shared" ca="1" si="29"/>
        <v>0</v>
      </c>
      <c r="Q110" s="103">
        <f t="shared" ca="1" si="29"/>
        <v>0</v>
      </c>
      <c r="R110" s="103">
        <f t="shared" ca="1" si="29"/>
        <v>0</v>
      </c>
      <c r="S110" s="103">
        <f t="shared" ca="1" si="29"/>
        <v>0</v>
      </c>
      <c r="T110" s="103">
        <f t="shared" ca="1" si="29"/>
        <v>0</v>
      </c>
      <c r="U110" s="103">
        <f t="shared" ca="1" si="29"/>
        <v>0</v>
      </c>
      <c r="V110" s="103">
        <f t="shared" ca="1" si="29"/>
        <v>0</v>
      </c>
      <c r="W110" s="103">
        <f t="shared" ca="1" si="29"/>
        <v>0</v>
      </c>
      <c r="X110" s="103">
        <f t="shared" ca="1" si="29"/>
        <v>0</v>
      </c>
    </row>
    <row r="111" spans="2:24">
      <c r="B111" s="37" t="s">
        <v>451</v>
      </c>
      <c r="C111" s="52"/>
      <c r="D111" s="52"/>
      <c r="E111" s="52"/>
      <c r="F111" s="52"/>
      <c r="G111" s="52"/>
      <c r="H111" s="316"/>
      <c r="I111" s="52"/>
      <c r="J111" s="528"/>
      <c r="K111" s="33">
        <f t="shared" ref="K111:X111" ca="1" si="30">ROUND(K618+K625+K632+K639+K681+K688+K695+K702+K709+K716+K646+K653+K660+K667+K674,0)</f>
        <v>0</v>
      </c>
      <c r="L111" s="33">
        <f t="shared" ca="1" si="30"/>
        <v>0</v>
      </c>
      <c r="M111" s="33">
        <f t="shared" ca="1" si="30"/>
        <v>0</v>
      </c>
      <c r="N111" s="33">
        <f t="shared" ca="1" si="30"/>
        <v>0</v>
      </c>
      <c r="O111" s="33">
        <f t="shared" ca="1" si="30"/>
        <v>0</v>
      </c>
      <c r="P111" s="33">
        <f t="shared" ca="1" si="30"/>
        <v>0</v>
      </c>
      <c r="Q111" s="33">
        <f t="shared" ca="1" si="30"/>
        <v>0</v>
      </c>
      <c r="R111" s="33">
        <f t="shared" ca="1" si="30"/>
        <v>0</v>
      </c>
      <c r="S111" s="33">
        <f t="shared" ca="1" si="30"/>
        <v>0</v>
      </c>
      <c r="T111" s="33">
        <f t="shared" ca="1" si="30"/>
        <v>0</v>
      </c>
      <c r="U111" s="33">
        <f t="shared" ca="1" si="30"/>
        <v>0</v>
      </c>
      <c r="V111" s="33">
        <f t="shared" ca="1" si="30"/>
        <v>0</v>
      </c>
      <c r="W111" s="33">
        <f t="shared" ca="1" si="30"/>
        <v>0</v>
      </c>
      <c r="X111" s="33">
        <f t="shared" ca="1" si="30"/>
        <v>0</v>
      </c>
    </row>
    <row r="112" spans="2:24">
      <c r="B112" s="106" t="s">
        <v>452</v>
      </c>
      <c r="C112" s="106"/>
      <c r="D112" s="106"/>
      <c r="E112" s="106"/>
      <c r="F112" s="106"/>
      <c r="G112" s="106"/>
      <c r="H112" s="325"/>
      <c r="I112" s="106"/>
      <c r="J112" s="529"/>
      <c r="K112" s="107">
        <f>'Środki trwałe'!K406</f>
        <v>0</v>
      </c>
      <c r="L112" s="107">
        <f>'Środki trwałe'!L406</f>
        <v>0</v>
      </c>
      <c r="M112" s="107">
        <f>'Środki trwałe'!M406</f>
        <v>0</v>
      </c>
      <c r="N112" s="107">
        <f>'Środki trwałe'!N406</f>
        <v>0</v>
      </c>
      <c r="O112" s="107">
        <f>'Środki trwałe'!O406</f>
        <v>0</v>
      </c>
      <c r="P112" s="107">
        <f>'Środki trwałe'!P406</f>
        <v>0</v>
      </c>
      <c r="Q112" s="107">
        <f>'Środki trwałe'!Q406</f>
        <v>0</v>
      </c>
      <c r="R112" s="107">
        <f>'Środki trwałe'!R406</f>
        <v>0</v>
      </c>
      <c r="S112" s="107">
        <f>'Środki trwałe'!S406</f>
        <v>0</v>
      </c>
      <c r="T112" s="107">
        <f>'Środki trwałe'!T406</f>
        <v>0</v>
      </c>
      <c r="U112" s="107">
        <f>'Środki trwałe'!U406</f>
        <v>0</v>
      </c>
      <c r="V112" s="107">
        <f>'Środki trwałe'!V406</f>
        <v>0</v>
      </c>
      <c r="W112" s="107">
        <f>'Środki trwałe'!W406</f>
        <v>0</v>
      </c>
      <c r="X112" s="107">
        <f>'Środki trwałe'!X406</f>
        <v>0</v>
      </c>
    </row>
    <row r="113" spans="1:24">
      <c r="B113" s="201" t="s">
        <v>453</v>
      </c>
      <c r="C113" s="52"/>
      <c r="D113" s="52"/>
      <c r="E113" s="52"/>
      <c r="F113" s="52"/>
      <c r="G113" s="52"/>
      <c r="H113" s="316"/>
      <c r="I113" s="52"/>
      <c r="J113" s="528"/>
      <c r="K113" s="87">
        <f t="shared" ref="K113:X113" ca="1" si="31">ROUND(K619+K626+K633+K640+K682+K689+K696+K703+K710+K717+K647+K654+K661+K675+K668,0)</f>
        <v>0</v>
      </c>
      <c r="L113" s="87">
        <f t="shared" ca="1" si="31"/>
        <v>0</v>
      </c>
      <c r="M113" s="87">
        <f t="shared" ca="1" si="31"/>
        <v>0</v>
      </c>
      <c r="N113" s="87">
        <f t="shared" ca="1" si="31"/>
        <v>0</v>
      </c>
      <c r="O113" s="87">
        <f t="shared" ca="1" si="31"/>
        <v>0</v>
      </c>
      <c r="P113" s="87">
        <f t="shared" ca="1" si="31"/>
        <v>0</v>
      </c>
      <c r="Q113" s="87">
        <f t="shared" ca="1" si="31"/>
        <v>0</v>
      </c>
      <c r="R113" s="87">
        <f t="shared" ca="1" si="31"/>
        <v>0</v>
      </c>
      <c r="S113" s="87">
        <f t="shared" ca="1" si="31"/>
        <v>0</v>
      </c>
      <c r="T113" s="87">
        <f t="shared" ca="1" si="31"/>
        <v>0</v>
      </c>
      <c r="U113" s="87">
        <f t="shared" ca="1" si="31"/>
        <v>0</v>
      </c>
      <c r="V113" s="87">
        <f t="shared" ca="1" si="31"/>
        <v>0</v>
      </c>
      <c r="W113" s="87">
        <f t="shared" ca="1" si="31"/>
        <v>0</v>
      </c>
      <c r="X113" s="87">
        <f t="shared" ca="1" si="31"/>
        <v>0</v>
      </c>
    </row>
    <row r="114" spans="1:24">
      <c r="J114" s="531"/>
    </row>
    <row r="115" spans="1:24" customFormat="1">
      <c r="A115" s="1"/>
      <c r="J115" s="505"/>
    </row>
    <row r="116" spans="1:24" ht="24">
      <c r="B116" s="228" t="s">
        <v>391</v>
      </c>
      <c r="C116" s="229" t="s">
        <v>406</v>
      </c>
      <c r="D116" s="230" t="s">
        <v>421</v>
      </c>
      <c r="E116" s="230" t="s">
        <v>408</v>
      </c>
      <c r="F116" s="230" t="s">
        <v>409</v>
      </c>
      <c r="G116" s="230" t="s">
        <v>449</v>
      </c>
      <c r="H116" s="313"/>
      <c r="I116" s="231"/>
      <c r="J116" s="530"/>
      <c r="K116" s="232" t="str">
        <f t="shared" ref="K116:X116" si="32">LataProjekcji</f>
        <v>Uzupełnij dane</v>
      </c>
      <c r="L116" s="232" t="str">
        <f t="shared" si="32"/>
        <v/>
      </c>
      <c r="M116" s="232" t="str">
        <f t="shared" si="32"/>
        <v/>
      </c>
      <c r="N116" s="232" t="str">
        <f t="shared" si="32"/>
        <v/>
      </c>
      <c r="O116" s="232" t="str">
        <f t="shared" si="32"/>
        <v/>
      </c>
      <c r="P116" s="232" t="str">
        <f t="shared" si="32"/>
        <v/>
      </c>
      <c r="Q116" s="232" t="str">
        <f t="shared" si="32"/>
        <v/>
      </c>
      <c r="R116" s="232" t="str">
        <f t="shared" si="32"/>
        <v/>
      </c>
      <c r="S116" s="232" t="str">
        <f t="shared" si="32"/>
        <v/>
      </c>
      <c r="T116" s="232" t="str">
        <f t="shared" si="32"/>
        <v/>
      </c>
      <c r="U116" s="232" t="str">
        <f t="shared" si="32"/>
        <v/>
      </c>
      <c r="V116" s="232" t="str">
        <f t="shared" si="32"/>
        <v/>
      </c>
      <c r="W116" s="232" t="str">
        <f t="shared" si="32"/>
        <v/>
      </c>
      <c r="X116" s="232" t="str">
        <f t="shared" si="32"/>
        <v/>
      </c>
    </row>
    <row r="117" spans="1:24">
      <c r="B117" s="104" t="str">
        <f>IF(ISBLANK('Środki trwałe'!B418),"",'Środki trwałe'!B418)</f>
        <v/>
      </c>
      <c r="C117" s="103" t="str">
        <f>IF(ISBLANK('Środki trwałe'!D418),"",'Środki trwałe'!D418)</f>
        <v/>
      </c>
      <c r="D117" s="246" t="str">
        <f>IF(ISBLANK('Środki trwałe'!E418),"",'Środki trwałe'!E418)</f>
        <v/>
      </c>
      <c r="E117" s="198">
        <f>IF(AND('Środki trwałe'!F418="tak",'Środki trwałe'!G418="nie"),'Środki trwałe'!H418,0)</f>
        <v>0</v>
      </c>
      <c r="F117" s="95">
        <f>IFERROR(IF(E117=0,0,ROUND(E117*C117,0)),0)</f>
        <v>0</v>
      </c>
      <c r="G117" s="103">
        <f>IF(AND('Środki trwałe'!F418="tak",'Środki trwałe'!G418="tak"),'Środki trwałe'!I418,0)</f>
        <v>0</v>
      </c>
      <c r="H117" s="317"/>
      <c r="I117" s="102"/>
      <c r="J117" s="532" t="str">
        <f>IF(ISBLANK('Środki trwałe'!C418),"",'Środki trwałe'!C418)</f>
        <v/>
      </c>
      <c r="K117" s="103">
        <f t="shared" ref="K117:X128" si="33">IFERROR(ROUND(IF(AND(YEAR($D117)=LataProjekcji,$F117&gt;0),$F117,0),0),0)</f>
        <v>0</v>
      </c>
      <c r="L117" s="103">
        <f t="shared" si="33"/>
        <v>0</v>
      </c>
      <c r="M117" s="103">
        <f t="shared" si="33"/>
        <v>0</v>
      </c>
      <c r="N117" s="103">
        <f t="shared" si="33"/>
        <v>0</v>
      </c>
      <c r="O117" s="103">
        <f t="shared" si="33"/>
        <v>0</v>
      </c>
      <c r="P117" s="103">
        <f t="shared" si="33"/>
        <v>0</v>
      </c>
      <c r="Q117" s="103">
        <f t="shared" si="33"/>
        <v>0</v>
      </c>
      <c r="R117" s="103">
        <f t="shared" si="33"/>
        <v>0</v>
      </c>
      <c r="S117" s="103">
        <f t="shared" si="33"/>
        <v>0</v>
      </c>
      <c r="T117" s="103">
        <f t="shared" si="33"/>
        <v>0</v>
      </c>
      <c r="U117" s="103">
        <f t="shared" si="33"/>
        <v>0</v>
      </c>
      <c r="V117" s="103">
        <f t="shared" si="33"/>
        <v>0</v>
      </c>
      <c r="W117" s="103">
        <f t="shared" si="33"/>
        <v>0</v>
      </c>
      <c r="X117" s="103">
        <f t="shared" si="33"/>
        <v>0</v>
      </c>
    </row>
    <row r="118" spans="1:24">
      <c r="B118" s="37" t="str">
        <f>IF(ISBLANK('Środki trwałe'!B419),"",'Środki trwałe'!B419)</f>
        <v/>
      </c>
      <c r="C118" s="33" t="str">
        <f>IF(ISBLANK('Środki trwałe'!D419),"",'Środki trwałe'!D419)</f>
        <v/>
      </c>
      <c r="D118" s="246" t="str">
        <f>IF(ISBLANK('Środki trwałe'!E419),"",'Środki trwałe'!E419)</f>
        <v/>
      </c>
      <c r="E118" s="74">
        <f>IF(AND('Środki trwałe'!F419="tak",'Środki trwałe'!G419="nie"),'Środki trwałe'!H419,0)</f>
        <v>0</v>
      </c>
      <c r="F118" s="95">
        <f>IFERROR(IF(E118=0,0,ROUND(E118*C118,0)),0)</f>
        <v>0</v>
      </c>
      <c r="G118" s="33">
        <f>IF(AND('Środki trwałe'!F419="tak",'Środki trwałe'!G419="tak"),'Środki trwałe'!I419,0)</f>
        <v>0</v>
      </c>
      <c r="H118" s="316"/>
      <c r="I118" s="52"/>
      <c r="J118" s="525" t="str">
        <f>IF(ISBLANK('Środki trwałe'!C419),"",'Środki trwałe'!C419)</f>
        <v/>
      </c>
      <c r="K118" s="33">
        <f t="shared" si="33"/>
        <v>0</v>
      </c>
      <c r="L118" s="33">
        <f t="shared" si="33"/>
        <v>0</v>
      </c>
      <c r="M118" s="33">
        <f t="shared" si="33"/>
        <v>0</v>
      </c>
      <c r="N118" s="33">
        <f t="shared" si="33"/>
        <v>0</v>
      </c>
      <c r="O118" s="33">
        <f t="shared" si="33"/>
        <v>0</v>
      </c>
      <c r="P118" s="33">
        <f t="shared" si="33"/>
        <v>0</v>
      </c>
      <c r="Q118" s="33">
        <f t="shared" si="33"/>
        <v>0</v>
      </c>
      <c r="R118" s="33">
        <f t="shared" si="33"/>
        <v>0</v>
      </c>
      <c r="S118" s="33">
        <f t="shared" si="33"/>
        <v>0</v>
      </c>
      <c r="T118" s="33">
        <f t="shared" si="33"/>
        <v>0</v>
      </c>
      <c r="U118" s="33">
        <f t="shared" si="33"/>
        <v>0</v>
      </c>
      <c r="V118" s="33">
        <f t="shared" si="33"/>
        <v>0</v>
      </c>
      <c r="W118" s="33">
        <f t="shared" si="33"/>
        <v>0</v>
      </c>
      <c r="X118" s="33">
        <f t="shared" si="33"/>
        <v>0</v>
      </c>
    </row>
    <row r="119" spans="1:24">
      <c r="B119" s="37" t="str">
        <f>IF(ISBLANK('Środki trwałe'!B420),"",'Środki trwałe'!B420)</f>
        <v/>
      </c>
      <c r="C119" s="33" t="str">
        <f>IF(ISBLANK('Środki trwałe'!D420),"",'Środki trwałe'!D420)</f>
        <v/>
      </c>
      <c r="D119" s="246" t="str">
        <f>IF(ISBLANK('Środki trwałe'!E420),"",'Środki trwałe'!E420)</f>
        <v/>
      </c>
      <c r="E119" s="74">
        <f>IF(AND('Środki trwałe'!F420="tak",'Środki trwałe'!G420="nie"),'Środki trwałe'!H420,0)</f>
        <v>0</v>
      </c>
      <c r="F119" s="95">
        <f>IFERROR(IF(E119=0,0,ROUND(E119*C119,0)),0)</f>
        <v>0</v>
      </c>
      <c r="G119" s="33">
        <f>IF(AND('Środki trwałe'!F420="tak",'Środki trwałe'!G420="tak"),'Środki trwałe'!I420,0)</f>
        <v>0</v>
      </c>
      <c r="H119" s="316"/>
      <c r="I119" s="52"/>
      <c r="J119" s="525" t="str">
        <f>IF(ISBLANK('Środki trwałe'!C420),"",'Środki trwałe'!C420)</f>
        <v/>
      </c>
      <c r="K119" s="33">
        <f t="shared" si="33"/>
        <v>0</v>
      </c>
      <c r="L119" s="33">
        <f t="shared" si="33"/>
        <v>0</v>
      </c>
      <c r="M119" s="33">
        <f t="shared" si="33"/>
        <v>0</v>
      </c>
      <c r="N119" s="33">
        <f t="shared" si="33"/>
        <v>0</v>
      </c>
      <c r="O119" s="33">
        <f t="shared" si="33"/>
        <v>0</v>
      </c>
      <c r="P119" s="33">
        <f t="shared" si="33"/>
        <v>0</v>
      </c>
      <c r="Q119" s="33">
        <f t="shared" si="33"/>
        <v>0</v>
      </c>
      <c r="R119" s="33">
        <f t="shared" si="33"/>
        <v>0</v>
      </c>
      <c r="S119" s="33">
        <f t="shared" si="33"/>
        <v>0</v>
      </c>
      <c r="T119" s="33">
        <f t="shared" si="33"/>
        <v>0</v>
      </c>
      <c r="U119" s="33">
        <f t="shared" si="33"/>
        <v>0</v>
      </c>
      <c r="V119" s="33">
        <f t="shared" si="33"/>
        <v>0</v>
      </c>
      <c r="W119" s="33">
        <f t="shared" si="33"/>
        <v>0</v>
      </c>
      <c r="X119" s="33">
        <f t="shared" si="33"/>
        <v>0</v>
      </c>
    </row>
    <row r="120" spans="1:24">
      <c r="B120" s="37" t="str">
        <f>IF(ISBLANK('Środki trwałe'!B421),"",'Środki trwałe'!B421)</f>
        <v/>
      </c>
      <c r="C120" s="33" t="str">
        <f>IF(ISBLANK('Środki trwałe'!D421),"",'Środki trwałe'!D421)</f>
        <v/>
      </c>
      <c r="D120" s="246" t="str">
        <f>IF(ISBLANK('Środki trwałe'!E421),"",'Środki trwałe'!E421)</f>
        <v/>
      </c>
      <c r="E120" s="74">
        <f>IF(AND('Środki trwałe'!F421="tak",'Środki trwałe'!G421="nie"),'Środki trwałe'!H421,0)</f>
        <v>0</v>
      </c>
      <c r="F120" s="95">
        <f>IFERROR(IF(E120=0,0,ROUND(E120*C120,0)),0)</f>
        <v>0</v>
      </c>
      <c r="G120" s="33">
        <f>IF(AND('Środki trwałe'!F421="tak",'Środki trwałe'!G421="tak"),'Środki trwałe'!I421,0)</f>
        <v>0</v>
      </c>
      <c r="H120" s="316"/>
      <c r="I120" s="52"/>
      <c r="J120" s="525" t="str">
        <f>IF(ISBLANK('Środki trwałe'!C421),"",'Środki trwałe'!C421)</f>
        <v/>
      </c>
      <c r="K120" s="33">
        <f t="shared" si="33"/>
        <v>0</v>
      </c>
      <c r="L120" s="33">
        <f t="shared" si="33"/>
        <v>0</v>
      </c>
      <c r="M120" s="33">
        <f t="shared" si="33"/>
        <v>0</v>
      </c>
      <c r="N120" s="33">
        <f t="shared" si="33"/>
        <v>0</v>
      </c>
      <c r="O120" s="33">
        <f t="shared" si="33"/>
        <v>0</v>
      </c>
      <c r="P120" s="33">
        <f t="shared" si="33"/>
        <v>0</v>
      </c>
      <c r="Q120" s="33">
        <f t="shared" si="33"/>
        <v>0</v>
      </c>
      <c r="R120" s="33">
        <f t="shared" si="33"/>
        <v>0</v>
      </c>
      <c r="S120" s="33">
        <f t="shared" si="33"/>
        <v>0</v>
      </c>
      <c r="T120" s="33">
        <f t="shared" si="33"/>
        <v>0</v>
      </c>
      <c r="U120" s="33">
        <f t="shared" si="33"/>
        <v>0</v>
      </c>
      <c r="V120" s="33">
        <f t="shared" si="33"/>
        <v>0</v>
      </c>
      <c r="W120" s="33">
        <f t="shared" si="33"/>
        <v>0</v>
      </c>
      <c r="X120" s="33">
        <f t="shared" si="33"/>
        <v>0</v>
      </c>
    </row>
    <row r="121" spans="1:24">
      <c r="B121" s="37" t="str">
        <f>IF(ISBLANK('Środki trwałe'!B422),"",'Środki trwałe'!B422)</f>
        <v/>
      </c>
      <c r="C121" s="33" t="str">
        <f>IF(ISBLANK('Środki trwałe'!D422),"",'Środki trwałe'!D422)</f>
        <v/>
      </c>
      <c r="D121" s="246" t="str">
        <f>IF(ISBLANK('Środki trwałe'!E422),"",'Środki trwałe'!E422)</f>
        <v/>
      </c>
      <c r="E121" s="74">
        <f>IF(AND('Środki trwałe'!F422="tak",'Środki trwałe'!G422="nie"),'Środki trwałe'!H422,0)</f>
        <v>0</v>
      </c>
      <c r="F121" s="95">
        <f t="shared" ref="F121:F155" si="34">IFERROR(IF(E121=0,0,ROUND(E121*C121,0)),0)</f>
        <v>0</v>
      </c>
      <c r="G121" s="33">
        <f>IF(AND('Środki trwałe'!F422="tak",'Środki trwałe'!G422="tak"),'Środki trwałe'!I422,0)</f>
        <v>0</v>
      </c>
      <c r="H121" s="316"/>
      <c r="I121" s="52"/>
      <c r="J121" s="525" t="str">
        <f>IF(ISBLANK('Środki trwałe'!C422),"",'Środki trwałe'!C422)</f>
        <v/>
      </c>
      <c r="K121" s="33">
        <f t="shared" si="33"/>
        <v>0</v>
      </c>
      <c r="L121" s="33">
        <f t="shared" si="33"/>
        <v>0</v>
      </c>
      <c r="M121" s="33">
        <f t="shared" si="33"/>
        <v>0</v>
      </c>
      <c r="N121" s="33">
        <f t="shared" si="33"/>
        <v>0</v>
      </c>
      <c r="O121" s="33">
        <f t="shared" si="33"/>
        <v>0</v>
      </c>
      <c r="P121" s="33">
        <f t="shared" si="33"/>
        <v>0</v>
      </c>
      <c r="Q121" s="33">
        <f t="shared" si="33"/>
        <v>0</v>
      </c>
      <c r="R121" s="33">
        <f t="shared" si="33"/>
        <v>0</v>
      </c>
      <c r="S121" s="33">
        <f t="shared" si="33"/>
        <v>0</v>
      </c>
      <c r="T121" s="33">
        <f t="shared" si="33"/>
        <v>0</v>
      </c>
      <c r="U121" s="33">
        <f t="shared" si="33"/>
        <v>0</v>
      </c>
      <c r="V121" s="33">
        <f t="shared" si="33"/>
        <v>0</v>
      </c>
      <c r="W121" s="33">
        <f t="shared" si="33"/>
        <v>0</v>
      </c>
      <c r="X121" s="33">
        <f t="shared" si="33"/>
        <v>0</v>
      </c>
    </row>
    <row r="122" spans="1:24">
      <c r="B122" s="37" t="str">
        <f>IF(ISBLANK('Środki trwałe'!B423),"",'Środki trwałe'!B423)</f>
        <v/>
      </c>
      <c r="C122" s="33" t="str">
        <f>IF(ISBLANK('Środki trwałe'!D423),"",'Środki trwałe'!D423)</f>
        <v/>
      </c>
      <c r="D122" s="246" t="str">
        <f>IF(ISBLANK('Środki trwałe'!E423),"",'Środki trwałe'!E423)</f>
        <v/>
      </c>
      <c r="E122" s="74">
        <f>IF(AND('Środki trwałe'!F423="tak",'Środki trwałe'!G423="nie"),'Środki trwałe'!H423,0)</f>
        <v>0</v>
      </c>
      <c r="F122" s="95">
        <f t="shared" si="34"/>
        <v>0</v>
      </c>
      <c r="G122" s="33">
        <f>IF(AND('Środki trwałe'!F423="tak",'Środki trwałe'!G423="tak"),'Środki trwałe'!I423,0)</f>
        <v>0</v>
      </c>
      <c r="H122" s="316"/>
      <c r="I122" s="52"/>
      <c r="J122" s="525" t="str">
        <f>IF(ISBLANK('Środki trwałe'!C423),"",'Środki trwałe'!C423)</f>
        <v/>
      </c>
      <c r="K122" s="33">
        <f t="shared" si="33"/>
        <v>0</v>
      </c>
      <c r="L122" s="33">
        <f t="shared" si="33"/>
        <v>0</v>
      </c>
      <c r="M122" s="33">
        <f t="shared" si="33"/>
        <v>0</v>
      </c>
      <c r="N122" s="33">
        <f t="shared" si="33"/>
        <v>0</v>
      </c>
      <c r="O122" s="33">
        <f t="shared" si="33"/>
        <v>0</v>
      </c>
      <c r="P122" s="33">
        <f t="shared" si="33"/>
        <v>0</v>
      </c>
      <c r="Q122" s="33">
        <f t="shared" si="33"/>
        <v>0</v>
      </c>
      <c r="R122" s="33">
        <f t="shared" si="33"/>
        <v>0</v>
      </c>
      <c r="S122" s="33">
        <f t="shared" si="33"/>
        <v>0</v>
      </c>
      <c r="T122" s="33">
        <f t="shared" si="33"/>
        <v>0</v>
      </c>
      <c r="U122" s="33">
        <f t="shared" si="33"/>
        <v>0</v>
      </c>
      <c r="V122" s="33">
        <f t="shared" si="33"/>
        <v>0</v>
      </c>
      <c r="W122" s="33">
        <f t="shared" si="33"/>
        <v>0</v>
      </c>
      <c r="X122" s="33">
        <f t="shared" si="33"/>
        <v>0</v>
      </c>
    </row>
    <row r="123" spans="1:24">
      <c r="B123" s="37" t="str">
        <f>IF(ISBLANK('Środki trwałe'!B424),"",'Środki trwałe'!B424)</f>
        <v/>
      </c>
      <c r="C123" s="33" t="str">
        <f>IF(ISBLANK('Środki trwałe'!D424),"",'Środki trwałe'!D424)</f>
        <v/>
      </c>
      <c r="D123" s="246" t="str">
        <f>IF(ISBLANK('Środki trwałe'!E424),"",'Środki trwałe'!E424)</f>
        <v/>
      </c>
      <c r="E123" s="74">
        <f>IF(AND('Środki trwałe'!F424="tak",'Środki trwałe'!G424="nie"),'Środki trwałe'!H424,0)</f>
        <v>0</v>
      </c>
      <c r="F123" s="95">
        <f t="shared" si="34"/>
        <v>0</v>
      </c>
      <c r="G123" s="33">
        <f>IF(AND('Środki trwałe'!F424="tak",'Środki trwałe'!G424="tak"),'Środki trwałe'!I424,0)</f>
        <v>0</v>
      </c>
      <c r="H123" s="316"/>
      <c r="I123" s="52"/>
      <c r="J123" s="525" t="str">
        <f>IF(ISBLANK('Środki trwałe'!C424),"",'Środki trwałe'!C424)</f>
        <v/>
      </c>
      <c r="K123" s="33">
        <f t="shared" si="33"/>
        <v>0</v>
      </c>
      <c r="L123" s="33">
        <f t="shared" si="33"/>
        <v>0</v>
      </c>
      <c r="M123" s="33">
        <f t="shared" si="33"/>
        <v>0</v>
      </c>
      <c r="N123" s="33">
        <f t="shared" si="33"/>
        <v>0</v>
      </c>
      <c r="O123" s="33">
        <f t="shared" si="33"/>
        <v>0</v>
      </c>
      <c r="P123" s="33">
        <f t="shared" si="33"/>
        <v>0</v>
      </c>
      <c r="Q123" s="33">
        <f t="shared" si="33"/>
        <v>0</v>
      </c>
      <c r="R123" s="33">
        <f t="shared" si="33"/>
        <v>0</v>
      </c>
      <c r="S123" s="33">
        <f t="shared" si="33"/>
        <v>0</v>
      </c>
      <c r="T123" s="33">
        <f t="shared" si="33"/>
        <v>0</v>
      </c>
      <c r="U123" s="33">
        <f t="shared" si="33"/>
        <v>0</v>
      </c>
      <c r="V123" s="33">
        <f t="shared" si="33"/>
        <v>0</v>
      </c>
      <c r="W123" s="33">
        <f t="shared" si="33"/>
        <v>0</v>
      </c>
      <c r="X123" s="33">
        <f t="shared" si="33"/>
        <v>0</v>
      </c>
    </row>
    <row r="124" spans="1:24">
      <c r="B124" s="37" t="str">
        <f>IF(ISBLANK('Środki trwałe'!B425),"",'Środki trwałe'!B425)</f>
        <v/>
      </c>
      <c r="C124" s="33" t="str">
        <f>IF(ISBLANK('Środki trwałe'!D425),"",'Środki trwałe'!D425)</f>
        <v/>
      </c>
      <c r="D124" s="246" t="str">
        <f>IF(ISBLANK('Środki trwałe'!E425),"",'Środki trwałe'!E425)</f>
        <v/>
      </c>
      <c r="E124" s="74">
        <f>IF(AND('Środki trwałe'!F425="tak",'Środki trwałe'!G425="nie"),'Środki trwałe'!H425,0)</f>
        <v>0</v>
      </c>
      <c r="F124" s="95">
        <f t="shared" si="34"/>
        <v>0</v>
      </c>
      <c r="G124" s="33">
        <f>IF(AND('Środki trwałe'!F425="tak",'Środki trwałe'!G425="tak"),'Środki trwałe'!I425,0)</f>
        <v>0</v>
      </c>
      <c r="H124" s="316"/>
      <c r="I124" s="52"/>
      <c r="J124" s="525" t="str">
        <f>IF(ISBLANK('Środki trwałe'!C425),"",'Środki trwałe'!C425)</f>
        <v/>
      </c>
      <c r="K124" s="33">
        <f t="shared" si="33"/>
        <v>0</v>
      </c>
      <c r="L124" s="33">
        <f t="shared" si="33"/>
        <v>0</v>
      </c>
      <c r="M124" s="33">
        <f t="shared" si="33"/>
        <v>0</v>
      </c>
      <c r="N124" s="33">
        <f t="shared" si="33"/>
        <v>0</v>
      </c>
      <c r="O124" s="33">
        <f t="shared" si="33"/>
        <v>0</v>
      </c>
      <c r="P124" s="33">
        <f t="shared" si="33"/>
        <v>0</v>
      </c>
      <c r="Q124" s="33">
        <f t="shared" si="33"/>
        <v>0</v>
      </c>
      <c r="R124" s="33">
        <f t="shared" si="33"/>
        <v>0</v>
      </c>
      <c r="S124" s="33">
        <f t="shared" si="33"/>
        <v>0</v>
      </c>
      <c r="T124" s="33">
        <f t="shared" si="33"/>
        <v>0</v>
      </c>
      <c r="U124" s="33">
        <f t="shared" si="33"/>
        <v>0</v>
      </c>
      <c r="V124" s="33">
        <f t="shared" si="33"/>
        <v>0</v>
      </c>
      <c r="W124" s="33">
        <f t="shared" si="33"/>
        <v>0</v>
      </c>
      <c r="X124" s="33">
        <f t="shared" si="33"/>
        <v>0</v>
      </c>
    </row>
    <row r="125" spans="1:24">
      <c r="B125" s="37" t="str">
        <f>IF(ISBLANK('Środki trwałe'!B426),"",'Środki trwałe'!B426)</f>
        <v/>
      </c>
      <c r="C125" s="33" t="str">
        <f>IF(ISBLANK('Środki trwałe'!D426),"",'Środki trwałe'!D426)</f>
        <v/>
      </c>
      <c r="D125" s="246" t="str">
        <f>IF(ISBLANK('Środki trwałe'!E426),"",'Środki trwałe'!E426)</f>
        <v/>
      </c>
      <c r="E125" s="74">
        <f>IF(AND('Środki trwałe'!F426="tak",'Środki trwałe'!G426="nie"),'Środki trwałe'!H426,0)</f>
        <v>0</v>
      </c>
      <c r="F125" s="95">
        <f t="shared" si="34"/>
        <v>0</v>
      </c>
      <c r="G125" s="33">
        <f>IF(AND('Środki trwałe'!F426="tak",'Środki trwałe'!G426="tak"),'Środki trwałe'!I426,0)</f>
        <v>0</v>
      </c>
      <c r="H125" s="316"/>
      <c r="I125" s="52"/>
      <c r="J125" s="525" t="str">
        <f>IF(ISBLANK('Środki trwałe'!C426),"",'Środki trwałe'!C426)</f>
        <v/>
      </c>
      <c r="K125" s="33">
        <f t="shared" si="33"/>
        <v>0</v>
      </c>
      <c r="L125" s="33">
        <f t="shared" si="33"/>
        <v>0</v>
      </c>
      <c r="M125" s="33">
        <f t="shared" si="33"/>
        <v>0</v>
      </c>
      <c r="N125" s="33">
        <f t="shared" si="33"/>
        <v>0</v>
      </c>
      <c r="O125" s="33">
        <f t="shared" si="33"/>
        <v>0</v>
      </c>
      <c r="P125" s="33">
        <f t="shared" si="33"/>
        <v>0</v>
      </c>
      <c r="Q125" s="33">
        <f t="shared" si="33"/>
        <v>0</v>
      </c>
      <c r="R125" s="33">
        <f t="shared" si="33"/>
        <v>0</v>
      </c>
      <c r="S125" s="33">
        <f t="shared" si="33"/>
        <v>0</v>
      </c>
      <c r="T125" s="33">
        <f t="shared" si="33"/>
        <v>0</v>
      </c>
      <c r="U125" s="33">
        <f t="shared" si="33"/>
        <v>0</v>
      </c>
      <c r="V125" s="33">
        <f t="shared" si="33"/>
        <v>0</v>
      </c>
      <c r="W125" s="33">
        <f t="shared" si="33"/>
        <v>0</v>
      </c>
      <c r="X125" s="33">
        <f t="shared" si="33"/>
        <v>0</v>
      </c>
    </row>
    <row r="126" spans="1:24">
      <c r="B126" s="37" t="str">
        <f>IF(ISBLANK('Środki trwałe'!B427),"",'Środki trwałe'!B427)</f>
        <v/>
      </c>
      <c r="C126" s="33" t="str">
        <f>IF(ISBLANK('Środki trwałe'!D427),"",'Środki trwałe'!D427)</f>
        <v/>
      </c>
      <c r="D126" s="246" t="str">
        <f>IF(ISBLANK('Środki trwałe'!E427),"",'Środki trwałe'!E427)</f>
        <v/>
      </c>
      <c r="E126" s="74">
        <f>IF(AND('Środki trwałe'!F427="tak",'Środki trwałe'!G427="nie"),'Środki trwałe'!H427,0)</f>
        <v>0</v>
      </c>
      <c r="F126" s="95">
        <f t="shared" si="34"/>
        <v>0</v>
      </c>
      <c r="G126" s="33">
        <f>IF(AND('Środki trwałe'!F427="tak",'Środki trwałe'!G427="tak"),'Środki trwałe'!I427,0)</f>
        <v>0</v>
      </c>
      <c r="H126" s="316"/>
      <c r="I126" s="52"/>
      <c r="J126" s="525" t="str">
        <f>IF(ISBLANK('Środki trwałe'!C427),"",'Środki trwałe'!C427)</f>
        <v/>
      </c>
      <c r="K126" s="33">
        <f t="shared" si="33"/>
        <v>0</v>
      </c>
      <c r="L126" s="33">
        <f t="shared" si="33"/>
        <v>0</v>
      </c>
      <c r="M126" s="33">
        <f t="shared" si="33"/>
        <v>0</v>
      </c>
      <c r="N126" s="33">
        <f t="shared" si="33"/>
        <v>0</v>
      </c>
      <c r="O126" s="33">
        <f t="shared" si="33"/>
        <v>0</v>
      </c>
      <c r="P126" s="33">
        <f t="shared" si="33"/>
        <v>0</v>
      </c>
      <c r="Q126" s="33">
        <f t="shared" si="33"/>
        <v>0</v>
      </c>
      <c r="R126" s="33">
        <f t="shared" si="33"/>
        <v>0</v>
      </c>
      <c r="S126" s="33">
        <f t="shared" si="33"/>
        <v>0</v>
      </c>
      <c r="T126" s="33">
        <f t="shared" si="33"/>
        <v>0</v>
      </c>
      <c r="U126" s="33">
        <f t="shared" si="33"/>
        <v>0</v>
      </c>
      <c r="V126" s="33">
        <f t="shared" si="33"/>
        <v>0</v>
      </c>
      <c r="W126" s="33">
        <f t="shared" si="33"/>
        <v>0</v>
      </c>
      <c r="X126" s="33">
        <f t="shared" si="33"/>
        <v>0</v>
      </c>
    </row>
    <row r="127" spans="1:24">
      <c r="B127" s="37" t="str">
        <f>IF(ISBLANK('Środki trwałe'!B428),"",'Środki trwałe'!B428)</f>
        <v/>
      </c>
      <c r="C127" s="33" t="str">
        <f>IF(ISBLANK('Środki trwałe'!D428),"",'Środki trwałe'!D428)</f>
        <v/>
      </c>
      <c r="D127" s="246" t="str">
        <f>IF(ISBLANK('Środki trwałe'!E428),"",'Środki trwałe'!E428)</f>
        <v/>
      </c>
      <c r="E127" s="74">
        <f>IF(AND('Środki trwałe'!F428="tak",'Środki trwałe'!G428="nie"),'Środki trwałe'!H428,0)</f>
        <v>0</v>
      </c>
      <c r="F127" s="95">
        <f t="shared" si="34"/>
        <v>0</v>
      </c>
      <c r="G127" s="33">
        <f>IF(AND('Środki trwałe'!F428="tak",'Środki trwałe'!G428="tak"),'Środki trwałe'!I428,0)</f>
        <v>0</v>
      </c>
      <c r="H127" s="316"/>
      <c r="I127" s="52"/>
      <c r="J127" s="525" t="str">
        <f>IF(ISBLANK('Środki trwałe'!C428),"",'Środki trwałe'!C428)</f>
        <v/>
      </c>
      <c r="K127" s="33">
        <f t="shared" si="33"/>
        <v>0</v>
      </c>
      <c r="L127" s="33">
        <f t="shared" si="33"/>
        <v>0</v>
      </c>
      <c r="M127" s="33">
        <f t="shared" si="33"/>
        <v>0</v>
      </c>
      <c r="N127" s="33">
        <f t="shared" si="33"/>
        <v>0</v>
      </c>
      <c r="O127" s="33">
        <f t="shared" si="33"/>
        <v>0</v>
      </c>
      <c r="P127" s="33">
        <f t="shared" si="33"/>
        <v>0</v>
      </c>
      <c r="Q127" s="33">
        <f t="shared" si="33"/>
        <v>0</v>
      </c>
      <c r="R127" s="33">
        <f t="shared" si="33"/>
        <v>0</v>
      </c>
      <c r="S127" s="33">
        <f t="shared" si="33"/>
        <v>0</v>
      </c>
      <c r="T127" s="33">
        <f t="shared" si="33"/>
        <v>0</v>
      </c>
      <c r="U127" s="33">
        <f t="shared" si="33"/>
        <v>0</v>
      </c>
      <c r="V127" s="33">
        <f t="shared" si="33"/>
        <v>0</v>
      </c>
      <c r="W127" s="33">
        <f t="shared" si="33"/>
        <v>0</v>
      </c>
      <c r="X127" s="33">
        <f t="shared" si="33"/>
        <v>0</v>
      </c>
    </row>
    <row r="128" spans="1:24">
      <c r="B128" s="37" t="str">
        <f>IF(ISBLANK('Środki trwałe'!B429),"",'Środki trwałe'!B429)</f>
        <v/>
      </c>
      <c r="C128" s="33" t="str">
        <f>IF(ISBLANK('Środki trwałe'!D429),"",'Środki trwałe'!D429)</f>
        <v/>
      </c>
      <c r="D128" s="246" t="str">
        <f>IF(ISBLANK('Środki trwałe'!E429),"",'Środki trwałe'!E429)</f>
        <v/>
      </c>
      <c r="E128" s="74">
        <f>IF(AND('Środki trwałe'!F429="tak",'Środki trwałe'!G429="nie"),'Środki trwałe'!H429,0)</f>
        <v>0</v>
      </c>
      <c r="F128" s="95">
        <f t="shared" si="34"/>
        <v>0</v>
      </c>
      <c r="G128" s="33">
        <f>IF(AND('Środki trwałe'!F429="tak",'Środki trwałe'!G429="tak"),'Środki trwałe'!I429,0)</f>
        <v>0</v>
      </c>
      <c r="H128" s="316"/>
      <c r="I128" s="52"/>
      <c r="J128" s="525" t="str">
        <f>IF(ISBLANK('Środki trwałe'!C429),"",'Środki trwałe'!C429)</f>
        <v/>
      </c>
      <c r="K128" s="33">
        <f t="shared" si="33"/>
        <v>0</v>
      </c>
      <c r="L128" s="33">
        <f t="shared" si="33"/>
        <v>0</v>
      </c>
      <c r="M128" s="33">
        <f t="shared" si="33"/>
        <v>0</v>
      </c>
      <c r="N128" s="33">
        <f t="shared" si="33"/>
        <v>0</v>
      </c>
      <c r="O128" s="33">
        <f t="shared" si="33"/>
        <v>0</v>
      </c>
      <c r="P128" s="33">
        <f t="shared" si="33"/>
        <v>0</v>
      </c>
      <c r="Q128" s="33">
        <f t="shared" si="33"/>
        <v>0</v>
      </c>
      <c r="R128" s="33">
        <f t="shared" si="33"/>
        <v>0</v>
      </c>
      <c r="S128" s="33">
        <f t="shared" si="33"/>
        <v>0</v>
      </c>
      <c r="T128" s="33">
        <f t="shared" si="33"/>
        <v>0</v>
      </c>
      <c r="U128" s="33">
        <f t="shared" si="33"/>
        <v>0</v>
      </c>
      <c r="V128" s="33">
        <f t="shared" si="33"/>
        <v>0</v>
      </c>
      <c r="W128" s="33">
        <f t="shared" si="33"/>
        <v>0</v>
      </c>
      <c r="X128" s="33">
        <f t="shared" si="33"/>
        <v>0</v>
      </c>
    </row>
    <row r="129" spans="2:24">
      <c r="B129" s="37" t="str">
        <f>IF(ISBLANK('Środki trwałe'!B430),"",'Środki trwałe'!B430)</f>
        <v/>
      </c>
      <c r="C129" s="33" t="str">
        <f>IF(ISBLANK('Środki trwałe'!D430),"",'Środki trwałe'!D430)</f>
        <v/>
      </c>
      <c r="D129" s="246" t="str">
        <f>IF(ISBLANK('Środki trwałe'!E430),"",'Środki trwałe'!E430)</f>
        <v/>
      </c>
      <c r="E129" s="74">
        <f>IF(AND('Środki trwałe'!F430="tak",'Środki trwałe'!G430="nie"),'Środki trwałe'!H430,0)</f>
        <v>0</v>
      </c>
      <c r="F129" s="95">
        <f t="shared" si="34"/>
        <v>0</v>
      </c>
      <c r="G129" s="33">
        <f>IF(AND('Środki trwałe'!F430="tak",'Środki trwałe'!G430="tak"),'Środki trwałe'!I430,0)</f>
        <v>0</v>
      </c>
      <c r="H129" s="316"/>
      <c r="I129" s="52"/>
      <c r="J129" s="525" t="str">
        <f>IF(ISBLANK('Środki trwałe'!C430),"",'Środki trwałe'!C430)</f>
        <v/>
      </c>
      <c r="K129" s="33">
        <f>IFERROR(ROUND(IF(AND(YEAR($D129)=LataProjekcji,$F129&gt;0),$F129,0),0),0)</f>
        <v>0</v>
      </c>
      <c r="L129" s="33">
        <f>IFERROR(ROUND(IF(AND(YEAR($D129)=LataProjekcji,$F129&gt;0),$F129,0),0),0)</f>
        <v>0</v>
      </c>
      <c r="M129" s="33">
        <f>IFERROR(ROUND(IF(AND(YEAR($D129)=LataProjekcji,$F129&gt;0),$F129,0),0),0)</f>
        <v>0</v>
      </c>
      <c r="N129" s="33">
        <f t="shared" ref="K129:X147" si="35">IFERROR(ROUND(IF(AND(YEAR($D129)=LataProjekcji,$F129&gt;0),$F129,0),0),0)</f>
        <v>0</v>
      </c>
      <c r="O129" s="33">
        <f t="shared" si="35"/>
        <v>0</v>
      </c>
      <c r="P129" s="33">
        <f t="shared" si="35"/>
        <v>0</v>
      </c>
      <c r="Q129" s="33">
        <f t="shared" si="35"/>
        <v>0</v>
      </c>
      <c r="R129" s="33">
        <f t="shared" si="35"/>
        <v>0</v>
      </c>
      <c r="S129" s="33">
        <f t="shared" si="35"/>
        <v>0</v>
      </c>
      <c r="T129" s="33">
        <f t="shared" si="35"/>
        <v>0</v>
      </c>
      <c r="U129" s="33">
        <f t="shared" si="35"/>
        <v>0</v>
      </c>
      <c r="V129" s="33">
        <f t="shared" si="35"/>
        <v>0</v>
      </c>
      <c r="W129" s="33">
        <f t="shared" si="35"/>
        <v>0</v>
      </c>
      <c r="X129" s="33">
        <f t="shared" si="35"/>
        <v>0</v>
      </c>
    </row>
    <row r="130" spans="2:24">
      <c r="B130" s="37" t="str">
        <f>IF(ISBLANK('Środki trwałe'!B431),"",'Środki trwałe'!B431)</f>
        <v/>
      </c>
      <c r="C130" s="33" t="str">
        <f>IF(ISBLANK('Środki trwałe'!D431),"",'Środki trwałe'!D431)</f>
        <v/>
      </c>
      <c r="D130" s="246" t="str">
        <f>IF(ISBLANK('Środki trwałe'!E431),"",'Środki trwałe'!E431)</f>
        <v/>
      </c>
      <c r="E130" s="74">
        <f>IF(AND('Środki trwałe'!F431="tak",'Środki trwałe'!G431="nie"),'Środki trwałe'!H431,0)</f>
        <v>0</v>
      </c>
      <c r="F130" s="95">
        <f t="shared" si="34"/>
        <v>0</v>
      </c>
      <c r="G130" s="33">
        <f>IF(AND('Środki trwałe'!F431="tak",'Środki trwałe'!G431="tak"),'Środki trwałe'!I431,0)</f>
        <v>0</v>
      </c>
      <c r="H130" s="316"/>
      <c r="I130" s="52"/>
      <c r="J130" s="525" t="str">
        <f>IF(ISBLANK('Środki trwałe'!C431),"",'Środki trwałe'!C431)</f>
        <v/>
      </c>
      <c r="K130" s="33">
        <f t="shared" si="35"/>
        <v>0</v>
      </c>
      <c r="L130" s="33">
        <f t="shared" si="35"/>
        <v>0</v>
      </c>
      <c r="M130" s="33">
        <f t="shared" si="35"/>
        <v>0</v>
      </c>
      <c r="N130" s="33">
        <f t="shared" si="35"/>
        <v>0</v>
      </c>
      <c r="O130" s="33">
        <f t="shared" si="35"/>
        <v>0</v>
      </c>
      <c r="P130" s="33">
        <f t="shared" si="35"/>
        <v>0</v>
      </c>
      <c r="Q130" s="33">
        <f t="shared" si="35"/>
        <v>0</v>
      </c>
      <c r="R130" s="33">
        <f t="shared" si="35"/>
        <v>0</v>
      </c>
      <c r="S130" s="33">
        <f t="shared" si="35"/>
        <v>0</v>
      </c>
      <c r="T130" s="33">
        <f t="shared" si="35"/>
        <v>0</v>
      </c>
      <c r="U130" s="33">
        <f t="shared" si="35"/>
        <v>0</v>
      </c>
      <c r="V130" s="33">
        <f t="shared" si="35"/>
        <v>0</v>
      </c>
      <c r="W130" s="33">
        <f t="shared" si="35"/>
        <v>0</v>
      </c>
      <c r="X130" s="33">
        <f t="shared" si="35"/>
        <v>0</v>
      </c>
    </row>
    <row r="131" spans="2:24">
      <c r="B131" s="37" t="str">
        <f>IF(ISBLANK('Środki trwałe'!B432),"",'Środki trwałe'!B432)</f>
        <v/>
      </c>
      <c r="C131" s="33" t="str">
        <f>IF(ISBLANK('Środki trwałe'!D432),"",'Środki trwałe'!D432)</f>
        <v/>
      </c>
      <c r="D131" s="246" t="str">
        <f>IF(ISBLANK('Środki trwałe'!E432),"",'Środki trwałe'!E432)</f>
        <v/>
      </c>
      <c r="E131" s="74">
        <f>IF(AND('Środki trwałe'!F432="tak",'Środki trwałe'!G432="nie"),'Środki trwałe'!H432,0)</f>
        <v>0</v>
      </c>
      <c r="F131" s="95">
        <f t="shared" si="34"/>
        <v>0</v>
      </c>
      <c r="G131" s="33">
        <f>IF(AND('Środki trwałe'!F432="tak",'Środki trwałe'!G432="tak"),'Środki trwałe'!I432,0)</f>
        <v>0</v>
      </c>
      <c r="H131" s="316"/>
      <c r="I131" s="52"/>
      <c r="J131" s="525" t="str">
        <f>IF(ISBLANK('Środki trwałe'!C432),"",'Środki trwałe'!C432)</f>
        <v/>
      </c>
      <c r="K131" s="33">
        <f t="shared" si="35"/>
        <v>0</v>
      </c>
      <c r="L131" s="33">
        <f t="shared" si="35"/>
        <v>0</v>
      </c>
      <c r="M131" s="33">
        <f t="shared" si="35"/>
        <v>0</v>
      </c>
      <c r="N131" s="33">
        <f t="shared" si="35"/>
        <v>0</v>
      </c>
      <c r="O131" s="33">
        <f t="shared" si="35"/>
        <v>0</v>
      </c>
      <c r="P131" s="33">
        <f t="shared" si="35"/>
        <v>0</v>
      </c>
      <c r="Q131" s="33">
        <f t="shared" si="35"/>
        <v>0</v>
      </c>
      <c r="R131" s="33">
        <f t="shared" si="35"/>
        <v>0</v>
      </c>
      <c r="S131" s="33">
        <f t="shared" si="35"/>
        <v>0</v>
      </c>
      <c r="T131" s="33">
        <f t="shared" si="35"/>
        <v>0</v>
      </c>
      <c r="U131" s="33">
        <f t="shared" si="35"/>
        <v>0</v>
      </c>
      <c r="V131" s="33">
        <f t="shared" si="35"/>
        <v>0</v>
      </c>
      <c r="W131" s="33">
        <f t="shared" si="35"/>
        <v>0</v>
      </c>
      <c r="X131" s="33">
        <f t="shared" si="35"/>
        <v>0</v>
      </c>
    </row>
    <row r="132" spans="2:24">
      <c r="B132" s="37" t="str">
        <f>IF(ISBLANK('Środki trwałe'!B433),"",'Środki trwałe'!B433)</f>
        <v/>
      </c>
      <c r="C132" s="33" t="str">
        <f>IF(ISBLANK('Środki trwałe'!D433),"",'Środki trwałe'!D433)</f>
        <v/>
      </c>
      <c r="D132" s="246" t="str">
        <f>IF(ISBLANK('Środki trwałe'!E433),"",'Środki trwałe'!E433)</f>
        <v/>
      </c>
      <c r="E132" s="74">
        <f>IF(AND('Środki trwałe'!F433="tak",'Środki trwałe'!G433="nie"),'Środki trwałe'!H433,0)</f>
        <v>0</v>
      </c>
      <c r="F132" s="95">
        <f t="shared" si="34"/>
        <v>0</v>
      </c>
      <c r="G132" s="33">
        <f>IF(AND('Środki trwałe'!F433="tak",'Środki trwałe'!G433="tak"),'Środki trwałe'!I433,0)</f>
        <v>0</v>
      </c>
      <c r="H132" s="316"/>
      <c r="I132" s="52"/>
      <c r="J132" s="525" t="str">
        <f>IF(ISBLANK('Środki trwałe'!C433),"",'Środki trwałe'!C433)</f>
        <v/>
      </c>
      <c r="K132" s="33">
        <f t="shared" si="35"/>
        <v>0</v>
      </c>
      <c r="L132" s="33">
        <f t="shared" si="35"/>
        <v>0</v>
      </c>
      <c r="M132" s="33">
        <f t="shared" si="35"/>
        <v>0</v>
      </c>
      <c r="N132" s="33">
        <f t="shared" si="35"/>
        <v>0</v>
      </c>
      <c r="O132" s="33">
        <f t="shared" si="35"/>
        <v>0</v>
      </c>
      <c r="P132" s="33">
        <f t="shared" si="35"/>
        <v>0</v>
      </c>
      <c r="Q132" s="33">
        <f t="shared" si="35"/>
        <v>0</v>
      </c>
      <c r="R132" s="33">
        <f t="shared" si="35"/>
        <v>0</v>
      </c>
      <c r="S132" s="33">
        <f t="shared" si="35"/>
        <v>0</v>
      </c>
      <c r="T132" s="33">
        <f t="shared" si="35"/>
        <v>0</v>
      </c>
      <c r="U132" s="33">
        <f t="shared" si="35"/>
        <v>0</v>
      </c>
      <c r="V132" s="33">
        <f t="shared" si="35"/>
        <v>0</v>
      </c>
      <c r="W132" s="33">
        <f t="shared" si="35"/>
        <v>0</v>
      </c>
      <c r="X132" s="33">
        <f t="shared" si="35"/>
        <v>0</v>
      </c>
    </row>
    <row r="133" spans="2:24">
      <c r="B133" s="37" t="str">
        <f>IF(ISBLANK('Środki trwałe'!B434),"",'Środki trwałe'!B434)</f>
        <v/>
      </c>
      <c r="C133" s="33" t="str">
        <f>IF(ISBLANK('Środki trwałe'!D434),"",'Środki trwałe'!D434)</f>
        <v/>
      </c>
      <c r="D133" s="246" t="str">
        <f>IF(ISBLANK('Środki trwałe'!E434),"",'Środki trwałe'!E434)</f>
        <v/>
      </c>
      <c r="E133" s="74">
        <f>IF(AND('Środki trwałe'!F434="tak",'Środki trwałe'!G434="nie"),'Środki trwałe'!H434,0)</f>
        <v>0</v>
      </c>
      <c r="F133" s="95">
        <f t="shared" si="34"/>
        <v>0</v>
      </c>
      <c r="G133" s="33">
        <f>IF(AND('Środki trwałe'!F434="tak",'Środki trwałe'!G434="tak"),'Środki trwałe'!I434,0)</f>
        <v>0</v>
      </c>
      <c r="H133" s="316"/>
      <c r="I133" s="52"/>
      <c r="J133" s="525" t="str">
        <f>IF(ISBLANK('Środki trwałe'!C434),"",'Środki trwałe'!C434)</f>
        <v/>
      </c>
      <c r="K133" s="33">
        <f t="shared" si="35"/>
        <v>0</v>
      </c>
      <c r="L133" s="33">
        <f t="shared" si="35"/>
        <v>0</v>
      </c>
      <c r="M133" s="33">
        <f t="shared" si="35"/>
        <v>0</v>
      </c>
      <c r="N133" s="33">
        <f t="shared" si="35"/>
        <v>0</v>
      </c>
      <c r="O133" s="33">
        <f t="shared" si="35"/>
        <v>0</v>
      </c>
      <c r="P133" s="33">
        <f t="shared" si="35"/>
        <v>0</v>
      </c>
      <c r="Q133" s="33">
        <f t="shared" si="35"/>
        <v>0</v>
      </c>
      <c r="R133" s="33">
        <f t="shared" si="35"/>
        <v>0</v>
      </c>
      <c r="S133" s="33">
        <f t="shared" si="35"/>
        <v>0</v>
      </c>
      <c r="T133" s="33">
        <f t="shared" si="35"/>
        <v>0</v>
      </c>
      <c r="U133" s="33">
        <f t="shared" si="35"/>
        <v>0</v>
      </c>
      <c r="V133" s="33">
        <f t="shared" si="35"/>
        <v>0</v>
      </c>
      <c r="W133" s="33">
        <f t="shared" si="35"/>
        <v>0</v>
      </c>
      <c r="X133" s="33">
        <f t="shared" si="35"/>
        <v>0</v>
      </c>
    </row>
    <row r="134" spans="2:24">
      <c r="B134" s="37" t="str">
        <f>IF(ISBLANK('Środki trwałe'!B435),"",'Środki trwałe'!B435)</f>
        <v/>
      </c>
      <c r="C134" s="33" t="str">
        <f>IF(ISBLANK('Środki trwałe'!D435),"",'Środki trwałe'!D435)</f>
        <v/>
      </c>
      <c r="D134" s="246" t="str">
        <f>IF(ISBLANK('Środki trwałe'!E435),"",'Środki trwałe'!E435)</f>
        <v/>
      </c>
      <c r="E134" s="74">
        <f>IF(AND('Środki trwałe'!F435="tak",'Środki trwałe'!G435="nie"),'Środki trwałe'!H435,0)</f>
        <v>0</v>
      </c>
      <c r="F134" s="95">
        <f t="shared" si="34"/>
        <v>0</v>
      </c>
      <c r="G134" s="33">
        <f>IF(AND('Środki trwałe'!F435="tak",'Środki trwałe'!G435="tak"),'Środki trwałe'!I435,0)</f>
        <v>0</v>
      </c>
      <c r="H134" s="316"/>
      <c r="I134" s="52"/>
      <c r="J134" s="525" t="str">
        <f>IF(ISBLANK('Środki trwałe'!C435),"",'Środki trwałe'!C435)</f>
        <v/>
      </c>
      <c r="K134" s="33">
        <f t="shared" si="35"/>
        <v>0</v>
      </c>
      <c r="L134" s="33">
        <f t="shared" si="35"/>
        <v>0</v>
      </c>
      <c r="M134" s="33">
        <f t="shared" si="35"/>
        <v>0</v>
      </c>
      <c r="N134" s="33">
        <f t="shared" si="35"/>
        <v>0</v>
      </c>
      <c r="O134" s="33">
        <f t="shared" si="35"/>
        <v>0</v>
      </c>
      <c r="P134" s="33">
        <f t="shared" si="35"/>
        <v>0</v>
      </c>
      <c r="Q134" s="33">
        <f t="shared" si="35"/>
        <v>0</v>
      </c>
      <c r="R134" s="33">
        <f t="shared" si="35"/>
        <v>0</v>
      </c>
      <c r="S134" s="33">
        <f t="shared" si="35"/>
        <v>0</v>
      </c>
      <c r="T134" s="33">
        <f t="shared" si="35"/>
        <v>0</v>
      </c>
      <c r="U134" s="33">
        <f t="shared" si="35"/>
        <v>0</v>
      </c>
      <c r="V134" s="33">
        <f t="shared" si="35"/>
        <v>0</v>
      </c>
      <c r="W134" s="33">
        <f t="shared" si="35"/>
        <v>0</v>
      </c>
      <c r="X134" s="33">
        <f t="shared" si="35"/>
        <v>0</v>
      </c>
    </row>
    <row r="135" spans="2:24">
      <c r="B135" s="37" t="str">
        <f>IF(ISBLANK('Środki trwałe'!B436),"",'Środki trwałe'!B436)</f>
        <v/>
      </c>
      <c r="C135" s="33" t="str">
        <f>IF(ISBLANK('Środki trwałe'!D436),"",'Środki trwałe'!D436)</f>
        <v/>
      </c>
      <c r="D135" s="246" t="str">
        <f>IF(ISBLANK('Środki trwałe'!E436),"",'Środki trwałe'!E436)</f>
        <v/>
      </c>
      <c r="E135" s="74">
        <f>IF(AND('Środki trwałe'!F436="tak",'Środki trwałe'!G436="nie"),'Środki trwałe'!H436,0)</f>
        <v>0</v>
      </c>
      <c r="F135" s="95">
        <f t="shared" si="34"/>
        <v>0</v>
      </c>
      <c r="G135" s="33">
        <f>IF(AND('Środki trwałe'!F436="tak",'Środki trwałe'!G436="tak"),'Środki trwałe'!I436,0)</f>
        <v>0</v>
      </c>
      <c r="H135" s="316"/>
      <c r="I135" s="52"/>
      <c r="J135" s="525" t="str">
        <f>IF(ISBLANK('Środki trwałe'!C436),"",'Środki trwałe'!C436)</f>
        <v/>
      </c>
      <c r="K135" s="33">
        <f t="shared" si="35"/>
        <v>0</v>
      </c>
      <c r="L135" s="33">
        <f t="shared" si="35"/>
        <v>0</v>
      </c>
      <c r="M135" s="33">
        <f t="shared" si="35"/>
        <v>0</v>
      </c>
      <c r="N135" s="33">
        <f t="shared" si="35"/>
        <v>0</v>
      </c>
      <c r="O135" s="33">
        <f t="shared" si="35"/>
        <v>0</v>
      </c>
      <c r="P135" s="33">
        <f t="shared" si="35"/>
        <v>0</v>
      </c>
      <c r="Q135" s="33">
        <f t="shared" si="35"/>
        <v>0</v>
      </c>
      <c r="R135" s="33">
        <f t="shared" si="35"/>
        <v>0</v>
      </c>
      <c r="S135" s="33">
        <f t="shared" si="35"/>
        <v>0</v>
      </c>
      <c r="T135" s="33">
        <f t="shared" si="35"/>
        <v>0</v>
      </c>
      <c r="U135" s="33">
        <f t="shared" si="35"/>
        <v>0</v>
      </c>
      <c r="V135" s="33">
        <f t="shared" si="35"/>
        <v>0</v>
      </c>
      <c r="W135" s="33">
        <f t="shared" si="35"/>
        <v>0</v>
      </c>
      <c r="X135" s="33">
        <f t="shared" si="35"/>
        <v>0</v>
      </c>
    </row>
    <row r="136" spans="2:24">
      <c r="B136" s="37" t="str">
        <f>IF(ISBLANK('Środki trwałe'!B437),"",'Środki trwałe'!B437)</f>
        <v/>
      </c>
      <c r="C136" s="33" t="str">
        <f>IF(ISBLANK('Środki trwałe'!D437),"",'Środki trwałe'!D437)</f>
        <v/>
      </c>
      <c r="D136" s="246" t="str">
        <f>IF(ISBLANK('Środki trwałe'!E437),"",'Środki trwałe'!E437)</f>
        <v/>
      </c>
      <c r="E136" s="74">
        <f>IF(AND('Środki trwałe'!F437="tak",'Środki trwałe'!G437="nie"),'Środki trwałe'!H437,0)</f>
        <v>0</v>
      </c>
      <c r="F136" s="95">
        <f t="shared" si="34"/>
        <v>0</v>
      </c>
      <c r="G136" s="33">
        <f>IF(AND('Środki trwałe'!F437="tak",'Środki trwałe'!G437="tak"),'Środki trwałe'!I437,0)</f>
        <v>0</v>
      </c>
      <c r="H136" s="316"/>
      <c r="I136" s="52"/>
      <c r="J136" s="525" t="str">
        <f>IF(ISBLANK('Środki trwałe'!C437),"",'Środki trwałe'!C437)</f>
        <v/>
      </c>
      <c r="K136" s="33">
        <f t="shared" si="35"/>
        <v>0</v>
      </c>
      <c r="L136" s="33">
        <f t="shared" si="35"/>
        <v>0</v>
      </c>
      <c r="M136" s="33">
        <f t="shared" si="35"/>
        <v>0</v>
      </c>
      <c r="N136" s="33">
        <f t="shared" si="35"/>
        <v>0</v>
      </c>
      <c r="O136" s="33">
        <f t="shared" si="35"/>
        <v>0</v>
      </c>
      <c r="P136" s="33">
        <f t="shared" si="35"/>
        <v>0</v>
      </c>
      <c r="Q136" s="33">
        <f t="shared" si="35"/>
        <v>0</v>
      </c>
      <c r="R136" s="33">
        <f t="shared" si="35"/>
        <v>0</v>
      </c>
      <c r="S136" s="33">
        <f t="shared" si="35"/>
        <v>0</v>
      </c>
      <c r="T136" s="33">
        <f t="shared" si="35"/>
        <v>0</v>
      </c>
      <c r="U136" s="33">
        <f t="shared" si="35"/>
        <v>0</v>
      </c>
      <c r="V136" s="33">
        <f t="shared" si="35"/>
        <v>0</v>
      </c>
      <c r="W136" s="33">
        <f t="shared" si="35"/>
        <v>0</v>
      </c>
      <c r="X136" s="33">
        <f t="shared" si="35"/>
        <v>0</v>
      </c>
    </row>
    <row r="137" spans="2:24">
      <c r="B137" s="37" t="str">
        <f>IF(ISBLANK('Środki trwałe'!B438),"",'Środki trwałe'!B438)</f>
        <v/>
      </c>
      <c r="C137" s="33" t="str">
        <f>IF(ISBLANK('Środki trwałe'!D438),"",'Środki trwałe'!D438)</f>
        <v/>
      </c>
      <c r="D137" s="246" t="str">
        <f>IF(ISBLANK('Środki trwałe'!E438),"",'Środki trwałe'!E438)</f>
        <v/>
      </c>
      <c r="E137" s="74">
        <f>IF(AND('Środki trwałe'!F438="tak",'Środki trwałe'!G438="nie"),'Środki trwałe'!H438,0)</f>
        <v>0</v>
      </c>
      <c r="F137" s="95">
        <f t="shared" si="34"/>
        <v>0</v>
      </c>
      <c r="G137" s="33">
        <f>IF(AND('Środki trwałe'!F438="tak",'Środki trwałe'!G438="tak"),'Środki trwałe'!I438,0)</f>
        <v>0</v>
      </c>
      <c r="H137" s="316"/>
      <c r="I137" s="52"/>
      <c r="J137" s="525" t="str">
        <f>IF(ISBLANK('Środki trwałe'!C438),"",'Środki trwałe'!C438)</f>
        <v/>
      </c>
      <c r="K137" s="33">
        <f t="shared" si="35"/>
        <v>0</v>
      </c>
      <c r="L137" s="33">
        <f t="shared" si="35"/>
        <v>0</v>
      </c>
      <c r="M137" s="33">
        <f t="shared" si="35"/>
        <v>0</v>
      </c>
      <c r="N137" s="33">
        <f t="shared" si="35"/>
        <v>0</v>
      </c>
      <c r="O137" s="33">
        <f t="shared" si="35"/>
        <v>0</v>
      </c>
      <c r="P137" s="33">
        <f t="shared" si="35"/>
        <v>0</v>
      </c>
      <c r="Q137" s="33">
        <f t="shared" si="35"/>
        <v>0</v>
      </c>
      <c r="R137" s="33">
        <f t="shared" si="35"/>
        <v>0</v>
      </c>
      <c r="S137" s="33">
        <f t="shared" si="35"/>
        <v>0</v>
      </c>
      <c r="T137" s="33">
        <f t="shared" si="35"/>
        <v>0</v>
      </c>
      <c r="U137" s="33">
        <f t="shared" si="35"/>
        <v>0</v>
      </c>
      <c r="V137" s="33">
        <f t="shared" si="35"/>
        <v>0</v>
      </c>
      <c r="W137" s="33">
        <f t="shared" si="35"/>
        <v>0</v>
      </c>
      <c r="X137" s="33">
        <f t="shared" si="35"/>
        <v>0</v>
      </c>
    </row>
    <row r="138" spans="2:24">
      <c r="B138" s="37" t="str">
        <f>IF(ISBLANK('Środki trwałe'!B439),"",'Środki trwałe'!B439)</f>
        <v/>
      </c>
      <c r="C138" s="33" t="str">
        <f>IF(ISBLANK('Środki trwałe'!D439),"",'Środki trwałe'!D439)</f>
        <v/>
      </c>
      <c r="D138" s="246" t="str">
        <f>IF(ISBLANK('Środki trwałe'!E439),"",'Środki trwałe'!E439)</f>
        <v/>
      </c>
      <c r="E138" s="74">
        <f>IF(AND('Środki trwałe'!F439="tak",'Środki trwałe'!G439="nie"),'Środki trwałe'!H439,0)</f>
        <v>0</v>
      </c>
      <c r="F138" s="95">
        <f t="shared" si="34"/>
        <v>0</v>
      </c>
      <c r="G138" s="33">
        <f>IF(AND('Środki trwałe'!F439="tak",'Środki trwałe'!G439="tak"),'Środki trwałe'!I439,0)</f>
        <v>0</v>
      </c>
      <c r="H138" s="316"/>
      <c r="I138" s="52"/>
      <c r="J138" s="525" t="str">
        <f>IF(ISBLANK('Środki trwałe'!C439),"",'Środki trwałe'!C439)</f>
        <v/>
      </c>
      <c r="K138" s="33">
        <f t="shared" si="35"/>
        <v>0</v>
      </c>
      <c r="L138" s="33">
        <f t="shared" si="35"/>
        <v>0</v>
      </c>
      <c r="M138" s="33">
        <f t="shared" si="35"/>
        <v>0</v>
      </c>
      <c r="N138" s="33">
        <f t="shared" si="35"/>
        <v>0</v>
      </c>
      <c r="O138" s="33">
        <f t="shared" si="35"/>
        <v>0</v>
      </c>
      <c r="P138" s="33">
        <f t="shared" si="35"/>
        <v>0</v>
      </c>
      <c r="Q138" s="33">
        <f t="shared" si="35"/>
        <v>0</v>
      </c>
      <c r="R138" s="33">
        <f t="shared" si="35"/>
        <v>0</v>
      </c>
      <c r="S138" s="33">
        <f t="shared" si="35"/>
        <v>0</v>
      </c>
      <c r="T138" s="33">
        <f t="shared" si="35"/>
        <v>0</v>
      </c>
      <c r="U138" s="33">
        <f t="shared" si="35"/>
        <v>0</v>
      </c>
      <c r="V138" s="33">
        <f t="shared" si="35"/>
        <v>0</v>
      </c>
      <c r="W138" s="33">
        <f t="shared" si="35"/>
        <v>0</v>
      </c>
      <c r="X138" s="33">
        <f t="shared" si="35"/>
        <v>0</v>
      </c>
    </row>
    <row r="139" spans="2:24">
      <c r="B139" s="37" t="str">
        <f>IF(ISBLANK('Środki trwałe'!B440),"",'Środki trwałe'!B440)</f>
        <v/>
      </c>
      <c r="C139" s="33" t="str">
        <f>IF(ISBLANK('Środki trwałe'!D440),"",'Środki trwałe'!D440)</f>
        <v/>
      </c>
      <c r="D139" s="246" t="str">
        <f>IF(ISBLANK('Środki trwałe'!E440),"",'Środki trwałe'!E440)</f>
        <v/>
      </c>
      <c r="E139" s="74">
        <f>IF(AND('Środki trwałe'!F440="tak",'Środki trwałe'!G440="nie"),'Środki trwałe'!H440,0)</f>
        <v>0</v>
      </c>
      <c r="F139" s="95">
        <f t="shared" si="34"/>
        <v>0</v>
      </c>
      <c r="G139" s="33">
        <f>IF(AND('Środki trwałe'!F440="tak",'Środki trwałe'!G440="tak"),'Środki trwałe'!I440,0)</f>
        <v>0</v>
      </c>
      <c r="H139" s="316"/>
      <c r="I139" s="52"/>
      <c r="J139" s="525" t="str">
        <f>IF(ISBLANK('Środki trwałe'!C440),"",'Środki trwałe'!C440)</f>
        <v/>
      </c>
      <c r="K139" s="33">
        <f t="shared" si="35"/>
        <v>0</v>
      </c>
      <c r="L139" s="33">
        <f t="shared" si="35"/>
        <v>0</v>
      </c>
      <c r="M139" s="33">
        <f t="shared" si="35"/>
        <v>0</v>
      </c>
      <c r="N139" s="33">
        <f t="shared" si="35"/>
        <v>0</v>
      </c>
      <c r="O139" s="33">
        <f t="shared" si="35"/>
        <v>0</v>
      </c>
      <c r="P139" s="33">
        <f t="shared" si="35"/>
        <v>0</v>
      </c>
      <c r="Q139" s="33">
        <f t="shared" si="35"/>
        <v>0</v>
      </c>
      <c r="R139" s="33">
        <f t="shared" si="35"/>
        <v>0</v>
      </c>
      <c r="S139" s="33">
        <f t="shared" si="35"/>
        <v>0</v>
      </c>
      <c r="T139" s="33">
        <f t="shared" si="35"/>
        <v>0</v>
      </c>
      <c r="U139" s="33">
        <f t="shared" si="35"/>
        <v>0</v>
      </c>
      <c r="V139" s="33">
        <f t="shared" si="35"/>
        <v>0</v>
      </c>
      <c r="W139" s="33">
        <f t="shared" si="35"/>
        <v>0</v>
      </c>
      <c r="X139" s="33">
        <f t="shared" si="35"/>
        <v>0</v>
      </c>
    </row>
    <row r="140" spans="2:24">
      <c r="B140" s="37" t="str">
        <f>IF(ISBLANK('Środki trwałe'!B441),"",'Środki trwałe'!B441)</f>
        <v/>
      </c>
      <c r="C140" s="33" t="str">
        <f>IF(ISBLANK('Środki trwałe'!D441),"",'Środki trwałe'!D441)</f>
        <v/>
      </c>
      <c r="D140" s="246" t="str">
        <f>IF(ISBLANK('Środki trwałe'!E441),"",'Środki trwałe'!E441)</f>
        <v/>
      </c>
      <c r="E140" s="74">
        <f>IF(AND('Środki trwałe'!F441="tak",'Środki trwałe'!G441="nie"),'Środki trwałe'!H441,0)</f>
        <v>0</v>
      </c>
      <c r="F140" s="95">
        <f t="shared" si="34"/>
        <v>0</v>
      </c>
      <c r="G140" s="33">
        <f>IF(AND('Środki trwałe'!F441="tak",'Środki trwałe'!G441="tak"),'Środki trwałe'!I441,0)</f>
        <v>0</v>
      </c>
      <c r="H140" s="316"/>
      <c r="I140" s="52"/>
      <c r="J140" s="525" t="str">
        <f>IF(ISBLANK('Środki trwałe'!C441),"",'Środki trwałe'!C441)</f>
        <v/>
      </c>
      <c r="K140" s="33">
        <f t="shared" si="35"/>
        <v>0</v>
      </c>
      <c r="L140" s="33">
        <f t="shared" si="35"/>
        <v>0</v>
      </c>
      <c r="M140" s="33">
        <f t="shared" si="35"/>
        <v>0</v>
      </c>
      <c r="N140" s="33">
        <f t="shared" si="35"/>
        <v>0</v>
      </c>
      <c r="O140" s="33">
        <f t="shared" si="35"/>
        <v>0</v>
      </c>
      <c r="P140" s="33">
        <f t="shared" si="35"/>
        <v>0</v>
      </c>
      <c r="Q140" s="33">
        <f t="shared" si="35"/>
        <v>0</v>
      </c>
      <c r="R140" s="33">
        <f t="shared" si="35"/>
        <v>0</v>
      </c>
      <c r="S140" s="33">
        <f t="shared" si="35"/>
        <v>0</v>
      </c>
      <c r="T140" s="33">
        <f t="shared" si="35"/>
        <v>0</v>
      </c>
      <c r="U140" s="33">
        <f t="shared" si="35"/>
        <v>0</v>
      </c>
      <c r="V140" s="33">
        <f t="shared" si="35"/>
        <v>0</v>
      </c>
      <c r="W140" s="33">
        <f t="shared" si="35"/>
        <v>0</v>
      </c>
      <c r="X140" s="33">
        <f t="shared" si="35"/>
        <v>0</v>
      </c>
    </row>
    <row r="141" spans="2:24">
      <c r="B141" s="37" t="str">
        <f>IF(ISBLANK('Środki trwałe'!B442),"",'Środki trwałe'!B442)</f>
        <v/>
      </c>
      <c r="C141" s="33" t="str">
        <f>IF(ISBLANK('Środki trwałe'!D442),"",'Środki trwałe'!D442)</f>
        <v/>
      </c>
      <c r="D141" s="246" t="str">
        <f>IF(ISBLANK('Środki trwałe'!E442),"",'Środki trwałe'!E442)</f>
        <v/>
      </c>
      <c r="E141" s="74">
        <f>IF(AND('Środki trwałe'!F442="tak",'Środki trwałe'!G442="nie"),'Środki trwałe'!H442,0)</f>
        <v>0</v>
      </c>
      <c r="F141" s="95">
        <f t="shared" si="34"/>
        <v>0</v>
      </c>
      <c r="G141" s="33">
        <f>IF(AND('Środki trwałe'!F442="tak",'Środki trwałe'!G442="tak"),'Środki trwałe'!I442,0)</f>
        <v>0</v>
      </c>
      <c r="H141" s="316"/>
      <c r="I141" s="52"/>
      <c r="J141" s="525" t="str">
        <f>IF(ISBLANK('Środki trwałe'!C442),"",'Środki trwałe'!C442)</f>
        <v/>
      </c>
      <c r="K141" s="33">
        <f t="shared" si="35"/>
        <v>0</v>
      </c>
      <c r="L141" s="33">
        <f t="shared" si="35"/>
        <v>0</v>
      </c>
      <c r="M141" s="33">
        <f t="shared" si="35"/>
        <v>0</v>
      </c>
      <c r="N141" s="33">
        <f t="shared" si="35"/>
        <v>0</v>
      </c>
      <c r="O141" s="33">
        <f t="shared" si="35"/>
        <v>0</v>
      </c>
      <c r="P141" s="33">
        <f t="shared" si="35"/>
        <v>0</v>
      </c>
      <c r="Q141" s="33">
        <f t="shared" si="35"/>
        <v>0</v>
      </c>
      <c r="R141" s="33">
        <f t="shared" si="35"/>
        <v>0</v>
      </c>
      <c r="S141" s="33">
        <f t="shared" si="35"/>
        <v>0</v>
      </c>
      <c r="T141" s="33">
        <f t="shared" si="35"/>
        <v>0</v>
      </c>
      <c r="U141" s="33">
        <f t="shared" si="35"/>
        <v>0</v>
      </c>
      <c r="V141" s="33">
        <f t="shared" si="35"/>
        <v>0</v>
      </c>
      <c r="W141" s="33">
        <f t="shared" si="35"/>
        <v>0</v>
      </c>
      <c r="X141" s="33">
        <f t="shared" si="35"/>
        <v>0</v>
      </c>
    </row>
    <row r="142" spans="2:24">
      <c r="B142" s="37" t="str">
        <f>IF(ISBLANK('Środki trwałe'!B443),"",'Środki trwałe'!B443)</f>
        <v/>
      </c>
      <c r="C142" s="33" t="str">
        <f>IF(ISBLANK('Środki trwałe'!D443),"",'Środki trwałe'!D443)</f>
        <v/>
      </c>
      <c r="D142" s="246" t="str">
        <f>IF(ISBLANK('Środki trwałe'!E443),"",'Środki trwałe'!E443)</f>
        <v/>
      </c>
      <c r="E142" s="74">
        <f>IF(AND('Środki trwałe'!F443="tak",'Środki trwałe'!G443="nie"),'Środki trwałe'!H443,0)</f>
        <v>0</v>
      </c>
      <c r="F142" s="95">
        <f t="shared" si="34"/>
        <v>0</v>
      </c>
      <c r="G142" s="33">
        <f>IF(AND('Środki trwałe'!F443="tak",'Środki trwałe'!G443="tak"),'Środki trwałe'!I443,0)</f>
        <v>0</v>
      </c>
      <c r="H142" s="316"/>
      <c r="I142" s="52"/>
      <c r="J142" s="525" t="str">
        <f>IF(ISBLANK('Środki trwałe'!C443),"",'Środki trwałe'!C443)</f>
        <v/>
      </c>
      <c r="K142" s="33">
        <f t="shared" si="35"/>
        <v>0</v>
      </c>
      <c r="L142" s="33">
        <f t="shared" si="35"/>
        <v>0</v>
      </c>
      <c r="M142" s="33">
        <f t="shared" si="35"/>
        <v>0</v>
      </c>
      <c r="N142" s="33">
        <f t="shared" si="35"/>
        <v>0</v>
      </c>
      <c r="O142" s="33">
        <f t="shared" si="35"/>
        <v>0</v>
      </c>
      <c r="P142" s="33">
        <f t="shared" si="35"/>
        <v>0</v>
      </c>
      <c r="Q142" s="33">
        <f t="shared" si="35"/>
        <v>0</v>
      </c>
      <c r="R142" s="33">
        <f t="shared" si="35"/>
        <v>0</v>
      </c>
      <c r="S142" s="33">
        <f t="shared" si="35"/>
        <v>0</v>
      </c>
      <c r="T142" s="33">
        <f t="shared" si="35"/>
        <v>0</v>
      </c>
      <c r="U142" s="33">
        <f t="shared" si="35"/>
        <v>0</v>
      </c>
      <c r="V142" s="33">
        <f t="shared" si="35"/>
        <v>0</v>
      </c>
      <c r="W142" s="33">
        <f t="shared" si="35"/>
        <v>0</v>
      </c>
      <c r="X142" s="33">
        <f t="shared" si="35"/>
        <v>0</v>
      </c>
    </row>
    <row r="143" spans="2:24">
      <c r="B143" s="37" t="str">
        <f>IF(ISBLANK('Środki trwałe'!B444),"",'Środki trwałe'!B444)</f>
        <v/>
      </c>
      <c r="C143" s="33" t="str">
        <f>IF(ISBLANK('Środki trwałe'!D444),"",'Środki trwałe'!D444)</f>
        <v/>
      </c>
      <c r="D143" s="246" t="str">
        <f>IF(ISBLANK('Środki trwałe'!E444),"",'Środki trwałe'!E444)</f>
        <v/>
      </c>
      <c r="E143" s="74">
        <f>IF(AND('Środki trwałe'!F444="tak",'Środki trwałe'!G444="nie"),'Środki trwałe'!H444,0)</f>
        <v>0</v>
      </c>
      <c r="F143" s="95">
        <f t="shared" si="34"/>
        <v>0</v>
      </c>
      <c r="G143" s="33">
        <f>IF(AND('Środki trwałe'!F444="tak",'Środki trwałe'!G444="tak"),'Środki trwałe'!I444,0)</f>
        <v>0</v>
      </c>
      <c r="H143" s="316"/>
      <c r="I143" s="52"/>
      <c r="J143" s="525" t="str">
        <f>IF(ISBLANK('Środki trwałe'!C444),"",'Środki trwałe'!C444)</f>
        <v/>
      </c>
      <c r="K143" s="33">
        <f t="shared" si="35"/>
        <v>0</v>
      </c>
      <c r="L143" s="33">
        <f t="shared" si="35"/>
        <v>0</v>
      </c>
      <c r="M143" s="33">
        <f t="shared" si="35"/>
        <v>0</v>
      </c>
      <c r="N143" s="33">
        <f t="shared" si="35"/>
        <v>0</v>
      </c>
      <c r="O143" s="33">
        <f t="shared" si="35"/>
        <v>0</v>
      </c>
      <c r="P143" s="33">
        <f t="shared" si="35"/>
        <v>0</v>
      </c>
      <c r="Q143" s="33">
        <f t="shared" si="35"/>
        <v>0</v>
      </c>
      <c r="R143" s="33">
        <f t="shared" si="35"/>
        <v>0</v>
      </c>
      <c r="S143" s="33">
        <f t="shared" si="35"/>
        <v>0</v>
      </c>
      <c r="T143" s="33">
        <f t="shared" si="35"/>
        <v>0</v>
      </c>
      <c r="U143" s="33">
        <f t="shared" si="35"/>
        <v>0</v>
      </c>
      <c r="V143" s="33">
        <f t="shared" si="35"/>
        <v>0</v>
      </c>
      <c r="W143" s="33">
        <f t="shared" si="35"/>
        <v>0</v>
      </c>
      <c r="X143" s="33">
        <f t="shared" si="35"/>
        <v>0</v>
      </c>
    </row>
    <row r="144" spans="2:24">
      <c r="B144" s="37" t="str">
        <f>IF(ISBLANK('Środki trwałe'!B445),"",'Środki trwałe'!B445)</f>
        <v/>
      </c>
      <c r="C144" s="33" t="str">
        <f>IF(ISBLANK('Środki trwałe'!D445),"",'Środki trwałe'!D445)</f>
        <v/>
      </c>
      <c r="D144" s="246" t="str">
        <f>IF(ISBLANK('Środki trwałe'!E445),"",'Środki trwałe'!E445)</f>
        <v/>
      </c>
      <c r="E144" s="74">
        <f>IF(AND('Środki trwałe'!F445="tak",'Środki trwałe'!G445="nie"),'Środki trwałe'!H445,0)</f>
        <v>0</v>
      </c>
      <c r="F144" s="95">
        <f t="shared" si="34"/>
        <v>0</v>
      </c>
      <c r="G144" s="33">
        <f>IF(AND('Środki trwałe'!F445="tak",'Środki trwałe'!G445="tak"),'Środki trwałe'!I445,0)</f>
        <v>0</v>
      </c>
      <c r="H144" s="316"/>
      <c r="I144" s="52"/>
      <c r="J144" s="525" t="str">
        <f>IF(ISBLANK('Środki trwałe'!C445),"",'Środki trwałe'!C445)</f>
        <v/>
      </c>
      <c r="K144" s="33">
        <f t="shared" si="35"/>
        <v>0</v>
      </c>
      <c r="L144" s="33">
        <f t="shared" si="35"/>
        <v>0</v>
      </c>
      <c r="M144" s="33">
        <f t="shared" si="35"/>
        <v>0</v>
      </c>
      <c r="N144" s="33">
        <f t="shared" si="35"/>
        <v>0</v>
      </c>
      <c r="O144" s="33">
        <f t="shared" si="35"/>
        <v>0</v>
      </c>
      <c r="P144" s="33">
        <f t="shared" si="35"/>
        <v>0</v>
      </c>
      <c r="Q144" s="33">
        <f t="shared" si="35"/>
        <v>0</v>
      </c>
      <c r="R144" s="33">
        <f t="shared" si="35"/>
        <v>0</v>
      </c>
      <c r="S144" s="33">
        <f t="shared" si="35"/>
        <v>0</v>
      </c>
      <c r="T144" s="33">
        <f t="shared" si="35"/>
        <v>0</v>
      </c>
      <c r="U144" s="33">
        <f t="shared" si="35"/>
        <v>0</v>
      </c>
      <c r="V144" s="33">
        <f t="shared" si="35"/>
        <v>0</v>
      </c>
      <c r="W144" s="33">
        <f t="shared" si="35"/>
        <v>0</v>
      </c>
      <c r="X144" s="33">
        <f t="shared" si="35"/>
        <v>0</v>
      </c>
    </row>
    <row r="145" spans="2:24">
      <c r="B145" s="37" t="str">
        <f>IF(ISBLANK('Środki trwałe'!B446),"",'Środki trwałe'!B446)</f>
        <v/>
      </c>
      <c r="C145" s="33" t="str">
        <f>IF(ISBLANK('Środki trwałe'!D446),"",'Środki trwałe'!D446)</f>
        <v/>
      </c>
      <c r="D145" s="246" t="str">
        <f>IF(ISBLANK('Środki trwałe'!E446),"",'Środki trwałe'!E446)</f>
        <v/>
      </c>
      <c r="E145" s="74">
        <f>IF(AND('Środki trwałe'!F446="tak",'Środki trwałe'!G446="nie"),'Środki trwałe'!H446,0)</f>
        <v>0</v>
      </c>
      <c r="F145" s="95">
        <f t="shared" si="34"/>
        <v>0</v>
      </c>
      <c r="G145" s="33">
        <f>IF(AND('Środki trwałe'!F446="tak",'Środki trwałe'!G446="tak"),'Środki trwałe'!I446,0)</f>
        <v>0</v>
      </c>
      <c r="H145" s="316"/>
      <c r="I145" s="52"/>
      <c r="J145" s="525" t="str">
        <f>IF(ISBLANK('Środki trwałe'!C446),"",'Środki trwałe'!C446)</f>
        <v/>
      </c>
      <c r="K145" s="33">
        <f t="shared" si="35"/>
        <v>0</v>
      </c>
      <c r="L145" s="33">
        <f t="shared" si="35"/>
        <v>0</v>
      </c>
      <c r="M145" s="33">
        <f t="shared" si="35"/>
        <v>0</v>
      </c>
      <c r="N145" s="33">
        <f t="shared" si="35"/>
        <v>0</v>
      </c>
      <c r="O145" s="33">
        <f t="shared" si="35"/>
        <v>0</v>
      </c>
      <c r="P145" s="33">
        <f t="shared" si="35"/>
        <v>0</v>
      </c>
      <c r="Q145" s="33">
        <f t="shared" si="35"/>
        <v>0</v>
      </c>
      <c r="R145" s="33">
        <f t="shared" si="35"/>
        <v>0</v>
      </c>
      <c r="S145" s="33">
        <f t="shared" si="35"/>
        <v>0</v>
      </c>
      <c r="T145" s="33">
        <f t="shared" si="35"/>
        <v>0</v>
      </c>
      <c r="U145" s="33">
        <f t="shared" si="35"/>
        <v>0</v>
      </c>
      <c r="V145" s="33">
        <f t="shared" si="35"/>
        <v>0</v>
      </c>
      <c r="W145" s="33">
        <f t="shared" si="35"/>
        <v>0</v>
      </c>
      <c r="X145" s="33">
        <f t="shared" si="35"/>
        <v>0</v>
      </c>
    </row>
    <row r="146" spans="2:24">
      <c r="B146" s="37" t="str">
        <f>IF(ISBLANK('Środki trwałe'!B447),"",'Środki trwałe'!B447)</f>
        <v/>
      </c>
      <c r="C146" s="33" t="str">
        <f>IF(ISBLANK('Środki trwałe'!D447),"",'Środki trwałe'!D447)</f>
        <v/>
      </c>
      <c r="D146" s="246" t="str">
        <f>IF(ISBLANK('Środki trwałe'!E447),"",'Środki trwałe'!E447)</f>
        <v/>
      </c>
      <c r="E146" s="74">
        <f>IF(AND('Środki trwałe'!F447="tak",'Środki trwałe'!G447="nie"),'Środki trwałe'!H447,0)</f>
        <v>0</v>
      </c>
      <c r="F146" s="95">
        <f t="shared" si="34"/>
        <v>0</v>
      </c>
      <c r="G146" s="33">
        <f>IF(AND('Środki trwałe'!F447="tak",'Środki trwałe'!G447="tak"),'Środki trwałe'!I447,0)</f>
        <v>0</v>
      </c>
      <c r="H146" s="316"/>
      <c r="I146" s="52"/>
      <c r="J146" s="525" t="str">
        <f>IF(ISBLANK('Środki trwałe'!C447),"",'Środki trwałe'!C447)</f>
        <v/>
      </c>
      <c r="K146" s="33">
        <f t="shared" si="35"/>
        <v>0</v>
      </c>
      <c r="L146" s="33">
        <f t="shared" si="35"/>
        <v>0</v>
      </c>
      <c r="M146" s="33">
        <f t="shared" si="35"/>
        <v>0</v>
      </c>
      <c r="N146" s="33">
        <f t="shared" si="35"/>
        <v>0</v>
      </c>
      <c r="O146" s="33">
        <f t="shared" si="35"/>
        <v>0</v>
      </c>
      <c r="P146" s="33">
        <f t="shared" si="35"/>
        <v>0</v>
      </c>
      <c r="Q146" s="33">
        <f t="shared" si="35"/>
        <v>0</v>
      </c>
      <c r="R146" s="33">
        <f t="shared" si="35"/>
        <v>0</v>
      </c>
      <c r="S146" s="33">
        <f t="shared" si="35"/>
        <v>0</v>
      </c>
      <c r="T146" s="33">
        <f t="shared" si="35"/>
        <v>0</v>
      </c>
      <c r="U146" s="33">
        <f t="shared" si="35"/>
        <v>0</v>
      </c>
      <c r="V146" s="33">
        <f t="shared" si="35"/>
        <v>0</v>
      </c>
      <c r="W146" s="33">
        <f t="shared" si="35"/>
        <v>0</v>
      </c>
      <c r="X146" s="33">
        <f t="shared" si="35"/>
        <v>0</v>
      </c>
    </row>
    <row r="147" spans="2:24">
      <c r="B147" s="37" t="str">
        <f>IF(ISBLANK('Środki trwałe'!B448),"",'Środki trwałe'!B448)</f>
        <v/>
      </c>
      <c r="C147" s="33" t="str">
        <f>IF(ISBLANK('Środki trwałe'!D448),"",'Środki trwałe'!D448)</f>
        <v/>
      </c>
      <c r="D147" s="246" t="str">
        <f>IF(ISBLANK('Środki trwałe'!E448),"",'Środki trwałe'!E448)</f>
        <v/>
      </c>
      <c r="E147" s="74">
        <f>IF(AND('Środki trwałe'!F448="tak",'Środki trwałe'!G448="nie"),'Środki trwałe'!H448,0)</f>
        <v>0</v>
      </c>
      <c r="F147" s="95">
        <f t="shared" si="34"/>
        <v>0</v>
      </c>
      <c r="G147" s="33">
        <f>IF(AND('Środki trwałe'!F448="tak",'Środki trwałe'!G448="tak"),'Środki trwałe'!I448,0)</f>
        <v>0</v>
      </c>
      <c r="H147" s="316"/>
      <c r="I147" s="52"/>
      <c r="J147" s="525" t="str">
        <f>IF(ISBLANK('Środki trwałe'!C448),"",'Środki trwałe'!C448)</f>
        <v/>
      </c>
      <c r="K147" s="33">
        <f t="shared" si="35"/>
        <v>0</v>
      </c>
      <c r="L147" s="33">
        <f t="shared" si="35"/>
        <v>0</v>
      </c>
      <c r="M147" s="33">
        <f t="shared" si="35"/>
        <v>0</v>
      </c>
      <c r="N147" s="33">
        <f t="shared" si="35"/>
        <v>0</v>
      </c>
      <c r="O147" s="33">
        <f t="shared" si="35"/>
        <v>0</v>
      </c>
      <c r="P147" s="33">
        <f t="shared" si="35"/>
        <v>0</v>
      </c>
      <c r="Q147" s="33">
        <f t="shared" ref="K147:X155" si="36">IFERROR(ROUND(IF(AND(YEAR($D147)=LataProjekcji,$F147&gt;0),$F147,0),0),0)</f>
        <v>0</v>
      </c>
      <c r="R147" s="33">
        <f t="shared" si="36"/>
        <v>0</v>
      </c>
      <c r="S147" s="33">
        <f t="shared" si="36"/>
        <v>0</v>
      </c>
      <c r="T147" s="33">
        <f t="shared" si="36"/>
        <v>0</v>
      </c>
      <c r="U147" s="33">
        <f t="shared" si="36"/>
        <v>0</v>
      </c>
      <c r="V147" s="33">
        <f t="shared" si="36"/>
        <v>0</v>
      </c>
      <c r="W147" s="33">
        <f t="shared" si="36"/>
        <v>0</v>
      </c>
      <c r="X147" s="33">
        <f t="shared" si="36"/>
        <v>0</v>
      </c>
    </row>
    <row r="148" spans="2:24">
      <c r="B148" s="37" t="str">
        <f>IF(ISBLANK('Środki trwałe'!B449),"",'Środki trwałe'!B449)</f>
        <v/>
      </c>
      <c r="C148" s="33" t="str">
        <f>IF(ISBLANK('Środki trwałe'!D449),"",'Środki trwałe'!D449)</f>
        <v/>
      </c>
      <c r="D148" s="246" t="str">
        <f>IF(ISBLANK('Środki trwałe'!E449),"",'Środki trwałe'!E449)</f>
        <v/>
      </c>
      <c r="E148" s="74">
        <f>IF(AND('Środki trwałe'!F449="tak",'Środki trwałe'!G449="nie"),'Środki trwałe'!H449,0)</f>
        <v>0</v>
      </c>
      <c r="F148" s="95">
        <f t="shared" si="34"/>
        <v>0</v>
      </c>
      <c r="G148" s="33">
        <f>IF(AND('Środki trwałe'!F449="tak",'Środki trwałe'!G449="tak"),'Środki trwałe'!I449,0)</f>
        <v>0</v>
      </c>
      <c r="H148" s="316"/>
      <c r="I148" s="52"/>
      <c r="J148" s="525" t="str">
        <f>IF(ISBLANK('Środki trwałe'!C449),"",'Środki trwałe'!C449)</f>
        <v/>
      </c>
      <c r="K148" s="33">
        <f t="shared" si="36"/>
        <v>0</v>
      </c>
      <c r="L148" s="33">
        <f t="shared" si="36"/>
        <v>0</v>
      </c>
      <c r="M148" s="33">
        <f t="shared" si="36"/>
        <v>0</v>
      </c>
      <c r="N148" s="33">
        <f t="shared" si="36"/>
        <v>0</v>
      </c>
      <c r="O148" s="33">
        <f t="shared" si="36"/>
        <v>0</v>
      </c>
      <c r="P148" s="33">
        <f t="shared" si="36"/>
        <v>0</v>
      </c>
      <c r="Q148" s="33">
        <f t="shared" si="36"/>
        <v>0</v>
      </c>
      <c r="R148" s="33">
        <f t="shared" si="36"/>
        <v>0</v>
      </c>
      <c r="S148" s="33">
        <f t="shared" si="36"/>
        <v>0</v>
      </c>
      <c r="T148" s="33">
        <f t="shared" si="36"/>
        <v>0</v>
      </c>
      <c r="U148" s="33">
        <f t="shared" si="36"/>
        <v>0</v>
      </c>
      <c r="V148" s="33">
        <f t="shared" si="36"/>
        <v>0</v>
      </c>
      <c r="W148" s="33">
        <f t="shared" si="36"/>
        <v>0</v>
      </c>
      <c r="X148" s="33">
        <f t="shared" si="36"/>
        <v>0</v>
      </c>
    </row>
    <row r="149" spans="2:24">
      <c r="B149" s="37" t="str">
        <f>IF(ISBLANK('Środki trwałe'!B450),"",'Środki trwałe'!B450)</f>
        <v/>
      </c>
      <c r="C149" s="33" t="str">
        <f>IF(ISBLANK('Środki trwałe'!D450),"",'Środki trwałe'!D450)</f>
        <v/>
      </c>
      <c r="D149" s="246" t="str">
        <f>IF(ISBLANK('Środki trwałe'!E450),"",'Środki trwałe'!E450)</f>
        <v/>
      </c>
      <c r="E149" s="74">
        <f>IF(AND('Środki trwałe'!F450="tak",'Środki trwałe'!G450="nie"),'Środki trwałe'!H450,0)</f>
        <v>0</v>
      </c>
      <c r="F149" s="95">
        <f t="shared" si="34"/>
        <v>0</v>
      </c>
      <c r="G149" s="33">
        <f>IF(AND('Środki trwałe'!F450="tak",'Środki trwałe'!G450="tak"),'Środki trwałe'!I450,0)</f>
        <v>0</v>
      </c>
      <c r="H149" s="316"/>
      <c r="I149" s="52"/>
      <c r="J149" s="525" t="str">
        <f>IF(ISBLANK('Środki trwałe'!C450),"",'Środki trwałe'!C450)</f>
        <v/>
      </c>
      <c r="K149" s="33">
        <f t="shared" si="36"/>
        <v>0</v>
      </c>
      <c r="L149" s="33">
        <f t="shared" si="36"/>
        <v>0</v>
      </c>
      <c r="M149" s="33">
        <f t="shared" si="36"/>
        <v>0</v>
      </c>
      <c r="N149" s="33">
        <f t="shared" si="36"/>
        <v>0</v>
      </c>
      <c r="O149" s="33">
        <f t="shared" si="36"/>
        <v>0</v>
      </c>
      <c r="P149" s="33">
        <f t="shared" si="36"/>
        <v>0</v>
      </c>
      <c r="Q149" s="33">
        <f t="shared" si="36"/>
        <v>0</v>
      </c>
      <c r="R149" s="33">
        <f t="shared" si="36"/>
        <v>0</v>
      </c>
      <c r="S149" s="33">
        <f t="shared" si="36"/>
        <v>0</v>
      </c>
      <c r="T149" s="33">
        <f t="shared" si="36"/>
        <v>0</v>
      </c>
      <c r="U149" s="33">
        <f t="shared" si="36"/>
        <v>0</v>
      </c>
      <c r="V149" s="33">
        <f t="shared" si="36"/>
        <v>0</v>
      </c>
      <c r="W149" s="33">
        <f t="shared" si="36"/>
        <v>0</v>
      </c>
      <c r="X149" s="33">
        <f t="shared" si="36"/>
        <v>0</v>
      </c>
    </row>
    <row r="150" spans="2:24">
      <c r="B150" s="37" t="str">
        <f>IF(ISBLANK('Środki trwałe'!B451),"",'Środki trwałe'!B451)</f>
        <v/>
      </c>
      <c r="C150" s="33" t="str">
        <f>IF(ISBLANK('Środki trwałe'!D451),"",'Środki trwałe'!D451)</f>
        <v/>
      </c>
      <c r="D150" s="246" t="str">
        <f>IF(ISBLANK('Środki trwałe'!E451),"",'Środki trwałe'!E451)</f>
        <v/>
      </c>
      <c r="E150" s="74">
        <f>IF(AND('Środki trwałe'!F451="tak",'Środki trwałe'!G451="nie"),'Środki trwałe'!H451,0)</f>
        <v>0</v>
      </c>
      <c r="F150" s="95">
        <f t="shared" si="34"/>
        <v>0</v>
      </c>
      <c r="G150" s="33">
        <f>IF(AND('Środki trwałe'!F451="tak",'Środki trwałe'!G451="tak"),'Środki trwałe'!I451,0)</f>
        <v>0</v>
      </c>
      <c r="H150" s="316"/>
      <c r="I150" s="52"/>
      <c r="J150" s="525" t="str">
        <f>IF(ISBLANK('Środki trwałe'!C451),"",'Środki trwałe'!C451)</f>
        <v/>
      </c>
      <c r="K150" s="33">
        <f t="shared" si="36"/>
        <v>0</v>
      </c>
      <c r="L150" s="33">
        <f t="shared" si="36"/>
        <v>0</v>
      </c>
      <c r="M150" s="33">
        <f t="shared" si="36"/>
        <v>0</v>
      </c>
      <c r="N150" s="33">
        <f t="shared" si="36"/>
        <v>0</v>
      </c>
      <c r="O150" s="33">
        <f t="shared" si="36"/>
        <v>0</v>
      </c>
      <c r="P150" s="33">
        <f t="shared" si="36"/>
        <v>0</v>
      </c>
      <c r="Q150" s="33">
        <f t="shared" si="36"/>
        <v>0</v>
      </c>
      <c r="R150" s="33">
        <f t="shared" si="36"/>
        <v>0</v>
      </c>
      <c r="S150" s="33">
        <f t="shared" si="36"/>
        <v>0</v>
      </c>
      <c r="T150" s="33">
        <f t="shared" si="36"/>
        <v>0</v>
      </c>
      <c r="U150" s="33">
        <f t="shared" si="36"/>
        <v>0</v>
      </c>
      <c r="V150" s="33">
        <f t="shared" si="36"/>
        <v>0</v>
      </c>
      <c r="W150" s="33">
        <f t="shared" si="36"/>
        <v>0</v>
      </c>
      <c r="X150" s="33">
        <f t="shared" si="36"/>
        <v>0</v>
      </c>
    </row>
    <row r="151" spans="2:24">
      <c r="B151" s="37" t="str">
        <f>IF(ISBLANK('Środki trwałe'!B452),"",'Środki trwałe'!B452)</f>
        <v/>
      </c>
      <c r="C151" s="33" t="str">
        <f>IF(ISBLANK('Środki trwałe'!D452),"",'Środki trwałe'!D452)</f>
        <v/>
      </c>
      <c r="D151" s="246" t="str">
        <f>IF(ISBLANK('Środki trwałe'!E452),"",'Środki trwałe'!E452)</f>
        <v/>
      </c>
      <c r="E151" s="74">
        <f>IF(AND('Środki trwałe'!F452="tak",'Środki trwałe'!G452="nie"),'Środki trwałe'!H452,0)</f>
        <v>0</v>
      </c>
      <c r="F151" s="95">
        <f t="shared" si="34"/>
        <v>0</v>
      </c>
      <c r="G151" s="33">
        <f>IF(AND('Środki trwałe'!F452="tak",'Środki trwałe'!G452="tak"),'Środki trwałe'!I452,0)</f>
        <v>0</v>
      </c>
      <c r="H151" s="316"/>
      <c r="I151" s="52"/>
      <c r="J151" s="525" t="str">
        <f>IF(ISBLANK('Środki trwałe'!C452),"",'Środki trwałe'!C452)</f>
        <v/>
      </c>
      <c r="K151" s="33">
        <f t="shared" si="36"/>
        <v>0</v>
      </c>
      <c r="L151" s="33">
        <f t="shared" si="36"/>
        <v>0</v>
      </c>
      <c r="M151" s="33">
        <f t="shared" si="36"/>
        <v>0</v>
      </c>
      <c r="N151" s="33">
        <f t="shared" si="36"/>
        <v>0</v>
      </c>
      <c r="O151" s="33">
        <f t="shared" si="36"/>
        <v>0</v>
      </c>
      <c r="P151" s="33">
        <f t="shared" si="36"/>
        <v>0</v>
      </c>
      <c r="Q151" s="33">
        <f t="shared" si="36"/>
        <v>0</v>
      </c>
      <c r="R151" s="33">
        <f t="shared" si="36"/>
        <v>0</v>
      </c>
      <c r="S151" s="33">
        <f t="shared" si="36"/>
        <v>0</v>
      </c>
      <c r="T151" s="33">
        <f t="shared" si="36"/>
        <v>0</v>
      </c>
      <c r="U151" s="33">
        <f t="shared" si="36"/>
        <v>0</v>
      </c>
      <c r="V151" s="33">
        <f t="shared" si="36"/>
        <v>0</v>
      </c>
      <c r="W151" s="33">
        <f t="shared" si="36"/>
        <v>0</v>
      </c>
      <c r="X151" s="33">
        <f t="shared" si="36"/>
        <v>0</v>
      </c>
    </row>
    <row r="152" spans="2:24">
      <c r="B152" s="37" t="str">
        <f>IF(ISBLANK('Środki trwałe'!B453),"",'Środki trwałe'!B453)</f>
        <v/>
      </c>
      <c r="C152" s="33" t="str">
        <f>IF(ISBLANK('Środki trwałe'!D453),"",'Środki trwałe'!D453)</f>
        <v/>
      </c>
      <c r="D152" s="246" t="str">
        <f>IF(ISBLANK('Środki trwałe'!E453),"",'Środki trwałe'!E453)</f>
        <v/>
      </c>
      <c r="E152" s="74">
        <f>IF(AND('Środki trwałe'!F453="tak",'Środki trwałe'!G453="nie"),'Środki trwałe'!H453,0)</f>
        <v>0</v>
      </c>
      <c r="F152" s="95">
        <f t="shared" si="34"/>
        <v>0</v>
      </c>
      <c r="G152" s="33">
        <f>IF(AND('Środki trwałe'!F453="tak",'Środki trwałe'!G453="tak"),'Środki trwałe'!I453,0)</f>
        <v>0</v>
      </c>
      <c r="H152" s="316"/>
      <c r="I152" s="52"/>
      <c r="J152" s="525" t="str">
        <f>IF(ISBLANK('Środki trwałe'!C453),"",'Środki trwałe'!C453)</f>
        <v/>
      </c>
      <c r="K152" s="33">
        <f t="shared" si="36"/>
        <v>0</v>
      </c>
      <c r="L152" s="33">
        <f t="shared" si="36"/>
        <v>0</v>
      </c>
      <c r="M152" s="33">
        <f t="shared" si="36"/>
        <v>0</v>
      </c>
      <c r="N152" s="33">
        <f t="shared" si="36"/>
        <v>0</v>
      </c>
      <c r="O152" s="33">
        <f t="shared" si="36"/>
        <v>0</v>
      </c>
      <c r="P152" s="33">
        <f t="shared" si="36"/>
        <v>0</v>
      </c>
      <c r="Q152" s="33">
        <f t="shared" si="36"/>
        <v>0</v>
      </c>
      <c r="R152" s="33">
        <f t="shared" si="36"/>
        <v>0</v>
      </c>
      <c r="S152" s="33">
        <f t="shared" si="36"/>
        <v>0</v>
      </c>
      <c r="T152" s="33">
        <f t="shared" si="36"/>
        <v>0</v>
      </c>
      <c r="U152" s="33">
        <f t="shared" si="36"/>
        <v>0</v>
      </c>
      <c r="V152" s="33">
        <f t="shared" si="36"/>
        <v>0</v>
      </c>
      <c r="W152" s="33">
        <f t="shared" si="36"/>
        <v>0</v>
      </c>
      <c r="X152" s="33">
        <f t="shared" si="36"/>
        <v>0</v>
      </c>
    </row>
    <row r="153" spans="2:24">
      <c r="B153" s="37" t="str">
        <f>IF(ISBLANK('Środki trwałe'!B454),"",'Środki trwałe'!B454)</f>
        <v/>
      </c>
      <c r="C153" s="33" t="str">
        <f>IF(ISBLANK('Środki trwałe'!D454),"",'Środki trwałe'!D454)</f>
        <v/>
      </c>
      <c r="D153" s="246" t="str">
        <f>IF(ISBLANK('Środki trwałe'!E454),"",'Środki trwałe'!E454)</f>
        <v/>
      </c>
      <c r="E153" s="74">
        <f>IF(AND('Środki trwałe'!F454="tak",'Środki trwałe'!G454="nie"),'Środki trwałe'!H454,0)</f>
        <v>0</v>
      </c>
      <c r="F153" s="95">
        <f t="shared" si="34"/>
        <v>0</v>
      </c>
      <c r="G153" s="33">
        <f>IF(AND('Środki trwałe'!F454="tak",'Środki trwałe'!G454="tak"),'Środki trwałe'!I454,0)</f>
        <v>0</v>
      </c>
      <c r="H153" s="316"/>
      <c r="I153" s="52"/>
      <c r="J153" s="525" t="str">
        <f>IF(ISBLANK('Środki trwałe'!C454),"",'Środki trwałe'!C454)</f>
        <v/>
      </c>
      <c r="K153" s="33">
        <f t="shared" si="36"/>
        <v>0</v>
      </c>
      <c r="L153" s="33">
        <f t="shared" si="36"/>
        <v>0</v>
      </c>
      <c r="M153" s="33">
        <f t="shared" si="36"/>
        <v>0</v>
      </c>
      <c r="N153" s="33">
        <f t="shared" si="36"/>
        <v>0</v>
      </c>
      <c r="O153" s="33">
        <f t="shared" si="36"/>
        <v>0</v>
      </c>
      <c r="P153" s="33">
        <f t="shared" si="36"/>
        <v>0</v>
      </c>
      <c r="Q153" s="33">
        <f t="shared" si="36"/>
        <v>0</v>
      </c>
      <c r="R153" s="33">
        <f t="shared" si="36"/>
        <v>0</v>
      </c>
      <c r="S153" s="33">
        <f t="shared" si="36"/>
        <v>0</v>
      </c>
      <c r="T153" s="33">
        <f t="shared" si="36"/>
        <v>0</v>
      </c>
      <c r="U153" s="33">
        <f t="shared" si="36"/>
        <v>0</v>
      </c>
      <c r="V153" s="33">
        <f t="shared" si="36"/>
        <v>0</v>
      </c>
      <c r="W153" s="33">
        <f t="shared" si="36"/>
        <v>0</v>
      </c>
      <c r="X153" s="33">
        <f t="shared" si="36"/>
        <v>0</v>
      </c>
    </row>
    <row r="154" spans="2:24">
      <c r="B154" s="37" t="str">
        <f>IF(ISBLANK('Środki trwałe'!B455),"",'Środki trwałe'!B455)</f>
        <v/>
      </c>
      <c r="C154" s="33" t="str">
        <f>IF(ISBLANK('Środki trwałe'!D455),"",'Środki trwałe'!D455)</f>
        <v/>
      </c>
      <c r="D154" s="246" t="str">
        <f>IF(ISBLANK('Środki trwałe'!E455),"",'Środki trwałe'!E455)</f>
        <v/>
      </c>
      <c r="E154" s="74">
        <f>IF(AND('Środki trwałe'!F455="tak",'Środki trwałe'!G455="nie"),'Środki trwałe'!H455,0)</f>
        <v>0</v>
      </c>
      <c r="F154" s="95">
        <f t="shared" si="34"/>
        <v>0</v>
      </c>
      <c r="G154" s="33">
        <f>IF(AND('Środki trwałe'!F455="tak",'Środki trwałe'!G455="tak"),'Środki trwałe'!I455,0)</f>
        <v>0</v>
      </c>
      <c r="H154" s="316"/>
      <c r="I154" s="52"/>
      <c r="J154" s="525" t="str">
        <f>IF(ISBLANK('Środki trwałe'!C455),"",'Środki trwałe'!C455)</f>
        <v/>
      </c>
      <c r="K154" s="33">
        <f t="shared" si="36"/>
        <v>0</v>
      </c>
      <c r="L154" s="33">
        <f t="shared" si="36"/>
        <v>0</v>
      </c>
      <c r="M154" s="33">
        <f t="shared" si="36"/>
        <v>0</v>
      </c>
      <c r="N154" s="33">
        <f t="shared" si="36"/>
        <v>0</v>
      </c>
      <c r="O154" s="33">
        <f t="shared" si="36"/>
        <v>0</v>
      </c>
      <c r="P154" s="33">
        <f t="shared" si="36"/>
        <v>0</v>
      </c>
      <c r="Q154" s="33">
        <f t="shared" si="36"/>
        <v>0</v>
      </c>
      <c r="R154" s="33">
        <f t="shared" si="36"/>
        <v>0</v>
      </c>
      <c r="S154" s="33">
        <f t="shared" si="36"/>
        <v>0</v>
      </c>
      <c r="T154" s="33">
        <f t="shared" si="36"/>
        <v>0</v>
      </c>
      <c r="U154" s="33">
        <f t="shared" si="36"/>
        <v>0</v>
      </c>
      <c r="V154" s="33">
        <f t="shared" si="36"/>
        <v>0</v>
      </c>
      <c r="W154" s="33">
        <f t="shared" si="36"/>
        <v>0</v>
      </c>
      <c r="X154" s="33">
        <f t="shared" si="36"/>
        <v>0</v>
      </c>
    </row>
    <row r="155" spans="2:24">
      <c r="B155" s="37" t="str">
        <f>IF(ISBLANK('Środki trwałe'!B456),"",'Środki trwałe'!B456)</f>
        <v/>
      </c>
      <c r="C155" s="33" t="str">
        <f>IF(ISBLANK('Środki trwałe'!D456),"",'Środki trwałe'!D456)</f>
        <v/>
      </c>
      <c r="D155" s="246" t="str">
        <f>IF(ISBLANK('Środki trwałe'!E456),"",'Środki trwałe'!E456)</f>
        <v/>
      </c>
      <c r="E155" s="74">
        <f>IF(AND('Środki trwałe'!F456="tak",'Środki trwałe'!G456="nie"),'Środki trwałe'!H456,0)</f>
        <v>0</v>
      </c>
      <c r="F155" s="95">
        <f t="shared" si="34"/>
        <v>0</v>
      </c>
      <c r="G155" s="33">
        <f>IF(AND('Środki trwałe'!F456="tak",'Środki trwałe'!G456="tak"),'Środki trwałe'!I456,0)</f>
        <v>0</v>
      </c>
      <c r="H155" s="316"/>
      <c r="I155" s="52"/>
      <c r="J155" s="525" t="str">
        <f>IF(ISBLANK('Środki trwałe'!C456),"",'Środki trwałe'!C456)</f>
        <v/>
      </c>
      <c r="K155" s="33">
        <f t="shared" si="36"/>
        <v>0</v>
      </c>
      <c r="L155" s="33">
        <f t="shared" si="36"/>
        <v>0</v>
      </c>
      <c r="M155" s="33">
        <f t="shared" si="36"/>
        <v>0</v>
      </c>
      <c r="N155" s="33">
        <f t="shared" si="36"/>
        <v>0</v>
      </c>
      <c r="O155" s="33">
        <f t="shared" si="36"/>
        <v>0</v>
      </c>
      <c r="P155" s="33">
        <f t="shared" si="36"/>
        <v>0</v>
      </c>
      <c r="Q155" s="33">
        <f t="shared" si="36"/>
        <v>0</v>
      </c>
      <c r="R155" s="33">
        <f t="shared" si="36"/>
        <v>0</v>
      </c>
      <c r="S155" s="33">
        <f t="shared" si="36"/>
        <v>0</v>
      </c>
      <c r="T155" s="33">
        <f t="shared" si="36"/>
        <v>0</v>
      </c>
      <c r="U155" s="33">
        <f t="shared" si="36"/>
        <v>0</v>
      </c>
      <c r="V155" s="33">
        <f t="shared" si="36"/>
        <v>0</v>
      </c>
      <c r="W155" s="33">
        <f t="shared" si="36"/>
        <v>0</v>
      </c>
      <c r="X155" s="33">
        <f t="shared" si="36"/>
        <v>0</v>
      </c>
    </row>
    <row r="156" spans="2:24">
      <c r="B156" s="263" t="str">
        <f>IF(ISBLANK('Środki trwałe'!B457),"",'Środki trwałe'!B457)</f>
        <v/>
      </c>
      <c r="C156" s="264" t="str">
        <f>IF(ISBLANK('Środki trwałe'!D457),"",'Środki trwałe'!D457)</f>
        <v/>
      </c>
      <c r="D156" s="265" t="str">
        <f>IF(ISBLANK('Środki trwałe'!E457),"",'Środki trwałe'!E457)</f>
        <v/>
      </c>
      <c r="E156" s="266">
        <f>IF(AND('Środki trwałe'!F457="tak",'Środki trwałe'!G457="nie"),'Środki trwałe'!H457,0)</f>
        <v>0</v>
      </c>
      <c r="F156" s="176">
        <f t="shared" ref="F156:F161" si="37">IFERROR(IF(E156=0,0,ROUND(E156*C156,0)),0)</f>
        <v>0</v>
      </c>
      <c r="G156" s="33">
        <f>IF(AND('Środki trwałe'!F457="tak",'Środki trwałe'!G457="tak"),'Środki trwałe'!I457,0)</f>
        <v>0</v>
      </c>
      <c r="H156" s="324"/>
      <c r="I156" s="267"/>
      <c r="J156" s="525" t="str">
        <f>IF(ISBLANK('Środki trwałe'!C457),"",'Środki trwałe'!C457)</f>
        <v/>
      </c>
      <c r="K156" s="264">
        <f t="shared" ref="K156:X161" si="38">IFERROR(ROUND(IF(AND(YEAR($D156)=LataProjekcji,$F156&gt;0),$F156,0),0),0)</f>
        <v>0</v>
      </c>
      <c r="L156" s="264">
        <f t="shared" si="38"/>
        <v>0</v>
      </c>
      <c r="M156" s="264">
        <f t="shared" si="38"/>
        <v>0</v>
      </c>
      <c r="N156" s="264">
        <f t="shared" si="38"/>
        <v>0</v>
      </c>
      <c r="O156" s="264">
        <f t="shared" si="38"/>
        <v>0</v>
      </c>
      <c r="P156" s="264">
        <f t="shared" si="38"/>
        <v>0</v>
      </c>
      <c r="Q156" s="264">
        <f t="shared" si="38"/>
        <v>0</v>
      </c>
      <c r="R156" s="264">
        <f t="shared" si="38"/>
        <v>0</v>
      </c>
      <c r="S156" s="264">
        <f t="shared" si="38"/>
        <v>0</v>
      </c>
      <c r="T156" s="264">
        <f t="shared" si="38"/>
        <v>0</v>
      </c>
      <c r="U156" s="264">
        <f t="shared" si="38"/>
        <v>0</v>
      </c>
      <c r="V156" s="264">
        <f t="shared" si="38"/>
        <v>0</v>
      </c>
      <c r="W156" s="264">
        <f t="shared" si="38"/>
        <v>0</v>
      </c>
      <c r="X156" s="264">
        <f t="shared" si="38"/>
        <v>0</v>
      </c>
    </row>
    <row r="157" spans="2:24">
      <c r="B157" s="263" t="str">
        <f>IF(ISBLANK('Środki trwałe'!B458),"",'Środki trwałe'!B458)</f>
        <v/>
      </c>
      <c r="C157" s="264" t="str">
        <f>IF(ISBLANK('Środki trwałe'!D458),"",'Środki trwałe'!D458)</f>
        <v/>
      </c>
      <c r="D157" s="265" t="str">
        <f>IF(ISBLANK('Środki trwałe'!E458),"",'Środki trwałe'!E458)</f>
        <v/>
      </c>
      <c r="E157" s="266">
        <f>IF(AND('Środki trwałe'!F458="tak",'Środki trwałe'!G458="nie"),'Środki trwałe'!H458,0)</f>
        <v>0</v>
      </c>
      <c r="F157" s="176">
        <f t="shared" si="37"/>
        <v>0</v>
      </c>
      <c r="G157" s="33">
        <f>IF(AND('Środki trwałe'!F458="tak",'Środki trwałe'!G458="tak"),'Środki trwałe'!I458,0)</f>
        <v>0</v>
      </c>
      <c r="H157" s="324"/>
      <c r="I157" s="267"/>
      <c r="J157" s="525" t="str">
        <f>IF(ISBLANK('Środki trwałe'!C458),"",'Środki trwałe'!C458)</f>
        <v/>
      </c>
      <c r="K157" s="264">
        <f t="shared" si="38"/>
        <v>0</v>
      </c>
      <c r="L157" s="264">
        <f t="shared" si="38"/>
        <v>0</v>
      </c>
      <c r="M157" s="264">
        <f t="shared" si="38"/>
        <v>0</v>
      </c>
      <c r="N157" s="264">
        <f t="shared" si="38"/>
        <v>0</v>
      </c>
      <c r="O157" s="264">
        <f t="shared" si="38"/>
        <v>0</v>
      </c>
      <c r="P157" s="264">
        <f t="shared" si="38"/>
        <v>0</v>
      </c>
      <c r="Q157" s="264">
        <f t="shared" si="38"/>
        <v>0</v>
      </c>
      <c r="R157" s="264">
        <f t="shared" si="38"/>
        <v>0</v>
      </c>
      <c r="S157" s="264">
        <f t="shared" si="38"/>
        <v>0</v>
      </c>
      <c r="T157" s="264">
        <f t="shared" si="38"/>
        <v>0</v>
      </c>
      <c r="U157" s="264">
        <f t="shared" si="38"/>
        <v>0</v>
      </c>
      <c r="V157" s="264">
        <f t="shared" si="38"/>
        <v>0</v>
      </c>
      <c r="W157" s="264">
        <f t="shared" si="38"/>
        <v>0</v>
      </c>
      <c r="X157" s="264">
        <f t="shared" si="38"/>
        <v>0</v>
      </c>
    </row>
    <row r="158" spans="2:24">
      <c r="B158" s="263" t="str">
        <f>IF(ISBLANK('Środki trwałe'!B459),"",'Środki trwałe'!B459)</f>
        <v/>
      </c>
      <c r="C158" s="264" t="str">
        <f>IF(ISBLANK('Środki trwałe'!D459),"",'Środki trwałe'!D459)</f>
        <v/>
      </c>
      <c r="D158" s="265" t="str">
        <f>IF(ISBLANK('Środki trwałe'!E459),"",'Środki trwałe'!E459)</f>
        <v/>
      </c>
      <c r="E158" s="266">
        <f>IF(AND('Środki trwałe'!F459="tak",'Środki trwałe'!G459="nie"),'Środki trwałe'!H459,0)</f>
        <v>0</v>
      </c>
      <c r="F158" s="176">
        <f t="shared" si="37"/>
        <v>0</v>
      </c>
      <c r="G158" s="33">
        <f>IF(AND('Środki trwałe'!F459="tak",'Środki trwałe'!G459="tak"),'Środki trwałe'!I459,0)</f>
        <v>0</v>
      </c>
      <c r="H158" s="324"/>
      <c r="I158" s="267"/>
      <c r="J158" s="525" t="str">
        <f>IF(ISBLANK('Środki trwałe'!C459),"",'Środki trwałe'!C459)</f>
        <v/>
      </c>
      <c r="K158" s="264">
        <f t="shared" si="38"/>
        <v>0</v>
      </c>
      <c r="L158" s="264">
        <f t="shared" si="38"/>
        <v>0</v>
      </c>
      <c r="M158" s="264">
        <f t="shared" si="38"/>
        <v>0</v>
      </c>
      <c r="N158" s="264">
        <f t="shared" si="38"/>
        <v>0</v>
      </c>
      <c r="O158" s="264">
        <f t="shared" si="38"/>
        <v>0</v>
      </c>
      <c r="P158" s="264">
        <f t="shared" si="38"/>
        <v>0</v>
      </c>
      <c r="Q158" s="264">
        <f t="shared" si="38"/>
        <v>0</v>
      </c>
      <c r="R158" s="264">
        <f t="shared" si="38"/>
        <v>0</v>
      </c>
      <c r="S158" s="264">
        <f t="shared" si="38"/>
        <v>0</v>
      </c>
      <c r="T158" s="264">
        <f t="shared" si="38"/>
        <v>0</v>
      </c>
      <c r="U158" s="264">
        <f t="shared" si="38"/>
        <v>0</v>
      </c>
      <c r="V158" s="264">
        <f t="shared" si="38"/>
        <v>0</v>
      </c>
      <c r="W158" s="264">
        <f t="shared" si="38"/>
        <v>0</v>
      </c>
      <c r="X158" s="264">
        <f t="shared" si="38"/>
        <v>0</v>
      </c>
    </row>
    <row r="159" spans="2:24">
      <c r="B159" s="263" t="str">
        <f>IF(ISBLANK('Środki trwałe'!B460),"",'Środki trwałe'!B460)</f>
        <v/>
      </c>
      <c r="C159" s="264" t="str">
        <f>IF(ISBLANK('Środki trwałe'!D460),"",'Środki trwałe'!D460)</f>
        <v/>
      </c>
      <c r="D159" s="265" t="str">
        <f>IF(ISBLANK('Środki trwałe'!E460),"",'Środki trwałe'!E460)</f>
        <v/>
      </c>
      <c r="E159" s="266">
        <f>IF(AND('Środki trwałe'!F460="tak",'Środki trwałe'!G460="nie"),'Środki trwałe'!H460,0)</f>
        <v>0</v>
      </c>
      <c r="F159" s="176">
        <f t="shared" si="37"/>
        <v>0</v>
      </c>
      <c r="G159" s="33">
        <f>IF(AND('Środki trwałe'!F460="tak",'Środki trwałe'!G460="tak"),'Środki trwałe'!I460,0)</f>
        <v>0</v>
      </c>
      <c r="H159" s="324"/>
      <c r="I159" s="267"/>
      <c r="J159" s="525" t="str">
        <f>IF(ISBLANK('Środki trwałe'!C460),"",'Środki trwałe'!C460)</f>
        <v/>
      </c>
      <c r="K159" s="264">
        <f t="shared" si="38"/>
        <v>0</v>
      </c>
      <c r="L159" s="264">
        <f t="shared" si="38"/>
        <v>0</v>
      </c>
      <c r="M159" s="264">
        <f t="shared" si="38"/>
        <v>0</v>
      </c>
      <c r="N159" s="264">
        <f t="shared" si="38"/>
        <v>0</v>
      </c>
      <c r="O159" s="264">
        <f t="shared" si="38"/>
        <v>0</v>
      </c>
      <c r="P159" s="264">
        <f t="shared" si="38"/>
        <v>0</v>
      </c>
      <c r="Q159" s="264">
        <f t="shared" si="38"/>
        <v>0</v>
      </c>
      <c r="R159" s="264">
        <f t="shared" si="38"/>
        <v>0</v>
      </c>
      <c r="S159" s="264">
        <f t="shared" si="38"/>
        <v>0</v>
      </c>
      <c r="T159" s="264">
        <f t="shared" si="38"/>
        <v>0</v>
      </c>
      <c r="U159" s="264">
        <f t="shared" si="38"/>
        <v>0</v>
      </c>
      <c r="V159" s="264">
        <f t="shared" si="38"/>
        <v>0</v>
      </c>
      <c r="W159" s="264">
        <f t="shared" si="38"/>
        <v>0</v>
      </c>
      <c r="X159" s="264">
        <f t="shared" si="38"/>
        <v>0</v>
      </c>
    </row>
    <row r="160" spans="2:24">
      <c r="B160" s="263" t="str">
        <f>IF(ISBLANK('Środki trwałe'!B461),"",'Środki trwałe'!B461)</f>
        <v/>
      </c>
      <c r="C160" s="264" t="str">
        <f>IF(ISBLANK('Środki trwałe'!D461),"",'Środki trwałe'!D461)</f>
        <v/>
      </c>
      <c r="D160" s="265" t="str">
        <f>IF(ISBLANK('Środki trwałe'!E461),"",'Środki trwałe'!E461)</f>
        <v/>
      </c>
      <c r="E160" s="266">
        <f>IF(AND('Środki trwałe'!F461="tak",'Środki trwałe'!G461="nie"),'Środki trwałe'!H461,0)</f>
        <v>0</v>
      </c>
      <c r="F160" s="176">
        <f t="shared" si="37"/>
        <v>0</v>
      </c>
      <c r="G160" s="33">
        <f>IF(AND('Środki trwałe'!F461="tak",'Środki trwałe'!G461="tak"),'Środki trwałe'!I461,0)</f>
        <v>0</v>
      </c>
      <c r="H160" s="324"/>
      <c r="I160" s="267"/>
      <c r="J160" s="525" t="str">
        <f>IF(ISBLANK('Środki trwałe'!C461),"",'Środki trwałe'!C461)</f>
        <v/>
      </c>
      <c r="K160" s="264">
        <f t="shared" si="38"/>
        <v>0</v>
      </c>
      <c r="L160" s="264">
        <f t="shared" si="38"/>
        <v>0</v>
      </c>
      <c r="M160" s="264">
        <f t="shared" si="38"/>
        <v>0</v>
      </c>
      <c r="N160" s="264">
        <f t="shared" si="38"/>
        <v>0</v>
      </c>
      <c r="O160" s="264">
        <f t="shared" si="38"/>
        <v>0</v>
      </c>
      <c r="P160" s="264">
        <f t="shared" si="38"/>
        <v>0</v>
      </c>
      <c r="Q160" s="264">
        <f t="shared" si="38"/>
        <v>0</v>
      </c>
      <c r="R160" s="264">
        <f t="shared" si="38"/>
        <v>0</v>
      </c>
      <c r="S160" s="264">
        <f t="shared" si="38"/>
        <v>0</v>
      </c>
      <c r="T160" s="264">
        <f t="shared" si="38"/>
        <v>0</v>
      </c>
      <c r="U160" s="264">
        <f t="shared" si="38"/>
        <v>0</v>
      </c>
      <c r="V160" s="264">
        <f t="shared" si="38"/>
        <v>0</v>
      </c>
      <c r="W160" s="264">
        <f t="shared" si="38"/>
        <v>0</v>
      </c>
      <c r="X160" s="264">
        <f t="shared" si="38"/>
        <v>0</v>
      </c>
    </row>
    <row r="161" spans="1:24">
      <c r="B161" s="263" t="str">
        <f>IF(ISBLANK('Środki trwałe'!B462),"",'Środki trwałe'!B462)</f>
        <v/>
      </c>
      <c r="C161" s="264" t="str">
        <f>IF(ISBLANK('Środki trwałe'!D462),"",'Środki trwałe'!D462)</f>
        <v/>
      </c>
      <c r="D161" s="265" t="str">
        <f>IF(ISBLANK('Środki trwałe'!E462),"",'Środki trwałe'!E462)</f>
        <v/>
      </c>
      <c r="E161" s="274">
        <f>IF(AND('Środki trwałe'!F462="tak",'Środki trwałe'!G462="nie"),'Środki trwałe'!H462,0)</f>
        <v>0</v>
      </c>
      <c r="F161" s="176">
        <f t="shared" si="37"/>
        <v>0</v>
      </c>
      <c r="G161" s="33">
        <f>IF(AND('Środki trwałe'!F462="tak",'Środki trwałe'!G462="tak"),'Środki trwałe'!I462,0)</f>
        <v>0</v>
      </c>
      <c r="H161" s="324"/>
      <c r="I161" s="267"/>
      <c r="J161" s="525" t="str">
        <f>IF(ISBLANK('Środki trwałe'!C462),"",'Środki trwałe'!C462)</f>
        <v/>
      </c>
      <c r="K161" s="264">
        <f t="shared" si="38"/>
        <v>0</v>
      </c>
      <c r="L161" s="264">
        <f t="shared" si="38"/>
        <v>0</v>
      </c>
      <c r="M161" s="264">
        <f t="shared" si="38"/>
        <v>0</v>
      </c>
      <c r="N161" s="264">
        <f t="shared" si="38"/>
        <v>0</v>
      </c>
      <c r="O161" s="264">
        <f t="shared" si="38"/>
        <v>0</v>
      </c>
      <c r="P161" s="264">
        <f t="shared" si="38"/>
        <v>0</v>
      </c>
      <c r="Q161" s="264">
        <f t="shared" si="38"/>
        <v>0</v>
      </c>
      <c r="R161" s="264">
        <f t="shared" si="38"/>
        <v>0</v>
      </c>
      <c r="S161" s="264">
        <f t="shared" si="38"/>
        <v>0</v>
      </c>
      <c r="T161" s="264">
        <f t="shared" si="38"/>
        <v>0</v>
      </c>
      <c r="U161" s="264">
        <f t="shared" si="38"/>
        <v>0</v>
      </c>
      <c r="V161" s="264">
        <f t="shared" si="38"/>
        <v>0</v>
      </c>
      <c r="W161" s="264">
        <f t="shared" si="38"/>
        <v>0</v>
      </c>
      <c r="X161" s="264">
        <f t="shared" si="38"/>
        <v>0</v>
      </c>
    </row>
    <row r="162" spans="1:24">
      <c r="B162" s="99" t="s">
        <v>335</v>
      </c>
      <c r="C162" s="98">
        <f>SUM(C117:C161)</f>
        <v>0</v>
      </c>
      <c r="D162" s="200"/>
      <c r="E162" s="97"/>
      <c r="F162" s="98">
        <f>SUM(F117:F161)</f>
        <v>0</v>
      </c>
      <c r="G162" s="98">
        <f>SUM(G117:G161)</f>
        <v>0</v>
      </c>
      <c r="H162" s="321"/>
      <c r="I162" s="97"/>
      <c r="J162" s="526"/>
      <c r="K162" s="98">
        <f t="shared" ref="K162:X162" si="39">ROUND(SUM(K117:K161),0)</f>
        <v>0</v>
      </c>
      <c r="L162" s="98">
        <f t="shared" si="39"/>
        <v>0</v>
      </c>
      <c r="M162" s="98">
        <f t="shared" si="39"/>
        <v>0</v>
      </c>
      <c r="N162" s="98">
        <f t="shared" si="39"/>
        <v>0</v>
      </c>
      <c r="O162" s="98">
        <f t="shared" si="39"/>
        <v>0</v>
      </c>
      <c r="P162" s="98">
        <f t="shared" si="39"/>
        <v>0</v>
      </c>
      <c r="Q162" s="98">
        <f t="shared" si="39"/>
        <v>0</v>
      </c>
      <c r="R162" s="98">
        <f t="shared" si="39"/>
        <v>0</v>
      </c>
      <c r="S162" s="98">
        <f t="shared" si="39"/>
        <v>0</v>
      </c>
      <c r="T162" s="98">
        <f t="shared" si="39"/>
        <v>0</v>
      </c>
      <c r="U162" s="98">
        <f t="shared" si="39"/>
        <v>0</v>
      </c>
      <c r="V162" s="98">
        <f t="shared" si="39"/>
        <v>0</v>
      </c>
      <c r="W162" s="98">
        <f t="shared" si="39"/>
        <v>0</v>
      </c>
      <c r="X162" s="98">
        <f t="shared" si="39"/>
        <v>0</v>
      </c>
    </row>
    <row r="163" spans="1:24">
      <c r="B163" s="104" t="s">
        <v>450</v>
      </c>
      <c r="C163" s="102"/>
      <c r="D163" s="102"/>
      <c r="E163" s="102"/>
      <c r="F163" s="102"/>
      <c r="G163" s="102"/>
      <c r="H163" s="317"/>
      <c r="I163" s="102"/>
      <c r="J163" s="527"/>
      <c r="K163" s="103">
        <f t="shared" ref="K163:X163" ca="1" si="40">ROUND(K726+K733+K740+K747+K999+K1006+K1013+K1020+K1027+K1034+K754+K761+K768+K775+K782+K789+K796+K803+K810+K817+K824+K831+K838+K845+K852+K859+K866+K873+K880+K887+K894+K901+K908+K915+K922+K929+K936+K943+K950+K957+K964+K971+K978+K985+K992,0)</f>
        <v>0</v>
      </c>
      <c r="L163" s="103">
        <f t="shared" ca="1" si="40"/>
        <v>0</v>
      </c>
      <c r="M163" s="103">
        <f t="shared" ca="1" si="40"/>
        <v>0</v>
      </c>
      <c r="N163" s="103">
        <f t="shared" ca="1" si="40"/>
        <v>0</v>
      </c>
      <c r="O163" s="103">
        <f t="shared" ca="1" si="40"/>
        <v>0</v>
      </c>
      <c r="P163" s="103">
        <f t="shared" ca="1" si="40"/>
        <v>0</v>
      </c>
      <c r="Q163" s="103">
        <f t="shared" ca="1" si="40"/>
        <v>0</v>
      </c>
      <c r="R163" s="103">
        <f t="shared" ca="1" si="40"/>
        <v>0</v>
      </c>
      <c r="S163" s="103">
        <f t="shared" ca="1" si="40"/>
        <v>0</v>
      </c>
      <c r="T163" s="103">
        <f t="shared" ca="1" si="40"/>
        <v>0</v>
      </c>
      <c r="U163" s="103">
        <f t="shared" ca="1" si="40"/>
        <v>0</v>
      </c>
      <c r="V163" s="103">
        <f t="shared" ca="1" si="40"/>
        <v>0</v>
      </c>
      <c r="W163" s="103">
        <f t="shared" ca="1" si="40"/>
        <v>0</v>
      </c>
      <c r="X163" s="103">
        <f t="shared" ca="1" si="40"/>
        <v>0</v>
      </c>
    </row>
    <row r="164" spans="1:24">
      <c r="B164" s="37" t="s">
        <v>451</v>
      </c>
      <c r="C164" s="52"/>
      <c r="D164" s="52"/>
      <c r="E164" s="52"/>
      <c r="F164" s="52"/>
      <c r="G164" s="52"/>
      <c r="H164" s="316"/>
      <c r="I164" s="52"/>
      <c r="J164" s="528"/>
      <c r="K164" s="33">
        <f t="shared" ref="K164:X164" ca="1" si="41">ROUND(K727+K734+K741+K748+K1000+K1007+K1014+K1021+K1028+K1035+K755+K762+K769+K776+K783+K790+K797+K804+K811+K818+K825+K832+K839+K846+K853+K860+K867+K874+K881+K888+K895+K902+K909+K916+K923+K930+K937+K944+K951+K958+K965+K972+K979+K986+K993,0)</f>
        <v>0</v>
      </c>
      <c r="L164" s="33">
        <f t="shared" ca="1" si="41"/>
        <v>0</v>
      </c>
      <c r="M164" s="33">
        <f t="shared" ca="1" si="41"/>
        <v>0</v>
      </c>
      <c r="N164" s="33">
        <f t="shared" ca="1" si="41"/>
        <v>0</v>
      </c>
      <c r="O164" s="33">
        <f t="shared" ca="1" si="41"/>
        <v>0</v>
      </c>
      <c r="P164" s="33">
        <f t="shared" ca="1" si="41"/>
        <v>0</v>
      </c>
      <c r="Q164" s="33">
        <f t="shared" ca="1" si="41"/>
        <v>0</v>
      </c>
      <c r="R164" s="33">
        <f t="shared" ca="1" si="41"/>
        <v>0</v>
      </c>
      <c r="S164" s="33">
        <f t="shared" ca="1" si="41"/>
        <v>0</v>
      </c>
      <c r="T164" s="33">
        <f t="shared" ca="1" si="41"/>
        <v>0</v>
      </c>
      <c r="U164" s="33">
        <f t="shared" ca="1" si="41"/>
        <v>0</v>
      </c>
      <c r="V164" s="33">
        <f t="shared" ca="1" si="41"/>
        <v>0</v>
      </c>
      <c r="W164" s="33">
        <f t="shared" ca="1" si="41"/>
        <v>0</v>
      </c>
      <c r="X164" s="33">
        <f t="shared" ca="1" si="41"/>
        <v>0</v>
      </c>
    </row>
    <row r="165" spans="1:24">
      <c r="B165" s="106" t="s">
        <v>452</v>
      </c>
      <c r="C165" s="106"/>
      <c r="D165" s="106"/>
      <c r="E165" s="106"/>
      <c r="F165" s="106"/>
      <c r="G165" s="106"/>
      <c r="H165" s="325"/>
      <c r="I165" s="106"/>
      <c r="J165" s="529"/>
      <c r="K165" s="107">
        <f>'Środki trwałe'!K561</f>
        <v>0</v>
      </c>
      <c r="L165" s="107">
        <f>'Środki trwałe'!L561</f>
        <v>0</v>
      </c>
      <c r="M165" s="107">
        <f>'Środki trwałe'!M561</f>
        <v>0</v>
      </c>
      <c r="N165" s="107">
        <f>'Środki trwałe'!N561</f>
        <v>0</v>
      </c>
      <c r="O165" s="107">
        <f>'Środki trwałe'!O561</f>
        <v>0</v>
      </c>
      <c r="P165" s="107">
        <f>'Środki trwałe'!P561</f>
        <v>0</v>
      </c>
      <c r="Q165" s="107">
        <f>'Środki trwałe'!Q561</f>
        <v>0</v>
      </c>
      <c r="R165" s="107">
        <f>'Środki trwałe'!R561</f>
        <v>0</v>
      </c>
      <c r="S165" s="107">
        <f>'Środki trwałe'!S561</f>
        <v>0</v>
      </c>
      <c r="T165" s="107">
        <f>'Środki trwałe'!T561</f>
        <v>0</v>
      </c>
      <c r="U165" s="107">
        <f>'Środki trwałe'!U561</f>
        <v>0</v>
      </c>
      <c r="V165" s="107">
        <f>'Środki trwałe'!V561</f>
        <v>0</v>
      </c>
      <c r="W165" s="107">
        <f>'Środki trwałe'!W561</f>
        <v>0</v>
      </c>
      <c r="X165" s="107">
        <f>'Środki trwałe'!X561</f>
        <v>0</v>
      </c>
    </row>
    <row r="166" spans="1:24">
      <c r="B166" s="201" t="s">
        <v>453</v>
      </c>
      <c r="C166" s="52"/>
      <c r="D166" s="52"/>
      <c r="E166" s="52"/>
      <c r="F166" s="52"/>
      <c r="G166" s="52"/>
      <c r="H166" s="316"/>
      <c r="I166" s="52"/>
      <c r="J166" s="528"/>
      <c r="K166" s="87">
        <f t="shared" ref="K166:X166" ca="1" si="42">ROUND(K728+K735+K742+K749+K1001+K1008+K1015+K1022+K1029+K1036+K756+K763+K770+K777+K784+K791+K798+K805+K812+K819+K826+K833+K840+K847+K854+K861+K868+K875+K882+K889+K896+K903+K910+K917+K924+K931+K938+K945+K952+K959+K966+K973+K980+K987+K994,0)</f>
        <v>0</v>
      </c>
      <c r="L166" s="87">
        <f t="shared" ca="1" si="42"/>
        <v>0</v>
      </c>
      <c r="M166" s="87">
        <f t="shared" ca="1" si="42"/>
        <v>0</v>
      </c>
      <c r="N166" s="87">
        <f t="shared" ca="1" si="42"/>
        <v>0</v>
      </c>
      <c r="O166" s="87">
        <f t="shared" ca="1" si="42"/>
        <v>0</v>
      </c>
      <c r="P166" s="87">
        <f t="shared" ca="1" si="42"/>
        <v>0</v>
      </c>
      <c r="Q166" s="87">
        <f t="shared" ca="1" si="42"/>
        <v>0</v>
      </c>
      <c r="R166" s="87">
        <f t="shared" ca="1" si="42"/>
        <v>0</v>
      </c>
      <c r="S166" s="87">
        <f t="shared" ca="1" si="42"/>
        <v>0</v>
      </c>
      <c r="T166" s="87">
        <f t="shared" ca="1" si="42"/>
        <v>0</v>
      </c>
      <c r="U166" s="87">
        <f t="shared" ca="1" si="42"/>
        <v>0</v>
      </c>
      <c r="V166" s="87">
        <f t="shared" ca="1" si="42"/>
        <v>0</v>
      </c>
      <c r="W166" s="87">
        <f t="shared" ca="1" si="42"/>
        <v>0</v>
      </c>
      <c r="X166" s="87">
        <f t="shared" ca="1" si="42"/>
        <v>0</v>
      </c>
    </row>
    <row r="167" spans="1:24">
      <c r="J167" s="531"/>
    </row>
    <row r="168" spans="1:24" customFormat="1">
      <c r="A168" s="1"/>
      <c r="J168" s="505"/>
    </row>
    <row r="169" spans="1:24" ht="24">
      <c r="B169" s="228" t="s">
        <v>392</v>
      </c>
      <c r="C169" s="229" t="s">
        <v>406</v>
      </c>
      <c r="D169" s="230" t="s">
        <v>421</v>
      </c>
      <c r="E169" s="230" t="s">
        <v>408</v>
      </c>
      <c r="F169" s="230" t="s">
        <v>409</v>
      </c>
      <c r="G169" s="230" t="s">
        <v>449</v>
      </c>
      <c r="H169" s="313"/>
      <c r="I169" s="231"/>
      <c r="J169" s="530"/>
      <c r="K169" s="232" t="str">
        <f t="shared" ref="K169:X169" si="43">LataProjekcji</f>
        <v>Uzupełnij dane</v>
      </c>
      <c r="L169" s="232" t="str">
        <f t="shared" si="43"/>
        <v/>
      </c>
      <c r="M169" s="232" t="str">
        <f t="shared" si="43"/>
        <v/>
      </c>
      <c r="N169" s="232" t="str">
        <f t="shared" si="43"/>
        <v/>
      </c>
      <c r="O169" s="232" t="str">
        <f t="shared" si="43"/>
        <v/>
      </c>
      <c r="P169" s="232" t="str">
        <f t="shared" si="43"/>
        <v/>
      </c>
      <c r="Q169" s="232" t="str">
        <f t="shared" si="43"/>
        <v/>
      </c>
      <c r="R169" s="232" t="str">
        <f t="shared" si="43"/>
        <v/>
      </c>
      <c r="S169" s="232" t="str">
        <f t="shared" si="43"/>
        <v/>
      </c>
      <c r="T169" s="232" t="str">
        <f t="shared" si="43"/>
        <v/>
      </c>
      <c r="U169" s="232" t="str">
        <f t="shared" si="43"/>
        <v/>
      </c>
      <c r="V169" s="232" t="str">
        <f t="shared" si="43"/>
        <v/>
      </c>
      <c r="W169" s="232" t="str">
        <f t="shared" si="43"/>
        <v/>
      </c>
      <c r="X169" s="232" t="str">
        <f t="shared" si="43"/>
        <v/>
      </c>
    </row>
    <row r="170" spans="1:24">
      <c r="B170" s="104" t="str">
        <f>IF(ISBLANK('Środki trwałe'!B574),"",'Środki trwałe'!B574)</f>
        <v/>
      </c>
      <c r="C170" s="103" t="str">
        <f>IF(ISBLANK('Środki trwałe'!D574),"",'Środki trwałe'!D574)</f>
        <v/>
      </c>
      <c r="D170" s="246" t="str">
        <f>IF(ISBLANK('Środki trwałe'!E574),"",'Środki trwałe'!E574)</f>
        <v/>
      </c>
      <c r="E170" s="198">
        <f>IF(AND('Środki trwałe'!F574="tak",'Środki trwałe'!G574="nie"),'Środki trwałe'!H574,0)</f>
        <v>0</v>
      </c>
      <c r="F170" s="95">
        <f t="shared" ref="F170:F179" si="44">IFERROR(IF(E170=0,0,ROUND(E170*C170,0)),0)</f>
        <v>0</v>
      </c>
      <c r="G170" s="103">
        <f>IF(AND('Środki trwałe'!F574="tak",'Środki trwałe'!G574="tak"),'Środki trwałe'!I574,0)</f>
        <v>0</v>
      </c>
      <c r="H170" s="317"/>
      <c r="I170" s="102"/>
      <c r="J170" s="532" t="str">
        <f>IF(ISBLANK('Środki trwałe'!C574),"",'Środki trwałe'!C574)</f>
        <v/>
      </c>
      <c r="K170" s="103">
        <f t="shared" ref="K170:X179" si="45">IFERROR(ROUND(IF(AND(YEAR($D170)=LataProjekcji,$F170&gt;0),$F170,0),0),0)</f>
        <v>0</v>
      </c>
      <c r="L170" s="103">
        <f t="shared" si="45"/>
        <v>0</v>
      </c>
      <c r="M170" s="103">
        <f t="shared" si="45"/>
        <v>0</v>
      </c>
      <c r="N170" s="103">
        <f t="shared" si="45"/>
        <v>0</v>
      </c>
      <c r="O170" s="103">
        <f t="shared" si="45"/>
        <v>0</v>
      </c>
      <c r="P170" s="103">
        <f t="shared" si="45"/>
        <v>0</v>
      </c>
      <c r="Q170" s="103">
        <f t="shared" si="45"/>
        <v>0</v>
      </c>
      <c r="R170" s="103">
        <f t="shared" si="45"/>
        <v>0</v>
      </c>
      <c r="S170" s="103">
        <f t="shared" si="45"/>
        <v>0</v>
      </c>
      <c r="T170" s="103">
        <f t="shared" si="45"/>
        <v>0</v>
      </c>
      <c r="U170" s="103">
        <f t="shared" si="45"/>
        <v>0</v>
      </c>
      <c r="V170" s="103">
        <f t="shared" si="45"/>
        <v>0</v>
      </c>
      <c r="W170" s="103">
        <f t="shared" si="45"/>
        <v>0</v>
      </c>
      <c r="X170" s="103">
        <f t="shared" si="45"/>
        <v>0</v>
      </c>
    </row>
    <row r="171" spans="1:24">
      <c r="B171" s="37" t="str">
        <f>IF(ISBLANK('Środki trwałe'!B575),"",'Środki trwałe'!B575)</f>
        <v/>
      </c>
      <c r="C171" s="33" t="str">
        <f>IF(ISBLANK('Środki trwałe'!D575),"",'Środki trwałe'!D575)</f>
        <v/>
      </c>
      <c r="D171" s="246" t="str">
        <f>IF(ISBLANK('Środki trwałe'!E575),"",'Środki trwałe'!E575)</f>
        <v/>
      </c>
      <c r="E171" s="74">
        <f>IF(AND('Środki trwałe'!F575="tak",'Środki trwałe'!G575="nie"),'Środki trwałe'!H575,0)</f>
        <v>0</v>
      </c>
      <c r="F171" s="95">
        <f t="shared" si="44"/>
        <v>0</v>
      </c>
      <c r="G171" s="33">
        <f ca="1">IF(AND('Środki trwałe'!F1707="tak",'Środki trwałe'!G1707="tak"),'Środki trwałe'!I1707,0)</f>
        <v>0</v>
      </c>
      <c r="H171" s="316"/>
      <c r="I171" s="52"/>
      <c r="J171" s="525" t="str">
        <f>IF(ISBLANK('Środki trwałe'!C575),"",'Środki trwałe'!C575)</f>
        <v/>
      </c>
      <c r="K171" s="33">
        <f t="shared" si="45"/>
        <v>0</v>
      </c>
      <c r="L171" s="33">
        <f t="shared" si="45"/>
        <v>0</v>
      </c>
      <c r="M171" s="33">
        <f t="shared" si="45"/>
        <v>0</v>
      </c>
      <c r="N171" s="33">
        <f t="shared" si="45"/>
        <v>0</v>
      </c>
      <c r="O171" s="33">
        <f t="shared" si="45"/>
        <v>0</v>
      </c>
      <c r="P171" s="33">
        <f t="shared" si="45"/>
        <v>0</v>
      </c>
      <c r="Q171" s="33">
        <f t="shared" si="45"/>
        <v>0</v>
      </c>
      <c r="R171" s="33">
        <f t="shared" si="45"/>
        <v>0</v>
      </c>
      <c r="S171" s="33">
        <f t="shared" si="45"/>
        <v>0</v>
      </c>
      <c r="T171" s="33">
        <f t="shared" si="45"/>
        <v>0</v>
      </c>
      <c r="U171" s="33">
        <f t="shared" si="45"/>
        <v>0</v>
      </c>
      <c r="V171" s="33">
        <f t="shared" si="45"/>
        <v>0</v>
      </c>
      <c r="W171" s="33">
        <f t="shared" si="45"/>
        <v>0</v>
      </c>
      <c r="X171" s="33">
        <f t="shared" si="45"/>
        <v>0</v>
      </c>
    </row>
    <row r="172" spans="1:24">
      <c r="B172" s="37" t="str">
        <f>IF(ISBLANK('Środki trwałe'!B576),"",'Środki trwałe'!B576)</f>
        <v/>
      </c>
      <c r="C172" s="33" t="str">
        <f>IF(ISBLANK('Środki trwałe'!D576),"",'Środki trwałe'!D576)</f>
        <v/>
      </c>
      <c r="D172" s="246" t="str">
        <f>IF(ISBLANK('Środki trwałe'!E576),"",'Środki trwałe'!E576)</f>
        <v/>
      </c>
      <c r="E172" s="74">
        <f>IF(AND('Środki trwałe'!F576="tak",'Środki trwałe'!G576="nie"),'Środki trwałe'!H576,0)</f>
        <v>0</v>
      </c>
      <c r="F172" s="95">
        <f t="shared" si="44"/>
        <v>0</v>
      </c>
      <c r="G172" s="33">
        <f>IF(AND('Środki trwałe'!F1708="tak",'Środki trwałe'!G1708="tak"),'Środki trwałe'!I1708,0)</f>
        <v>0</v>
      </c>
      <c r="H172" s="316"/>
      <c r="I172" s="52"/>
      <c r="J172" s="525" t="str">
        <f>IF(ISBLANK('Środki trwałe'!C576),"",'Środki trwałe'!C576)</f>
        <v/>
      </c>
      <c r="K172" s="33">
        <f t="shared" si="45"/>
        <v>0</v>
      </c>
      <c r="L172" s="33">
        <f t="shared" si="45"/>
        <v>0</v>
      </c>
      <c r="M172" s="33">
        <f t="shared" si="45"/>
        <v>0</v>
      </c>
      <c r="N172" s="33">
        <f t="shared" si="45"/>
        <v>0</v>
      </c>
      <c r="O172" s="33">
        <f t="shared" si="45"/>
        <v>0</v>
      </c>
      <c r="P172" s="33">
        <f t="shared" si="45"/>
        <v>0</v>
      </c>
      <c r="Q172" s="33">
        <f t="shared" si="45"/>
        <v>0</v>
      </c>
      <c r="R172" s="33">
        <f t="shared" si="45"/>
        <v>0</v>
      </c>
      <c r="S172" s="33">
        <f t="shared" si="45"/>
        <v>0</v>
      </c>
      <c r="T172" s="33">
        <f t="shared" si="45"/>
        <v>0</v>
      </c>
      <c r="U172" s="33">
        <f t="shared" si="45"/>
        <v>0</v>
      </c>
      <c r="V172" s="33">
        <f t="shared" si="45"/>
        <v>0</v>
      </c>
      <c r="W172" s="33">
        <f t="shared" si="45"/>
        <v>0</v>
      </c>
      <c r="X172" s="33">
        <f t="shared" si="45"/>
        <v>0</v>
      </c>
    </row>
    <row r="173" spans="1:24">
      <c r="B173" s="37" t="str">
        <f>IF(ISBLANK('Środki trwałe'!B577),"",'Środki trwałe'!B577)</f>
        <v/>
      </c>
      <c r="C173" s="33" t="str">
        <f>IF(ISBLANK('Środki trwałe'!D577),"",'Środki trwałe'!D577)</f>
        <v/>
      </c>
      <c r="D173" s="246" t="str">
        <f>IF(ISBLANK('Środki trwałe'!E577),"",'Środki trwałe'!E577)</f>
        <v/>
      </c>
      <c r="E173" s="74">
        <f>IF(AND('Środki trwałe'!F577="tak",'Środki trwałe'!G577="nie"),'Środki trwałe'!H577,0)</f>
        <v>0</v>
      </c>
      <c r="F173" s="95">
        <f t="shared" si="44"/>
        <v>0</v>
      </c>
      <c r="G173" s="33">
        <f>IF(AND('Środki trwałe'!F1709="tak",'Środki trwałe'!G1709="tak"),'Środki trwałe'!I1709,0)</f>
        <v>0</v>
      </c>
      <c r="H173" s="316"/>
      <c r="I173" s="52"/>
      <c r="J173" s="525" t="str">
        <f>IF(ISBLANK('Środki trwałe'!C577),"",'Środki trwałe'!C577)</f>
        <v/>
      </c>
      <c r="K173" s="33">
        <f t="shared" si="45"/>
        <v>0</v>
      </c>
      <c r="L173" s="33">
        <f t="shared" si="45"/>
        <v>0</v>
      </c>
      <c r="M173" s="33">
        <f t="shared" si="45"/>
        <v>0</v>
      </c>
      <c r="N173" s="33">
        <f t="shared" si="45"/>
        <v>0</v>
      </c>
      <c r="O173" s="33">
        <f t="shared" si="45"/>
        <v>0</v>
      </c>
      <c r="P173" s="33">
        <f t="shared" si="45"/>
        <v>0</v>
      </c>
      <c r="Q173" s="33">
        <f t="shared" si="45"/>
        <v>0</v>
      </c>
      <c r="R173" s="33">
        <f t="shared" si="45"/>
        <v>0</v>
      </c>
      <c r="S173" s="33">
        <f t="shared" si="45"/>
        <v>0</v>
      </c>
      <c r="T173" s="33">
        <f t="shared" si="45"/>
        <v>0</v>
      </c>
      <c r="U173" s="33">
        <f t="shared" si="45"/>
        <v>0</v>
      </c>
      <c r="V173" s="33">
        <f t="shared" si="45"/>
        <v>0</v>
      </c>
      <c r="W173" s="33">
        <f t="shared" si="45"/>
        <v>0</v>
      </c>
      <c r="X173" s="33">
        <f t="shared" si="45"/>
        <v>0</v>
      </c>
    </row>
    <row r="174" spans="1:24">
      <c r="B174" s="37" t="str">
        <f>IF(ISBLANK('Środki trwałe'!B578),"",'Środki trwałe'!B578)</f>
        <v/>
      </c>
      <c r="C174" s="33" t="str">
        <f>IF(ISBLANK('Środki trwałe'!D578),"",'Środki trwałe'!D578)</f>
        <v/>
      </c>
      <c r="D174" s="246" t="str">
        <f>IF(ISBLANK('Środki trwałe'!E578),"",'Środki trwałe'!E578)</f>
        <v/>
      </c>
      <c r="E174" s="74">
        <f>IF(AND('Środki trwałe'!F578="tak",'Środki trwałe'!G578="nie"),'Środki trwałe'!H578,0)</f>
        <v>0</v>
      </c>
      <c r="F174" s="95">
        <f t="shared" si="44"/>
        <v>0</v>
      </c>
      <c r="G174" s="33">
        <f>IF(AND('Środki trwałe'!F1710="tak",'Środki trwałe'!G1710="tak"),'Środki trwałe'!I1710,0)</f>
        <v>0</v>
      </c>
      <c r="H174" s="316"/>
      <c r="I174" s="52"/>
      <c r="J174" s="525" t="str">
        <f>IF(ISBLANK('Środki trwałe'!C578),"",'Środki trwałe'!C578)</f>
        <v/>
      </c>
      <c r="K174" s="33">
        <f t="shared" si="45"/>
        <v>0</v>
      </c>
      <c r="L174" s="33">
        <f t="shared" si="45"/>
        <v>0</v>
      </c>
      <c r="M174" s="33">
        <f t="shared" si="45"/>
        <v>0</v>
      </c>
      <c r="N174" s="33">
        <f t="shared" si="45"/>
        <v>0</v>
      </c>
      <c r="O174" s="33">
        <f t="shared" si="45"/>
        <v>0</v>
      </c>
      <c r="P174" s="33">
        <f t="shared" si="45"/>
        <v>0</v>
      </c>
      <c r="Q174" s="33">
        <f t="shared" si="45"/>
        <v>0</v>
      </c>
      <c r="R174" s="33">
        <f t="shared" si="45"/>
        <v>0</v>
      </c>
      <c r="S174" s="33">
        <f t="shared" si="45"/>
        <v>0</v>
      </c>
      <c r="T174" s="33">
        <f t="shared" si="45"/>
        <v>0</v>
      </c>
      <c r="U174" s="33">
        <f t="shared" si="45"/>
        <v>0</v>
      </c>
      <c r="V174" s="33">
        <f t="shared" si="45"/>
        <v>0</v>
      </c>
      <c r="W174" s="33">
        <f t="shared" si="45"/>
        <v>0</v>
      </c>
      <c r="X174" s="33">
        <f t="shared" si="45"/>
        <v>0</v>
      </c>
    </row>
    <row r="175" spans="1:24">
      <c r="B175" s="37" t="str">
        <f>IF(ISBLANK('Środki trwałe'!B579),"",'Środki trwałe'!B579)</f>
        <v/>
      </c>
      <c r="C175" s="33" t="str">
        <f>IF(ISBLANK('Środki trwałe'!D579),"",'Środki trwałe'!D579)</f>
        <v/>
      </c>
      <c r="D175" s="246" t="str">
        <f>IF(ISBLANK('Środki trwałe'!E579),"",'Środki trwałe'!E579)</f>
        <v/>
      </c>
      <c r="E175" s="74">
        <f>IF(AND('Środki trwałe'!F579="tak",'Środki trwałe'!G579="nie"),'Środki trwałe'!H579,0)</f>
        <v>0</v>
      </c>
      <c r="F175" s="95">
        <f t="shared" si="44"/>
        <v>0</v>
      </c>
      <c r="G175" s="33">
        <f>IF(AND('Środki trwałe'!F1711="tak",'Środki trwałe'!G1711="tak"),'Środki trwałe'!I1711,0)</f>
        <v>0</v>
      </c>
      <c r="H175" s="316"/>
      <c r="I175" s="52"/>
      <c r="J175" s="525" t="str">
        <f>IF(ISBLANK('Środki trwałe'!C579),"",'Środki trwałe'!C579)</f>
        <v/>
      </c>
      <c r="K175" s="33">
        <f t="shared" si="45"/>
        <v>0</v>
      </c>
      <c r="L175" s="33">
        <f t="shared" si="45"/>
        <v>0</v>
      </c>
      <c r="M175" s="33">
        <f t="shared" si="45"/>
        <v>0</v>
      </c>
      <c r="N175" s="33">
        <f t="shared" si="45"/>
        <v>0</v>
      </c>
      <c r="O175" s="33">
        <f t="shared" si="45"/>
        <v>0</v>
      </c>
      <c r="P175" s="33">
        <f t="shared" si="45"/>
        <v>0</v>
      </c>
      <c r="Q175" s="33">
        <f t="shared" si="45"/>
        <v>0</v>
      </c>
      <c r="R175" s="33">
        <f t="shared" si="45"/>
        <v>0</v>
      </c>
      <c r="S175" s="33">
        <f t="shared" si="45"/>
        <v>0</v>
      </c>
      <c r="T175" s="33">
        <f t="shared" si="45"/>
        <v>0</v>
      </c>
      <c r="U175" s="33">
        <f t="shared" si="45"/>
        <v>0</v>
      </c>
      <c r="V175" s="33">
        <f t="shared" si="45"/>
        <v>0</v>
      </c>
      <c r="W175" s="33">
        <f t="shared" si="45"/>
        <v>0</v>
      </c>
      <c r="X175" s="33">
        <f t="shared" si="45"/>
        <v>0</v>
      </c>
    </row>
    <row r="176" spans="1:24">
      <c r="B176" s="37" t="str">
        <f>IF(ISBLANK('Środki trwałe'!B580),"",'Środki trwałe'!B580)</f>
        <v/>
      </c>
      <c r="C176" s="33" t="str">
        <f>IF(ISBLANK('Środki trwałe'!D580),"",'Środki trwałe'!D580)</f>
        <v/>
      </c>
      <c r="D176" s="246" t="str">
        <f>IF(ISBLANK('Środki trwałe'!E580),"",'Środki trwałe'!E580)</f>
        <v/>
      </c>
      <c r="E176" s="74">
        <f>IF(AND('Środki trwałe'!F580="tak",'Środki trwałe'!G580="nie"),'Środki trwałe'!H580,0)</f>
        <v>0</v>
      </c>
      <c r="F176" s="95">
        <f t="shared" si="44"/>
        <v>0</v>
      </c>
      <c r="G176" s="33">
        <f>IF(AND('Środki trwałe'!F1712="tak",'Środki trwałe'!G1712="tak"),'Środki trwałe'!I1712,0)</f>
        <v>0</v>
      </c>
      <c r="H176" s="316"/>
      <c r="I176" s="52"/>
      <c r="J176" s="525" t="str">
        <f>IF(ISBLANK('Środki trwałe'!C580),"",'Środki trwałe'!C580)</f>
        <v/>
      </c>
      <c r="K176" s="33">
        <f t="shared" si="45"/>
        <v>0</v>
      </c>
      <c r="L176" s="33">
        <f t="shared" si="45"/>
        <v>0</v>
      </c>
      <c r="M176" s="33">
        <f t="shared" si="45"/>
        <v>0</v>
      </c>
      <c r="N176" s="33">
        <f t="shared" si="45"/>
        <v>0</v>
      </c>
      <c r="O176" s="33">
        <f t="shared" si="45"/>
        <v>0</v>
      </c>
      <c r="P176" s="33">
        <f t="shared" si="45"/>
        <v>0</v>
      </c>
      <c r="Q176" s="33">
        <f t="shared" si="45"/>
        <v>0</v>
      </c>
      <c r="R176" s="33">
        <f t="shared" si="45"/>
        <v>0</v>
      </c>
      <c r="S176" s="33">
        <f t="shared" si="45"/>
        <v>0</v>
      </c>
      <c r="T176" s="33">
        <f t="shared" si="45"/>
        <v>0</v>
      </c>
      <c r="U176" s="33">
        <f t="shared" si="45"/>
        <v>0</v>
      </c>
      <c r="V176" s="33">
        <f t="shared" si="45"/>
        <v>0</v>
      </c>
      <c r="W176" s="33">
        <f t="shared" si="45"/>
        <v>0</v>
      </c>
      <c r="X176" s="33">
        <f t="shared" si="45"/>
        <v>0</v>
      </c>
    </row>
    <row r="177" spans="1:24">
      <c r="B177" s="37" t="str">
        <f>IF(ISBLANK('Środki trwałe'!B581),"",'Środki trwałe'!B581)</f>
        <v/>
      </c>
      <c r="C177" s="33" t="str">
        <f>IF(ISBLANK('Środki trwałe'!D581),"",'Środki trwałe'!D581)</f>
        <v/>
      </c>
      <c r="D177" s="246" t="str">
        <f>IF(ISBLANK('Środki trwałe'!E581),"",'Środki trwałe'!E581)</f>
        <v/>
      </c>
      <c r="E177" s="74">
        <f>IF(AND('Środki trwałe'!F581="tak",'Środki trwałe'!G581="nie"),'Środki trwałe'!H581,0)</f>
        <v>0</v>
      </c>
      <c r="F177" s="95">
        <f t="shared" si="44"/>
        <v>0</v>
      </c>
      <c r="G177" s="33">
        <f ca="1">IF(AND('Środki trwałe'!F1713="tak",'Środki trwałe'!G1713="tak"),'Środki trwałe'!I1713,0)</f>
        <v>0</v>
      </c>
      <c r="H177" s="316"/>
      <c r="I177" s="52"/>
      <c r="J177" s="525" t="str">
        <f>IF(ISBLANK('Środki trwałe'!C581),"",'Środki trwałe'!C581)</f>
        <v/>
      </c>
      <c r="K177" s="33">
        <f t="shared" si="45"/>
        <v>0</v>
      </c>
      <c r="L177" s="33">
        <f t="shared" si="45"/>
        <v>0</v>
      </c>
      <c r="M177" s="33">
        <f t="shared" si="45"/>
        <v>0</v>
      </c>
      <c r="N177" s="33">
        <f t="shared" si="45"/>
        <v>0</v>
      </c>
      <c r="O177" s="33">
        <f t="shared" si="45"/>
        <v>0</v>
      </c>
      <c r="P177" s="33">
        <f t="shared" si="45"/>
        <v>0</v>
      </c>
      <c r="Q177" s="33">
        <f t="shared" si="45"/>
        <v>0</v>
      </c>
      <c r="R177" s="33">
        <f t="shared" si="45"/>
        <v>0</v>
      </c>
      <c r="S177" s="33">
        <f t="shared" si="45"/>
        <v>0</v>
      </c>
      <c r="T177" s="33">
        <f t="shared" si="45"/>
        <v>0</v>
      </c>
      <c r="U177" s="33">
        <f t="shared" si="45"/>
        <v>0</v>
      </c>
      <c r="V177" s="33">
        <f t="shared" si="45"/>
        <v>0</v>
      </c>
      <c r="W177" s="33">
        <f t="shared" si="45"/>
        <v>0</v>
      </c>
      <c r="X177" s="33">
        <f t="shared" si="45"/>
        <v>0</v>
      </c>
    </row>
    <row r="178" spans="1:24">
      <c r="B178" s="37" t="str">
        <f>IF(ISBLANK('Środki trwałe'!B582),"",'Środki trwałe'!B582)</f>
        <v/>
      </c>
      <c r="C178" s="33" t="str">
        <f>IF(ISBLANK('Środki trwałe'!D582),"",'Środki trwałe'!D582)</f>
        <v/>
      </c>
      <c r="D178" s="246" t="str">
        <f>IF(ISBLANK('Środki trwałe'!E582),"",'Środki trwałe'!E582)</f>
        <v/>
      </c>
      <c r="E178" s="74">
        <f>IF(AND('Środki trwałe'!F582="tak",'Środki trwałe'!G582="nie"),'Środki trwałe'!H582,0)</f>
        <v>0</v>
      </c>
      <c r="F178" s="95">
        <f t="shared" si="44"/>
        <v>0</v>
      </c>
      <c r="G178" s="33">
        <f ca="1">IF(AND('Środki trwałe'!F1714="tak",'Środki trwałe'!G1714="tak"),'Środki trwałe'!I1714,0)</f>
        <v>0</v>
      </c>
      <c r="H178" s="316"/>
      <c r="I178" s="52"/>
      <c r="J178" s="525" t="str">
        <f>IF(ISBLANK('Środki trwałe'!C582),"",'Środki trwałe'!C582)</f>
        <v/>
      </c>
      <c r="K178" s="33">
        <f t="shared" si="45"/>
        <v>0</v>
      </c>
      <c r="L178" s="33">
        <f t="shared" si="45"/>
        <v>0</v>
      </c>
      <c r="M178" s="33">
        <f t="shared" si="45"/>
        <v>0</v>
      </c>
      <c r="N178" s="33">
        <f t="shared" si="45"/>
        <v>0</v>
      </c>
      <c r="O178" s="33">
        <f t="shared" si="45"/>
        <v>0</v>
      </c>
      <c r="P178" s="33">
        <f t="shared" si="45"/>
        <v>0</v>
      </c>
      <c r="Q178" s="33">
        <f t="shared" si="45"/>
        <v>0</v>
      </c>
      <c r="R178" s="33">
        <f t="shared" si="45"/>
        <v>0</v>
      </c>
      <c r="S178" s="33">
        <f t="shared" si="45"/>
        <v>0</v>
      </c>
      <c r="T178" s="33">
        <f t="shared" si="45"/>
        <v>0</v>
      </c>
      <c r="U178" s="33">
        <f t="shared" si="45"/>
        <v>0</v>
      </c>
      <c r="V178" s="33">
        <f t="shared" si="45"/>
        <v>0</v>
      </c>
      <c r="W178" s="33">
        <f t="shared" si="45"/>
        <v>0</v>
      </c>
      <c r="X178" s="33">
        <f t="shared" si="45"/>
        <v>0</v>
      </c>
    </row>
    <row r="179" spans="1:24">
      <c r="B179" s="37" t="str">
        <f>IF(ISBLANK('Środki trwałe'!B583),"",'Środki trwałe'!B583)</f>
        <v/>
      </c>
      <c r="C179" s="33" t="str">
        <f>IF(ISBLANK('Środki trwałe'!D583),"",'Środki trwałe'!D583)</f>
        <v/>
      </c>
      <c r="D179" s="246" t="str">
        <f>IF(ISBLANK('Środki trwałe'!E583),"",'Środki trwałe'!E583)</f>
        <v/>
      </c>
      <c r="E179" s="199">
        <f>IF(AND('Środki trwałe'!F583="tak",'Środki trwałe'!G583="nie"),'Środki trwałe'!H583,0)</f>
        <v>0</v>
      </c>
      <c r="F179" s="95">
        <f t="shared" si="44"/>
        <v>0</v>
      </c>
      <c r="G179" s="33">
        <f>IF(AND('Środki trwałe'!F1715="tak",'Środki trwałe'!G1715="tak"),'Środki trwałe'!I1715,0)</f>
        <v>0</v>
      </c>
      <c r="H179" s="316"/>
      <c r="I179" s="52"/>
      <c r="J179" s="525" t="str">
        <f>IF(ISBLANK('Środki trwałe'!C583),"",'Środki trwałe'!C583)</f>
        <v/>
      </c>
      <c r="K179" s="33">
        <f t="shared" si="45"/>
        <v>0</v>
      </c>
      <c r="L179" s="33">
        <f t="shared" si="45"/>
        <v>0</v>
      </c>
      <c r="M179" s="33">
        <f t="shared" si="45"/>
        <v>0</v>
      </c>
      <c r="N179" s="33">
        <f t="shared" si="45"/>
        <v>0</v>
      </c>
      <c r="O179" s="33">
        <f t="shared" si="45"/>
        <v>0</v>
      </c>
      <c r="P179" s="33">
        <f t="shared" si="45"/>
        <v>0</v>
      </c>
      <c r="Q179" s="33">
        <f t="shared" si="45"/>
        <v>0</v>
      </c>
      <c r="R179" s="33">
        <f t="shared" si="45"/>
        <v>0</v>
      </c>
      <c r="S179" s="33">
        <f t="shared" si="45"/>
        <v>0</v>
      </c>
      <c r="T179" s="33">
        <f t="shared" si="45"/>
        <v>0</v>
      </c>
      <c r="U179" s="33">
        <f t="shared" si="45"/>
        <v>0</v>
      </c>
      <c r="V179" s="33">
        <f t="shared" si="45"/>
        <v>0</v>
      </c>
      <c r="W179" s="33">
        <f t="shared" si="45"/>
        <v>0</v>
      </c>
      <c r="X179" s="33">
        <f t="shared" si="45"/>
        <v>0</v>
      </c>
    </row>
    <row r="180" spans="1:24">
      <c r="B180" s="99" t="s">
        <v>335</v>
      </c>
      <c r="C180" s="98">
        <f>SUM(C170:C179)</f>
        <v>0</v>
      </c>
      <c r="D180" s="200"/>
      <c r="E180" s="97"/>
      <c r="F180" s="98">
        <f>SUM(F170:F179)</f>
        <v>0</v>
      </c>
      <c r="G180" s="98">
        <f ca="1">SUM(G170:G179)</f>
        <v>0</v>
      </c>
      <c r="H180" s="321"/>
      <c r="I180" s="97"/>
      <c r="J180" s="526"/>
      <c r="K180" s="98">
        <f t="shared" ref="K180:X180" si="46">ROUND(SUM(K170:K179),0)</f>
        <v>0</v>
      </c>
      <c r="L180" s="98">
        <f t="shared" si="46"/>
        <v>0</v>
      </c>
      <c r="M180" s="98">
        <f t="shared" si="46"/>
        <v>0</v>
      </c>
      <c r="N180" s="98">
        <f t="shared" si="46"/>
        <v>0</v>
      </c>
      <c r="O180" s="98">
        <f t="shared" si="46"/>
        <v>0</v>
      </c>
      <c r="P180" s="98">
        <f t="shared" si="46"/>
        <v>0</v>
      </c>
      <c r="Q180" s="98">
        <f t="shared" si="46"/>
        <v>0</v>
      </c>
      <c r="R180" s="98">
        <f t="shared" si="46"/>
        <v>0</v>
      </c>
      <c r="S180" s="98">
        <f t="shared" si="46"/>
        <v>0</v>
      </c>
      <c r="T180" s="98">
        <f t="shared" si="46"/>
        <v>0</v>
      </c>
      <c r="U180" s="98">
        <f t="shared" si="46"/>
        <v>0</v>
      </c>
      <c r="V180" s="98">
        <f t="shared" si="46"/>
        <v>0</v>
      </c>
      <c r="W180" s="98">
        <f t="shared" si="46"/>
        <v>0</v>
      </c>
      <c r="X180" s="98">
        <f t="shared" si="46"/>
        <v>0</v>
      </c>
    </row>
    <row r="181" spans="1:24">
      <c r="B181" s="104" t="s">
        <v>450</v>
      </c>
      <c r="C181" s="102"/>
      <c r="D181" s="102"/>
      <c r="E181" s="102"/>
      <c r="F181" s="102"/>
      <c r="G181" s="102"/>
      <c r="H181" s="317"/>
      <c r="I181" s="102"/>
      <c r="J181" s="527"/>
      <c r="K181" s="103">
        <f t="shared" ref="K181:X181" ca="1" si="47">ROUND(K1044+K1051+K1058+K1065+K1107+K1072+K1079+K1086+K1093+K1100,0)</f>
        <v>0</v>
      </c>
      <c r="L181" s="103">
        <f t="shared" ca="1" si="47"/>
        <v>0</v>
      </c>
      <c r="M181" s="103">
        <f t="shared" ca="1" si="47"/>
        <v>0</v>
      </c>
      <c r="N181" s="103">
        <f t="shared" ca="1" si="47"/>
        <v>0</v>
      </c>
      <c r="O181" s="103">
        <f t="shared" ca="1" si="47"/>
        <v>0</v>
      </c>
      <c r="P181" s="103">
        <f t="shared" ca="1" si="47"/>
        <v>0</v>
      </c>
      <c r="Q181" s="103">
        <f t="shared" ca="1" si="47"/>
        <v>0</v>
      </c>
      <c r="R181" s="103">
        <f t="shared" ca="1" si="47"/>
        <v>0</v>
      </c>
      <c r="S181" s="103">
        <f t="shared" ca="1" si="47"/>
        <v>0</v>
      </c>
      <c r="T181" s="103">
        <f t="shared" ca="1" si="47"/>
        <v>0</v>
      </c>
      <c r="U181" s="103">
        <f t="shared" ca="1" si="47"/>
        <v>0</v>
      </c>
      <c r="V181" s="103">
        <f t="shared" ca="1" si="47"/>
        <v>0</v>
      </c>
      <c r="W181" s="103">
        <f t="shared" ca="1" si="47"/>
        <v>0</v>
      </c>
      <c r="X181" s="103">
        <f t="shared" ca="1" si="47"/>
        <v>0</v>
      </c>
    </row>
    <row r="182" spans="1:24">
      <c r="B182" s="37" t="s">
        <v>451</v>
      </c>
      <c r="C182" s="52"/>
      <c r="D182" s="52"/>
      <c r="E182" s="52"/>
      <c r="F182" s="52"/>
      <c r="G182" s="52"/>
      <c r="H182" s="316"/>
      <c r="I182" s="52"/>
      <c r="J182" s="528"/>
      <c r="K182" s="33">
        <f t="shared" ref="K182:X182" ca="1" si="48">ROUND(K1045+K1052+K1059+K1066+K1108+K1073+K1080+K1087+K1094+K1101,0)</f>
        <v>0</v>
      </c>
      <c r="L182" s="33">
        <f t="shared" ca="1" si="48"/>
        <v>0</v>
      </c>
      <c r="M182" s="33">
        <f t="shared" ca="1" si="48"/>
        <v>0</v>
      </c>
      <c r="N182" s="33">
        <f t="shared" ca="1" si="48"/>
        <v>0</v>
      </c>
      <c r="O182" s="33">
        <f t="shared" ca="1" si="48"/>
        <v>0</v>
      </c>
      <c r="P182" s="33">
        <f t="shared" ca="1" si="48"/>
        <v>0</v>
      </c>
      <c r="Q182" s="33">
        <f t="shared" ca="1" si="48"/>
        <v>0</v>
      </c>
      <c r="R182" s="33">
        <f t="shared" ca="1" si="48"/>
        <v>0</v>
      </c>
      <c r="S182" s="33">
        <f t="shared" ca="1" si="48"/>
        <v>0</v>
      </c>
      <c r="T182" s="33">
        <f t="shared" ca="1" si="48"/>
        <v>0</v>
      </c>
      <c r="U182" s="33">
        <f t="shared" ca="1" si="48"/>
        <v>0</v>
      </c>
      <c r="V182" s="33">
        <f t="shared" ca="1" si="48"/>
        <v>0</v>
      </c>
      <c r="W182" s="33">
        <f t="shared" ca="1" si="48"/>
        <v>0</v>
      </c>
      <c r="X182" s="33">
        <f t="shared" ca="1" si="48"/>
        <v>0</v>
      </c>
    </row>
    <row r="183" spans="1:24">
      <c r="B183" s="106" t="s">
        <v>452</v>
      </c>
      <c r="C183" s="106"/>
      <c r="D183" s="106"/>
      <c r="E183" s="106"/>
      <c r="F183" s="106"/>
      <c r="G183" s="106"/>
      <c r="H183" s="325"/>
      <c r="I183" s="106"/>
      <c r="J183" s="529"/>
      <c r="K183" s="107">
        <f>'Środki trwałe'!K612</f>
        <v>0</v>
      </c>
      <c r="L183" s="107">
        <f>'Środki trwałe'!L612</f>
        <v>0</v>
      </c>
      <c r="M183" s="107">
        <f>'Środki trwałe'!M612</f>
        <v>0</v>
      </c>
      <c r="N183" s="107">
        <f>'Środki trwałe'!N612</f>
        <v>0</v>
      </c>
      <c r="O183" s="107">
        <f>'Środki trwałe'!O612</f>
        <v>0</v>
      </c>
      <c r="P183" s="107">
        <f>'Środki trwałe'!P612</f>
        <v>0</v>
      </c>
      <c r="Q183" s="107">
        <f>'Środki trwałe'!Q612</f>
        <v>0</v>
      </c>
      <c r="R183" s="107">
        <f>'Środki trwałe'!R612</f>
        <v>0</v>
      </c>
      <c r="S183" s="107">
        <f>'Środki trwałe'!S612</f>
        <v>0</v>
      </c>
      <c r="T183" s="107">
        <f>'Środki trwałe'!T612</f>
        <v>0</v>
      </c>
      <c r="U183" s="107">
        <f>'Środki trwałe'!U612</f>
        <v>0</v>
      </c>
      <c r="V183" s="107">
        <f>'Środki trwałe'!V612</f>
        <v>0</v>
      </c>
      <c r="W183" s="107">
        <f>'Środki trwałe'!W612</f>
        <v>0</v>
      </c>
      <c r="X183" s="107">
        <f>'Środki trwałe'!X612</f>
        <v>0</v>
      </c>
    </row>
    <row r="184" spans="1:24">
      <c r="B184" s="201" t="s">
        <v>453</v>
      </c>
      <c r="C184" s="52"/>
      <c r="D184" s="52"/>
      <c r="E184" s="52"/>
      <c r="F184" s="52"/>
      <c r="G184" s="52"/>
      <c r="H184" s="316"/>
      <c r="I184" s="52"/>
      <c r="J184" s="528"/>
      <c r="K184" s="87">
        <f t="shared" ref="K184:X184" ca="1" si="49">ROUND(K1046+K1053+K1060+K1067+K1109+K1074+K1081+K1088+K1095+K1102,0)</f>
        <v>0</v>
      </c>
      <c r="L184" s="87">
        <f t="shared" ca="1" si="49"/>
        <v>0</v>
      </c>
      <c r="M184" s="87">
        <f t="shared" ca="1" si="49"/>
        <v>0</v>
      </c>
      <c r="N184" s="87">
        <f t="shared" ca="1" si="49"/>
        <v>0</v>
      </c>
      <c r="O184" s="87">
        <f t="shared" ca="1" si="49"/>
        <v>0</v>
      </c>
      <c r="P184" s="87">
        <f t="shared" ca="1" si="49"/>
        <v>0</v>
      </c>
      <c r="Q184" s="87">
        <f t="shared" ca="1" si="49"/>
        <v>0</v>
      </c>
      <c r="R184" s="87">
        <f t="shared" ca="1" si="49"/>
        <v>0</v>
      </c>
      <c r="S184" s="87">
        <f t="shared" ca="1" si="49"/>
        <v>0</v>
      </c>
      <c r="T184" s="87">
        <f t="shared" ca="1" si="49"/>
        <v>0</v>
      </c>
      <c r="U184" s="87">
        <f t="shared" ca="1" si="49"/>
        <v>0</v>
      </c>
      <c r="V184" s="87">
        <f t="shared" ca="1" si="49"/>
        <v>0</v>
      </c>
      <c r="W184" s="87">
        <f t="shared" ca="1" si="49"/>
        <v>0</v>
      </c>
      <c r="X184" s="87">
        <f t="shared" ca="1" si="49"/>
        <v>0</v>
      </c>
    </row>
    <row r="185" spans="1:24">
      <c r="J185" s="531"/>
    </row>
    <row r="186" spans="1:24" customFormat="1">
      <c r="A186" s="1"/>
      <c r="J186" s="505"/>
    </row>
    <row r="187" spans="1:24" ht="24">
      <c r="B187" s="228" t="s">
        <v>393</v>
      </c>
      <c r="C187" s="229" t="s">
        <v>406</v>
      </c>
      <c r="D187" s="230" t="s">
        <v>421</v>
      </c>
      <c r="E187" s="230" t="s">
        <v>408</v>
      </c>
      <c r="F187" s="230" t="s">
        <v>409</v>
      </c>
      <c r="G187" s="230" t="s">
        <v>449</v>
      </c>
      <c r="H187" s="313"/>
      <c r="I187" s="231"/>
      <c r="J187" s="530"/>
      <c r="K187" s="232" t="str">
        <f t="shared" ref="K187:X187" si="50">LataProjekcji</f>
        <v>Uzupełnij dane</v>
      </c>
      <c r="L187" s="232" t="str">
        <f t="shared" si="50"/>
        <v/>
      </c>
      <c r="M187" s="232" t="str">
        <f t="shared" si="50"/>
        <v/>
      </c>
      <c r="N187" s="232" t="str">
        <f t="shared" si="50"/>
        <v/>
      </c>
      <c r="O187" s="232" t="str">
        <f t="shared" si="50"/>
        <v/>
      </c>
      <c r="P187" s="232" t="str">
        <f t="shared" si="50"/>
        <v/>
      </c>
      <c r="Q187" s="232" t="str">
        <f t="shared" si="50"/>
        <v/>
      </c>
      <c r="R187" s="232" t="str">
        <f t="shared" si="50"/>
        <v/>
      </c>
      <c r="S187" s="232" t="str">
        <f t="shared" si="50"/>
        <v/>
      </c>
      <c r="T187" s="232" t="str">
        <f t="shared" si="50"/>
        <v/>
      </c>
      <c r="U187" s="232" t="str">
        <f t="shared" si="50"/>
        <v/>
      </c>
      <c r="V187" s="232" t="str">
        <f t="shared" si="50"/>
        <v/>
      </c>
      <c r="W187" s="232" t="str">
        <f t="shared" si="50"/>
        <v/>
      </c>
      <c r="X187" s="232" t="str">
        <f t="shared" si="50"/>
        <v/>
      </c>
    </row>
    <row r="188" spans="1:24">
      <c r="B188" s="104" t="str">
        <f>IF(ISBLANK('Środki trwałe'!B616),"",'Środki trwałe'!B616)</f>
        <v/>
      </c>
      <c r="C188" s="103" t="str">
        <f>IF(ISBLANK('Środki trwałe'!D616),"",'Środki trwałe'!D616)</f>
        <v/>
      </c>
      <c r="D188" s="246" t="str">
        <f>IF(ISBLANK('Środki trwałe'!E616),"",'Środki trwałe'!E616)</f>
        <v/>
      </c>
      <c r="E188" s="198">
        <f>IF(AND('Środki trwałe'!F616="tak",'Środki trwałe'!G616="nie"),'Środki trwałe'!H616,0)</f>
        <v>0</v>
      </c>
      <c r="F188" s="95">
        <f t="shared" ref="F188:F197" si="51">IFERROR(IF(E188=0,0,ROUND(E188*C188,0)),0)</f>
        <v>0</v>
      </c>
      <c r="G188" s="103">
        <f>IF(AND('Środki trwałe'!F616="tak",'Środki trwałe'!G616="tak"),'Środki trwałe'!I616,0)</f>
        <v>0</v>
      </c>
      <c r="H188" s="317"/>
      <c r="I188" s="102"/>
      <c r="J188" s="532" t="str">
        <f>IF(ISBLANK('Środki trwałe'!C616),"",'Środki trwałe'!C616)</f>
        <v/>
      </c>
      <c r="K188" s="103">
        <f t="shared" ref="K188:X197" si="52">IFERROR(ROUND(IF(AND(YEAR($D188)=LataProjekcji,$F188&gt;0),$F188,0),0),0)</f>
        <v>0</v>
      </c>
      <c r="L188" s="103">
        <f t="shared" si="52"/>
        <v>0</v>
      </c>
      <c r="M188" s="103">
        <f t="shared" si="52"/>
        <v>0</v>
      </c>
      <c r="N188" s="103">
        <f t="shared" si="52"/>
        <v>0</v>
      </c>
      <c r="O188" s="103">
        <f t="shared" si="52"/>
        <v>0</v>
      </c>
      <c r="P188" s="103">
        <f t="shared" si="52"/>
        <v>0</v>
      </c>
      <c r="Q188" s="103">
        <f t="shared" si="52"/>
        <v>0</v>
      </c>
      <c r="R188" s="103">
        <f t="shared" si="52"/>
        <v>0</v>
      </c>
      <c r="S188" s="103">
        <f t="shared" si="52"/>
        <v>0</v>
      </c>
      <c r="T188" s="103">
        <f t="shared" si="52"/>
        <v>0</v>
      </c>
      <c r="U188" s="103">
        <f t="shared" si="52"/>
        <v>0</v>
      </c>
      <c r="V188" s="103">
        <f t="shared" si="52"/>
        <v>0</v>
      </c>
      <c r="W188" s="103">
        <f t="shared" si="52"/>
        <v>0</v>
      </c>
      <c r="X188" s="103">
        <f t="shared" si="52"/>
        <v>0</v>
      </c>
    </row>
    <row r="189" spans="1:24">
      <c r="B189" s="37" t="str">
        <f>IF(ISBLANK('Środki trwałe'!B617),"",'Środki trwałe'!B617)</f>
        <v/>
      </c>
      <c r="C189" s="33" t="str">
        <f>IF(ISBLANK('Środki trwałe'!D617),"",'Środki trwałe'!D617)</f>
        <v/>
      </c>
      <c r="D189" s="246" t="str">
        <f>IF(ISBLANK('Środki trwałe'!E617),"",'Środki trwałe'!E617)</f>
        <v/>
      </c>
      <c r="E189" s="74">
        <f>IF(AND('Środki trwałe'!F617="tak",'Środki trwałe'!G617="nie"),'Środki trwałe'!H617,0)</f>
        <v>0</v>
      </c>
      <c r="F189" s="95">
        <f t="shared" si="51"/>
        <v>0</v>
      </c>
      <c r="G189" s="33">
        <f>IF(AND('Środki trwałe'!F617="tak",'Środki trwałe'!G617="tak"),'Środki trwałe'!I617,0)</f>
        <v>0</v>
      </c>
      <c r="H189" s="316"/>
      <c r="I189" s="52"/>
      <c r="J189" s="525" t="str">
        <f>IF(ISBLANK('Środki trwałe'!C617),"",'Środki trwałe'!C617)</f>
        <v/>
      </c>
      <c r="K189" s="33">
        <f t="shared" si="52"/>
        <v>0</v>
      </c>
      <c r="L189" s="33">
        <f t="shared" si="52"/>
        <v>0</v>
      </c>
      <c r="M189" s="33">
        <f t="shared" si="52"/>
        <v>0</v>
      </c>
      <c r="N189" s="33">
        <f t="shared" si="52"/>
        <v>0</v>
      </c>
      <c r="O189" s="33">
        <f t="shared" si="52"/>
        <v>0</v>
      </c>
      <c r="P189" s="33">
        <f t="shared" si="52"/>
        <v>0</v>
      </c>
      <c r="Q189" s="33">
        <f t="shared" si="52"/>
        <v>0</v>
      </c>
      <c r="R189" s="33">
        <f t="shared" si="52"/>
        <v>0</v>
      </c>
      <c r="S189" s="33">
        <f t="shared" si="52"/>
        <v>0</v>
      </c>
      <c r="T189" s="33">
        <f t="shared" si="52"/>
        <v>0</v>
      </c>
      <c r="U189" s="33">
        <f t="shared" si="52"/>
        <v>0</v>
      </c>
      <c r="V189" s="33">
        <f t="shared" si="52"/>
        <v>0</v>
      </c>
      <c r="W189" s="33">
        <f t="shared" si="52"/>
        <v>0</v>
      </c>
      <c r="X189" s="33">
        <f t="shared" si="52"/>
        <v>0</v>
      </c>
    </row>
    <row r="190" spans="1:24">
      <c r="B190" s="37" t="str">
        <f>IF(ISBLANK('Środki trwałe'!B618),"",'Środki trwałe'!B618)</f>
        <v/>
      </c>
      <c r="C190" s="33" t="str">
        <f>IF(ISBLANK('Środki trwałe'!D618),"",'Środki trwałe'!D618)</f>
        <v/>
      </c>
      <c r="D190" s="246" t="str">
        <f>IF(ISBLANK('Środki trwałe'!E618),"",'Środki trwałe'!E618)</f>
        <v/>
      </c>
      <c r="E190" s="74">
        <f>IF(AND('Środki trwałe'!F618="tak",'Środki trwałe'!G618="nie"),'Środki trwałe'!H618,0)</f>
        <v>0</v>
      </c>
      <c r="F190" s="95">
        <f t="shared" si="51"/>
        <v>0</v>
      </c>
      <c r="G190" s="33">
        <f>IF(AND('Środki trwałe'!F618="tak",'Środki trwałe'!G618="tak"),'Środki trwałe'!I618,0)</f>
        <v>0</v>
      </c>
      <c r="H190" s="316"/>
      <c r="I190" s="52"/>
      <c r="J190" s="525" t="str">
        <f>IF(ISBLANK('Środki trwałe'!C618),"",'Środki trwałe'!C618)</f>
        <v/>
      </c>
      <c r="K190" s="33">
        <f t="shared" si="52"/>
        <v>0</v>
      </c>
      <c r="L190" s="33">
        <f t="shared" si="52"/>
        <v>0</v>
      </c>
      <c r="M190" s="33">
        <f t="shared" si="52"/>
        <v>0</v>
      </c>
      <c r="N190" s="33">
        <f t="shared" si="52"/>
        <v>0</v>
      </c>
      <c r="O190" s="33">
        <f t="shared" si="52"/>
        <v>0</v>
      </c>
      <c r="P190" s="33">
        <f t="shared" si="52"/>
        <v>0</v>
      </c>
      <c r="Q190" s="33">
        <f t="shared" si="52"/>
        <v>0</v>
      </c>
      <c r="R190" s="33">
        <f t="shared" si="52"/>
        <v>0</v>
      </c>
      <c r="S190" s="33">
        <f t="shared" si="52"/>
        <v>0</v>
      </c>
      <c r="T190" s="33">
        <f t="shared" si="52"/>
        <v>0</v>
      </c>
      <c r="U190" s="33">
        <f t="shared" si="52"/>
        <v>0</v>
      </c>
      <c r="V190" s="33">
        <f t="shared" si="52"/>
        <v>0</v>
      </c>
      <c r="W190" s="33">
        <f t="shared" si="52"/>
        <v>0</v>
      </c>
      <c r="X190" s="33">
        <f t="shared" si="52"/>
        <v>0</v>
      </c>
    </row>
    <row r="191" spans="1:24">
      <c r="B191" s="37" t="str">
        <f>IF(ISBLANK('Środki trwałe'!B619),"",'Środki trwałe'!B619)</f>
        <v/>
      </c>
      <c r="C191" s="33" t="str">
        <f>IF(ISBLANK('Środki trwałe'!D619),"",'Środki trwałe'!D619)</f>
        <v/>
      </c>
      <c r="D191" s="246" t="str">
        <f>IF(ISBLANK('Środki trwałe'!E619),"",'Środki trwałe'!E619)</f>
        <v/>
      </c>
      <c r="E191" s="74">
        <f>IF(AND('Środki trwałe'!F619="tak",'Środki trwałe'!G619="nie"),'Środki trwałe'!H619,0)</f>
        <v>0</v>
      </c>
      <c r="F191" s="95">
        <f t="shared" si="51"/>
        <v>0</v>
      </c>
      <c r="G191" s="33">
        <f>IF(AND('Środki trwałe'!F619="tak",'Środki trwałe'!G619="tak"),'Środki trwałe'!I619,0)</f>
        <v>0</v>
      </c>
      <c r="H191" s="316"/>
      <c r="I191" s="52"/>
      <c r="J191" s="525" t="str">
        <f>IF(ISBLANK('Środki trwałe'!C619),"",'Środki trwałe'!C619)</f>
        <v/>
      </c>
      <c r="K191" s="33">
        <f t="shared" si="52"/>
        <v>0</v>
      </c>
      <c r="L191" s="33">
        <f t="shared" si="52"/>
        <v>0</v>
      </c>
      <c r="M191" s="33">
        <f t="shared" si="52"/>
        <v>0</v>
      </c>
      <c r="N191" s="33">
        <f t="shared" si="52"/>
        <v>0</v>
      </c>
      <c r="O191" s="33">
        <f t="shared" si="52"/>
        <v>0</v>
      </c>
      <c r="P191" s="33">
        <f t="shared" si="52"/>
        <v>0</v>
      </c>
      <c r="Q191" s="33">
        <f t="shared" si="52"/>
        <v>0</v>
      </c>
      <c r="R191" s="33">
        <f t="shared" si="52"/>
        <v>0</v>
      </c>
      <c r="S191" s="33">
        <f t="shared" si="52"/>
        <v>0</v>
      </c>
      <c r="T191" s="33">
        <f t="shared" si="52"/>
        <v>0</v>
      </c>
      <c r="U191" s="33">
        <f t="shared" si="52"/>
        <v>0</v>
      </c>
      <c r="V191" s="33">
        <f t="shared" si="52"/>
        <v>0</v>
      </c>
      <c r="W191" s="33">
        <f t="shared" si="52"/>
        <v>0</v>
      </c>
      <c r="X191" s="33">
        <f t="shared" si="52"/>
        <v>0</v>
      </c>
    </row>
    <row r="192" spans="1:24">
      <c r="B192" s="37" t="str">
        <f>IF(ISBLANK('Środki trwałe'!B620),"",'Środki trwałe'!B620)</f>
        <v/>
      </c>
      <c r="C192" s="33" t="str">
        <f>IF(ISBLANK('Środki trwałe'!D620),"",'Środki trwałe'!D620)</f>
        <v/>
      </c>
      <c r="D192" s="246" t="str">
        <f>IF(ISBLANK('Środki trwałe'!E620),"",'Środki trwałe'!E620)</f>
        <v/>
      </c>
      <c r="E192" s="74">
        <f>IF(AND('Środki trwałe'!F620="tak",'Środki trwałe'!G620="nie"),'Środki trwałe'!H620,0)</f>
        <v>0</v>
      </c>
      <c r="F192" s="95">
        <f t="shared" si="51"/>
        <v>0</v>
      </c>
      <c r="G192" s="33">
        <f>IF(AND('Środki trwałe'!F620="tak",'Środki trwałe'!G620="tak"),'Środki trwałe'!I620,0)</f>
        <v>0</v>
      </c>
      <c r="H192" s="316"/>
      <c r="I192" s="52"/>
      <c r="J192" s="525" t="str">
        <f>IF(ISBLANK('Środki trwałe'!C620),"",'Środki trwałe'!C620)</f>
        <v/>
      </c>
      <c r="K192" s="33">
        <f t="shared" si="52"/>
        <v>0</v>
      </c>
      <c r="L192" s="33">
        <f t="shared" si="52"/>
        <v>0</v>
      </c>
      <c r="M192" s="33">
        <f t="shared" si="52"/>
        <v>0</v>
      </c>
      <c r="N192" s="33">
        <f t="shared" si="52"/>
        <v>0</v>
      </c>
      <c r="O192" s="33">
        <f t="shared" si="52"/>
        <v>0</v>
      </c>
      <c r="P192" s="33">
        <f t="shared" si="52"/>
        <v>0</v>
      </c>
      <c r="Q192" s="33">
        <f t="shared" si="52"/>
        <v>0</v>
      </c>
      <c r="R192" s="33">
        <f t="shared" si="52"/>
        <v>0</v>
      </c>
      <c r="S192" s="33">
        <f t="shared" si="52"/>
        <v>0</v>
      </c>
      <c r="T192" s="33">
        <f t="shared" si="52"/>
        <v>0</v>
      </c>
      <c r="U192" s="33">
        <f t="shared" si="52"/>
        <v>0</v>
      </c>
      <c r="V192" s="33">
        <f t="shared" si="52"/>
        <v>0</v>
      </c>
      <c r="W192" s="33">
        <f t="shared" si="52"/>
        <v>0</v>
      </c>
      <c r="X192" s="33">
        <f t="shared" si="52"/>
        <v>0</v>
      </c>
    </row>
    <row r="193" spans="2:24">
      <c r="B193" s="37" t="str">
        <f>IF(ISBLANK('Środki trwałe'!B621),"",'Środki trwałe'!B621)</f>
        <v/>
      </c>
      <c r="C193" s="33" t="str">
        <f>IF(ISBLANK('Środki trwałe'!D621),"",'Środki trwałe'!D621)</f>
        <v/>
      </c>
      <c r="D193" s="246" t="str">
        <f>IF(ISBLANK('Środki trwałe'!E621),"",'Środki trwałe'!E621)</f>
        <v/>
      </c>
      <c r="E193" s="74">
        <f>IF(AND('Środki trwałe'!F621="tak",'Środki trwałe'!G621="nie"),'Środki trwałe'!H621,0)</f>
        <v>0</v>
      </c>
      <c r="F193" s="95">
        <f t="shared" si="51"/>
        <v>0</v>
      </c>
      <c r="G193" s="33">
        <f>IF(AND('Środki trwałe'!F621="tak",'Środki trwałe'!G621="tak"),'Środki trwałe'!I621,0)</f>
        <v>0</v>
      </c>
      <c r="H193" s="316"/>
      <c r="I193" s="52"/>
      <c r="J193" s="525" t="str">
        <f>IF(ISBLANK('Środki trwałe'!C621),"",'Środki trwałe'!C621)</f>
        <v/>
      </c>
      <c r="K193" s="33">
        <f t="shared" si="52"/>
        <v>0</v>
      </c>
      <c r="L193" s="33">
        <f t="shared" si="52"/>
        <v>0</v>
      </c>
      <c r="M193" s="33">
        <f t="shared" si="52"/>
        <v>0</v>
      </c>
      <c r="N193" s="33">
        <f t="shared" si="52"/>
        <v>0</v>
      </c>
      <c r="O193" s="33">
        <f t="shared" si="52"/>
        <v>0</v>
      </c>
      <c r="P193" s="33">
        <f t="shared" si="52"/>
        <v>0</v>
      </c>
      <c r="Q193" s="33">
        <f t="shared" si="52"/>
        <v>0</v>
      </c>
      <c r="R193" s="33">
        <f t="shared" si="52"/>
        <v>0</v>
      </c>
      <c r="S193" s="33">
        <f t="shared" si="52"/>
        <v>0</v>
      </c>
      <c r="T193" s="33">
        <f t="shared" si="52"/>
        <v>0</v>
      </c>
      <c r="U193" s="33">
        <f t="shared" si="52"/>
        <v>0</v>
      </c>
      <c r="V193" s="33">
        <f t="shared" si="52"/>
        <v>0</v>
      </c>
      <c r="W193" s="33">
        <f t="shared" si="52"/>
        <v>0</v>
      </c>
      <c r="X193" s="33">
        <f t="shared" si="52"/>
        <v>0</v>
      </c>
    </row>
    <row r="194" spans="2:24">
      <c r="B194" s="37" t="str">
        <f>IF(ISBLANK('Środki trwałe'!B622),"",'Środki trwałe'!B622)</f>
        <v/>
      </c>
      <c r="C194" s="33" t="str">
        <f>IF(ISBLANK('Środki trwałe'!D622),"",'Środki trwałe'!D622)</f>
        <v/>
      </c>
      <c r="D194" s="246" t="str">
        <f>IF(ISBLANK('Środki trwałe'!E622),"",'Środki trwałe'!E622)</f>
        <v/>
      </c>
      <c r="E194" s="74">
        <f>IF(AND('Środki trwałe'!F622="tak",'Środki trwałe'!G622="nie"),'Środki trwałe'!H622,0)</f>
        <v>0</v>
      </c>
      <c r="F194" s="95">
        <f t="shared" si="51"/>
        <v>0</v>
      </c>
      <c r="G194" s="33">
        <f>IF(AND('Środki trwałe'!F622="tak",'Środki trwałe'!G622="tak"),'Środki trwałe'!I622,0)</f>
        <v>0</v>
      </c>
      <c r="H194" s="316"/>
      <c r="I194" s="52"/>
      <c r="J194" s="525" t="str">
        <f>IF(ISBLANK('Środki trwałe'!C622),"",'Środki trwałe'!C622)</f>
        <v/>
      </c>
      <c r="K194" s="33">
        <f t="shared" si="52"/>
        <v>0</v>
      </c>
      <c r="L194" s="33">
        <f t="shared" si="52"/>
        <v>0</v>
      </c>
      <c r="M194" s="33">
        <f t="shared" si="52"/>
        <v>0</v>
      </c>
      <c r="N194" s="33">
        <f t="shared" si="52"/>
        <v>0</v>
      </c>
      <c r="O194" s="33">
        <f t="shared" si="52"/>
        <v>0</v>
      </c>
      <c r="P194" s="33">
        <f t="shared" si="52"/>
        <v>0</v>
      </c>
      <c r="Q194" s="33">
        <f t="shared" si="52"/>
        <v>0</v>
      </c>
      <c r="R194" s="33">
        <f t="shared" si="52"/>
        <v>0</v>
      </c>
      <c r="S194" s="33">
        <f t="shared" si="52"/>
        <v>0</v>
      </c>
      <c r="T194" s="33">
        <f t="shared" si="52"/>
        <v>0</v>
      </c>
      <c r="U194" s="33">
        <f t="shared" si="52"/>
        <v>0</v>
      </c>
      <c r="V194" s="33">
        <f t="shared" si="52"/>
        <v>0</v>
      </c>
      <c r="W194" s="33">
        <f t="shared" si="52"/>
        <v>0</v>
      </c>
      <c r="X194" s="33">
        <f t="shared" si="52"/>
        <v>0</v>
      </c>
    </row>
    <row r="195" spans="2:24">
      <c r="B195" s="37" t="str">
        <f>IF(ISBLANK('Środki trwałe'!B623),"",'Środki trwałe'!B623)</f>
        <v/>
      </c>
      <c r="C195" s="33" t="str">
        <f>IF(ISBLANK('Środki trwałe'!D623),"",'Środki trwałe'!D623)</f>
        <v/>
      </c>
      <c r="D195" s="246" t="str">
        <f>IF(ISBLANK('Środki trwałe'!E623),"",'Środki trwałe'!E623)</f>
        <v/>
      </c>
      <c r="E195" s="74">
        <f>IF(AND('Środki trwałe'!F623="tak",'Środki trwałe'!G623="nie"),'Środki trwałe'!H623,0)</f>
        <v>0</v>
      </c>
      <c r="F195" s="95">
        <f t="shared" si="51"/>
        <v>0</v>
      </c>
      <c r="G195" s="33">
        <f>IF(AND('Środki trwałe'!F623="tak",'Środki trwałe'!G623="tak"),'Środki trwałe'!I623,0)</f>
        <v>0</v>
      </c>
      <c r="H195" s="316"/>
      <c r="I195" s="52"/>
      <c r="J195" s="525" t="str">
        <f>IF(ISBLANK('Środki trwałe'!C623),"",'Środki trwałe'!C623)</f>
        <v/>
      </c>
      <c r="K195" s="33">
        <f t="shared" si="52"/>
        <v>0</v>
      </c>
      <c r="L195" s="33">
        <f t="shared" si="52"/>
        <v>0</v>
      </c>
      <c r="M195" s="33">
        <f t="shared" si="52"/>
        <v>0</v>
      </c>
      <c r="N195" s="33">
        <f t="shared" si="52"/>
        <v>0</v>
      </c>
      <c r="O195" s="33">
        <f t="shared" si="52"/>
        <v>0</v>
      </c>
      <c r="P195" s="33">
        <f t="shared" si="52"/>
        <v>0</v>
      </c>
      <c r="Q195" s="33">
        <f t="shared" si="52"/>
        <v>0</v>
      </c>
      <c r="R195" s="33">
        <f t="shared" si="52"/>
        <v>0</v>
      </c>
      <c r="S195" s="33">
        <f t="shared" si="52"/>
        <v>0</v>
      </c>
      <c r="T195" s="33">
        <f t="shared" si="52"/>
        <v>0</v>
      </c>
      <c r="U195" s="33">
        <f t="shared" si="52"/>
        <v>0</v>
      </c>
      <c r="V195" s="33">
        <f t="shared" si="52"/>
        <v>0</v>
      </c>
      <c r="W195" s="33">
        <f t="shared" si="52"/>
        <v>0</v>
      </c>
      <c r="X195" s="33">
        <f t="shared" si="52"/>
        <v>0</v>
      </c>
    </row>
    <row r="196" spans="2:24">
      <c r="B196" s="37" t="str">
        <f>IF(ISBLANK('Środki trwałe'!B624),"",'Środki trwałe'!B624)</f>
        <v/>
      </c>
      <c r="C196" s="33" t="str">
        <f>IF(ISBLANK('Środki trwałe'!D624),"",'Środki trwałe'!D624)</f>
        <v/>
      </c>
      <c r="D196" s="246" t="str">
        <f>IF(ISBLANK('Środki trwałe'!E624),"",'Środki trwałe'!E624)</f>
        <v/>
      </c>
      <c r="E196" s="74">
        <f>IF(AND('Środki trwałe'!F624="tak",'Środki trwałe'!G624="nie"),'Środki trwałe'!H624,0)</f>
        <v>0</v>
      </c>
      <c r="F196" s="95">
        <f t="shared" si="51"/>
        <v>0</v>
      </c>
      <c r="G196" s="33">
        <f>IF(AND('Środki trwałe'!F624="tak",'Środki trwałe'!G624="tak"),'Środki trwałe'!I624,0)</f>
        <v>0</v>
      </c>
      <c r="H196" s="316"/>
      <c r="I196" s="52"/>
      <c r="J196" s="525" t="str">
        <f>IF(ISBLANK('Środki trwałe'!C624),"",'Środki trwałe'!C624)</f>
        <v/>
      </c>
      <c r="K196" s="33">
        <f t="shared" si="52"/>
        <v>0</v>
      </c>
      <c r="L196" s="33">
        <f t="shared" si="52"/>
        <v>0</v>
      </c>
      <c r="M196" s="33">
        <f t="shared" si="52"/>
        <v>0</v>
      </c>
      <c r="N196" s="33">
        <f t="shared" si="52"/>
        <v>0</v>
      </c>
      <c r="O196" s="33">
        <f t="shared" si="52"/>
        <v>0</v>
      </c>
      <c r="P196" s="33">
        <f t="shared" si="52"/>
        <v>0</v>
      </c>
      <c r="Q196" s="33">
        <f t="shared" si="52"/>
        <v>0</v>
      </c>
      <c r="R196" s="33">
        <f t="shared" si="52"/>
        <v>0</v>
      </c>
      <c r="S196" s="33">
        <f t="shared" si="52"/>
        <v>0</v>
      </c>
      <c r="T196" s="33">
        <f t="shared" si="52"/>
        <v>0</v>
      </c>
      <c r="U196" s="33">
        <f t="shared" si="52"/>
        <v>0</v>
      </c>
      <c r="V196" s="33">
        <f t="shared" si="52"/>
        <v>0</v>
      </c>
      <c r="W196" s="33">
        <f t="shared" si="52"/>
        <v>0</v>
      </c>
      <c r="X196" s="33">
        <f t="shared" si="52"/>
        <v>0</v>
      </c>
    </row>
    <row r="197" spans="2:24">
      <c r="B197" s="37" t="str">
        <f>IF(ISBLANK('Środki trwałe'!B625),"",'Środki trwałe'!B625)</f>
        <v/>
      </c>
      <c r="C197" s="33" t="str">
        <f>IF(ISBLANK('Środki trwałe'!D625),"",'Środki trwałe'!D625)</f>
        <v/>
      </c>
      <c r="D197" s="246" t="str">
        <f>IF(ISBLANK('Środki trwałe'!E625),"",'Środki trwałe'!E625)</f>
        <v/>
      </c>
      <c r="E197" s="199">
        <f>IF(AND('Środki trwałe'!F625="tak",'Środki trwałe'!G625="nie"),'Środki trwałe'!H625,0)</f>
        <v>0</v>
      </c>
      <c r="F197" s="95">
        <f t="shared" si="51"/>
        <v>0</v>
      </c>
      <c r="G197" s="33">
        <f>IF(AND('Środki trwałe'!F625="tak",'Środki trwałe'!G625="tak"),'Środki trwałe'!I625,0)</f>
        <v>0</v>
      </c>
      <c r="H197" s="316"/>
      <c r="I197" s="52"/>
      <c r="J197" s="525" t="str">
        <f>IF(ISBLANK('Środki trwałe'!C625),"",'Środki trwałe'!C625)</f>
        <v/>
      </c>
      <c r="K197" s="33">
        <f t="shared" si="52"/>
        <v>0</v>
      </c>
      <c r="L197" s="33">
        <f t="shared" si="52"/>
        <v>0</v>
      </c>
      <c r="M197" s="33">
        <f t="shared" si="52"/>
        <v>0</v>
      </c>
      <c r="N197" s="33">
        <f t="shared" si="52"/>
        <v>0</v>
      </c>
      <c r="O197" s="33">
        <f t="shared" si="52"/>
        <v>0</v>
      </c>
      <c r="P197" s="33">
        <f t="shared" si="52"/>
        <v>0</v>
      </c>
      <c r="Q197" s="33">
        <f t="shared" si="52"/>
        <v>0</v>
      </c>
      <c r="R197" s="33">
        <f t="shared" si="52"/>
        <v>0</v>
      </c>
      <c r="S197" s="33">
        <f t="shared" si="52"/>
        <v>0</v>
      </c>
      <c r="T197" s="33">
        <f t="shared" si="52"/>
        <v>0</v>
      </c>
      <c r="U197" s="33">
        <f t="shared" si="52"/>
        <v>0</v>
      </c>
      <c r="V197" s="33">
        <f t="shared" si="52"/>
        <v>0</v>
      </c>
      <c r="W197" s="33">
        <f t="shared" si="52"/>
        <v>0</v>
      </c>
      <c r="X197" s="33">
        <f t="shared" si="52"/>
        <v>0</v>
      </c>
    </row>
    <row r="198" spans="2:24">
      <c r="B198" s="99" t="s">
        <v>335</v>
      </c>
      <c r="C198" s="98">
        <f>SUM(C188:C197)</f>
        <v>0</v>
      </c>
      <c r="D198" s="200"/>
      <c r="E198" s="97"/>
      <c r="F198" s="98">
        <f>SUM(F188:F197)</f>
        <v>0</v>
      </c>
      <c r="G198" s="98">
        <f>SUM(G188:G197)</f>
        <v>0</v>
      </c>
      <c r="H198" s="321"/>
      <c r="I198" s="97"/>
      <c r="J198" s="97"/>
      <c r="K198" s="98">
        <f t="shared" ref="K198:X198" si="53">ROUND(SUM(K188:K197),0)</f>
        <v>0</v>
      </c>
      <c r="L198" s="98">
        <f t="shared" si="53"/>
        <v>0</v>
      </c>
      <c r="M198" s="98">
        <f t="shared" si="53"/>
        <v>0</v>
      </c>
      <c r="N198" s="98">
        <f t="shared" si="53"/>
        <v>0</v>
      </c>
      <c r="O198" s="98">
        <f t="shared" si="53"/>
        <v>0</v>
      </c>
      <c r="P198" s="98">
        <f t="shared" si="53"/>
        <v>0</v>
      </c>
      <c r="Q198" s="98">
        <f t="shared" si="53"/>
        <v>0</v>
      </c>
      <c r="R198" s="98">
        <f t="shared" si="53"/>
        <v>0</v>
      </c>
      <c r="S198" s="98">
        <f t="shared" si="53"/>
        <v>0</v>
      </c>
      <c r="T198" s="98">
        <f t="shared" si="53"/>
        <v>0</v>
      </c>
      <c r="U198" s="98">
        <f t="shared" si="53"/>
        <v>0</v>
      </c>
      <c r="V198" s="98">
        <f t="shared" si="53"/>
        <v>0</v>
      </c>
      <c r="W198" s="98">
        <f t="shared" si="53"/>
        <v>0</v>
      </c>
      <c r="X198" s="98">
        <f t="shared" si="53"/>
        <v>0</v>
      </c>
    </row>
    <row r="199" spans="2:24">
      <c r="B199" s="104" t="s">
        <v>450</v>
      </c>
      <c r="C199" s="102"/>
      <c r="D199" s="102"/>
      <c r="E199" s="102"/>
      <c r="F199" s="102"/>
      <c r="G199" s="102"/>
      <c r="H199" s="317"/>
      <c r="I199" s="102"/>
      <c r="J199" s="102"/>
      <c r="K199" s="103">
        <f t="shared" ref="K199:X199" ca="1" si="54">ROUND(K1117+K1124+K1131+K1138+K1180+K1145+K1152+K1159+K1166+K1173,0)</f>
        <v>0</v>
      </c>
      <c r="L199" s="103">
        <f t="shared" ca="1" si="54"/>
        <v>0</v>
      </c>
      <c r="M199" s="103">
        <f t="shared" ca="1" si="54"/>
        <v>0</v>
      </c>
      <c r="N199" s="103">
        <f t="shared" ca="1" si="54"/>
        <v>0</v>
      </c>
      <c r="O199" s="103">
        <f t="shared" ca="1" si="54"/>
        <v>0</v>
      </c>
      <c r="P199" s="103">
        <f t="shared" ca="1" si="54"/>
        <v>0</v>
      </c>
      <c r="Q199" s="103">
        <f t="shared" ca="1" si="54"/>
        <v>0</v>
      </c>
      <c r="R199" s="103">
        <f t="shared" ca="1" si="54"/>
        <v>0</v>
      </c>
      <c r="S199" s="103">
        <f t="shared" ca="1" si="54"/>
        <v>0</v>
      </c>
      <c r="T199" s="103">
        <f t="shared" ca="1" si="54"/>
        <v>0</v>
      </c>
      <c r="U199" s="103">
        <f t="shared" ca="1" si="54"/>
        <v>0</v>
      </c>
      <c r="V199" s="103">
        <f t="shared" ca="1" si="54"/>
        <v>0</v>
      </c>
      <c r="W199" s="103">
        <f t="shared" ca="1" si="54"/>
        <v>0</v>
      </c>
      <c r="X199" s="103">
        <f t="shared" ca="1" si="54"/>
        <v>0</v>
      </c>
    </row>
    <row r="200" spans="2:24">
      <c r="B200" s="37" t="s">
        <v>451</v>
      </c>
      <c r="C200" s="52"/>
      <c r="D200" s="52"/>
      <c r="E200" s="52"/>
      <c r="F200" s="52"/>
      <c r="G200" s="52"/>
      <c r="H200" s="316"/>
      <c r="I200" s="52"/>
      <c r="J200" s="52"/>
      <c r="K200" s="33">
        <f t="shared" ref="K200:X200" ca="1" si="55">ROUND(K1118+K1125+K1132+K1139+K1181+K1146+K1153+K1160+K1167+K1174,0)</f>
        <v>0</v>
      </c>
      <c r="L200" s="33">
        <f t="shared" ca="1" si="55"/>
        <v>0</v>
      </c>
      <c r="M200" s="33">
        <f t="shared" ca="1" si="55"/>
        <v>0</v>
      </c>
      <c r="N200" s="33">
        <f t="shared" ca="1" si="55"/>
        <v>0</v>
      </c>
      <c r="O200" s="33">
        <f t="shared" ca="1" si="55"/>
        <v>0</v>
      </c>
      <c r="P200" s="33">
        <f t="shared" ca="1" si="55"/>
        <v>0</v>
      </c>
      <c r="Q200" s="33">
        <f t="shared" ca="1" si="55"/>
        <v>0</v>
      </c>
      <c r="R200" s="33">
        <f t="shared" ca="1" si="55"/>
        <v>0</v>
      </c>
      <c r="S200" s="33">
        <f t="shared" ca="1" si="55"/>
        <v>0</v>
      </c>
      <c r="T200" s="33">
        <f t="shared" ca="1" si="55"/>
        <v>0</v>
      </c>
      <c r="U200" s="33">
        <f t="shared" ca="1" si="55"/>
        <v>0</v>
      </c>
      <c r="V200" s="33">
        <f t="shared" ca="1" si="55"/>
        <v>0</v>
      </c>
      <c r="W200" s="33">
        <f t="shared" ca="1" si="55"/>
        <v>0</v>
      </c>
      <c r="X200" s="33">
        <f t="shared" ca="1" si="55"/>
        <v>0</v>
      </c>
    </row>
    <row r="201" spans="2:24">
      <c r="B201" s="106" t="s">
        <v>452</v>
      </c>
      <c r="C201" s="106"/>
      <c r="D201" s="106"/>
      <c r="E201" s="106"/>
      <c r="F201" s="106"/>
      <c r="G201" s="106"/>
      <c r="H201" s="325"/>
      <c r="I201" s="106"/>
      <c r="J201" s="106"/>
      <c r="K201" s="107">
        <f>'Środki trwałe'!K654</f>
        <v>0</v>
      </c>
      <c r="L201" s="107">
        <f>'Środki trwałe'!L654</f>
        <v>0</v>
      </c>
      <c r="M201" s="107">
        <f>'Środki trwałe'!M654</f>
        <v>0</v>
      </c>
      <c r="N201" s="107">
        <f>'Środki trwałe'!N654</f>
        <v>0</v>
      </c>
      <c r="O201" s="107">
        <f>'Środki trwałe'!O654</f>
        <v>0</v>
      </c>
      <c r="P201" s="107">
        <f>'Środki trwałe'!P654</f>
        <v>0</v>
      </c>
      <c r="Q201" s="107">
        <f>'Środki trwałe'!Q654</f>
        <v>0</v>
      </c>
      <c r="R201" s="107">
        <f>'Środki trwałe'!R654</f>
        <v>0</v>
      </c>
      <c r="S201" s="107">
        <f>'Środki trwałe'!S654</f>
        <v>0</v>
      </c>
      <c r="T201" s="107">
        <f>'Środki trwałe'!T654</f>
        <v>0</v>
      </c>
      <c r="U201" s="107">
        <f>'Środki trwałe'!U654</f>
        <v>0</v>
      </c>
      <c r="V201" s="107">
        <f>'Środki trwałe'!V654</f>
        <v>0</v>
      </c>
      <c r="W201" s="107">
        <f>'Środki trwałe'!W654</f>
        <v>0</v>
      </c>
      <c r="X201" s="107">
        <f>'Środki trwałe'!X654</f>
        <v>0</v>
      </c>
    </row>
    <row r="202" spans="2:24">
      <c r="B202" s="201" t="s">
        <v>453</v>
      </c>
      <c r="C202" s="52"/>
      <c r="D202" s="52"/>
      <c r="E202" s="52"/>
      <c r="F202" s="52"/>
      <c r="G202" s="52"/>
      <c r="H202" s="316"/>
      <c r="I202" s="52"/>
      <c r="J202" s="52"/>
      <c r="K202" s="87">
        <f t="shared" ref="K202:X202" ca="1" si="56">ROUND(K1119+K1126+K1133+K1140+K1182+K1147+K1154+K1161+K1168+K1175,0)</f>
        <v>0</v>
      </c>
      <c r="L202" s="87">
        <f t="shared" ca="1" si="56"/>
        <v>0</v>
      </c>
      <c r="M202" s="87">
        <f t="shared" ca="1" si="56"/>
        <v>0</v>
      </c>
      <c r="N202" s="87">
        <f t="shared" ca="1" si="56"/>
        <v>0</v>
      </c>
      <c r="O202" s="87">
        <f t="shared" ca="1" si="56"/>
        <v>0</v>
      </c>
      <c r="P202" s="87">
        <f t="shared" ca="1" si="56"/>
        <v>0</v>
      </c>
      <c r="Q202" s="87">
        <f t="shared" ca="1" si="56"/>
        <v>0</v>
      </c>
      <c r="R202" s="87">
        <f t="shared" ca="1" si="56"/>
        <v>0</v>
      </c>
      <c r="S202" s="87">
        <f t="shared" ca="1" si="56"/>
        <v>0</v>
      </c>
      <c r="T202" s="87">
        <f t="shared" ca="1" si="56"/>
        <v>0</v>
      </c>
      <c r="U202" s="87">
        <f t="shared" ca="1" si="56"/>
        <v>0</v>
      </c>
      <c r="V202" s="87">
        <f t="shared" ca="1" si="56"/>
        <v>0</v>
      </c>
      <c r="W202" s="87">
        <f t="shared" ca="1" si="56"/>
        <v>0</v>
      </c>
      <c r="X202" s="87">
        <f t="shared" ca="1" si="56"/>
        <v>0</v>
      </c>
    </row>
    <row r="203" spans="2:24"/>
    <row r="204" spans="2:24">
      <c r="H204" s="1"/>
    </row>
    <row r="205" spans="2:24" ht="24">
      <c r="B205" s="228" t="s">
        <v>680</v>
      </c>
      <c r="C205" s="229" t="s">
        <v>686</v>
      </c>
      <c r="D205" s="337"/>
      <c r="E205" s="338"/>
      <c r="F205" s="230"/>
      <c r="G205" s="230" t="s">
        <v>449</v>
      </c>
      <c r="H205" s="338"/>
      <c r="I205" s="338"/>
      <c r="J205" s="232"/>
      <c r="K205" s="232" t="str">
        <f t="shared" ref="K205:X205" si="57">LataProjekcji</f>
        <v>Uzupełnij dane</v>
      </c>
      <c r="L205" s="232" t="str">
        <f t="shared" si="57"/>
        <v/>
      </c>
      <c r="M205" s="232" t="str">
        <f t="shared" si="57"/>
        <v/>
      </c>
      <c r="N205" s="232" t="str">
        <f t="shared" si="57"/>
        <v/>
      </c>
      <c r="O205" s="232" t="str">
        <f t="shared" si="57"/>
        <v/>
      </c>
      <c r="P205" s="232" t="str">
        <f t="shared" si="57"/>
        <v/>
      </c>
      <c r="Q205" s="232" t="str">
        <f t="shared" si="57"/>
        <v/>
      </c>
      <c r="R205" s="232" t="str">
        <f t="shared" si="57"/>
        <v/>
      </c>
      <c r="S205" s="232" t="str">
        <f t="shared" si="57"/>
        <v/>
      </c>
      <c r="T205" s="232" t="str">
        <f t="shared" si="57"/>
        <v/>
      </c>
      <c r="U205" s="232" t="str">
        <f t="shared" si="57"/>
        <v/>
      </c>
      <c r="V205" s="232" t="str">
        <f t="shared" si="57"/>
        <v/>
      </c>
      <c r="W205" s="232" t="str">
        <f t="shared" si="57"/>
        <v/>
      </c>
      <c r="X205" s="232" t="str">
        <f t="shared" si="57"/>
        <v/>
      </c>
    </row>
    <row r="206" spans="2:24">
      <c r="B206" s="104" t="str">
        <f>IF(ISBLANK('Środki trwałe'!B658),"",'Środki trwałe'!B658)</f>
        <v/>
      </c>
      <c r="C206" s="103">
        <f>IF(ISBLANK('Środki trwałe'!E658),"",'Środki trwałe'!E658)</f>
        <v>0</v>
      </c>
      <c r="D206" s="339"/>
      <c r="E206" s="339"/>
      <c r="F206" s="343"/>
      <c r="G206" s="103">
        <f>IF(ISBLANK('Środki trwałe'!I658),"",'Środki trwałe'!I658)</f>
        <v>0</v>
      </c>
      <c r="H206" s="340"/>
      <c r="I206" s="341"/>
      <c r="J206" s="506" t="str">
        <f>IF(ISBLANK('Środki trwałe'!C373),"",'Środki trwałe'!C373)</f>
        <v/>
      </c>
      <c r="K206" s="344">
        <f>'Środki trwałe'!K744</f>
        <v>0</v>
      </c>
      <c r="L206" s="344">
        <f>'Środki trwałe'!L744</f>
        <v>0</v>
      </c>
      <c r="M206" s="344">
        <f>'Środki trwałe'!M744</f>
        <v>0</v>
      </c>
      <c r="N206" s="344">
        <f>'Środki trwałe'!N744</f>
        <v>0</v>
      </c>
      <c r="O206" s="344">
        <f>'Środki trwałe'!O744</f>
        <v>0</v>
      </c>
      <c r="P206" s="344">
        <f>'Środki trwałe'!P744</f>
        <v>0</v>
      </c>
      <c r="Q206" s="344">
        <f>'Środki trwałe'!Q744</f>
        <v>0</v>
      </c>
      <c r="R206" s="344">
        <f>'Środki trwałe'!R744</f>
        <v>0</v>
      </c>
      <c r="S206" s="344">
        <f>'Środki trwałe'!S744</f>
        <v>0</v>
      </c>
      <c r="T206" s="344">
        <f>'Środki trwałe'!T744</f>
        <v>0</v>
      </c>
      <c r="U206" s="344">
        <f>'Środki trwałe'!U744</f>
        <v>0</v>
      </c>
      <c r="V206" s="344">
        <f>'Środki trwałe'!V744</f>
        <v>0</v>
      </c>
      <c r="W206" s="344">
        <f>'Środki trwałe'!W744</f>
        <v>0</v>
      </c>
      <c r="X206" s="344">
        <f>'Środki trwałe'!X744</f>
        <v>0</v>
      </c>
    </row>
    <row r="207" spans="2:24">
      <c r="B207" s="37" t="str">
        <f>IF(ISBLANK('Środki trwałe'!B659),"",'Środki trwałe'!B659)</f>
        <v/>
      </c>
      <c r="C207" s="33">
        <f>IF(ISBLANK('Środki trwałe'!E659),"",'Środki trwałe'!E659)</f>
        <v>0</v>
      </c>
      <c r="D207" s="339"/>
      <c r="E207" s="339"/>
      <c r="F207" s="343"/>
      <c r="G207" s="33">
        <f>IF(ISBLANK('Środki trwałe'!I659),"",'Środki trwałe'!I659)</f>
        <v>0</v>
      </c>
      <c r="H207" s="342"/>
      <c r="I207" s="339"/>
      <c r="J207" s="203"/>
      <c r="K207" s="344">
        <f>'Środki trwałe'!K745</f>
        <v>0</v>
      </c>
      <c r="L207" s="344">
        <f>'Środki trwałe'!L745</f>
        <v>0</v>
      </c>
      <c r="M207" s="344">
        <f>'Środki trwałe'!M745</f>
        <v>0</v>
      </c>
      <c r="N207" s="344">
        <f>'Środki trwałe'!N745</f>
        <v>0</v>
      </c>
      <c r="O207" s="344">
        <f>'Środki trwałe'!O745</f>
        <v>0</v>
      </c>
      <c r="P207" s="344">
        <f>'Środki trwałe'!P745</f>
        <v>0</v>
      </c>
      <c r="Q207" s="344">
        <f>'Środki trwałe'!Q745</f>
        <v>0</v>
      </c>
      <c r="R207" s="344">
        <f>'Środki trwałe'!R745</f>
        <v>0</v>
      </c>
      <c r="S207" s="344">
        <f>'Środki trwałe'!S745</f>
        <v>0</v>
      </c>
      <c r="T207" s="344">
        <f>'Środki trwałe'!T745</f>
        <v>0</v>
      </c>
      <c r="U207" s="344">
        <f>'Środki trwałe'!U745</f>
        <v>0</v>
      </c>
      <c r="V207" s="344">
        <f>'Środki trwałe'!V745</f>
        <v>0</v>
      </c>
      <c r="W207" s="344">
        <f>'Środki trwałe'!W745</f>
        <v>0</v>
      </c>
      <c r="X207" s="344">
        <f>'Środki trwałe'!X745</f>
        <v>0</v>
      </c>
    </row>
    <row r="208" spans="2:24">
      <c r="B208" s="37" t="str">
        <f>IF(ISBLANK('Środki trwałe'!B660),"",'Środki trwałe'!B660)</f>
        <v/>
      </c>
      <c r="C208" s="33">
        <f>IF(ISBLANK('Środki trwałe'!E660),"",'Środki trwałe'!E660)</f>
        <v>0</v>
      </c>
      <c r="D208" s="339"/>
      <c r="E208" s="339"/>
      <c r="F208" s="343"/>
      <c r="G208" s="33">
        <f>IF(ISBLANK('Środki trwałe'!I660),"",'Środki trwałe'!I660)</f>
        <v>0</v>
      </c>
      <c r="H208" s="342"/>
      <c r="I208" s="339"/>
      <c r="J208" s="203"/>
      <c r="K208" s="344">
        <f>'Środki trwałe'!K746</f>
        <v>0</v>
      </c>
      <c r="L208" s="344">
        <f>'Środki trwałe'!L746</f>
        <v>0</v>
      </c>
      <c r="M208" s="344">
        <f>'Środki trwałe'!M746</f>
        <v>0</v>
      </c>
      <c r="N208" s="344">
        <f>'Środki trwałe'!N746</f>
        <v>0</v>
      </c>
      <c r="O208" s="344">
        <f>'Środki trwałe'!O746</f>
        <v>0</v>
      </c>
      <c r="P208" s="344">
        <f>'Środki trwałe'!P746</f>
        <v>0</v>
      </c>
      <c r="Q208" s="344">
        <f>'Środki trwałe'!Q746</f>
        <v>0</v>
      </c>
      <c r="R208" s="344">
        <f>'Środki trwałe'!R746</f>
        <v>0</v>
      </c>
      <c r="S208" s="344">
        <f>'Środki trwałe'!S746</f>
        <v>0</v>
      </c>
      <c r="T208" s="344">
        <f>'Środki trwałe'!T746</f>
        <v>0</v>
      </c>
      <c r="U208" s="344">
        <f>'Środki trwałe'!U746</f>
        <v>0</v>
      </c>
      <c r="V208" s="344">
        <f>'Środki trwałe'!V746</f>
        <v>0</v>
      </c>
      <c r="W208" s="344">
        <f>'Środki trwałe'!W746</f>
        <v>0</v>
      </c>
      <c r="X208" s="344">
        <f>'Środki trwałe'!X746</f>
        <v>0</v>
      </c>
    </row>
    <row r="209" spans="2:24">
      <c r="B209" s="37" t="str">
        <f>IF(ISBLANK('Środki trwałe'!B661),"",'Środki trwałe'!B661)</f>
        <v/>
      </c>
      <c r="C209" s="33">
        <f>IF(ISBLANK('Środki trwałe'!E661),"",'Środki trwałe'!E661)</f>
        <v>0</v>
      </c>
      <c r="D209" s="339"/>
      <c r="E209" s="339"/>
      <c r="F209" s="343"/>
      <c r="G209" s="33">
        <f>IF(ISBLANK('Środki trwałe'!I661),"",'Środki trwałe'!I661)</f>
        <v>0</v>
      </c>
      <c r="H209" s="342"/>
      <c r="I209" s="339"/>
      <c r="J209" s="203"/>
      <c r="K209" s="344">
        <f>'Środki trwałe'!K747</f>
        <v>0</v>
      </c>
      <c r="L209" s="344">
        <f>'Środki trwałe'!L747</f>
        <v>0</v>
      </c>
      <c r="M209" s="344">
        <f>'Środki trwałe'!M747</f>
        <v>0</v>
      </c>
      <c r="N209" s="344">
        <f>'Środki trwałe'!N747</f>
        <v>0</v>
      </c>
      <c r="O209" s="344">
        <f>'Środki trwałe'!O747</f>
        <v>0</v>
      </c>
      <c r="P209" s="344">
        <f>'Środki trwałe'!P747</f>
        <v>0</v>
      </c>
      <c r="Q209" s="344">
        <f>'Środki trwałe'!Q747</f>
        <v>0</v>
      </c>
      <c r="R209" s="344">
        <f>'Środki trwałe'!R747</f>
        <v>0</v>
      </c>
      <c r="S209" s="344">
        <f>'Środki trwałe'!S747</f>
        <v>0</v>
      </c>
      <c r="T209" s="344">
        <f>'Środki trwałe'!T747</f>
        <v>0</v>
      </c>
      <c r="U209" s="344">
        <f>'Środki trwałe'!U747</f>
        <v>0</v>
      </c>
      <c r="V209" s="344">
        <f>'Środki trwałe'!V747</f>
        <v>0</v>
      </c>
      <c r="W209" s="344">
        <f>'Środki trwałe'!W747</f>
        <v>0</v>
      </c>
      <c r="X209" s="344">
        <f>'Środki trwałe'!X747</f>
        <v>0</v>
      </c>
    </row>
    <row r="210" spans="2:24">
      <c r="B210" s="37" t="str">
        <f>IF(ISBLANK('Środki trwałe'!B662),"",'Środki trwałe'!B662)</f>
        <v/>
      </c>
      <c r="C210" s="33">
        <f>IF(ISBLANK('Środki trwałe'!E662),"",'Środki trwałe'!E662)</f>
        <v>0</v>
      </c>
      <c r="D210" s="339"/>
      <c r="E210" s="339"/>
      <c r="F210" s="343"/>
      <c r="G210" s="33">
        <f>IF(ISBLANK('Środki trwałe'!I662),"",'Środki trwałe'!I662)</f>
        <v>0</v>
      </c>
      <c r="H210" s="342"/>
      <c r="I210" s="339"/>
      <c r="J210" s="203"/>
      <c r="K210" s="344">
        <f>'Środki trwałe'!K748</f>
        <v>0</v>
      </c>
      <c r="L210" s="344">
        <f>'Środki trwałe'!L748</f>
        <v>0</v>
      </c>
      <c r="M210" s="344">
        <f>'Środki trwałe'!M748</f>
        <v>0</v>
      </c>
      <c r="N210" s="344">
        <f>'Środki trwałe'!N748</f>
        <v>0</v>
      </c>
      <c r="O210" s="344">
        <f>'Środki trwałe'!O748</f>
        <v>0</v>
      </c>
      <c r="P210" s="344">
        <f>'Środki trwałe'!P748</f>
        <v>0</v>
      </c>
      <c r="Q210" s="344">
        <f>'Środki trwałe'!Q748</f>
        <v>0</v>
      </c>
      <c r="R210" s="344">
        <f>'Środki trwałe'!R748</f>
        <v>0</v>
      </c>
      <c r="S210" s="344">
        <f>'Środki trwałe'!S748</f>
        <v>0</v>
      </c>
      <c r="T210" s="344">
        <f>'Środki trwałe'!T748</f>
        <v>0</v>
      </c>
      <c r="U210" s="344">
        <f>'Środki trwałe'!U748</f>
        <v>0</v>
      </c>
      <c r="V210" s="344">
        <f>'Środki trwałe'!V748</f>
        <v>0</v>
      </c>
      <c r="W210" s="344">
        <f>'Środki trwałe'!W748</f>
        <v>0</v>
      </c>
      <c r="X210" s="344">
        <f>'Środki trwałe'!X748</f>
        <v>0</v>
      </c>
    </row>
    <row r="211" spans="2:24">
      <c r="B211" s="37" t="str">
        <f>IF(ISBLANK('Środki trwałe'!B663),"",'Środki trwałe'!B663)</f>
        <v/>
      </c>
      <c r="C211" s="33">
        <f>IF(ISBLANK('Środki trwałe'!E663),"",'Środki trwałe'!E663)</f>
        <v>0</v>
      </c>
      <c r="D211" s="339"/>
      <c r="E211" s="339"/>
      <c r="F211" s="343"/>
      <c r="G211" s="33">
        <f>IF(ISBLANK('Środki trwałe'!I663),"",'Środki trwałe'!I663)</f>
        <v>0</v>
      </c>
      <c r="H211" s="342"/>
      <c r="I211" s="339"/>
      <c r="J211" s="203"/>
      <c r="K211" s="344">
        <f>'Środki trwałe'!K749</f>
        <v>0</v>
      </c>
      <c r="L211" s="344">
        <f>'Środki trwałe'!L749</f>
        <v>0</v>
      </c>
      <c r="M211" s="344">
        <f>'Środki trwałe'!M749</f>
        <v>0</v>
      </c>
      <c r="N211" s="344">
        <f>'Środki trwałe'!N749</f>
        <v>0</v>
      </c>
      <c r="O211" s="344">
        <f>'Środki trwałe'!O749</f>
        <v>0</v>
      </c>
      <c r="P211" s="344">
        <f>'Środki trwałe'!P749</f>
        <v>0</v>
      </c>
      <c r="Q211" s="344">
        <f>'Środki trwałe'!Q749</f>
        <v>0</v>
      </c>
      <c r="R211" s="344">
        <f>'Środki trwałe'!R749</f>
        <v>0</v>
      </c>
      <c r="S211" s="344">
        <f>'Środki trwałe'!S749</f>
        <v>0</v>
      </c>
      <c r="T211" s="344">
        <f>'Środki trwałe'!T749</f>
        <v>0</v>
      </c>
      <c r="U211" s="344">
        <f>'Środki trwałe'!U749</f>
        <v>0</v>
      </c>
      <c r="V211" s="344">
        <f>'Środki trwałe'!V749</f>
        <v>0</v>
      </c>
      <c r="W211" s="344">
        <f>'Środki trwałe'!W749</f>
        <v>0</v>
      </c>
      <c r="X211" s="344">
        <f>'Środki trwałe'!X749</f>
        <v>0</v>
      </c>
    </row>
    <row r="212" spans="2:24">
      <c r="B212" s="37" t="str">
        <f>IF(ISBLANK('Środki trwałe'!B664),"",'Środki trwałe'!B664)</f>
        <v/>
      </c>
      <c r="C212" s="33">
        <f>IF(ISBLANK('Środki trwałe'!E664),"",'Środki trwałe'!E664)</f>
        <v>0</v>
      </c>
      <c r="D212" s="339"/>
      <c r="E212" s="339"/>
      <c r="F212" s="343"/>
      <c r="G212" s="33">
        <f>IF(ISBLANK('Środki trwałe'!I664),"",'Środki trwałe'!I664)</f>
        <v>0</v>
      </c>
      <c r="H212" s="342"/>
      <c r="I212" s="339"/>
      <c r="J212" s="203"/>
      <c r="K212" s="344">
        <f>'Środki trwałe'!K750</f>
        <v>0</v>
      </c>
      <c r="L212" s="344">
        <f>'Środki trwałe'!L750</f>
        <v>0</v>
      </c>
      <c r="M212" s="344">
        <f>'Środki trwałe'!M750</f>
        <v>0</v>
      </c>
      <c r="N212" s="344">
        <f>'Środki trwałe'!N750</f>
        <v>0</v>
      </c>
      <c r="O212" s="344">
        <f>'Środki trwałe'!O750</f>
        <v>0</v>
      </c>
      <c r="P212" s="344">
        <f>'Środki trwałe'!P750</f>
        <v>0</v>
      </c>
      <c r="Q212" s="344">
        <f>'Środki trwałe'!Q750</f>
        <v>0</v>
      </c>
      <c r="R212" s="344">
        <f>'Środki trwałe'!R750</f>
        <v>0</v>
      </c>
      <c r="S212" s="344">
        <f>'Środki trwałe'!S750</f>
        <v>0</v>
      </c>
      <c r="T212" s="344">
        <f>'Środki trwałe'!T750</f>
        <v>0</v>
      </c>
      <c r="U212" s="344">
        <f>'Środki trwałe'!U750</f>
        <v>0</v>
      </c>
      <c r="V212" s="344">
        <f>'Środki trwałe'!V750</f>
        <v>0</v>
      </c>
      <c r="W212" s="344">
        <f>'Środki trwałe'!W750</f>
        <v>0</v>
      </c>
      <c r="X212" s="344">
        <f>'Środki trwałe'!X750</f>
        <v>0</v>
      </c>
    </row>
    <row r="213" spans="2:24">
      <c r="B213" s="37" t="str">
        <f>IF(ISBLANK('Środki trwałe'!B665),"",'Środki trwałe'!B665)</f>
        <v/>
      </c>
      <c r="C213" s="33">
        <f>IF(ISBLANK('Środki trwałe'!E665),"",'Środki trwałe'!E665)</f>
        <v>0</v>
      </c>
      <c r="D213" s="339"/>
      <c r="E213" s="339"/>
      <c r="F213" s="343"/>
      <c r="G213" s="33">
        <f>IF(ISBLANK('Środki trwałe'!I665),"",'Środki trwałe'!I665)</f>
        <v>0</v>
      </c>
      <c r="H213" s="342"/>
      <c r="I213" s="339"/>
      <c r="J213" s="203"/>
      <c r="K213" s="344">
        <f>'Środki trwałe'!K751</f>
        <v>0</v>
      </c>
      <c r="L213" s="344">
        <f>'Środki trwałe'!L751</f>
        <v>0</v>
      </c>
      <c r="M213" s="344">
        <f>'Środki trwałe'!M751</f>
        <v>0</v>
      </c>
      <c r="N213" s="344">
        <f>'Środki trwałe'!N751</f>
        <v>0</v>
      </c>
      <c r="O213" s="344">
        <f>'Środki trwałe'!O751</f>
        <v>0</v>
      </c>
      <c r="P213" s="344">
        <f>'Środki trwałe'!P751</f>
        <v>0</v>
      </c>
      <c r="Q213" s="344">
        <f>'Środki trwałe'!Q751</f>
        <v>0</v>
      </c>
      <c r="R213" s="344">
        <f>'Środki trwałe'!R751</f>
        <v>0</v>
      </c>
      <c r="S213" s="344">
        <f>'Środki trwałe'!S751</f>
        <v>0</v>
      </c>
      <c r="T213" s="344">
        <f>'Środki trwałe'!T751</f>
        <v>0</v>
      </c>
      <c r="U213" s="344">
        <f>'Środki trwałe'!U751</f>
        <v>0</v>
      </c>
      <c r="V213" s="344">
        <f>'Środki trwałe'!V751</f>
        <v>0</v>
      </c>
      <c r="W213" s="344">
        <f>'Środki trwałe'!W751</f>
        <v>0</v>
      </c>
      <c r="X213" s="344">
        <f>'Środki trwałe'!X751</f>
        <v>0</v>
      </c>
    </row>
    <row r="214" spans="2:24">
      <c r="B214" s="37" t="str">
        <f>IF(ISBLANK('Środki trwałe'!B666),"",'Środki trwałe'!B666)</f>
        <v/>
      </c>
      <c r="C214" s="33">
        <f>IF(ISBLANK('Środki trwałe'!E666),"",'Środki trwałe'!E666)</f>
        <v>0</v>
      </c>
      <c r="D214" s="339"/>
      <c r="E214" s="339"/>
      <c r="F214" s="343"/>
      <c r="G214" s="33">
        <f>IF(ISBLANK('Środki trwałe'!I666),"",'Środki trwałe'!I666)</f>
        <v>0</v>
      </c>
      <c r="H214" s="342"/>
      <c r="I214" s="339"/>
      <c r="J214" s="203"/>
      <c r="K214" s="344">
        <f>'Środki trwałe'!K752</f>
        <v>0</v>
      </c>
      <c r="L214" s="344">
        <f>'Środki trwałe'!L752</f>
        <v>0</v>
      </c>
      <c r="M214" s="344">
        <f>'Środki trwałe'!M752</f>
        <v>0</v>
      </c>
      <c r="N214" s="344">
        <f>'Środki trwałe'!N752</f>
        <v>0</v>
      </c>
      <c r="O214" s="344">
        <f>'Środki trwałe'!O752</f>
        <v>0</v>
      </c>
      <c r="P214" s="344">
        <f>'Środki trwałe'!P752</f>
        <v>0</v>
      </c>
      <c r="Q214" s="344">
        <f>'Środki trwałe'!Q752</f>
        <v>0</v>
      </c>
      <c r="R214" s="344">
        <f>'Środki trwałe'!R752</f>
        <v>0</v>
      </c>
      <c r="S214" s="344">
        <f>'Środki trwałe'!S752</f>
        <v>0</v>
      </c>
      <c r="T214" s="344">
        <f>'Środki trwałe'!T752</f>
        <v>0</v>
      </c>
      <c r="U214" s="344">
        <f>'Środki trwałe'!U752</f>
        <v>0</v>
      </c>
      <c r="V214" s="344">
        <f>'Środki trwałe'!V752</f>
        <v>0</v>
      </c>
      <c r="W214" s="344">
        <f>'Środki trwałe'!W752</f>
        <v>0</v>
      </c>
      <c r="X214" s="344">
        <f>'Środki trwałe'!X752</f>
        <v>0</v>
      </c>
    </row>
    <row r="215" spans="2:24">
      <c r="B215" s="37" t="str">
        <f>IF(ISBLANK('Środki trwałe'!B667),"",'Środki trwałe'!B667)</f>
        <v/>
      </c>
      <c r="C215" s="33">
        <f>IF(ISBLANK('Środki trwałe'!E667),"",'Środki trwałe'!E667)</f>
        <v>0</v>
      </c>
      <c r="D215" s="339"/>
      <c r="E215" s="339"/>
      <c r="F215" s="343"/>
      <c r="G215" s="33">
        <f>IF(ISBLANK('Środki trwałe'!I667),"",'Środki trwałe'!I667)</f>
        <v>0</v>
      </c>
      <c r="H215" s="342"/>
      <c r="I215" s="339"/>
      <c r="J215" s="203"/>
      <c r="K215" s="344">
        <f>'Środki trwałe'!K753</f>
        <v>0</v>
      </c>
      <c r="L215" s="344">
        <f>'Środki trwałe'!L753</f>
        <v>0</v>
      </c>
      <c r="M215" s="344">
        <f>'Środki trwałe'!M753</f>
        <v>0</v>
      </c>
      <c r="N215" s="344">
        <f>'Środki trwałe'!N753</f>
        <v>0</v>
      </c>
      <c r="O215" s="344">
        <f>'Środki trwałe'!O753</f>
        <v>0</v>
      </c>
      <c r="P215" s="344">
        <f>'Środki trwałe'!P753</f>
        <v>0</v>
      </c>
      <c r="Q215" s="344">
        <f>'Środki trwałe'!Q753</f>
        <v>0</v>
      </c>
      <c r="R215" s="344">
        <f>'Środki trwałe'!R753</f>
        <v>0</v>
      </c>
      <c r="S215" s="344">
        <f>'Środki trwałe'!S753</f>
        <v>0</v>
      </c>
      <c r="T215" s="344">
        <f>'Środki trwałe'!T753</f>
        <v>0</v>
      </c>
      <c r="U215" s="344">
        <f>'Środki trwałe'!U753</f>
        <v>0</v>
      </c>
      <c r="V215" s="344">
        <f>'Środki trwałe'!V753</f>
        <v>0</v>
      </c>
      <c r="W215" s="344">
        <f>'Środki trwałe'!W753</f>
        <v>0</v>
      </c>
      <c r="X215" s="344">
        <f>'Środki trwałe'!X753</f>
        <v>0</v>
      </c>
    </row>
    <row r="216" spans="2:24">
      <c r="B216" s="37" t="str">
        <f>IF(ISBLANK('Środki trwałe'!B668),"",'Środki trwałe'!B668)</f>
        <v/>
      </c>
      <c r="C216" s="33">
        <f>IF(ISBLANK('Środki trwałe'!E668),"",'Środki trwałe'!E668)</f>
        <v>0</v>
      </c>
      <c r="D216" s="339"/>
      <c r="E216" s="339"/>
      <c r="F216" s="343"/>
      <c r="G216" s="33">
        <f>IF(ISBLANK('Środki trwałe'!I668),"",'Środki trwałe'!I668)</f>
        <v>0</v>
      </c>
      <c r="H216" s="342"/>
      <c r="I216" s="339"/>
      <c r="J216" s="203"/>
      <c r="K216" s="344">
        <f>'Środki trwałe'!K754</f>
        <v>0</v>
      </c>
      <c r="L216" s="344">
        <f>'Środki trwałe'!L754</f>
        <v>0</v>
      </c>
      <c r="M216" s="344">
        <f>'Środki trwałe'!M754</f>
        <v>0</v>
      </c>
      <c r="N216" s="344">
        <f>'Środki trwałe'!N754</f>
        <v>0</v>
      </c>
      <c r="O216" s="344">
        <f>'Środki trwałe'!O754</f>
        <v>0</v>
      </c>
      <c r="P216" s="344">
        <f>'Środki trwałe'!P754</f>
        <v>0</v>
      </c>
      <c r="Q216" s="344">
        <f>'Środki trwałe'!Q754</f>
        <v>0</v>
      </c>
      <c r="R216" s="344">
        <f>'Środki trwałe'!R754</f>
        <v>0</v>
      </c>
      <c r="S216" s="344">
        <f>'Środki trwałe'!S754</f>
        <v>0</v>
      </c>
      <c r="T216" s="344">
        <f>'Środki trwałe'!T754</f>
        <v>0</v>
      </c>
      <c r="U216" s="344">
        <f>'Środki trwałe'!U754</f>
        <v>0</v>
      </c>
      <c r="V216" s="344">
        <f>'Środki trwałe'!V754</f>
        <v>0</v>
      </c>
      <c r="W216" s="344">
        <f>'Środki trwałe'!W754</f>
        <v>0</v>
      </c>
      <c r="X216" s="344">
        <f>'Środki trwałe'!X754</f>
        <v>0</v>
      </c>
    </row>
    <row r="217" spans="2:24">
      <c r="B217" s="37" t="str">
        <f>IF(ISBLANK('Środki trwałe'!B669),"",'Środki trwałe'!B669)</f>
        <v/>
      </c>
      <c r="C217" s="33">
        <f>IF(ISBLANK('Środki trwałe'!E669),"",'Środki trwałe'!E669)</f>
        <v>0</v>
      </c>
      <c r="D217" s="339"/>
      <c r="E217" s="339"/>
      <c r="F217" s="343"/>
      <c r="G217" s="33">
        <f>IF(ISBLANK('Środki trwałe'!I669),"",'Środki trwałe'!I669)</f>
        <v>0</v>
      </c>
      <c r="H217" s="342"/>
      <c r="I217" s="339"/>
      <c r="J217" s="203"/>
      <c r="K217" s="344">
        <f>'Środki trwałe'!K755</f>
        <v>0</v>
      </c>
      <c r="L217" s="344">
        <f>'Środki trwałe'!L755</f>
        <v>0</v>
      </c>
      <c r="M217" s="344">
        <f>'Środki trwałe'!M755</f>
        <v>0</v>
      </c>
      <c r="N217" s="344">
        <f>'Środki trwałe'!N755</f>
        <v>0</v>
      </c>
      <c r="O217" s="344">
        <f>'Środki trwałe'!O755</f>
        <v>0</v>
      </c>
      <c r="P217" s="344">
        <f>'Środki trwałe'!P755</f>
        <v>0</v>
      </c>
      <c r="Q217" s="344">
        <f>'Środki trwałe'!Q755</f>
        <v>0</v>
      </c>
      <c r="R217" s="344">
        <f>'Środki trwałe'!R755</f>
        <v>0</v>
      </c>
      <c r="S217" s="344">
        <f>'Środki trwałe'!S755</f>
        <v>0</v>
      </c>
      <c r="T217" s="344">
        <f>'Środki trwałe'!T755</f>
        <v>0</v>
      </c>
      <c r="U217" s="344">
        <f>'Środki trwałe'!U755</f>
        <v>0</v>
      </c>
      <c r="V217" s="344">
        <f>'Środki trwałe'!V755</f>
        <v>0</v>
      </c>
      <c r="W217" s="344">
        <f>'Środki trwałe'!W755</f>
        <v>0</v>
      </c>
      <c r="X217" s="344">
        <f>'Środki trwałe'!X755</f>
        <v>0</v>
      </c>
    </row>
    <row r="218" spans="2:24">
      <c r="B218" s="37" t="str">
        <f>IF(ISBLANK('Środki trwałe'!B670),"",'Środki trwałe'!B670)</f>
        <v/>
      </c>
      <c r="C218" s="33">
        <f>IF(ISBLANK('Środki trwałe'!E670),"",'Środki trwałe'!E670)</f>
        <v>0</v>
      </c>
      <c r="D218" s="339"/>
      <c r="E218" s="339"/>
      <c r="F218" s="343"/>
      <c r="G218" s="33">
        <f>IF(ISBLANK('Środki trwałe'!I670),"",'Środki trwałe'!I670)</f>
        <v>0</v>
      </c>
      <c r="H218" s="342"/>
      <c r="I218" s="339"/>
      <c r="J218" s="203"/>
      <c r="K218" s="344">
        <f>'Środki trwałe'!K756</f>
        <v>0</v>
      </c>
      <c r="L218" s="344">
        <f>'Środki trwałe'!L756</f>
        <v>0</v>
      </c>
      <c r="M218" s="344">
        <f>'Środki trwałe'!M756</f>
        <v>0</v>
      </c>
      <c r="N218" s="344">
        <f>'Środki trwałe'!N756</f>
        <v>0</v>
      </c>
      <c r="O218" s="344">
        <f>'Środki trwałe'!O756</f>
        <v>0</v>
      </c>
      <c r="P218" s="344">
        <f>'Środki trwałe'!P756</f>
        <v>0</v>
      </c>
      <c r="Q218" s="344">
        <f>'Środki trwałe'!Q756</f>
        <v>0</v>
      </c>
      <c r="R218" s="344">
        <f>'Środki trwałe'!R756</f>
        <v>0</v>
      </c>
      <c r="S218" s="344">
        <f>'Środki trwałe'!S756</f>
        <v>0</v>
      </c>
      <c r="T218" s="344">
        <f>'Środki trwałe'!T756</f>
        <v>0</v>
      </c>
      <c r="U218" s="344">
        <f>'Środki trwałe'!U756</f>
        <v>0</v>
      </c>
      <c r="V218" s="344">
        <f>'Środki trwałe'!V756</f>
        <v>0</v>
      </c>
      <c r="W218" s="344">
        <f>'Środki trwałe'!W756</f>
        <v>0</v>
      </c>
      <c r="X218" s="344">
        <f>'Środki trwałe'!X756</f>
        <v>0</v>
      </c>
    </row>
    <row r="219" spans="2:24">
      <c r="B219" s="37" t="str">
        <f>IF(ISBLANK('Środki trwałe'!B671),"",'Środki trwałe'!B671)</f>
        <v/>
      </c>
      <c r="C219" s="33">
        <f>IF(ISBLANK('Środki trwałe'!E671),"",'Środki trwałe'!E671)</f>
        <v>0</v>
      </c>
      <c r="D219" s="339"/>
      <c r="E219" s="339"/>
      <c r="F219" s="343"/>
      <c r="G219" s="33">
        <f>IF(ISBLANK('Środki trwałe'!I671),"",'Środki trwałe'!I671)</f>
        <v>0</v>
      </c>
      <c r="H219" s="342"/>
      <c r="I219" s="339"/>
      <c r="J219" s="203"/>
      <c r="K219" s="344">
        <f>'Środki trwałe'!K757</f>
        <v>0</v>
      </c>
      <c r="L219" s="344">
        <f>'Środki trwałe'!L757</f>
        <v>0</v>
      </c>
      <c r="M219" s="344">
        <f>'Środki trwałe'!M757</f>
        <v>0</v>
      </c>
      <c r="N219" s="344">
        <f>'Środki trwałe'!N757</f>
        <v>0</v>
      </c>
      <c r="O219" s="344">
        <f>'Środki trwałe'!O757</f>
        <v>0</v>
      </c>
      <c r="P219" s="344">
        <f>'Środki trwałe'!P757</f>
        <v>0</v>
      </c>
      <c r="Q219" s="344">
        <f>'Środki trwałe'!Q757</f>
        <v>0</v>
      </c>
      <c r="R219" s="344">
        <f>'Środki trwałe'!R757</f>
        <v>0</v>
      </c>
      <c r="S219" s="344">
        <f>'Środki trwałe'!S757</f>
        <v>0</v>
      </c>
      <c r="T219" s="344">
        <f>'Środki trwałe'!T757</f>
        <v>0</v>
      </c>
      <c r="U219" s="344">
        <f>'Środki trwałe'!U757</f>
        <v>0</v>
      </c>
      <c r="V219" s="344">
        <f>'Środki trwałe'!V757</f>
        <v>0</v>
      </c>
      <c r="W219" s="344">
        <f>'Środki trwałe'!W757</f>
        <v>0</v>
      </c>
      <c r="X219" s="344">
        <f>'Środki trwałe'!X757</f>
        <v>0</v>
      </c>
    </row>
    <row r="220" spans="2:24">
      <c r="B220" s="37" t="str">
        <f>IF(ISBLANK('Środki trwałe'!B672),"",'Środki trwałe'!B672)</f>
        <v/>
      </c>
      <c r="C220" s="33">
        <f>IF(ISBLANK('Środki trwałe'!E672),"",'Środki trwałe'!E672)</f>
        <v>0</v>
      </c>
      <c r="D220" s="339"/>
      <c r="E220" s="339"/>
      <c r="F220" s="343"/>
      <c r="G220" s="33">
        <f>IF(ISBLANK('Środki trwałe'!I672),"",'Środki trwałe'!I672)</f>
        <v>0</v>
      </c>
      <c r="H220" s="342"/>
      <c r="I220" s="339"/>
      <c r="J220" s="203"/>
      <c r="K220" s="344">
        <f>'Środki trwałe'!K758</f>
        <v>0</v>
      </c>
      <c r="L220" s="344">
        <f>'Środki trwałe'!L758</f>
        <v>0</v>
      </c>
      <c r="M220" s="344">
        <f>'Środki trwałe'!M758</f>
        <v>0</v>
      </c>
      <c r="N220" s="344">
        <f>'Środki trwałe'!N758</f>
        <v>0</v>
      </c>
      <c r="O220" s="344">
        <f>'Środki trwałe'!O758</f>
        <v>0</v>
      </c>
      <c r="P220" s="344">
        <f>'Środki trwałe'!P758</f>
        <v>0</v>
      </c>
      <c r="Q220" s="344">
        <f>'Środki trwałe'!Q758</f>
        <v>0</v>
      </c>
      <c r="R220" s="344">
        <f>'Środki trwałe'!R758</f>
        <v>0</v>
      </c>
      <c r="S220" s="344">
        <f>'Środki trwałe'!S758</f>
        <v>0</v>
      </c>
      <c r="T220" s="344">
        <f>'Środki trwałe'!T758</f>
        <v>0</v>
      </c>
      <c r="U220" s="344">
        <f>'Środki trwałe'!U758</f>
        <v>0</v>
      </c>
      <c r="V220" s="344">
        <f>'Środki trwałe'!V758</f>
        <v>0</v>
      </c>
      <c r="W220" s="344">
        <f>'Środki trwałe'!W758</f>
        <v>0</v>
      </c>
      <c r="X220" s="344">
        <f>'Środki trwałe'!X758</f>
        <v>0</v>
      </c>
    </row>
    <row r="221" spans="2:24">
      <c r="B221" s="37" t="str">
        <f>IF(ISBLANK('Środki trwałe'!B673),"",'Środki trwałe'!B673)</f>
        <v/>
      </c>
      <c r="C221" s="33">
        <f>IF(ISBLANK('Środki trwałe'!E673),"",'Środki trwałe'!E673)</f>
        <v>0</v>
      </c>
      <c r="D221" s="339"/>
      <c r="E221" s="339"/>
      <c r="F221" s="343"/>
      <c r="G221" s="33">
        <f>IF(ISBLANK('Środki trwałe'!I673),"",'Środki trwałe'!I673)</f>
        <v>0</v>
      </c>
      <c r="H221" s="342"/>
      <c r="I221" s="339"/>
      <c r="J221" s="203"/>
      <c r="K221" s="344">
        <f>'Środki trwałe'!K759</f>
        <v>0</v>
      </c>
      <c r="L221" s="344">
        <f>'Środki trwałe'!L759</f>
        <v>0</v>
      </c>
      <c r="M221" s="344">
        <f>'Środki trwałe'!M759</f>
        <v>0</v>
      </c>
      <c r="N221" s="344">
        <f>'Środki trwałe'!N759</f>
        <v>0</v>
      </c>
      <c r="O221" s="344">
        <f>'Środki trwałe'!O759</f>
        <v>0</v>
      </c>
      <c r="P221" s="344">
        <f>'Środki trwałe'!P759</f>
        <v>0</v>
      </c>
      <c r="Q221" s="344">
        <f>'Środki trwałe'!Q759</f>
        <v>0</v>
      </c>
      <c r="R221" s="344">
        <f>'Środki trwałe'!R759</f>
        <v>0</v>
      </c>
      <c r="S221" s="344">
        <f>'Środki trwałe'!S759</f>
        <v>0</v>
      </c>
      <c r="T221" s="344">
        <f>'Środki trwałe'!T759</f>
        <v>0</v>
      </c>
      <c r="U221" s="344">
        <f>'Środki trwałe'!U759</f>
        <v>0</v>
      </c>
      <c r="V221" s="344">
        <f>'Środki trwałe'!V759</f>
        <v>0</v>
      </c>
      <c r="W221" s="344">
        <f>'Środki trwałe'!W759</f>
        <v>0</v>
      </c>
      <c r="X221" s="344">
        <f>'Środki trwałe'!X759</f>
        <v>0</v>
      </c>
    </row>
    <row r="222" spans="2:24">
      <c r="B222" s="37" t="str">
        <f>IF(ISBLANK('Środki trwałe'!B674),"",'Środki trwałe'!B674)</f>
        <v/>
      </c>
      <c r="C222" s="33">
        <f>IF(ISBLANK('Środki trwałe'!E674),"",'Środki trwałe'!E674)</f>
        <v>0</v>
      </c>
      <c r="D222" s="339"/>
      <c r="E222" s="339"/>
      <c r="F222" s="343"/>
      <c r="G222" s="33">
        <f>IF(ISBLANK('Środki trwałe'!I674),"",'Środki trwałe'!I674)</f>
        <v>0</v>
      </c>
      <c r="H222" s="342"/>
      <c r="I222" s="339"/>
      <c r="J222" s="203"/>
      <c r="K222" s="344">
        <f>'Środki trwałe'!K760</f>
        <v>0</v>
      </c>
      <c r="L222" s="344">
        <f>'Środki trwałe'!L760</f>
        <v>0</v>
      </c>
      <c r="M222" s="344">
        <f>'Środki trwałe'!M760</f>
        <v>0</v>
      </c>
      <c r="N222" s="344">
        <f>'Środki trwałe'!N760</f>
        <v>0</v>
      </c>
      <c r="O222" s="344">
        <f>'Środki trwałe'!O760</f>
        <v>0</v>
      </c>
      <c r="P222" s="344">
        <f>'Środki trwałe'!P760</f>
        <v>0</v>
      </c>
      <c r="Q222" s="344">
        <f>'Środki trwałe'!Q760</f>
        <v>0</v>
      </c>
      <c r="R222" s="344">
        <f>'Środki trwałe'!R760</f>
        <v>0</v>
      </c>
      <c r="S222" s="344">
        <f>'Środki trwałe'!S760</f>
        <v>0</v>
      </c>
      <c r="T222" s="344">
        <f>'Środki trwałe'!T760</f>
        <v>0</v>
      </c>
      <c r="U222" s="344">
        <f>'Środki trwałe'!U760</f>
        <v>0</v>
      </c>
      <c r="V222" s="344">
        <f>'Środki trwałe'!V760</f>
        <v>0</v>
      </c>
      <c r="W222" s="344">
        <f>'Środki trwałe'!W760</f>
        <v>0</v>
      </c>
      <c r="X222" s="344">
        <f>'Środki trwałe'!X760</f>
        <v>0</v>
      </c>
    </row>
    <row r="223" spans="2:24">
      <c r="B223" s="37" t="str">
        <f>IF(ISBLANK('Środki trwałe'!B675),"",'Środki trwałe'!B675)</f>
        <v/>
      </c>
      <c r="C223" s="33">
        <f>IF(ISBLANK('Środki trwałe'!E675),"",'Środki trwałe'!E675)</f>
        <v>0</v>
      </c>
      <c r="D223" s="339"/>
      <c r="E223" s="339"/>
      <c r="F223" s="343"/>
      <c r="G223" s="33">
        <f>IF(ISBLANK('Środki trwałe'!I675),"",'Środki trwałe'!I675)</f>
        <v>0</v>
      </c>
      <c r="H223" s="342"/>
      <c r="I223" s="339"/>
      <c r="J223" s="203"/>
      <c r="K223" s="344">
        <f>'Środki trwałe'!K761</f>
        <v>0</v>
      </c>
      <c r="L223" s="344">
        <f>'Środki trwałe'!L761</f>
        <v>0</v>
      </c>
      <c r="M223" s="344">
        <f>'Środki trwałe'!M761</f>
        <v>0</v>
      </c>
      <c r="N223" s="344">
        <f>'Środki trwałe'!N761</f>
        <v>0</v>
      </c>
      <c r="O223" s="344">
        <f>'Środki trwałe'!O761</f>
        <v>0</v>
      </c>
      <c r="P223" s="344">
        <f>'Środki trwałe'!P761</f>
        <v>0</v>
      </c>
      <c r="Q223" s="344">
        <f>'Środki trwałe'!Q761</f>
        <v>0</v>
      </c>
      <c r="R223" s="344">
        <f>'Środki trwałe'!R761</f>
        <v>0</v>
      </c>
      <c r="S223" s="344">
        <f>'Środki trwałe'!S761</f>
        <v>0</v>
      </c>
      <c r="T223" s="344">
        <f>'Środki trwałe'!T761</f>
        <v>0</v>
      </c>
      <c r="U223" s="344">
        <f>'Środki trwałe'!U761</f>
        <v>0</v>
      </c>
      <c r="V223" s="344">
        <f>'Środki trwałe'!V761</f>
        <v>0</v>
      </c>
      <c r="W223" s="344">
        <f>'Środki trwałe'!W761</f>
        <v>0</v>
      </c>
      <c r="X223" s="344">
        <f>'Środki trwałe'!X761</f>
        <v>0</v>
      </c>
    </row>
    <row r="224" spans="2:24">
      <c r="B224" s="37" t="str">
        <f>IF(ISBLANK('Środki trwałe'!B676),"",'Środki trwałe'!B676)</f>
        <v/>
      </c>
      <c r="C224" s="33">
        <f>IF(ISBLANK('Środki trwałe'!E676),"",'Środki trwałe'!E676)</f>
        <v>0</v>
      </c>
      <c r="D224" s="339"/>
      <c r="E224" s="339"/>
      <c r="F224" s="343"/>
      <c r="G224" s="33">
        <f>IF(ISBLANK('Środki trwałe'!I676),"",'Środki trwałe'!I676)</f>
        <v>0</v>
      </c>
      <c r="H224" s="342"/>
      <c r="I224" s="339"/>
      <c r="J224" s="203"/>
      <c r="K224" s="344">
        <f>'Środki trwałe'!K762</f>
        <v>0</v>
      </c>
      <c r="L224" s="344">
        <f>'Środki trwałe'!L762</f>
        <v>0</v>
      </c>
      <c r="M224" s="344">
        <f>'Środki trwałe'!M762</f>
        <v>0</v>
      </c>
      <c r="N224" s="344">
        <f>'Środki trwałe'!N762</f>
        <v>0</v>
      </c>
      <c r="O224" s="344">
        <f>'Środki trwałe'!O762</f>
        <v>0</v>
      </c>
      <c r="P224" s="344">
        <f>'Środki trwałe'!P762</f>
        <v>0</v>
      </c>
      <c r="Q224" s="344">
        <f>'Środki trwałe'!Q762</f>
        <v>0</v>
      </c>
      <c r="R224" s="344">
        <f>'Środki trwałe'!R762</f>
        <v>0</v>
      </c>
      <c r="S224" s="344">
        <f>'Środki trwałe'!S762</f>
        <v>0</v>
      </c>
      <c r="T224" s="344">
        <f>'Środki trwałe'!T762</f>
        <v>0</v>
      </c>
      <c r="U224" s="344">
        <f>'Środki trwałe'!U762</f>
        <v>0</v>
      </c>
      <c r="V224" s="344">
        <f>'Środki trwałe'!V762</f>
        <v>0</v>
      </c>
      <c r="W224" s="344">
        <f>'Środki trwałe'!W762</f>
        <v>0</v>
      </c>
      <c r="X224" s="344">
        <f>'Środki trwałe'!X762</f>
        <v>0</v>
      </c>
    </row>
    <row r="225" spans="2:24">
      <c r="B225" s="37" t="str">
        <f>IF(ISBLANK('Środki trwałe'!B677),"",'Środki trwałe'!B677)</f>
        <v/>
      </c>
      <c r="C225" s="33">
        <f>IF(ISBLANK('Środki trwałe'!E677),"",'Środki trwałe'!E677)</f>
        <v>0</v>
      </c>
      <c r="D225" s="339"/>
      <c r="E225" s="339"/>
      <c r="F225" s="343"/>
      <c r="G225" s="33">
        <f>IF(ISBLANK('Środki trwałe'!I677),"",'Środki trwałe'!I677)</f>
        <v>0</v>
      </c>
      <c r="H225" s="342"/>
      <c r="I225" s="339"/>
      <c r="J225" s="203"/>
      <c r="K225" s="344">
        <f>'Środki trwałe'!K763</f>
        <v>0</v>
      </c>
      <c r="L225" s="344">
        <f>'Środki trwałe'!L763</f>
        <v>0</v>
      </c>
      <c r="M225" s="344">
        <f>'Środki trwałe'!M763</f>
        <v>0</v>
      </c>
      <c r="N225" s="344">
        <f>'Środki trwałe'!N763</f>
        <v>0</v>
      </c>
      <c r="O225" s="344">
        <f>'Środki trwałe'!O763</f>
        <v>0</v>
      </c>
      <c r="P225" s="344">
        <f>'Środki trwałe'!P763</f>
        <v>0</v>
      </c>
      <c r="Q225" s="344">
        <f>'Środki trwałe'!Q763</f>
        <v>0</v>
      </c>
      <c r="R225" s="344">
        <f>'Środki trwałe'!R763</f>
        <v>0</v>
      </c>
      <c r="S225" s="344">
        <f>'Środki trwałe'!S763</f>
        <v>0</v>
      </c>
      <c r="T225" s="344">
        <f>'Środki trwałe'!T763</f>
        <v>0</v>
      </c>
      <c r="U225" s="344">
        <f>'Środki trwałe'!U763</f>
        <v>0</v>
      </c>
      <c r="V225" s="344">
        <f>'Środki trwałe'!V763</f>
        <v>0</v>
      </c>
      <c r="W225" s="344">
        <f>'Środki trwałe'!W763</f>
        <v>0</v>
      </c>
      <c r="X225" s="344">
        <f>'Środki trwałe'!X763</f>
        <v>0</v>
      </c>
    </row>
    <row r="226" spans="2:24">
      <c r="B226" s="37" t="str">
        <f>IF(ISBLANK('Środki trwałe'!B678),"",'Środki trwałe'!B678)</f>
        <v/>
      </c>
      <c r="C226" s="33">
        <f>IF(ISBLANK('Środki trwałe'!E678),"",'Środki trwałe'!E678)</f>
        <v>0</v>
      </c>
      <c r="D226" s="339"/>
      <c r="E226" s="339"/>
      <c r="F226" s="343"/>
      <c r="G226" s="33">
        <f>IF(ISBLANK('Środki trwałe'!I678),"",'Środki trwałe'!I678)</f>
        <v>0</v>
      </c>
      <c r="H226" s="342"/>
      <c r="I226" s="339"/>
      <c r="J226" s="203"/>
      <c r="K226" s="344">
        <f>'Środki trwałe'!K764</f>
        <v>0</v>
      </c>
      <c r="L226" s="344">
        <f>'Środki trwałe'!L764</f>
        <v>0</v>
      </c>
      <c r="M226" s="344">
        <f>'Środki trwałe'!M764</f>
        <v>0</v>
      </c>
      <c r="N226" s="344">
        <f>'Środki trwałe'!N764</f>
        <v>0</v>
      </c>
      <c r="O226" s="344">
        <f>'Środki trwałe'!O764</f>
        <v>0</v>
      </c>
      <c r="P226" s="344">
        <f>'Środki trwałe'!P764</f>
        <v>0</v>
      </c>
      <c r="Q226" s="344">
        <f>'Środki trwałe'!Q764</f>
        <v>0</v>
      </c>
      <c r="R226" s="344">
        <f>'Środki trwałe'!R764</f>
        <v>0</v>
      </c>
      <c r="S226" s="344">
        <f>'Środki trwałe'!S764</f>
        <v>0</v>
      </c>
      <c r="T226" s="344">
        <f>'Środki trwałe'!T764</f>
        <v>0</v>
      </c>
      <c r="U226" s="344">
        <f>'Środki trwałe'!U764</f>
        <v>0</v>
      </c>
      <c r="V226" s="344">
        <f>'Środki trwałe'!V764</f>
        <v>0</v>
      </c>
      <c r="W226" s="344">
        <f>'Środki trwałe'!W764</f>
        <v>0</v>
      </c>
      <c r="X226" s="344">
        <f>'Środki trwałe'!X764</f>
        <v>0</v>
      </c>
    </row>
    <row r="227" spans="2:24">
      <c r="B227" s="37" t="str">
        <f>IF(ISBLANK('Środki trwałe'!B679),"",'Środki trwałe'!B679)</f>
        <v/>
      </c>
      <c r="C227" s="33">
        <f>IF(ISBLANK('Środki trwałe'!E679),"",'Środki trwałe'!E679)</f>
        <v>0</v>
      </c>
      <c r="D227" s="339"/>
      <c r="E227" s="339"/>
      <c r="F227" s="343"/>
      <c r="G227" s="33">
        <f>IF(ISBLANK('Środki trwałe'!I679),"",'Środki trwałe'!I679)</f>
        <v>0</v>
      </c>
      <c r="H227" s="342"/>
      <c r="I227" s="339"/>
      <c r="J227" s="203"/>
      <c r="K227" s="344">
        <f>'Środki trwałe'!K765</f>
        <v>0</v>
      </c>
      <c r="L227" s="344">
        <f>'Środki trwałe'!L765</f>
        <v>0</v>
      </c>
      <c r="M227" s="344">
        <f>'Środki trwałe'!M765</f>
        <v>0</v>
      </c>
      <c r="N227" s="344">
        <f>'Środki trwałe'!N765</f>
        <v>0</v>
      </c>
      <c r="O227" s="344">
        <f>'Środki trwałe'!O765</f>
        <v>0</v>
      </c>
      <c r="P227" s="344">
        <f>'Środki trwałe'!P765</f>
        <v>0</v>
      </c>
      <c r="Q227" s="344">
        <f>'Środki trwałe'!Q765</f>
        <v>0</v>
      </c>
      <c r="R227" s="344">
        <f>'Środki trwałe'!R765</f>
        <v>0</v>
      </c>
      <c r="S227" s="344">
        <f>'Środki trwałe'!S765</f>
        <v>0</v>
      </c>
      <c r="T227" s="344">
        <f>'Środki trwałe'!T765</f>
        <v>0</v>
      </c>
      <c r="U227" s="344">
        <f>'Środki trwałe'!U765</f>
        <v>0</v>
      </c>
      <c r="V227" s="344">
        <f>'Środki trwałe'!V765</f>
        <v>0</v>
      </c>
      <c r="W227" s="344">
        <f>'Środki trwałe'!W765</f>
        <v>0</v>
      </c>
      <c r="X227" s="344">
        <f>'Środki trwałe'!X765</f>
        <v>0</v>
      </c>
    </row>
    <row r="228" spans="2:24">
      <c r="B228" s="37" t="str">
        <f>IF(ISBLANK('Środki trwałe'!B680),"",'Środki trwałe'!B680)</f>
        <v/>
      </c>
      <c r="C228" s="33">
        <f>IF(ISBLANK('Środki trwałe'!E680),"",'Środki trwałe'!E680)</f>
        <v>0</v>
      </c>
      <c r="D228" s="339"/>
      <c r="E228" s="339"/>
      <c r="F228" s="343"/>
      <c r="G228" s="33">
        <f>IF(ISBLANK('Środki trwałe'!I680),"",'Środki trwałe'!I680)</f>
        <v>0</v>
      </c>
      <c r="H228" s="342"/>
      <c r="I228" s="339"/>
      <c r="J228" s="203"/>
      <c r="K228" s="344">
        <f>'Środki trwałe'!K766</f>
        <v>0</v>
      </c>
      <c r="L228" s="344">
        <f>'Środki trwałe'!L766</f>
        <v>0</v>
      </c>
      <c r="M228" s="344">
        <f>'Środki trwałe'!M766</f>
        <v>0</v>
      </c>
      <c r="N228" s="344">
        <f>'Środki trwałe'!N766</f>
        <v>0</v>
      </c>
      <c r="O228" s="344">
        <f>'Środki trwałe'!O766</f>
        <v>0</v>
      </c>
      <c r="P228" s="344">
        <f>'Środki trwałe'!P766</f>
        <v>0</v>
      </c>
      <c r="Q228" s="344">
        <f>'Środki trwałe'!Q766</f>
        <v>0</v>
      </c>
      <c r="R228" s="344">
        <f>'Środki trwałe'!R766</f>
        <v>0</v>
      </c>
      <c r="S228" s="344">
        <f>'Środki trwałe'!S766</f>
        <v>0</v>
      </c>
      <c r="T228" s="344">
        <f>'Środki trwałe'!T766</f>
        <v>0</v>
      </c>
      <c r="U228" s="344">
        <f>'Środki trwałe'!U766</f>
        <v>0</v>
      </c>
      <c r="V228" s="344">
        <f>'Środki trwałe'!V766</f>
        <v>0</v>
      </c>
      <c r="W228" s="344">
        <f>'Środki trwałe'!W766</f>
        <v>0</v>
      </c>
      <c r="X228" s="344">
        <f>'Środki trwałe'!X766</f>
        <v>0</v>
      </c>
    </row>
    <row r="229" spans="2:24">
      <c r="B229" s="37" t="str">
        <f>IF(ISBLANK('Środki trwałe'!B681),"",'Środki trwałe'!B681)</f>
        <v/>
      </c>
      <c r="C229" s="33">
        <f>IF(ISBLANK('Środki trwałe'!E681),"",'Środki trwałe'!E681)</f>
        <v>0</v>
      </c>
      <c r="D229" s="339"/>
      <c r="E229" s="339"/>
      <c r="F229" s="343"/>
      <c r="G229" s="33">
        <f>IF(ISBLANK('Środki trwałe'!I681),"",'Środki trwałe'!I681)</f>
        <v>0</v>
      </c>
      <c r="H229" s="342"/>
      <c r="I229" s="339"/>
      <c r="J229" s="203"/>
      <c r="K229" s="344">
        <f>'Środki trwałe'!K767</f>
        <v>0</v>
      </c>
      <c r="L229" s="344">
        <f>'Środki trwałe'!L767</f>
        <v>0</v>
      </c>
      <c r="M229" s="344">
        <f>'Środki trwałe'!M767</f>
        <v>0</v>
      </c>
      <c r="N229" s="344">
        <f>'Środki trwałe'!N767</f>
        <v>0</v>
      </c>
      <c r="O229" s="344">
        <f>'Środki trwałe'!O767</f>
        <v>0</v>
      </c>
      <c r="P229" s="344">
        <f>'Środki trwałe'!P767</f>
        <v>0</v>
      </c>
      <c r="Q229" s="344">
        <f>'Środki trwałe'!Q767</f>
        <v>0</v>
      </c>
      <c r="R229" s="344">
        <f>'Środki trwałe'!R767</f>
        <v>0</v>
      </c>
      <c r="S229" s="344">
        <f>'Środki trwałe'!S767</f>
        <v>0</v>
      </c>
      <c r="T229" s="344">
        <f>'Środki trwałe'!T767</f>
        <v>0</v>
      </c>
      <c r="U229" s="344">
        <f>'Środki trwałe'!U767</f>
        <v>0</v>
      </c>
      <c r="V229" s="344">
        <f>'Środki trwałe'!V767</f>
        <v>0</v>
      </c>
      <c r="W229" s="344">
        <f>'Środki trwałe'!W767</f>
        <v>0</v>
      </c>
      <c r="X229" s="344">
        <f>'Środki trwałe'!X767</f>
        <v>0</v>
      </c>
    </row>
    <row r="230" spans="2:24">
      <c r="B230" s="37" t="str">
        <f>IF(ISBLANK('Środki trwałe'!B682),"",'Środki trwałe'!B682)</f>
        <v/>
      </c>
      <c r="C230" s="33">
        <f>IF(ISBLANK('Środki trwałe'!E682),"",'Środki trwałe'!E682)</f>
        <v>0</v>
      </c>
      <c r="D230" s="339"/>
      <c r="E230" s="339"/>
      <c r="F230" s="343"/>
      <c r="G230" s="33">
        <f>IF(ISBLANK('Środki trwałe'!I682),"",'Środki trwałe'!I682)</f>
        <v>0</v>
      </c>
      <c r="H230" s="342"/>
      <c r="I230" s="339"/>
      <c r="J230" s="203"/>
      <c r="K230" s="344">
        <f>'Środki trwałe'!K768</f>
        <v>0</v>
      </c>
      <c r="L230" s="344">
        <f>'Środki trwałe'!L768</f>
        <v>0</v>
      </c>
      <c r="M230" s="344">
        <f>'Środki trwałe'!M768</f>
        <v>0</v>
      </c>
      <c r="N230" s="344">
        <f>'Środki trwałe'!N768</f>
        <v>0</v>
      </c>
      <c r="O230" s="344">
        <f>'Środki trwałe'!O768</f>
        <v>0</v>
      </c>
      <c r="P230" s="344">
        <f>'Środki trwałe'!P768</f>
        <v>0</v>
      </c>
      <c r="Q230" s="344">
        <f>'Środki trwałe'!Q768</f>
        <v>0</v>
      </c>
      <c r="R230" s="344">
        <f>'Środki trwałe'!R768</f>
        <v>0</v>
      </c>
      <c r="S230" s="344">
        <f>'Środki trwałe'!S768</f>
        <v>0</v>
      </c>
      <c r="T230" s="344">
        <f>'Środki trwałe'!T768</f>
        <v>0</v>
      </c>
      <c r="U230" s="344">
        <f>'Środki trwałe'!U768</f>
        <v>0</v>
      </c>
      <c r="V230" s="344">
        <f>'Środki trwałe'!V768</f>
        <v>0</v>
      </c>
      <c r="W230" s="344">
        <f>'Środki trwałe'!W768</f>
        <v>0</v>
      </c>
      <c r="X230" s="344">
        <f>'Środki trwałe'!X768</f>
        <v>0</v>
      </c>
    </row>
    <row r="231" spans="2:24">
      <c r="B231" s="37" t="str">
        <f>IF(ISBLANK('Środki trwałe'!B683),"",'Środki trwałe'!B683)</f>
        <v/>
      </c>
      <c r="C231" s="33">
        <f>IF(ISBLANK('Środki trwałe'!E683),"",'Środki trwałe'!E683)</f>
        <v>0</v>
      </c>
      <c r="D231" s="339"/>
      <c r="E231" s="339"/>
      <c r="F231" s="343"/>
      <c r="G231" s="33">
        <f>IF(ISBLANK('Środki trwałe'!I683),"",'Środki trwałe'!I683)</f>
        <v>0</v>
      </c>
      <c r="H231" s="342"/>
      <c r="I231" s="339"/>
      <c r="J231" s="203"/>
      <c r="K231" s="344">
        <f>'Środki trwałe'!K769</f>
        <v>0</v>
      </c>
      <c r="L231" s="344">
        <f>'Środki trwałe'!L769</f>
        <v>0</v>
      </c>
      <c r="M231" s="344">
        <f>'Środki trwałe'!M769</f>
        <v>0</v>
      </c>
      <c r="N231" s="344">
        <f>'Środki trwałe'!N769</f>
        <v>0</v>
      </c>
      <c r="O231" s="344">
        <f>'Środki trwałe'!O769</f>
        <v>0</v>
      </c>
      <c r="P231" s="344">
        <f>'Środki trwałe'!P769</f>
        <v>0</v>
      </c>
      <c r="Q231" s="344">
        <f>'Środki trwałe'!Q769</f>
        <v>0</v>
      </c>
      <c r="R231" s="344">
        <f>'Środki trwałe'!R769</f>
        <v>0</v>
      </c>
      <c r="S231" s="344">
        <f>'Środki trwałe'!S769</f>
        <v>0</v>
      </c>
      <c r="T231" s="344">
        <f>'Środki trwałe'!T769</f>
        <v>0</v>
      </c>
      <c r="U231" s="344">
        <f>'Środki trwałe'!U769</f>
        <v>0</v>
      </c>
      <c r="V231" s="344">
        <f>'Środki trwałe'!V769</f>
        <v>0</v>
      </c>
      <c r="W231" s="344">
        <f>'Środki trwałe'!W769</f>
        <v>0</v>
      </c>
      <c r="X231" s="344">
        <f>'Środki trwałe'!X769</f>
        <v>0</v>
      </c>
    </row>
    <row r="232" spans="2:24">
      <c r="B232" s="37" t="str">
        <f>IF(ISBLANK('Środki trwałe'!B684),"",'Środki trwałe'!B684)</f>
        <v/>
      </c>
      <c r="C232" s="33">
        <f>IF(ISBLANK('Środki trwałe'!E684),"",'Środki trwałe'!E684)</f>
        <v>0</v>
      </c>
      <c r="D232" s="339"/>
      <c r="E232" s="339"/>
      <c r="F232" s="343"/>
      <c r="G232" s="33">
        <f>IF(ISBLANK('Środki trwałe'!I684),"",'Środki trwałe'!I684)</f>
        <v>0</v>
      </c>
      <c r="H232" s="342"/>
      <c r="I232" s="339"/>
      <c r="J232" s="203"/>
      <c r="K232" s="344">
        <f>'Środki trwałe'!K770</f>
        <v>0</v>
      </c>
      <c r="L232" s="344">
        <f>'Środki trwałe'!L770</f>
        <v>0</v>
      </c>
      <c r="M232" s="344">
        <f>'Środki trwałe'!M770</f>
        <v>0</v>
      </c>
      <c r="N232" s="344">
        <f>'Środki trwałe'!N770</f>
        <v>0</v>
      </c>
      <c r="O232" s="344">
        <f>'Środki trwałe'!O770</f>
        <v>0</v>
      </c>
      <c r="P232" s="344">
        <f>'Środki trwałe'!P770</f>
        <v>0</v>
      </c>
      <c r="Q232" s="344">
        <f>'Środki trwałe'!Q770</f>
        <v>0</v>
      </c>
      <c r="R232" s="344">
        <f>'Środki trwałe'!R770</f>
        <v>0</v>
      </c>
      <c r="S232" s="344">
        <f>'Środki trwałe'!S770</f>
        <v>0</v>
      </c>
      <c r="T232" s="344">
        <f>'Środki trwałe'!T770</f>
        <v>0</v>
      </c>
      <c r="U232" s="344">
        <f>'Środki trwałe'!U770</f>
        <v>0</v>
      </c>
      <c r="V232" s="344">
        <f>'Środki trwałe'!V770</f>
        <v>0</v>
      </c>
      <c r="W232" s="344">
        <f>'Środki trwałe'!W770</f>
        <v>0</v>
      </c>
      <c r="X232" s="344">
        <f>'Środki trwałe'!X770</f>
        <v>0</v>
      </c>
    </row>
    <row r="233" spans="2:24">
      <c r="B233" s="37" t="str">
        <f>IF(ISBLANK('Środki trwałe'!B685),"",'Środki trwałe'!B685)</f>
        <v/>
      </c>
      <c r="C233" s="33">
        <f>IF(ISBLANK('Środki trwałe'!E685),"",'Środki trwałe'!E685)</f>
        <v>0</v>
      </c>
      <c r="D233" s="339"/>
      <c r="E233" s="339"/>
      <c r="F233" s="343"/>
      <c r="G233" s="33">
        <f>IF(ISBLANK('Środki trwałe'!I685),"",'Środki trwałe'!I685)</f>
        <v>0</v>
      </c>
      <c r="H233" s="342"/>
      <c r="I233" s="339"/>
      <c r="J233" s="203"/>
      <c r="K233" s="344">
        <f>'Środki trwałe'!K771</f>
        <v>0</v>
      </c>
      <c r="L233" s="344">
        <f>'Środki trwałe'!L771</f>
        <v>0</v>
      </c>
      <c r="M233" s="344">
        <f>'Środki trwałe'!M771</f>
        <v>0</v>
      </c>
      <c r="N233" s="344">
        <f>'Środki trwałe'!N771</f>
        <v>0</v>
      </c>
      <c r="O233" s="344">
        <f>'Środki trwałe'!O771</f>
        <v>0</v>
      </c>
      <c r="P233" s="344">
        <f>'Środki trwałe'!P771</f>
        <v>0</v>
      </c>
      <c r="Q233" s="344">
        <f>'Środki trwałe'!Q771</f>
        <v>0</v>
      </c>
      <c r="R233" s="344">
        <f>'Środki trwałe'!R771</f>
        <v>0</v>
      </c>
      <c r="S233" s="344">
        <f>'Środki trwałe'!S771</f>
        <v>0</v>
      </c>
      <c r="T233" s="344">
        <f>'Środki trwałe'!T771</f>
        <v>0</v>
      </c>
      <c r="U233" s="344">
        <f>'Środki trwałe'!U771</f>
        <v>0</v>
      </c>
      <c r="V233" s="344">
        <f>'Środki trwałe'!V771</f>
        <v>0</v>
      </c>
      <c r="W233" s="344">
        <f>'Środki trwałe'!W771</f>
        <v>0</v>
      </c>
      <c r="X233" s="344">
        <f>'Środki trwałe'!X771</f>
        <v>0</v>
      </c>
    </row>
    <row r="234" spans="2:24">
      <c r="B234" s="37" t="str">
        <f>IF(ISBLANK('Środki trwałe'!B686),"",'Środki trwałe'!B686)</f>
        <v/>
      </c>
      <c r="C234" s="33">
        <f>IF(ISBLANK('Środki trwałe'!E686),"",'Środki trwałe'!E686)</f>
        <v>0</v>
      </c>
      <c r="D234" s="339"/>
      <c r="E234" s="339"/>
      <c r="F234" s="343"/>
      <c r="G234" s="33">
        <f>IF(ISBLANK('Środki trwałe'!I686),"",'Środki trwałe'!I686)</f>
        <v>0</v>
      </c>
      <c r="H234" s="342"/>
      <c r="I234" s="339"/>
      <c r="J234" s="203"/>
      <c r="K234" s="344">
        <f>'Środki trwałe'!K772</f>
        <v>0</v>
      </c>
      <c r="L234" s="344">
        <f>'Środki trwałe'!L772</f>
        <v>0</v>
      </c>
      <c r="M234" s="344">
        <f>'Środki trwałe'!M772</f>
        <v>0</v>
      </c>
      <c r="N234" s="344">
        <f>'Środki trwałe'!N772</f>
        <v>0</v>
      </c>
      <c r="O234" s="344">
        <f>'Środki trwałe'!O772</f>
        <v>0</v>
      </c>
      <c r="P234" s="344">
        <f>'Środki trwałe'!P772</f>
        <v>0</v>
      </c>
      <c r="Q234" s="344">
        <f>'Środki trwałe'!Q772</f>
        <v>0</v>
      </c>
      <c r="R234" s="344">
        <f>'Środki trwałe'!R772</f>
        <v>0</v>
      </c>
      <c r="S234" s="344">
        <f>'Środki trwałe'!S772</f>
        <v>0</v>
      </c>
      <c r="T234" s="344">
        <f>'Środki trwałe'!T772</f>
        <v>0</v>
      </c>
      <c r="U234" s="344">
        <f>'Środki trwałe'!U772</f>
        <v>0</v>
      </c>
      <c r="V234" s="344">
        <f>'Środki trwałe'!V772</f>
        <v>0</v>
      </c>
      <c r="W234" s="344">
        <f>'Środki trwałe'!W772</f>
        <v>0</v>
      </c>
      <c r="X234" s="344">
        <f>'Środki trwałe'!X772</f>
        <v>0</v>
      </c>
    </row>
    <row r="235" spans="2:24">
      <c r="B235" s="37" t="str">
        <f>IF(ISBLANK('Środki trwałe'!B687),"",'Środki trwałe'!B687)</f>
        <v/>
      </c>
      <c r="C235" s="33">
        <f>IF(ISBLANK('Środki trwałe'!E687),"",'Środki trwałe'!E687)</f>
        <v>0</v>
      </c>
      <c r="D235" s="339"/>
      <c r="E235" s="339"/>
      <c r="F235" s="343"/>
      <c r="G235" s="33">
        <f>IF(ISBLANK('Środki trwałe'!I687),"",'Środki trwałe'!I687)</f>
        <v>0</v>
      </c>
      <c r="H235" s="342"/>
      <c r="I235" s="339"/>
      <c r="J235" s="203"/>
      <c r="K235" s="344">
        <f>'Środki trwałe'!K773</f>
        <v>0</v>
      </c>
      <c r="L235" s="344">
        <f>'Środki trwałe'!L773</f>
        <v>0</v>
      </c>
      <c r="M235" s="344">
        <f>'Środki trwałe'!M773</f>
        <v>0</v>
      </c>
      <c r="N235" s="344">
        <f>'Środki trwałe'!N773</f>
        <v>0</v>
      </c>
      <c r="O235" s="344">
        <f>'Środki trwałe'!O773</f>
        <v>0</v>
      </c>
      <c r="P235" s="344">
        <f>'Środki trwałe'!P773</f>
        <v>0</v>
      </c>
      <c r="Q235" s="344">
        <f>'Środki trwałe'!Q773</f>
        <v>0</v>
      </c>
      <c r="R235" s="344">
        <f>'Środki trwałe'!R773</f>
        <v>0</v>
      </c>
      <c r="S235" s="344">
        <f>'Środki trwałe'!S773</f>
        <v>0</v>
      </c>
      <c r="T235" s="344">
        <f>'Środki trwałe'!T773</f>
        <v>0</v>
      </c>
      <c r="U235" s="344">
        <f>'Środki trwałe'!U773</f>
        <v>0</v>
      </c>
      <c r="V235" s="344">
        <f>'Środki trwałe'!V773</f>
        <v>0</v>
      </c>
      <c r="W235" s="344">
        <f>'Środki trwałe'!W773</f>
        <v>0</v>
      </c>
      <c r="X235" s="344">
        <f>'Środki trwałe'!X773</f>
        <v>0</v>
      </c>
    </row>
    <row r="236" spans="2:24">
      <c r="B236" s="37" t="str">
        <f>IF(ISBLANK('Środki trwałe'!B688),"",'Środki trwałe'!B688)</f>
        <v/>
      </c>
      <c r="C236" s="33">
        <f>IF(ISBLANK('Środki trwałe'!E688),"",'Środki trwałe'!E688)</f>
        <v>0</v>
      </c>
      <c r="D236" s="339"/>
      <c r="E236" s="339"/>
      <c r="F236" s="343"/>
      <c r="G236" s="33">
        <f>IF(ISBLANK('Środki trwałe'!I688),"",'Środki trwałe'!I688)</f>
        <v>0</v>
      </c>
      <c r="H236" s="342"/>
      <c r="I236" s="339"/>
      <c r="J236" s="203"/>
      <c r="K236" s="344">
        <f>'Środki trwałe'!K774</f>
        <v>0</v>
      </c>
      <c r="L236" s="344">
        <f>'Środki trwałe'!L774</f>
        <v>0</v>
      </c>
      <c r="M236" s="344">
        <f>'Środki trwałe'!M774</f>
        <v>0</v>
      </c>
      <c r="N236" s="344">
        <f>'Środki trwałe'!N774</f>
        <v>0</v>
      </c>
      <c r="O236" s="344">
        <f>'Środki trwałe'!O774</f>
        <v>0</v>
      </c>
      <c r="P236" s="344">
        <f>'Środki trwałe'!P774</f>
        <v>0</v>
      </c>
      <c r="Q236" s="344">
        <f>'Środki trwałe'!Q774</f>
        <v>0</v>
      </c>
      <c r="R236" s="344">
        <f>'Środki trwałe'!R774</f>
        <v>0</v>
      </c>
      <c r="S236" s="344">
        <f>'Środki trwałe'!S774</f>
        <v>0</v>
      </c>
      <c r="T236" s="344">
        <f>'Środki trwałe'!T774</f>
        <v>0</v>
      </c>
      <c r="U236" s="344">
        <f>'Środki trwałe'!U774</f>
        <v>0</v>
      </c>
      <c r="V236" s="344">
        <f>'Środki trwałe'!V774</f>
        <v>0</v>
      </c>
      <c r="W236" s="344">
        <f>'Środki trwałe'!W774</f>
        <v>0</v>
      </c>
      <c r="X236" s="344">
        <f>'Środki trwałe'!X774</f>
        <v>0</v>
      </c>
    </row>
    <row r="237" spans="2:24">
      <c r="B237" s="37" t="str">
        <f>IF(ISBLANK('Środki trwałe'!B689),"",'Środki trwałe'!B689)</f>
        <v/>
      </c>
      <c r="C237" s="33">
        <f>IF(ISBLANK('Środki trwałe'!E689),"",'Środki trwałe'!E689)</f>
        <v>0</v>
      </c>
      <c r="D237" s="339"/>
      <c r="E237" s="339"/>
      <c r="F237" s="343"/>
      <c r="G237" s="33">
        <f>IF(ISBLANK('Środki trwałe'!I689),"",'Środki trwałe'!I689)</f>
        <v>0</v>
      </c>
      <c r="H237" s="342"/>
      <c r="I237" s="339"/>
      <c r="J237" s="203"/>
      <c r="K237" s="344">
        <f>'Środki trwałe'!K775</f>
        <v>0</v>
      </c>
      <c r="L237" s="344">
        <f>'Środki trwałe'!L775</f>
        <v>0</v>
      </c>
      <c r="M237" s="344">
        <f>'Środki trwałe'!M775</f>
        <v>0</v>
      </c>
      <c r="N237" s="344">
        <f>'Środki trwałe'!N775</f>
        <v>0</v>
      </c>
      <c r="O237" s="344">
        <f>'Środki trwałe'!O775</f>
        <v>0</v>
      </c>
      <c r="P237" s="344">
        <f>'Środki trwałe'!P775</f>
        <v>0</v>
      </c>
      <c r="Q237" s="344">
        <f>'Środki trwałe'!Q775</f>
        <v>0</v>
      </c>
      <c r="R237" s="344">
        <f>'Środki trwałe'!R775</f>
        <v>0</v>
      </c>
      <c r="S237" s="344">
        <f>'Środki trwałe'!S775</f>
        <v>0</v>
      </c>
      <c r="T237" s="344">
        <f>'Środki trwałe'!T775</f>
        <v>0</v>
      </c>
      <c r="U237" s="344">
        <f>'Środki trwałe'!U775</f>
        <v>0</v>
      </c>
      <c r="V237" s="344">
        <f>'Środki trwałe'!V775</f>
        <v>0</v>
      </c>
      <c r="W237" s="344">
        <f>'Środki trwałe'!W775</f>
        <v>0</v>
      </c>
      <c r="X237" s="344">
        <f>'Środki trwałe'!X775</f>
        <v>0</v>
      </c>
    </row>
    <row r="238" spans="2:24">
      <c r="B238" s="37" t="str">
        <f>IF(ISBLANK('Środki trwałe'!B690),"",'Środki trwałe'!B690)</f>
        <v/>
      </c>
      <c r="C238" s="33">
        <f>IF(ISBLANK('Środki trwałe'!E690),"",'Środki trwałe'!E690)</f>
        <v>0</v>
      </c>
      <c r="D238" s="339"/>
      <c r="E238" s="339"/>
      <c r="F238" s="343"/>
      <c r="G238" s="33">
        <f>IF(ISBLANK('Środki trwałe'!I690),"",'Środki trwałe'!I690)</f>
        <v>0</v>
      </c>
      <c r="H238" s="342"/>
      <c r="I238" s="339"/>
      <c r="J238" s="203"/>
      <c r="K238" s="344">
        <f>'Środki trwałe'!K776</f>
        <v>0</v>
      </c>
      <c r="L238" s="344">
        <f>'Środki trwałe'!L776</f>
        <v>0</v>
      </c>
      <c r="M238" s="344">
        <f>'Środki trwałe'!M776</f>
        <v>0</v>
      </c>
      <c r="N238" s="344">
        <f>'Środki trwałe'!N776</f>
        <v>0</v>
      </c>
      <c r="O238" s="344">
        <f>'Środki trwałe'!O776</f>
        <v>0</v>
      </c>
      <c r="P238" s="344">
        <f>'Środki trwałe'!P776</f>
        <v>0</v>
      </c>
      <c r="Q238" s="344">
        <f>'Środki trwałe'!Q776</f>
        <v>0</v>
      </c>
      <c r="R238" s="344">
        <f>'Środki trwałe'!R776</f>
        <v>0</v>
      </c>
      <c r="S238" s="344">
        <f>'Środki trwałe'!S776</f>
        <v>0</v>
      </c>
      <c r="T238" s="344">
        <f>'Środki trwałe'!T776</f>
        <v>0</v>
      </c>
      <c r="U238" s="344">
        <f>'Środki trwałe'!U776</f>
        <v>0</v>
      </c>
      <c r="V238" s="344">
        <f>'Środki trwałe'!V776</f>
        <v>0</v>
      </c>
      <c r="W238" s="344">
        <f>'Środki trwałe'!W776</f>
        <v>0</v>
      </c>
      <c r="X238" s="344">
        <f>'Środki trwałe'!X776</f>
        <v>0</v>
      </c>
    </row>
    <row r="239" spans="2:24">
      <c r="B239" s="37" t="str">
        <f>IF(ISBLANK('Środki trwałe'!B691),"",'Środki trwałe'!B691)</f>
        <v/>
      </c>
      <c r="C239" s="33">
        <f>IF(ISBLANK('Środki trwałe'!E691),"",'Środki trwałe'!E691)</f>
        <v>0</v>
      </c>
      <c r="D239" s="339"/>
      <c r="E239" s="339"/>
      <c r="F239" s="343"/>
      <c r="G239" s="33">
        <f>IF(ISBLANK('Środki trwałe'!I691),"",'Środki trwałe'!I691)</f>
        <v>0</v>
      </c>
      <c r="H239" s="342"/>
      <c r="I239" s="339"/>
      <c r="J239" s="203"/>
      <c r="K239" s="344">
        <f>'Środki trwałe'!K777</f>
        <v>0</v>
      </c>
      <c r="L239" s="344">
        <f>'Środki trwałe'!L777</f>
        <v>0</v>
      </c>
      <c r="M239" s="344">
        <f>'Środki trwałe'!M777</f>
        <v>0</v>
      </c>
      <c r="N239" s="344">
        <f>'Środki trwałe'!N777</f>
        <v>0</v>
      </c>
      <c r="O239" s="344">
        <f>'Środki trwałe'!O777</f>
        <v>0</v>
      </c>
      <c r="P239" s="344">
        <f>'Środki trwałe'!P777</f>
        <v>0</v>
      </c>
      <c r="Q239" s="344">
        <f>'Środki trwałe'!Q777</f>
        <v>0</v>
      </c>
      <c r="R239" s="344">
        <f>'Środki trwałe'!R777</f>
        <v>0</v>
      </c>
      <c r="S239" s="344">
        <f>'Środki trwałe'!S777</f>
        <v>0</v>
      </c>
      <c r="T239" s="344">
        <f>'Środki trwałe'!T777</f>
        <v>0</v>
      </c>
      <c r="U239" s="344">
        <f>'Środki trwałe'!U777</f>
        <v>0</v>
      </c>
      <c r="V239" s="344">
        <f>'Środki trwałe'!V777</f>
        <v>0</v>
      </c>
      <c r="W239" s="344">
        <f>'Środki trwałe'!W777</f>
        <v>0</v>
      </c>
      <c r="X239" s="344">
        <f>'Środki trwałe'!X777</f>
        <v>0</v>
      </c>
    </row>
    <row r="240" spans="2:24">
      <c r="B240" s="37" t="str">
        <f>IF(ISBLANK('Środki trwałe'!B692),"",'Środki trwałe'!B692)</f>
        <v/>
      </c>
      <c r="C240" s="33">
        <f>IF(ISBLANK('Środki trwałe'!E692),"",'Środki trwałe'!E692)</f>
        <v>0</v>
      </c>
      <c r="D240" s="339"/>
      <c r="E240" s="339"/>
      <c r="F240" s="343"/>
      <c r="G240" s="33">
        <f>IF(ISBLANK('Środki trwałe'!I692),"",'Środki trwałe'!I692)</f>
        <v>0</v>
      </c>
      <c r="H240" s="342"/>
      <c r="I240" s="339"/>
      <c r="J240" s="203"/>
      <c r="K240" s="344">
        <f>'Środki trwałe'!K778</f>
        <v>0</v>
      </c>
      <c r="L240" s="344">
        <f>'Środki trwałe'!L778</f>
        <v>0</v>
      </c>
      <c r="M240" s="344">
        <f>'Środki trwałe'!M778</f>
        <v>0</v>
      </c>
      <c r="N240" s="344">
        <f>'Środki trwałe'!N778</f>
        <v>0</v>
      </c>
      <c r="O240" s="344">
        <f>'Środki trwałe'!O778</f>
        <v>0</v>
      </c>
      <c r="P240" s="344">
        <f>'Środki trwałe'!P778</f>
        <v>0</v>
      </c>
      <c r="Q240" s="344">
        <f>'Środki trwałe'!Q778</f>
        <v>0</v>
      </c>
      <c r="R240" s="344">
        <f>'Środki trwałe'!R778</f>
        <v>0</v>
      </c>
      <c r="S240" s="344">
        <f>'Środki trwałe'!S778</f>
        <v>0</v>
      </c>
      <c r="T240" s="344">
        <f>'Środki trwałe'!T778</f>
        <v>0</v>
      </c>
      <c r="U240" s="344">
        <f>'Środki trwałe'!U778</f>
        <v>0</v>
      </c>
      <c r="V240" s="344">
        <f>'Środki trwałe'!V778</f>
        <v>0</v>
      </c>
      <c r="W240" s="344">
        <f>'Środki trwałe'!W778</f>
        <v>0</v>
      </c>
      <c r="X240" s="344">
        <f>'Środki trwałe'!X778</f>
        <v>0</v>
      </c>
    </row>
    <row r="241" spans="2:24">
      <c r="B241" s="37" t="str">
        <f>IF(ISBLANK('Środki trwałe'!B693),"",'Środki trwałe'!B693)</f>
        <v/>
      </c>
      <c r="C241" s="33">
        <f>IF(ISBLANK('Środki trwałe'!E693),"",'Środki trwałe'!E693)</f>
        <v>0</v>
      </c>
      <c r="D241" s="339"/>
      <c r="E241" s="339"/>
      <c r="F241" s="343"/>
      <c r="G241" s="33">
        <f>IF(ISBLANK('Środki trwałe'!I693),"",'Środki trwałe'!I693)</f>
        <v>0</v>
      </c>
      <c r="H241" s="342"/>
      <c r="I241" s="339"/>
      <c r="J241" s="203"/>
      <c r="K241" s="344">
        <f>'Środki trwałe'!K779</f>
        <v>0</v>
      </c>
      <c r="L241" s="344">
        <f>'Środki trwałe'!L779</f>
        <v>0</v>
      </c>
      <c r="M241" s="344">
        <f>'Środki trwałe'!M779</f>
        <v>0</v>
      </c>
      <c r="N241" s="344">
        <f>'Środki trwałe'!N779</f>
        <v>0</v>
      </c>
      <c r="O241" s="344">
        <f>'Środki trwałe'!O779</f>
        <v>0</v>
      </c>
      <c r="P241" s="344">
        <f>'Środki trwałe'!P779</f>
        <v>0</v>
      </c>
      <c r="Q241" s="344">
        <f>'Środki trwałe'!Q779</f>
        <v>0</v>
      </c>
      <c r="R241" s="344">
        <f>'Środki trwałe'!R779</f>
        <v>0</v>
      </c>
      <c r="S241" s="344">
        <f>'Środki trwałe'!S779</f>
        <v>0</v>
      </c>
      <c r="T241" s="344">
        <f>'Środki trwałe'!T779</f>
        <v>0</v>
      </c>
      <c r="U241" s="344">
        <f>'Środki trwałe'!U779</f>
        <v>0</v>
      </c>
      <c r="V241" s="344">
        <f>'Środki trwałe'!V779</f>
        <v>0</v>
      </c>
      <c r="W241" s="344">
        <f>'Środki trwałe'!W779</f>
        <v>0</v>
      </c>
      <c r="X241" s="344">
        <f>'Środki trwałe'!X779</f>
        <v>0</v>
      </c>
    </row>
    <row r="242" spans="2:24">
      <c r="B242" s="37" t="str">
        <f>IF(ISBLANK('Środki trwałe'!B694),"",'Środki trwałe'!B694)</f>
        <v/>
      </c>
      <c r="C242" s="33">
        <f>IF(ISBLANK('Środki trwałe'!E694),"",'Środki trwałe'!E694)</f>
        <v>0</v>
      </c>
      <c r="D242" s="339"/>
      <c r="E242" s="339"/>
      <c r="F242" s="343"/>
      <c r="G242" s="33">
        <f>IF(ISBLANK('Środki trwałe'!I694),"",'Środki trwałe'!I694)</f>
        <v>0</v>
      </c>
      <c r="H242" s="342"/>
      <c r="I242" s="339"/>
      <c r="J242" s="203"/>
      <c r="K242" s="344">
        <f>'Środki trwałe'!K780</f>
        <v>0</v>
      </c>
      <c r="L242" s="344">
        <f>'Środki trwałe'!L780</f>
        <v>0</v>
      </c>
      <c r="M242" s="344">
        <f>'Środki trwałe'!M780</f>
        <v>0</v>
      </c>
      <c r="N242" s="344">
        <f>'Środki trwałe'!N780</f>
        <v>0</v>
      </c>
      <c r="O242" s="344">
        <f>'Środki trwałe'!O780</f>
        <v>0</v>
      </c>
      <c r="P242" s="344">
        <f>'Środki trwałe'!P780</f>
        <v>0</v>
      </c>
      <c r="Q242" s="344">
        <f>'Środki trwałe'!Q780</f>
        <v>0</v>
      </c>
      <c r="R242" s="344">
        <f>'Środki trwałe'!R780</f>
        <v>0</v>
      </c>
      <c r="S242" s="344">
        <f>'Środki trwałe'!S780</f>
        <v>0</v>
      </c>
      <c r="T242" s="344">
        <f>'Środki trwałe'!T780</f>
        <v>0</v>
      </c>
      <c r="U242" s="344">
        <f>'Środki trwałe'!U780</f>
        <v>0</v>
      </c>
      <c r="V242" s="344">
        <f>'Środki trwałe'!V780</f>
        <v>0</v>
      </c>
      <c r="W242" s="344">
        <f>'Środki trwałe'!W780</f>
        <v>0</v>
      </c>
      <c r="X242" s="344">
        <f>'Środki trwałe'!X780</f>
        <v>0</v>
      </c>
    </row>
    <row r="243" spans="2:24">
      <c r="B243" s="37" t="str">
        <f>IF(ISBLANK('Środki trwałe'!B695),"",'Środki trwałe'!B695)</f>
        <v/>
      </c>
      <c r="C243" s="33">
        <f>IF(ISBLANK('Środki trwałe'!E695),"",'Środki trwałe'!E695)</f>
        <v>0</v>
      </c>
      <c r="D243" s="339"/>
      <c r="E243" s="339"/>
      <c r="F243" s="343"/>
      <c r="G243" s="33">
        <f>IF(ISBLANK('Środki trwałe'!I695),"",'Środki trwałe'!I695)</f>
        <v>0</v>
      </c>
      <c r="H243" s="342"/>
      <c r="I243" s="339"/>
      <c r="J243" s="203"/>
      <c r="K243" s="344">
        <f>'Środki trwałe'!K781</f>
        <v>0</v>
      </c>
      <c r="L243" s="344">
        <f>'Środki trwałe'!L781</f>
        <v>0</v>
      </c>
      <c r="M243" s="344">
        <f>'Środki trwałe'!M781</f>
        <v>0</v>
      </c>
      <c r="N243" s="344">
        <f>'Środki trwałe'!N781</f>
        <v>0</v>
      </c>
      <c r="O243" s="344">
        <f>'Środki trwałe'!O781</f>
        <v>0</v>
      </c>
      <c r="P243" s="344">
        <f>'Środki trwałe'!P781</f>
        <v>0</v>
      </c>
      <c r="Q243" s="344">
        <f>'Środki trwałe'!Q781</f>
        <v>0</v>
      </c>
      <c r="R243" s="344">
        <f>'Środki trwałe'!R781</f>
        <v>0</v>
      </c>
      <c r="S243" s="344">
        <f>'Środki trwałe'!S781</f>
        <v>0</v>
      </c>
      <c r="T243" s="344">
        <f>'Środki trwałe'!T781</f>
        <v>0</v>
      </c>
      <c r="U243" s="344">
        <f>'Środki trwałe'!U781</f>
        <v>0</v>
      </c>
      <c r="V243" s="344">
        <f>'Środki trwałe'!V781</f>
        <v>0</v>
      </c>
      <c r="W243" s="344">
        <f>'Środki trwałe'!W781</f>
        <v>0</v>
      </c>
      <c r="X243" s="344">
        <f>'Środki trwałe'!X781</f>
        <v>0</v>
      </c>
    </row>
    <row r="244" spans="2:24">
      <c r="B244" s="37" t="str">
        <f>IF(ISBLANK('Środki trwałe'!B696),"",'Środki trwałe'!B696)</f>
        <v/>
      </c>
      <c r="C244" s="33">
        <f>IF(ISBLANK('Środki trwałe'!E696),"",'Środki trwałe'!E696)</f>
        <v>0</v>
      </c>
      <c r="D244" s="339"/>
      <c r="E244" s="339"/>
      <c r="F244" s="343"/>
      <c r="G244" s="33">
        <f>IF(ISBLANK('Środki trwałe'!I696),"",'Środki trwałe'!I696)</f>
        <v>0</v>
      </c>
      <c r="H244" s="342"/>
      <c r="I244" s="339"/>
      <c r="J244" s="203"/>
      <c r="K244" s="344">
        <f>'Środki trwałe'!K782</f>
        <v>0</v>
      </c>
      <c r="L244" s="344">
        <f>'Środki trwałe'!L782</f>
        <v>0</v>
      </c>
      <c r="M244" s="344">
        <f>'Środki trwałe'!M782</f>
        <v>0</v>
      </c>
      <c r="N244" s="344">
        <f>'Środki trwałe'!N782</f>
        <v>0</v>
      </c>
      <c r="O244" s="344">
        <f>'Środki trwałe'!O782</f>
        <v>0</v>
      </c>
      <c r="P244" s="344">
        <f>'Środki trwałe'!P782</f>
        <v>0</v>
      </c>
      <c r="Q244" s="344">
        <f>'Środki trwałe'!Q782</f>
        <v>0</v>
      </c>
      <c r="R244" s="344">
        <f>'Środki trwałe'!R782</f>
        <v>0</v>
      </c>
      <c r="S244" s="344">
        <f>'Środki trwałe'!S782</f>
        <v>0</v>
      </c>
      <c r="T244" s="344">
        <f>'Środki trwałe'!T782</f>
        <v>0</v>
      </c>
      <c r="U244" s="344">
        <f>'Środki trwałe'!U782</f>
        <v>0</v>
      </c>
      <c r="V244" s="344">
        <f>'Środki trwałe'!V782</f>
        <v>0</v>
      </c>
      <c r="W244" s="344">
        <f>'Środki trwałe'!W782</f>
        <v>0</v>
      </c>
      <c r="X244" s="344">
        <f>'Środki trwałe'!X782</f>
        <v>0</v>
      </c>
    </row>
    <row r="245" spans="2:24">
      <c r="B245" s="37" t="str">
        <f>IF(ISBLANK('Środki trwałe'!B697),"",'Środki trwałe'!B697)</f>
        <v/>
      </c>
      <c r="C245" s="33">
        <f>IF(ISBLANK('Środki trwałe'!E697),"",'Środki trwałe'!E697)</f>
        <v>0</v>
      </c>
      <c r="D245" s="339"/>
      <c r="E245" s="339"/>
      <c r="F245" s="343"/>
      <c r="G245" s="33">
        <f>IF(ISBLANK('Środki trwałe'!I697),"",'Środki trwałe'!I697)</f>
        <v>0</v>
      </c>
      <c r="H245" s="342"/>
      <c r="I245" s="339"/>
      <c r="J245" s="203"/>
      <c r="K245" s="344">
        <f>'Środki trwałe'!K783</f>
        <v>0</v>
      </c>
      <c r="L245" s="344">
        <f>'Środki trwałe'!L783</f>
        <v>0</v>
      </c>
      <c r="M245" s="344">
        <f>'Środki trwałe'!M783</f>
        <v>0</v>
      </c>
      <c r="N245" s="344">
        <f>'Środki trwałe'!N783</f>
        <v>0</v>
      </c>
      <c r="O245" s="344">
        <f>'Środki trwałe'!O783</f>
        <v>0</v>
      </c>
      <c r="P245" s="344">
        <f>'Środki trwałe'!P783</f>
        <v>0</v>
      </c>
      <c r="Q245" s="344">
        <f>'Środki trwałe'!Q783</f>
        <v>0</v>
      </c>
      <c r="R245" s="344">
        <f>'Środki trwałe'!R783</f>
        <v>0</v>
      </c>
      <c r="S245" s="344">
        <f>'Środki trwałe'!S783</f>
        <v>0</v>
      </c>
      <c r="T245" s="344">
        <f>'Środki trwałe'!T783</f>
        <v>0</v>
      </c>
      <c r="U245" s="344">
        <f>'Środki trwałe'!U783</f>
        <v>0</v>
      </c>
      <c r="V245" s="344">
        <f>'Środki trwałe'!V783</f>
        <v>0</v>
      </c>
      <c r="W245" s="344">
        <f>'Środki trwałe'!W783</f>
        <v>0</v>
      </c>
      <c r="X245" s="344">
        <f>'Środki trwałe'!X783</f>
        <v>0</v>
      </c>
    </row>
    <row r="246" spans="2:24">
      <c r="B246" s="409" t="s">
        <v>684</v>
      </c>
      <c r="C246" s="409"/>
      <c r="D246" s="410"/>
      <c r="E246" s="410"/>
      <c r="F246" s="411"/>
      <c r="G246" s="410">
        <f>SUM(G206:G245)</f>
        <v>0</v>
      </c>
      <c r="H246" s="411"/>
      <c r="I246" s="410"/>
      <c r="J246" s="411"/>
      <c r="K246" s="410">
        <f>ROUND(SUM(K206:K245),0)</f>
        <v>0</v>
      </c>
      <c r="L246" s="410">
        <f t="shared" ref="L246:X246" si="58">ROUND(SUM(L206:L245),0)</f>
        <v>0</v>
      </c>
      <c r="M246" s="410">
        <f t="shared" si="58"/>
        <v>0</v>
      </c>
      <c r="N246" s="410">
        <f t="shared" si="58"/>
        <v>0</v>
      </c>
      <c r="O246" s="410">
        <f t="shared" si="58"/>
        <v>0</v>
      </c>
      <c r="P246" s="410">
        <f t="shared" si="58"/>
        <v>0</v>
      </c>
      <c r="Q246" s="410">
        <f t="shared" si="58"/>
        <v>0</v>
      </c>
      <c r="R246" s="410">
        <f t="shared" si="58"/>
        <v>0</v>
      </c>
      <c r="S246" s="410">
        <f t="shared" si="58"/>
        <v>0</v>
      </c>
      <c r="T246" s="410">
        <f t="shared" si="58"/>
        <v>0</v>
      </c>
      <c r="U246" s="410">
        <f t="shared" si="58"/>
        <v>0</v>
      </c>
      <c r="V246" s="410">
        <f t="shared" si="58"/>
        <v>0</v>
      </c>
      <c r="W246" s="410">
        <f t="shared" si="58"/>
        <v>0</v>
      </c>
      <c r="X246" s="410">
        <f t="shared" si="58"/>
        <v>0</v>
      </c>
    </row>
    <row r="247" spans="2:24">
      <c r="H247" s="1"/>
    </row>
    <row r="248" spans="2:24"/>
    <row r="249" spans="2:24">
      <c r="B249" s="52" t="s">
        <v>455</v>
      </c>
      <c r="C249" s="52"/>
      <c r="D249" s="52"/>
      <c r="E249" s="52"/>
      <c r="F249" s="52"/>
      <c r="G249" s="52"/>
      <c r="H249" s="316"/>
      <c r="I249" s="52"/>
      <c r="J249" s="52"/>
      <c r="K249" s="33">
        <f t="shared" ref="K249:X249" ca="1" si="59">IF(AND(LataProjekcji&gt;=Poczatek,LataProjekcji&lt;=Koniec),ROUND(K199+K181+K163+K110+K87+K74+K51,0),0)</f>
        <v>0</v>
      </c>
      <c r="L249" s="33">
        <f t="shared" ca="1" si="59"/>
        <v>0</v>
      </c>
      <c r="M249" s="33">
        <f t="shared" ca="1" si="59"/>
        <v>0</v>
      </c>
      <c r="N249" s="33">
        <f t="shared" ca="1" si="59"/>
        <v>0</v>
      </c>
      <c r="O249" s="33">
        <f t="shared" ca="1" si="59"/>
        <v>0</v>
      </c>
      <c r="P249" s="33">
        <f t="shared" ca="1" si="59"/>
        <v>0</v>
      </c>
      <c r="Q249" s="33">
        <f t="shared" ca="1" si="59"/>
        <v>0</v>
      </c>
      <c r="R249" s="33">
        <f t="shared" ca="1" si="59"/>
        <v>0</v>
      </c>
      <c r="S249" s="33">
        <f t="shared" ca="1" si="59"/>
        <v>0</v>
      </c>
      <c r="T249" s="33">
        <f t="shared" ca="1" si="59"/>
        <v>0</v>
      </c>
      <c r="U249" s="33">
        <f t="shared" ca="1" si="59"/>
        <v>0</v>
      </c>
      <c r="V249" s="33">
        <f t="shared" ca="1" si="59"/>
        <v>0</v>
      </c>
      <c r="W249" s="33">
        <f t="shared" ca="1" si="59"/>
        <v>0</v>
      </c>
      <c r="X249" s="33">
        <f t="shared" ca="1" si="59"/>
        <v>0</v>
      </c>
    </row>
    <row r="250" spans="2:24">
      <c r="B250" s="52" t="s">
        <v>456</v>
      </c>
      <c r="C250" s="52"/>
      <c r="D250" s="52"/>
      <c r="E250" s="52"/>
      <c r="F250" s="52"/>
      <c r="G250" s="52"/>
      <c r="H250" s="316"/>
      <c r="I250" s="52"/>
      <c r="J250" s="52"/>
      <c r="K250" s="33">
        <f>IF(AND(LataProjekcji&gt;=Poczatek,LataProjekcji&lt;=Koniec),ROUND('Koszty operacyjne'!K1651,0),0)</f>
        <v>0</v>
      </c>
      <c r="L250" s="33">
        <f>IF(AND(LataProjekcji&gt;=Poczatek,LataProjekcji&lt;=Koniec),ROUND('Koszty operacyjne'!L1651,0),0)</f>
        <v>0</v>
      </c>
      <c r="M250" s="33">
        <f>IF(AND(LataProjekcji&gt;=Poczatek,LataProjekcji&lt;=Koniec),ROUND('Koszty operacyjne'!M1651,0),0)</f>
        <v>0</v>
      </c>
      <c r="N250" s="33">
        <f>IF(AND(LataProjekcji&gt;=Poczatek,LataProjekcji&lt;=Koniec),ROUND('Koszty operacyjne'!N1651,0),0)</f>
        <v>0</v>
      </c>
      <c r="O250" s="33">
        <f>IF(AND(LataProjekcji&gt;=Poczatek,LataProjekcji&lt;=Koniec),ROUND('Koszty operacyjne'!O1651,0),0)</f>
        <v>0</v>
      </c>
      <c r="P250" s="33">
        <f>IF(AND(LataProjekcji&gt;=Poczatek,LataProjekcji&lt;=Koniec),ROUND('Koszty operacyjne'!P1651,0),0)</f>
        <v>0</v>
      </c>
      <c r="Q250" s="33">
        <f>IF(AND(LataProjekcji&gt;=Poczatek,LataProjekcji&lt;=Koniec),ROUND('Koszty operacyjne'!Q1651,0),0)</f>
        <v>0</v>
      </c>
      <c r="R250" s="33">
        <f>IF(AND(LataProjekcji&gt;=Poczatek,LataProjekcji&lt;=Koniec),ROUND('Koszty operacyjne'!R1651,0),0)</f>
        <v>0</v>
      </c>
      <c r="S250" s="33">
        <f>IF(AND(LataProjekcji&gt;=Poczatek,LataProjekcji&lt;=Koniec),ROUND('Koszty operacyjne'!S1651,0),0)</f>
        <v>0</v>
      </c>
      <c r="T250" s="33">
        <f>IF(AND(LataProjekcji&gt;=Poczatek,LataProjekcji&lt;=Koniec),ROUND('Koszty operacyjne'!T1651,0),0)</f>
        <v>0</v>
      </c>
      <c r="U250" s="33">
        <f>IF(AND(LataProjekcji&gt;=Poczatek,LataProjekcji&lt;=Koniec),ROUND('Koszty operacyjne'!U1651,0),0)</f>
        <v>0</v>
      </c>
      <c r="V250" s="33">
        <f>IF(AND(LataProjekcji&gt;=Poczatek,LataProjekcji&lt;=Koniec),ROUND('Koszty operacyjne'!V1651,0),0)</f>
        <v>0</v>
      </c>
      <c r="W250" s="33">
        <f>IF(AND(LataProjekcji&gt;=Poczatek,LataProjekcji&lt;=Koniec),ROUND('Koszty operacyjne'!W1651,0),0)</f>
        <v>0</v>
      </c>
      <c r="X250" s="33">
        <f>IF(AND(LataProjekcji&gt;=Poczatek,LataProjekcji&lt;=Koniec),ROUND('Koszty operacyjne'!X1651,0),0)</f>
        <v>0</v>
      </c>
    </row>
    <row r="251" spans="2:24">
      <c r="B251" s="90" t="s">
        <v>457</v>
      </c>
      <c r="C251" s="90"/>
      <c r="D251" s="90"/>
      <c r="E251" s="90"/>
      <c r="F251" s="90"/>
      <c r="G251" s="90"/>
      <c r="H251" s="315"/>
      <c r="I251" s="90"/>
      <c r="J251" s="90"/>
      <c r="K251" s="91">
        <f t="shared" ref="K251:X251" si="60">IF(AND(LataProjekcji&gt;=Poczatek,LataProjekcji&lt;=Koniec),(K201+K183+K165+K112+K89+K76+K53+K246),0)</f>
        <v>0</v>
      </c>
      <c r="L251" s="91">
        <f t="shared" si="60"/>
        <v>0</v>
      </c>
      <c r="M251" s="91">
        <f t="shared" si="60"/>
        <v>0</v>
      </c>
      <c r="N251" s="91">
        <f t="shared" si="60"/>
        <v>0</v>
      </c>
      <c r="O251" s="91">
        <f t="shared" si="60"/>
        <v>0</v>
      </c>
      <c r="P251" s="91">
        <f t="shared" si="60"/>
        <v>0</v>
      </c>
      <c r="Q251" s="91">
        <f t="shared" si="60"/>
        <v>0</v>
      </c>
      <c r="R251" s="91">
        <f t="shared" si="60"/>
        <v>0</v>
      </c>
      <c r="S251" s="91">
        <f t="shared" si="60"/>
        <v>0</v>
      </c>
      <c r="T251" s="91">
        <f t="shared" si="60"/>
        <v>0</v>
      </c>
      <c r="U251" s="91">
        <f t="shared" si="60"/>
        <v>0</v>
      </c>
      <c r="V251" s="91">
        <f t="shared" si="60"/>
        <v>0</v>
      </c>
      <c r="W251" s="91">
        <f t="shared" si="60"/>
        <v>0</v>
      </c>
      <c r="X251" s="91">
        <f t="shared" si="60"/>
        <v>0</v>
      </c>
    </row>
    <row r="252" spans="2:24">
      <c r="B252" s="99" t="s">
        <v>458</v>
      </c>
      <c r="C252" s="97"/>
      <c r="D252" s="97"/>
      <c r="E252" s="97"/>
      <c r="F252" s="97"/>
      <c r="G252" s="97"/>
      <c r="H252" s="321"/>
      <c r="I252" s="97"/>
      <c r="J252" s="97"/>
      <c r="K252" s="98">
        <f t="shared" ref="K252:X252" ca="1" si="61">IF(AND(LataProjekcji&gt;=Poczatek,LataProjekcji&lt;=Koniec),SUM(K249:K251),0)</f>
        <v>0</v>
      </c>
      <c r="L252" s="98">
        <f t="shared" ca="1" si="61"/>
        <v>0</v>
      </c>
      <c r="M252" s="98">
        <f t="shared" ca="1" si="61"/>
        <v>0</v>
      </c>
      <c r="N252" s="98">
        <f t="shared" ca="1" si="61"/>
        <v>0</v>
      </c>
      <c r="O252" s="98">
        <f t="shared" ca="1" si="61"/>
        <v>0</v>
      </c>
      <c r="P252" s="98">
        <f t="shared" ca="1" si="61"/>
        <v>0</v>
      </c>
      <c r="Q252" s="98">
        <f t="shared" ca="1" si="61"/>
        <v>0</v>
      </c>
      <c r="R252" s="98">
        <f t="shared" ca="1" si="61"/>
        <v>0</v>
      </c>
      <c r="S252" s="98">
        <f t="shared" ca="1" si="61"/>
        <v>0</v>
      </c>
      <c r="T252" s="98">
        <f t="shared" ca="1" si="61"/>
        <v>0</v>
      </c>
      <c r="U252" s="98">
        <f t="shared" ca="1" si="61"/>
        <v>0</v>
      </c>
      <c r="V252" s="98">
        <f t="shared" ca="1" si="61"/>
        <v>0</v>
      </c>
      <c r="W252" s="98">
        <f t="shared" ca="1" si="61"/>
        <v>0</v>
      </c>
      <c r="X252" s="98">
        <f t="shared" ca="1" si="61"/>
        <v>0</v>
      </c>
    </row>
    <row r="253" spans="2:24"/>
    <row r="254" spans="2:24"/>
    <row r="255" spans="2:24">
      <c r="B255" s="52" t="s">
        <v>459</v>
      </c>
      <c r="C255" s="52"/>
      <c r="D255" s="52"/>
      <c r="E255" s="52"/>
      <c r="F255" s="52"/>
      <c r="G255" s="52"/>
      <c r="H255" s="316"/>
      <c r="I255" s="52"/>
      <c r="J255" s="52"/>
      <c r="K255" s="33">
        <f t="shared" ref="K255:X255" ca="1" si="62">ROUND(K202+K184+K166+K113+K90+K77+K54,0)</f>
        <v>0</v>
      </c>
      <c r="L255" s="33">
        <f t="shared" ca="1" si="62"/>
        <v>0</v>
      </c>
      <c r="M255" s="33">
        <f t="shared" ca="1" si="62"/>
        <v>0</v>
      </c>
      <c r="N255" s="33">
        <f t="shared" ca="1" si="62"/>
        <v>0</v>
      </c>
      <c r="O255" s="33">
        <f t="shared" ca="1" si="62"/>
        <v>0</v>
      </c>
      <c r="P255" s="33">
        <f t="shared" ca="1" si="62"/>
        <v>0</v>
      </c>
      <c r="Q255" s="33">
        <f t="shared" ca="1" si="62"/>
        <v>0</v>
      </c>
      <c r="R255" s="33">
        <f t="shared" ca="1" si="62"/>
        <v>0</v>
      </c>
      <c r="S255" s="33">
        <f t="shared" ca="1" si="62"/>
        <v>0</v>
      </c>
      <c r="T255" s="33">
        <f t="shared" ca="1" si="62"/>
        <v>0</v>
      </c>
      <c r="U255" s="33">
        <f t="shared" ca="1" si="62"/>
        <v>0</v>
      </c>
      <c r="V255" s="33">
        <f t="shared" ca="1" si="62"/>
        <v>0</v>
      </c>
      <c r="W255" s="33">
        <f t="shared" ca="1" si="62"/>
        <v>0</v>
      </c>
      <c r="X255" s="33">
        <f t="shared" ca="1" si="62"/>
        <v>0</v>
      </c>
    </row>
    <row r="256" spans="2:24">
      <c r="B256" s="52" t="s">
        <v>460</v>
      </c>
      <c r="C256" s="52"/>
      <c r="D256" s="52"/>
      <c r="E256" s="52"/>
      <c r="F256" s="52"/>
      <c r="G256" s="52"/>
      <c r="H256" s="316"/>
      <c r="I256" s="52"/>
      <c r="J256" s="52"/>
      <c r="K256" s="33">
        <f>ROUND(IF(LataProjekcji&lt;Koniec_Projekt,'Środki trwałe'!K2082,0),0)</f>
        <v>0</v>
      </c>
      <c r="L256" s="33">
        <f>ROUND(IF(LataProjekcji&lt;Koniec_Projekt,'Środki trwałe'!L2082,0),0)</f>
        <v>0</v>
      </c>
      <c r="M256" s="33">
        <f>ROUND(IF(LataProjekcji&lt;Koniec_Projekt,'Środki trwałe'!M2082,0),0)</f>
        <v>0</v>
      </c>
      <c r="N256" s="33">
        <f>ROUND(IF(LataProjekcji&lt;Koniec_Projekt,'Środki trwałe'!N2082,0),0)</f>
        <v>0</v>
      </c>
      <c r="O256" s="33">
        <f>ROUND(IF(LataProjekcji&lt;Koniec_Projekt,'Środki trwałe'!O2082,0),0)</f>
        <v>0</v>
      </c>
      <c r="P256" s="33">
        <f>ROUND(IF(LataProjekcji&lt;Koniec_Projekt,'Środki trwałe'!P2082,0),0)</f>
        <v>0</v>
      </c>
      <c r="Q256" s="33">
        <f>ROUND(IF(LataProjekcji&lt;Koniec_Projekt,'Środki trwałe'!Q2082,0),0)</f>
        <v>0</v>
      </c>
      <c r="R256" s="33">
        <f>ROUND(IF(LataProjekcji&lt;Koniec_Projekt,'Środki trwałe'!R2082,0),0)</f>
        <v>0</v>
      </c>
      <c r="S256" s="33">
        <f>ROUND(IF(LataProjekcji&lt;Koniec_Projekt,'Środki trwałe'!S2082,0),0)</f>
        <v>0</v>
      </c>
      <c r="T256" s="33">
        <f>ROUND(IF(LataProjekcji&lt;Koniec_Projekt,'Środki trwałe'!T2082,0),0)</f>
        <v>0</v>
      </c>
      <c r="U256" s="33">
        <f>ROUND(IF(LataProjekcji&lt;Koniec_Projekt,'Środki trwałe'!U2082,0),0)</f>
        <v>0</v>
      </c>
      <c r="V256" s="33">
        <f>ROUND(IF(LataProjekcji&lt;Koniec_Projekt,'Środki trwałe'!V2082,0),0)</f>
        <v>0</v>
      </c>
      <c r="W256" s="33">
        <f>ROUND(IF(LataProjekcji&lt;Koniec_Projekt,'Środki trwałe'!W2082,0),0)</f>
        <v>0</v>
      </c>
      <c r="X256" s="33">
        <f>ROUND(IF(LataProjekcji&lt;Koniec_Projekt,'Środki trwałe'!X2082,0),0)</f>
        <v>0</v>
      </c>
    </row>
    <row r="257" spans="2:24">
      <c r="B257" s="90" t="s">
        <v>461</v>
      </c>
      <c r="C257" s="90"/>
      <c r="D257" s="90"/>
      <c r="E257" s="90"/>
      <c r="F257" s="90"/>
      <c r="G257" s="90"/>
      <c r="H257" s="315"/>
      <c r="I257" s="90"/>
      <c r="J257" s="90"/>
      <c r="K257" s="91">
        <f>ROUND(IF(LataProjekcji&lt;Koniec_Projekt,'Koszty operacyjne'!K1412,0),0)</f>
        <v>0</v>
      </c>
      <c r="L257" s="91">
        <f>ROUND(IF(LataProjekcji&lt;Koniec_Projekt,'Koszty operacyjne'!L1412,0),0)</f>
        <v>0</v>
      </c>
      <c r="M257" s="91">
        <f>ROUND(IF(LataProjekcji&lt;Koniec_Projekt,'Koszty operacyjne'!M1412,0),0)</f>
        <v>0</v>
      </c>
      <c r="N257" s="91">
        <f>ROUND(IF(LataProjekcji&lt;Koniec_Projekt,'Koszty operacyjne'!N1412,0),0)</f>
        <v>0</v>
      </c>
      <c r="O257" s="91">
        <f>ROUND(IF(LataProjekcji&lt;Koniec_Projekt,'Koszty operacyjne'!O1412,0),0)</f>
        <v>0</v>
      </c>
      <c r="P257" s="91">
        <f>ROUND(IF(LataProjekcji&lt;Koniec_Projekt,'Koszty operacyjne'!P1412,0),0)</f>
        <v>0</v>
      </c>
      <c r="Q257" s="91">
        <f>ROUND(IF(LataProjekcji&lt;Koniec_Projekt,'Koszty operacyjne'!Q1412,0),0)</f>
        <v>0</v>
      </c>
      <c r="R257" s="91">
        <f>ROUND(IF(LataProjekcji&lt;Koniec_Projekt,'Koszty operacyjne'!R1412,0),0)</f>
        <v>0</v>
      </c>
      <c r="S257" s="91">
        <f>ROUND(IF(LataProjekcji&lt;Koniec_Projekt,'Koszty operacyjne'!S1412,0),0)</f>
        <v>0</v>
      </c>
      <c r="T257" s="91">
        <f>ROUND(IF(LataProjekcji&lt;Koniec_Projekt,'Koszty operacyjne'!T1412,0),0)</f>
        <v>0</v>
      </c>
      <c r="U257" s="91">
        <f>ROUND(IF(LataProjekcji&lt;Koniec_Projekt,'Koszty operacyjne'!U1412,0),0)</f>
        <v>0</v>
      </c>
      <c r="V257" s="91">
        <f>ROUND(IF(LataProjekcji&lt;Koniec_Projekt,'Koszty operacyjne'!V1412,0),0)</f>
        <v>0</v>
      </c>
      <c r="W257" s="91">
        <f>ROUND(IF(LataProjekcji&lt;Koniec_Projekt,'Koszty operacyjne'!W1412,0),0)</f>
        <v>0</v>
      </c>
      <c r="X257" s="91">
        <f>ROUND(IF(LataProjekcji&lt;Koniec_Projekt,'Koszty operacyjne'!X1412,0),0)</f>
        <v>0</v>
      </c>
    </row>
    <row r="258" spans="2:24">
      <c r="B258" s="99" t="s">
        <v>462</v>
      </c>
      <c r="C258" s="97"/>
      <c r="D258" s="97"/>
      <c r="E258" s="97"/>
      <c r="F258" s="97"/>
      <c r="G258" s="97"/>
      <c r="H258" s="321"/>
      <c r="I258" s="97"/>
      <c r="J258" s="97"/>
      <c r="K258" s="98">
        <f t="shared" ref="K258:X258" ca="1" si="63">IF(LataProjekcji&lt;=Koniec,ROUND(SUM(K255:K257),0),0)</f>
        <v>0</v>
      </c>
      <c r="L258" s="98">
        <f t="shared" ca="1" si="63"/>
        <v>0</v>
      </c>
      <c r="M258" s="98">
        <f t="shared" ca="1" si="63"/>
        <v>0</v>
      </c>
      <c r="N258" s="98">
        <f t="shared" ca="1" si="63"/>
        <v>0</v>
      </c>
      <c r="O258" s="98">
        <f t="shared" ca="1" si="63"/>
        <v>0</v>
      </c>
      <c r="P258" s="98">
        <f t="shared" ca="1" si="63"/>
        <v>0</v>
      </c>
      <c r="Q258" s="98">
        <f t="shared" ca="1" si="63"/>
        <v>0</v>
      </c>
      <c r="R258" s="98">
        <f t="shared" ca="1" si="63"/>
        <v>0</v>
      </c>
      <c r="S258" s="98">
        <f t="shared" ca="1" si="63"/>
        <v>0</v>
      </c>
      <c r="T258" s="98">
        <f t="shared" ca="1" si="63"/>
        <v>0</v>
      </c>
      <c r="U258" s="98">
        <f t="shared" ca="1" si="63"/>
        <v>0</v>
      </c>
      <c r="V258" s="98">
        <f t="shared" ca="1" si="63"/>
        <v>0</v>
      </c>
      <c r="W258" s="98">
        <f t="shared" ca="1" si="63"/>
        <v>0</v>
      </c>
      <c r="X258" s="98">
        <f t="shared" ca="1" si="63"/>
        <v>0</v>
      </c>
    </row>
    <row r="259" spans="2:24"/>
    <row r="260" spans="2:24" ht="14.4">
      <c r="B260" s="11" t="s">
        <v>51</v>
      </c>
    </row>
    <row r="261" spans="2:24"/>
    <row r="262" spans="2:24"/>
    <row r="263" spans="2:24"/>
    <row r="264" spans="2:24"/>
    <row r="265" spans="2:24"/>
    <row r="266" spans="2:24"/>
    <row r="267" spans="2:24"/>
    <row r="268" spans="2:24"/>
    <row r="269" spans="2:24"/>
    <row r="270" spans="2:24"/>
    <row r="271" spans="2:24"/>
    <row r="272" spans="2:24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 spans="1:24"/>
    <row r="306" spans="1:24"/>
    <row r="307" spans="1:24"/>
    <row r="308" spans="1:24"/>
    <row r="310" spans="1:24" ht="12.6" hidden="1" thickBot="1"/>
    <row r="311" spans="1:24" ht="12.6" hidden="1" thickBot="1">
      <c r="A311" s="259"/>
      <c r="B311" s="20" t="s">
        <v>454</v>
      </c>
      <c r="C311" s="250">
        <v>0</v>
      </c>
      <c r="D311" s="21"/>
      <c r="E311" s="482">
        <v>0</v>
      </c>
      <c r="F311" s="21"/>
      <c r="G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</row>
    <row r="312" spans="1:24" hidden="1">
      <c r="A312" s="259"/>
      <c r="B312" s="21" t="s">
        <v>414</v>
      </c>
      <c r="C312" s="165">
        <f ca="1">IFERROR(YEAR(OFFSET($D$28,C311,0)),0)</f>
        <v>0</v>
      </c>
      <c r="D312" s="165">
        <f ca="1">IFERROR(MONTH(OFFSET($D$28,C311,0)),0)</f>
        <v>0</v>
      </c>
      <c r="E312" s="21">
        <f ca="1">12-$D312</f>
        <v>12</v>
      </c>
      <c r="F312" s="21"/>
      <c r="G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</row>
    <row r="313" spans="1:24" hidden="1">
      <c r="A313" s="259"/>
      <c r="B313" s="21" t="s">
        <v>406</v>
      </c>
      <c r="C313" s="245">
        <f>IF(F28&lt;0,0,F28)</f>
        <v>0</v>
      </c>
      <c r="D313" s="22">
        <f ca="1">OFFSET($C$28,C311,0)</f>
        <v>0</v>
      </c>
      <c r="E313" s="22">
        <f>IF($C28&gt;3.5,ROUND(($C314/12)*$E312,0),$C313)</f>
        <v>0</v>
      </c>
      <c r="F313" s="21"/>
      <c r="G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</row>
    <row r="314" spans="1:24" hidden="1">
      <c r="A314" s="259"/>
      <c r="B314" s="21" t="s">
        <v>415</v>
      </c>
      <c r="C314" s="245">
        <f>IF(ISBLANK(D28),0,IF(C28&gt;3.5,ROUND(C313*am_prace_rozwojowe,0),IF(C313&lt;0,0,C313)))</f>
        <v>0</v>
      </c>
      <c r="D314" s="21"/>
      <c r="E314" s="21"/>
      <c r="F314" s="21"/>
      <c r="G314" s="21"/>
      <c r="I314" s="21"/>
      <c r="J314" s="483" t="str" cm="1">
        <f t="array" aca="1" ref="J314" ca="1">OFFSET('Środki trwałe'!$C$195,'Rozliczenie dotacji'!E311,,)</f>
        <v/>
      </c>
      <c r="K314" s="76">
        <f ca="1">IFERROR(ROUND(IF(($C312+1)=K$25,$C314,0),0),0)</f>
        <v>0</v>
      </c>
      <c r="L314" s="248">
        <f ca="1">ROUND(IF(OR(AND($C312=LataProjekcji,$E312&gt;0),AND($C312=LataProjekcji,$E312=0,$D313&lt;=10)),$E313,IF($C312&lt;LataProjekcji,IF((SUM($K314:K314)+$C314)&lt;$C313,$C314,$C313-SUM($K314:K314)),0)),0)</f>
        <v>0</v>
      </c>
      <c r="M314" s="248">
        <f ca="1">ROUND(IF(OR(AND($C312=LataProjekcji,$E312&gt;0),AND($C312=LataProjekcji,$E312=0,$D313&lt;=10)),$E313,IF($C312&lt;LataProjekcji,IF((SUM($K314:L314)+$C314)&lt;$C313,$C314,$C313-SUM($K314:L314)),0)),0)</f>
        <v>0</v>
      </c>
      <c r="N314" s="248">
        <f ca="1">ROUND(IF(OR(AND($C312=LataProjekcji,$E312&gt;0),AND($C312=LataProjekcji,$E312=0,$D313&lt;=10)),$E313,IF($C312&lt;LataProjekcji,IF((SUM($K314:M314)+$C314)&lt;$C313,$C314,$C313-SUM($K314:M314)),0)),0)</f>
        <v>0</v>
      </c>
      <c r="O314" s="248">
        <f ca="1">ROUND(IF(OR(AND($C312=LataProjekcji,$E312&gt;0),AND($C312=LataProjekcji,$E312=0,$D313&lt;=10)),$E313,IF($C312&lt;LataProjekcji,IF((SUM($K314:N314)+$C314)&lt;$C313,$C314,$C313-SUM($K314:N314)),0)),0)</f>
        <v>0</v>
      </c>
      <c r="P314" s="248">
        <f ca="1">ROUND(IF(OR(AND($C312=LataProjekcji,$E312&gt;0),AND($C312=LataProjekcji,$E312=0,$D313&lt;=10)),$E313,IF($C312&lt;LataProjekcji,IF((SUM($K314:O314)+$C314)&lt;$C313,$C314,$C313-SUM($K314:O314)),0)),0)</f>
        <v>0</v>
      </c>
      <c r="Q314" s="248">
        <f ca="1">ROUND(IF(OR(AND($C312=LataProjekcji,$E312&gt;0),AND($C312=LataProjekcji,$E312=0,$D313&lt;=10)),$E313,IF($C312&lt;LataProjekcji,IF((SUM($K314:P314)+$C314)&lt;$C313,$C314,$C313-SUM($K314:P314)),0)),0)</f>
        <v>0</v>
      </c>
      <c r="R314" s="248">
        <f ca="1">ROUND(IF(OR(AND($C312=LataProjekcji,$E312&gt;0),AND($C312=LataProjekcji,$E312=0,$D313&lt;=10)),$E313,IF($C312&lt;LataProjekcji,IF((SUM($K314:Q314)+$C314)&lt;$C313,$C314,$C313-SUM($K314:Q314)),0)),0)</f>
        <v>0</v>
      </c>
      <c r="S314" s="248">
        <f ca="1">ROUND(IF(OR(AND($C312=LataProjekcji,$E312&gt;0),AND($C312=LataProjekcji,$E312=0,$D313&lt;=10)),$E313,IF($C312&lt;LataProjekcji,IF((SUM($K314:R314)+$C314)&lt;$C313,$C314,$C313-SUM($K314:R314)),0)),0)</f>
        <v>0</v>
      </c>
      <c r="T314" s="248">
        <f ca="1">ROUND(IF(OR(AND($C312=LataProjekcji,$E312&gt;0),AND($C312=LataProjekcji,$E312=0,$D313&lt;=10)),$E313,IF($C312&lt;LataProjekcji,IF((SUM($K314:S314)+$C314)&lt;$C313,$C314,$C313-SUM($K314:S314)),0)),0)</f>
        <v>0</v>
      </c>
      <c r="U314" s="248">
        <f ca="1">ROUND(IF(OR(AND($C312=LataProjekcji,$E312&gt;0),AND($C312=LataProjekcji,$E312=0,$D313&lt;=10)),$E313,IF($C312&lt;LataProjekcji,IF((SUM($K314:T314)+$C314)&lt;$C313,$C314,$C313-SUM($K314:T314)),0)),0)</f>
        <v>0</v>
      </c>
      <c r="V314" s="248">
        <f ca="1">ROUND(IF(OR(AND($C312=LataProjekcji,$E312&gt;0),AND($C312=LataProjekcji,$E312=0,$D313&lt;=10)),$E313,IF($C312&lt;LataProjekcji,IF((SUM($K314:U314)+$C314)&lt;$C313,$C314,$C313-SUM($K314:U314)),0)),0)</f>
        <v>0</v>
      </c>
      <c r="W314" s="248">
        <f ca="1">ROUND(IF(OR(AND($C312=LataProjekcji,$E312&gt;0),AND($C312=LataProjekcji,$E312=0,$D313&lt;=10)),$E313,IF($C312&lt;LataProjekcji,IF((SUM($K314:V314)+$C314)&lt;$C313,$C314,$C313-SUM($K314:V314)),0)),0)</f>
        <v>0</v>
      </c>
      <c r="X314" s="248">
        <f ca="1">ROUND(IF(OR(AND($C312=LataProjekcji,$E312&gt;0),AND($C312=LataProjekcji,$E312=0,$D313&lt;=10)),$E313,IF($C312&lt;LataProjekcji,IF((SUM($K314:W314)+$C314)&lt;$C313,$C314,$C313-SUM($K314:W314)),0)),0)</f>
        <v>0</v>
      </c>
    </row>
    <row r="315" spans="1:24" hidden="1">
      <c r="A315" s="259"/>
      <c r="B315" s="21" t="s">
        <v>416</v>
      </c>
      <c r="C315" s="22"/>
      <c r="D315" s="21"/>
      <c r="E315" s="21"/>
      <c r="F315" s="21"/>
      <c r="G315" s="21"/>
      <c r="I315" s="21"/>
      <c r="J315" s="21"/>
      <c r="K315" s="22">
        <f ca="1">ROUND(K314,0)</f>
        <v>0</v>
      </c>
      <c r="L315" s="22">
        <f ca="1">ROUND(K315+L314,0)</f>
        <v>0</v>
      </c>
      <c r="M315" s="22">
        <f t="shared" ref="M315:X315" ca="1" si="64">ROUND(L315+M314,0)</f>
        <v>0</v>
      </c>
      <c r="N315" s="22">
        <f t="shared" ca="1" si="64"/>
        <v>0</v>
      </c>
      <c r="O315" s="22">
        <f t="shared" ca="1" si="64"/>
        <v>0</v>
      </c>
      <c r="P315" s="22">
        <f t="shared" ca="1" si="64"/>
        <v>0</v>
      </c>
      <c r="Q315" s="22">
        <f t="shared" ca="1" si="64"/>
        <v>0</v>
      </c>
      <c r="R315" s="22">
        <f t="shared" ca="1" si="64"/>
        <v>0</v>
      </c>
      <c r="S315" s="22">
        <f t="shared" ca="1" si="64"/>
        <v>0</v>
      </c>
      <c r="T315" s="22">
        <f t="shared" ca="1" si="64"/>
        <v>0</v>
      </c>
      <c r="U315" s="22">
        <f t="shared" ca="1" si="64"/>
        <v>0</v>
      </c>
      <c r="V315" s="22">
        <f t="shared" ca="1" si="64"/>
        <v>0</v>
      </c>
      <c r="W315" s="22">
        <f t="shared" ca="1" si="64"/>
        <v>0</v>
      </c>
      <c r="X315" s="22">
        <f t="shared" ca="1" si="64"/>
        <v>0</v>
      </c>
    </row>
    <row r="316" spans="1:24" hidden="1">
      <c r="A316" s="259"/>
      <c r="B316" s="21" t="s">
        <v>406</v>
      </c>
      <c r="C316" s="22"/>
      <c r="D316" s="21"/>
      <c r="E316" s="21"/>
      <c r="F316" s="21"/>
      <c r="G316" s="21"/>
      <c r="I316" s="21"/>
      <c r="J316" s="21"/>
      <c r="K316" s="78">
        <f t="shared" ref="K316:X316" ca="1" si="65">IF($C312=K$25,$C313,ROUND(IF(K314=0,0,$C313-K315),0))</f>
        <v>0</v>
      </c>
      <c r="L316" s="78">
        <f t="shared" ca="1" si="65"/>
        <v>0</v>
      </c>
      <c r="M316" s="78">
        <f t="shared" ca="1" si="65"/>
        <v>0</v>
      </c>
      <c r="N316" s="78">
        <f t="shared" ca="1" si="65"/>
        <v>0</v>
      </c>
      <c r="O316" s="78">
        <f t="shared" ca="1" si="65"/>
        <v>0</v>
      </c>
      <c r="P316" s="78">
        <f t="shared" ca="1" si="65"/>
        <v>0</v>
      </c>
      <c r="Q316" s="78">
        <f t="shared" ca="1" si="65"/>
        <v>0</v>
      </c>
      <c r="R316" s="78">
        <f t="shared" ca="1" si="65"/>
        <v>0</v>
      </c>
      <c r="S316" s="78">
        <f t="shared" ca="1" si="65"/>
        <v>0</v>
      </c>
      <c r="T316" s="78">
        <f t="shared" ca="1" si="65"/>
        <v>0</v>
      </c>
      <c r="U316" s="78">
        <f t="shared" ca="1" si="65"/>
        <v>0</v>
      </c>
      <c r="V316" s="78">
        <f t="shared" ca="1" si="65"/>
        <v>0</v>
      </c>
      <c r="W316" s="78">
        <f t="shared" ca="1" si="65"/>
        <v>0</v>
      </c>
      <c r="X316" s="78">
        <f t="shared" ca="1" si="65"/>
        <v>0</v>
      </c>
    </row>
    <row r="317" spans="1:24" hidden="1">
      <c r="A317" s="259"/>
      <c r="B317" s="21"/>
      <c r="C317" s="22"/>
      <c r="D317" s="21"/>
      <c r="E317" s="21"/>
      <c r="F317" s="21"/>
      <c r="G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</row>
    <row r="318" spans="1:24" hidden="1">
      <c r="A318" s="259"/>
      <c r="B318" s="20" t="s">
        <v>454</v>
      </c>
      <c r="C318" s="21">
        <f>C311+1</f>
        <v>1</v>
      </c>
      <c r="D318" s="21"/>
      <c r="E318" s="483">
        <f>E311+1</f>
        <v>1</v>
      </c>
      <c r="F318" s="21"/>
      <c r="G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</row>
    <row r="319" spans="1:24" hidden="1">
      <c r="A319" s="259"/>
      <c r="B319" s="21" t="s">
        <v>414</v>
      </c>
      <c r="C319" s="165">
        <f ca="1">IFERROR(YEAR(OFFSET($D$28,C318,0)),0)</f>
        <v>0</v>
      </c>
      <c r="D319" s="21"/>
      <c r="E319" s="21"/>
      <c r="F319" s="21"/>
      <c r="G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</row>
    <row r="320" spans="1:24" hidden="1">
      <c r="A320" s="259"/>
      <c r="B320" s="21" t="s">
        <v>406</v>
      </c>
      <c r="C320" s="22">
        <f ca="1">F29</f>
        <v>0</v>
      </c>
      <c r="D320" s="21"/>
      <c r="E320" s="21"/>
      <c r="F320" s="21"/>
      <c r="G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</row>
    <row r="321" spans="1:24" hidden="1">
      <c r="A321" s="259"/>
      <c r="B321" s="21" t="s">
        <v>415</v>
      </c>
      <c r="C321" s="22">
        <f ca="1">ROUND(C320*am_prace_rozwojowe,0)</f>
        <v>0</v>
      </c>
      <c r="D321" s="21"/>
      <c r="E321" s="21"/>
      <c r="F321" s="21"/>
      <c r="G321" s="21"/>
      <c r="I321" s="21"/>
      <c r="J321" s="483" t="str" cm="1">
        <f t="array" aca="1" ref="J321" ca="1">OFFSET('Środki trwałe'!$C$195,'Rozliczenie dotacji'!E318,,)</f>
        <v/>
      </c>
      <c r="K321" s="76">
        <f ca="1">IFERROR(ROUND(IF(($C319+1)=K$25,$C321,0),0),0)</f>
        <v>0</v>
      </c>
      <c r="L321" s="248">
        <f ca="1">ROUND(IF(OR(AND($C319=LataProjekcji,$E319&gt;0),AND($C319=LataProjekcji,$E319=0,$D320&lt;=10)),$E320,IF($C319&lt;LataProjekcji,IF((SUM($K321:K321)+$C321)&lt;$C320,$C321,$C320-SUM($K321:K321)),0)),0)</f>
        <v>0</v>
      </c>
      <c r="M321" s="248">
        <f ca="1">ROUND(IF(OR(AND($C319=LataProjekcji,$E319&gt;0),AND($C319=LataProjekcji,$E319=0,$D320&lt;=10)),$E320,IF($C319&lt;LataProjekcji,IF((SUM($K321:L321)+$C321)&lt;$C320,$C321,$C320-SUM($K321:L321)),0)),0)</f>
        <v>0</v>
      </c>
      <c r="N321" s="248">
        <f ca="1">ROUND(IF(OR(AND($C319=LataProjekcji,$E319&gt;0),AND($C319=LataProjekcji,$E319=0,$D320&lt;=10)),$E320,IF($C319&lt;LataProjekcji,IF((SUM($K321:M321)+$C321)&lt;$C320,$C321,$C320-SUM($K321:M321)),0)),0)</f>
        <v>0</v>
      </c>
      <c r="O321" s="248">
        <f ca="1">ROUND(IF(OR(AND($C319=LataProjekcji,$E319&gt;0),AND($C319=LataProjekcji,$E319=0,$D320&lt;=10)),$E320,IF($C319&lt;LataProjekcji,IF((SUM($K321:N321)+$C321)&lt;$C320,$C321,$C320-SUM($K321:N321)),0)),0)</f>
        <v>0</v>
      </c>
      <c r="P321" s="248">
        <f ca="1">ROUND(IF(OR(AND($C319=LataProjekcji,$E319&gt;0),AND($C319=LataProjekcji,$E319=0,$D320&lt;=10)),$E320,IF($C319&lt;LataProjekcji,IF((SUM($K321:O321)+$C321)&lt;$C320,$C321,$C320-SUM($K321:O321)),0)),0)</f>
        <v>0</v>
      </c>
      <c r="Q321" s="248">
        <f ca="1">ROUND(IF(OR(AND($C319=LataProjekcji,$E319&gt;0),AND($C319=LataProjekcji,$E319=0,$D320&lt;=10)),$E320,IF($C319&lt;LataProjekcji,IF((SUM($K321:P321)+$C321)&lt;$C320,$C321,$C320-SUM($K321:P321)),0)),0)</f>
        <v>0</v>
      </c>
      <c r="R321" s="248">
        <f ca="1">ROUND(IF(OR(AND($C319=LataProjekcji,$E319&gt;0),AND($C319=LataProjekcji,$E319=0,$D320&lt;=10)),$E320,IF($C319&lt;LataProjekcji,IF((SUM($K321:Q321)+$C321)&lt;$C320,$C321,$C320-SUM($K321:Q321)),0)),0)</f>
        <v>0</v>
      </c>
      <c r="S321" s="248">
        <f ca="1">ROUND(IF(OR(AND($C319=LataProjekcji,$E319&gt;0),AND($C319=LataProjekcji,$E319=0,$D320&lt;=10)),$E320,IF($C319&lt;LataProjekcji,IF((SUM($K321:R321)+$C321)&lt;$C320,$C321,$C320-SUM($K321:R321)),0)),0)</f>
        <v>0</v>
      </c>
      <c r="T321" s="248">
        <f ca="1">ROUND(IF(OR(AND($C319=LataProjekcji,$E319&gt;0),AND($C319=LataProjekcji,$E319=0,$D320&lt;=10)),$E320,IF($C319&lt;LataProjekcji,IF((SUM($K321:S321)+$C321)&lt;$C320,$C321,$C320-SUM($K321:S321)),0)),0)</f>
        <v>0</v>
      </c>
      <c r="U321" s="248">
        <f ca="1">ROUND(IF(OR(AND($C319=LataProjekcji,$E319&gt;0),AND($C319=LataProjekcji,$E319=0,$D320&lt;=10)),$E320,IF($C319&lt;LataProjekcji,IF((SUM($K321:T321)+$C321)&lt;$C320,$C321,$C320-SUM($K321:T321)),0)),0)</f>
        <v>0</v>
      </c>
      <c r="V321" s="248">
        <f ca="1">ROUND(IF(OR(AND($C319=LataProjekcji,$E319&gt;0),AND($C319=LataProjekcji,$E319=0,$D320&lt;=10)),$E320,IF($C319&lt;LataProjekcji,IF((SUM($K321:U321)+$C321)&lt;$C320,$C321,$C320-SUM($K321:U321)),0)),0)</f>
        <v>0</v>
      </c>
      <c r="W321" s="248">
        <f ca="1">ROUND(IF(OR(AND($C319=LataProjekcji,$E319&gt;0),AND($C319=LataProjekcji,$E319=0,$D320&lt;=10)),$E320,IF($C319&lt;LataProjekcji,IF((SUM($K321:V321)+$C321)&lt;$C320,$C321,$C320-SUM($K321:V321)),0)),0)</f>
        <v>0</v>
      </c>
      <c r="X321" s="248">
        <f ca="1">ROUND(IF(OR(AND($C319=LataProjekcji,$E319&gt;0),AND($C319=LataProjekcji,$E319=0,$D320&lt;=10)),$E320,IF($C319&lt;LataProjekcji,IF((SUM($K321:W321)+$C321)&lt;$C320,$C321,$C320-SUM($K321:W321)),0)),0)</f>
        <v>0</v>
      </c>
    </row>
    <row r="322" spans="1:24" hidden="1">
      <c r="A322" s="259"/>
      <c r="B322" s="21" t="s">
        <v>416</v>
      </c>
      <c r="C322" s="22"/>
      <c r="D322" s="21"/>
      <c r="E322" s="21"/>
      <c r="F322" s="21"/>
      <c r="G322" s="21"/>
      <c r="I322" s="21"/>
      <c r="J322" s="21"/>
      <c r="K322" s="22">
        <f ca="1">ROUND(K321,0)</f>
        <v>0</v>
      </c>
      <c r="L322" s="22">
        <f t="shared" ref="L322:X322" ca="1" si="66">ROUND(K322+L321,0)</f>
        <v>0</v>
      </c>
      <c r="M322" s="22">
        <f t="shared" ca="1" si="66"/>
        <v>0</v>
      </c>
      <c r="N322" s="22">
        <f t="shared" ca="1" si="66"/>
        <v>0</v>
      </c>
      <c r="O322" s="22">
        <f t="shared" ca="1" si="66"/>
        <v>0</v>
      </c>
      <c r="P322" s="22">
        <f t="shared" ca="1" si="66"/>
        <v>0</v>
      </c>
      <c r="Q322" s="22">
        <f t="shared" ca="1" si="66"/>
        <v>0</v>
      </c>
      <c r="R322" s="22">
        <f t="shared" ca="1" si="66"/>
        <v>0</v>
      </c>
      <c r="S322" s="22">
        <f t="shared" ca="1" si="66"/>
        <v>0</v>
      </c>
      <c r="T322" s="22">
        <f t="shared" ca="1" si="66"/>
        <v>0</v>
      </c>
      <c r="U322" s="22">
        <f t="shared" ca="1" si="66"/>
        <v>0</v>
      </c>
      <c r="V322" s="22">
        <f t="shared" ca="1" si="66"/>
        <v>0</v>
      </c>
      <c r="W322" s="22">
        <f t="shared" ca="1" si="66"/>
        <v>0</v>
      </c>
      <c r="X322" s="22">
        <f t="shared" ca="1" si="66"/>
        <v>0</v>
      </c>
    </row>
    <row r="323" spans="1:24" hidden="1">
      <c r="A323" s="259"/>
      <c r="B323" s="21" t="s">
        <v>406</v>
      </c>
      <c r="C323" s="22"/>
      <c r="D323" s="21"/>
      <c r="E323" s="21"/>
      <c r="F323" s="21"/>
      <c r="G323" s="21"/>
      <c r="I323" s="21"/>
      <c r="J323" s="21"/>
      <c r="K323" s="78">
        <f t="shared" ref="K323:X323" ca="1" si="67">IF($C319=K$25,$C320,ROUND(IF(K321=0,0,$C320-K322),0))</f>
        <v>0</v>
      </c>
      <c r="L323" s="78">
        <f t="shared" ca="1" si="67"/>
        <v>0</v>
      </c>
      <c r="M323" s="78">
        <f t="shared" ca="1" si="67"/>
        <v>0</v>
      </c>
      <c r="N323" s="78">
        <f t="shared" ca="1" si="67"/>
        <v>0</v>
      </c>
      <c r="O323" s="78">
        <f t="shared" ca="1" si="67"/>
        <v>0</v>
      </c>
      <c r="P323" s="78">
        <f t="shared" ca="1" si="67"/>
        <v>0</v>
      </c>
      <c r="Q323" s="78">
        <f t="shared" ca="1" si="67"/>
        <v>0</v>
      </c>
      <c r="R323" s="78">
        <f t="shared" ca="1" si="67"/>
        <v>0</v>
      </c>
      <c r="S323" s="78">
        <f t="shared" ca="1" si="67"/>
        <v>0</v>
      </c>
      <c r="T323" s="78">
        <f t="shared" ca="1" si="67"/>
        <v>0</v>
      </c>
      <c r="U323" s="78">
        <f t="shared" ca="1" si="67"/>
        <v>0</v>
      </c>
      <c r="V323" s="78">
        <f t="shared" ca="1" si="67"/>
        <v>0</v>
      </c>
      <c r="W323" s="78">
        <f t="shared" ca="1" si="67"/>
        <v>0</v>
      </c>
      <c r="X323" s="78">
        <f t="shared" ca="1" si="67"/>
        <v>0</v>
      </c>
    </row>
    <row r="324" spans="1:24" hidden="1">
      <c r="A324" s="259"/>
      <c r="B324" s="20"/>
      <c r="C324" s="21"/>
      <c r="D324" s="21"/>
      <c r="E324" s="21"/>
      <c r="F324" s="21"/>
      <c r="G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</row>
    <row r="325" spans="1:24" hidden="1">
      <c r="A325" s="259"/>
      <c r="B325" s="20" t="s">
        <v>454</v>
      </c>
      <c r="C325" s="21">
        <f>C318+1</f>
        <v>2</v>
      </c>
      <c r="D325" s="21" t="str">
        <f ca="1">OFFSET($B$28,C325,0)</f>
        <v/>
      </c>
      <c r="E325" s="483">
        <f>E318+1</f>
        <v>2</v>
      </c>
      <c r="F325" s="21"/>
      <c r="G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</row>
    <row r="326" spans="1:24" hidden="1">
      <c r="A326" s="259"/>
      <c r="B326" s="21" t="s">
        <v>414</v>
      </c>
      <c r="C326" s="165">
        <f ca="1">IFERROR(YEAR(OFFSET($D$28,C325,0)),0)</f>
        <v>0</v>
      </c>
      <c r="D326" s="21"/>
      <c r="E326" s="21"/>
      <c r="F326" s="21"/>
      <c r="G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</row>
    <row r="327" spans="1:24" hidden="1">
      <c r="A327" s="259"/>
      <c r="B327" s="21" t="s">
        <v>406</v>
      </c>
      <c r="C327" s="22">
        <f ca="1">OFFSET($F$28,C325,0)</f>
        <v>0</v>
      </c>
      <c r="D327" s="21"/>
      <c r="E327" s="21"/>
      <c r="F327" s="21"/>
      <c r="G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</row>
    <row r="328" spans="1:24" hidden="1">
      <c r="A328" s="259"/>
      <c r="B328" s="21" t="s">
        <v>415</v>
      </c>
      <c r="C328" s="22">
        <f ca="1">ROUND(C327*am_prace_rozwojowe,0)</f>
        <v>0</v>
      </c>
      <c r="D328" s="21"/>
      <c r="E328" s="21"/>
      <c r="F328" s="21"/>
      <c r="G328" s="21"/>
      <c r="I328" s="21"/>
      <c r="J328" s="483" cm="1">
        <f t="array" aca="1" ref="J328" ca="1">OFFSET('Środki trwałe'!$C$195,'Rozliczenie dotacji'!E325,,)</f>
        <v>0</v>
      </c>
      <c r="K328" s="76">
        <f ca="1">IFERROR(ROUND(IF(($C326+1)=K$25,$C328,0),0),0)</f>
        <v>0</v>
      </c>
      <c r="L328" s="248">
        <f ca="1">ROUND(IF(OR(AND($C326=LataProjekcji,$E326&gt;0),AND($C326=LataProjekcji,$E326=0,$D327&lt;=10)),$E327,IF($C326&lt;LataProjekcji,IF((SUM($K328:K328)+$C328)&lt;$C327,$C328,$C327-SUM($K328:K328)),0)),0)</f>
        <v>0</v>
      </c>
      <c r="M328" s="248">
        <f ca="1">ROUND(IF(OR(AND($C326=LataProjekcji,$E326&gt;0),AND($C326=LataProjekcji,$E326=0,$D327&lt;=10)),$E327,IF($C326&lt;LataProjekcji,IF((SUM($K328:L328)+$C328)&lt;$C327,$C328,$C327-SUM($K328:L328)),0)),0)</f>
        <v>0</v>
      </c>
      <c r="N328" s="248">
        <f ca="1">ROUND(IF(OR(AND($C326=LataProjekcji,$E326&gt;0),AND($C326=LataProjekcji,$E326=0,$D327&lt;=10)),$E327,IF($C326&lt;LataProjekcji,IF((SUM($K328:M328)+$C328)&lt;$C327,$C328,$C327-SUM($K328:M328)),0)),0)</f>
        <v>0</v>
      </c>
      <c r="O328" s="248">
        <f ca="1">ROUND(IF(OR(AND($C326=LataProjekcji,$E326&gt;0),AND($C326=LataProjekcji,$E326=0,$D327&lt;=10)),$E327,IF($C326&lt;LataProjekcji,IF((SUM($K328:N328)+$C328)&lt;$C327,$C328,$C327-SUM($K328:N328)),0)),0)</f>
        <v>0</v>
      </c>
      <c r="P328" s="248">
        <f ca="1">ROUND(IF(OR(AND($C326=LataProjekcji,$E326&gt;0),AND($C326=LataProjekcji,$E326=0,$D327&lt;=10)),$E327,IF($C326&lt;LataProjekcji,IF((SUM($K328:O328)+$C328)&lt;$C327,$C328,$C327-SUM($K328:O328)),0)),0)</f>
        <v>0</v>
      </c>
      <c r="Q328" s="248">
        <f ca="1">ROUND(IF(OR(AND($C326=LataProjekcji,$E326&gt;0),AND($C326=LataProjekcji,$E326=0,$D327&lt;=10)),$E327,IF($C326&lt;LataProjekcji,IF((SUM($K328:P328)+$C328)&lt;$C327,$C328,$C327-SUM($K328:P328)),0)),0)</f>
        <v>0</v>
      </c>
      <c r="R328" s="248">
        <f ca="1">ROUND(IF(OR(AND($C326=LataProjekcji,$E326&gt;0),AND($C326=LataProjekcji,$E326=0,$D327&lt;=10)),$E327,IF($C326&lt;LataProjekcji,IF((SUM($K328:Q328)+$C328)&lt;$C327,$C328,$C327-SUM($K328:Q328)),0)),0)</f>
        <v>0</v>
      </c>
      <c r="S328" s="248">
        <f ca="1">ROUND(IF(OR(AND($C326=LataProjekcji,$E326&gt;0),AND($C326=LataProjekcji,$E326=0,$D327&lt;=10)),$E327,IF($C326&lt;LataProjekcji,IF((SUM($K328:R328)+$C328)&lt;$C327,$C328,$C327-SUM($K328:R328)),0)),0)</f>
        <v>0</v>
      </c>
      <c r="T328" s="248">
        <f ca="1">ROUND(IF(OR(AND($C326=LataProjekcji,$E326&gt;0),AND($C326=LataProjekcji,$E326=0,$D327&lt;=10)),$E327,IF($C326&lt;LataProjekcji,IF((SUM($K328:S328)+$C328)&lt;$C327,$C328,$C327-SUM($K328:S328)),0)),0)</f>
        <v>0</v>
      </c>
      <c r="U328" s="248">
        <f ca="1">ROUND(IF(OR(AND($C326=LataProjekcji,$E326&gt;0),AND($C326=LataProjekcji,$E326=0,$D327&lt;=10)),$E327,IF($C326&lt;LataProjekcji,IF((SUM($K328:T328)+$C328)&lt;$C327,$C328,$C327-SUM($K328:T328)),0)),0)</f>
        <v>0</v>
      </c>
      <c r="V328" s="248">
        <f ca="1">ROUND(IF(OR(AND($C326=LataProjekcji,$E326&gt;0),AND($C326=LataProjekcji,$E326=0,$D327&lt;=10)),$E327,IF($C326&lt;LataProjekcji,IF((SUM($K328:U328)+$C328)&lt;$C327,$C328,$C327-SUM($K328:U328)),0)),0)</f>
        <v>0</v>
      </c>
      <c r="W328" s="248">
        <f ca="1">ROUND(IF(OR(AND($C326=LataProjekcji,$E326&gt;0),AND($C326=LataProjekcji,$E326=0,$D327&lt;=10)),$E327,IF($C326&lt;LataProjekcji,IF((SUM($K328:V328)+$C328)&lt;$C327,$C328,$C327-SUM($K328:V328)),0)),0)</f>
        <v>0</v>
      </c>
      <c r="X328" s="248">
        <f ca="1">ROUND(IF(OR(AND($C326=LataProjekcji,$E326&gt;0),AND($C326=LataProjekcji,$E326=0,$D327&lt;=10)),$E327,IF($C326&lt;LataProjekcji,IF((SUM($K328:W328)+$C328)&lt;$C327,$C328,$C327-SUM($K328:W328)),0)),0)</f>
        <v>0</v>
      </c>
    </row>
    <row r="329" spans="1:24" hidden="1">
      <c r="A329" s="259"/>
      <c r="B329" s="21" t="s">
        <v>416</v>
      </c>
      <c r="C329" s="22"/>
      <c r="D329" s="21"/>
      <c r="E329" s="21"/>
      <c r="F329" s="21"/>
      <c r="G329" s="21"/>
      <c r="I329" s="21"/>
      <c r="J329" s="21"/>
      <c r="K329" s="22">
        <f ca="1">ROUND(K328,0)</f>
        <v>0</v>
      </c>
      <c r="L329" s="22">
        <f t="shared" ref="L329:X329" ca="1" si="68">ROUND(K329+L328,0)</f>
        <v>0</v>
      </c>
      <c r="M329" s="22">
        <f t="shared" ca="1" si="68"/>
        <v>0</v>
      </c>
      <c r="N329" s="22">
        <f t="shared" ca="1" si="68"/>
        <v>0</v>
      </c>
      <c r="O329" s="22">
        <f t="shared" ca="1" si="68"/>
        <v>0</v>
      </c>
      <c r="P329" s="22">
        <f t="shared" ca="1" si="68"/>
        <v>0</v>
      </c>
      <c r="Q329" s="22">
        <f t="shared" ca="1" si="68"/>
        <v>0</v>
      </c>
      <c r="R329" s="22">
        <f t="shared" ca="1" si="68"/>
        <v>0</v>
      </c>
      <c r="S329" s="22">
        <f t="shared" ca="1" si="68"/>
        <v>0</v>
      </c>
      <c r="T329" s="22">
        <f t="shared" ca="1" si="68"/>
        <v>0</v>
      </c>
      <c r="U329" s="22">
        <f t="shared" ca="1" si="68"/>
        <v>0</v>
      </c>
      <c r="V329" s="22">
        <f t="shared" ca="1" si="68"/>
        <v>0</v>
      </c>
      <c r="W329" s="22">
        <f t="shared" ca="1" si="68"/>
        <v>0</v>
      </c>
      <c r="X329" s="22">
        <f t="shared" ca="1" si="68"/>
        <v>0</v>
      </c>
    </row>
    <row r="330" spans="1:24" hidden="1">
      <c r="A330" s="259"/>
      <c r="B330" s="21" t="s">
        <v>406</v>
      </c>
      <c r="C330" s="22"/>
      <c r="D330" s="21"/>
      <c r="E330" s="21"/>
      <c r="F330" s="21"/>
      <c r="G330" s="21"/>
      <c r="I330" s="21"/>
      <c r="J330" s="21"/>
      <c r="K330" s="78">
        <f t="shared" ref="K330:X330" ca="1" si="69">IF($C326=K$25,$C327,ROUND(IF(K328=0,0,$C327-K329),0))</f>
        <v>0</v>
      </c>
      <c r="L330" s="78">
        <f t="shared" ca="1" si="69"/>
        <v>0</v>
      </c>
      <c r="M330" s="78">
        <f t="shared" ca="1" si="69"/>
        <v>0</v>
      </c>
      <c r="N330" s="78">
        <f t="shared" ca="1" si="69"/>
        <v>0</v>
      </c>
      <c r="O330" s="78">
        <f t="shared" ca="1" si="69"/>
        <v>0</v>
      </c>
      <c r="P330" s="78">
        <f t="shared" ca="1" si="69"/>
        <v>0</v>
      </c>
      <c r="Q330" s="78">
        <f t="shared" ca="1" si="69"/>
        <v>0</v>
      </c>
      <c r="R330" s="78">
        <f t="shared" ca="1" si="69"/>
        <v>0</v>
      </c>
      <c r="S330" s="78">
        <f t="shared" ca="1" si="69"/>
        <v>0</v>
      </c>
      <c r="T330" s="78">
        <f t="shared" ca="1" si="69"/>
        <v>0</v>
      </c>
      <c r="U330" s="78">
        <f t="shared" ca="1" si="69"/>
        <v>0</v>
      </c>
      <c r="V330" s="78">
        <f t="shared" ca="1" si="69"/>
        <v>0</v>
      </c>
      <c r="W330" s="78">
        <f t="shared" ca="1" si="69"/>
        <v>0</v>
      </c>
      <c r="X330" s="78">
        <f t="shared" ca="1" si="69"/>
        <v>0</v>
      </c>
    </row>
    <row r="331" spans="1:24" hidden="1">
      <c r="A331" s="259"/>
      <c r="B331" s="21"/>
      <c r="C331" s="22"/>
      <c r="D331" s="21"/>
      <c r="E331" s="21"/>
      <c r="F331" s="21"/>
      <c r="G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</row>
    <row r="332" spans="1:24" hidden="1">
      <c r="A332" s="259"/>
      <c r="B332" s="20" t="s">
        <v>454</v>
      </c>
      <c r="C332" s="21">
        <f>C325+1</f>
        <v>3</v>
      </c>
      <c r="D332" s="21" t="str">
        <f ca="1">OFFSET($B$28,C332,0)</f>
        <v/>
      </c>
      <c r="E332" s="483">
        <f>E325+1</f>
        <v>3</v>
      </c>
      <c r="F332" s="21"/>
      <c r="G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</row>
    <row r="333" spans="1:24" hidden="1">
      <c r="A333" s="259"/>
      <c r="B333" s="21" t="s">
        <v>414</v>
      </c>
      <c r="C333" s="165">
        <f ca="1">IFERROR(YEAR(OFFSET($D$28,C332,0)),0)</f>
        <v>0</v>
      </c>
      <c r="D333" s="21"/>
      <c r="E333" s="21"/>
      <c r="F333" s="21"/>
      <c r="G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</row>
    <row r="334" spans="1:24" hidden="1">
      <c r="A334" s="259"/>
      <c r="B334" s="21" t="s">
        <v>406</v>
      </c>
      <c r="C334" s="22">
        <f ca="1">OFFSET($F$28,C332,0)</f>
        <v>0</v>
      </c>
      <c r="D334" s="21"/>
      <c r="E334" s="21"/>
      <c r="F334" s="21"/>
      <c r="G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</row>
    <row r="335" spans="1:24" hidden="1">
      <c r="A335" s="259"/>
      <c r="B335" s="21" t="s">
        <v>415</v>
      </c>
      <c r="C335" s="22">
        <f ca="1">ROUND(C334*am_prace_rozwojowe,0)</f>
        <v>0</v>
      </c>
      <c r="D335" s="21"/>
      <c r="E335" s="21"/>
      <c r="F335" s="21"/>
      <c r="G335" s="21"/>
      <c r="I335" s="21"/>
      <c r="J335" s="483" cm="1">
        <f t="array" aca="1" ref="J335" ca="1">OFFSET('Środki trwałe'!$C$195,'Rozliczenie dotacji'!E332,,)</f>
        <v>0</v>
      </c>
      <c r="K335" s="76">
        <f ca="1">IFERROR(ROUND(IF(($C333+1)=K$25,$C335,0),0),0)</f>
        <v>0</v>
      </c>
      <c r="L335" s="248">
        <f ca="1">ROUND(IF(OR(AND($C333=LataProjekcji,$E333&gt;0),AND($C333=LataProjekcji,$E333=0,$D334&lt;=10)),$E334,IF($C333&lt;LataProjekcji,IF((SUM($K335:K335)+$C335)&lt;$C334,$C335,$C334-SUM($K335:K335)),0)),0)</f>
        <v>0</v>
      </c>
      <c r="M335" s="248">
        <f ca="1">ROUND(IF(OR(AND($C333=LataProjekcji,$E333&gt;0),AND($C333=LataProjekcji,$E333=0,$D334&lt;=10)),$E334,IF($C333&lt;LataProjekcji,IF((SUM($K335:L335)+$C335)&lt;$C334,$C335,$C334-SUM($K335:L335)),0)),0)</f>
        <v>0</v>
      </c>
      <c r="N335" s="248">
        <f ca="1">ROUND(IF(OR(AND($C333=LataProjekcji,$E333&gt;0),AND($C333=LataProjekcji,$E333=0,$D334&lt;=10)),$E334,IF($C333&lt;LataProjekcji,IF((SUM($K335:M335)+$C335)&lt;$C334,$C335,$C334-SUM($K335:M335)),0)),0)</f>
        <v>0</v>
      </c>
      <c r="O335" s="248">
        <f ca="1">ROUND(IF(OR(AND($C333=LataProjekcji,$E333&gt;0),AND($C333=LataProjekcji,$E333=0,$D334&lt;=10)),$E334,IF($C333&lt;LataProjekcji,IF((SUM($K335:N335)+$C335)&lt;$C334,$C335,$C334-SUM($K335:N335)),0)),0)</f>
        <v>0</v>
      </c>
      <c r="P335" s="248">
        <f ca="1">ROUND(IF(OR(AND($C333=LataProjekcji,$E333&gt;0),AND($C333=LataProjekcji,$E333=0,$D334&lt;=10)),$E334,IF($C333&lt;LataProjekcji,IF((SUM($K335:O335)+$C335)&lt;$C334,$C335,$C334-SUM($K335:O335)),0)),0)</f>
        <v>0</v>
      </c>
      <c r="Q335" s="248">
        <f ca="1">ROUND(IF(OR(AND($C333=LataProjekcji,$E333&gt;0),AND($C333=LataProjekcji,$E333=0,$D334&lt;=10)),$E334,IF($C333&lt;LataProjekcji,IF((SUM($K335:P335)+$C335)&lt;$C334,$C335,$C334-SUM($K335:P335)),0)),0)</f>
        <v>0</v>
      </c>
      <c r="R335" s="248">
        <f ca="1">ROUND(IF(OR(AND($C333=LataProjekcji,$E333&gt;0),AND($C333=LataProjekcji,$E333=0,$D334&lt;=10)),$E334,IF($C333&lt;LataProjekcji,IF((SUM($K335:Q335)+$C335)&lt;$C334,$C335,$C334-SUM($K335:Q335)),0)),0)</f>
        <v>0</v>
      </c>
      <c r="S335" s="248">
        <f ca="1">ROUND(IF(OR(AND($C333=LataProjekcji,$E333&gt;0),AND($C333=LataProjekcji,$E333=0,$D334&lt;=10)),$E334,IF($C333&lt;LataProjekcji,IF((SUM($K335:R335)+$C335)&lt;$C334,$C335,$C334-SUM($K335:R335)),0)),0)</f>
        <v>0</v>
      </c>
      <c r="T335" s="248">
        <f ca="1">ROUND(IF(OR(AND($C333=LataProjekcji,$E333&gt;0),AND($C333=LataProjekcji,$E333=0,$D334&lt;=10)),$E334,IF($C333&lt;LataProjekcji,IF((SUM($K335:S335)+$C335)&lt;$C334,$C335,$C334-SUM($K335:S335)),0)),0)</f>
        <v>0</v>
      </c>
      <c r="U335" s="248">
        <f ca="1">ROUND(IF(OR(AND($C333=LataProjekcji,$E333&gt;0),AND($C333=LataProjekcji,$E333=0,$D334&lt;=10)),$E334,IF($C333&lt;LataProjekcji,IF((SUM($K335:T335)+$C335)&lt;$C334,$C335,$C334-SUM($K335:T335)),0)),0)</f>
        <v>0</v>
      </c>
      <c r="V335" s="248">
        <f ca="1">ROUND(IF(OR(AND($C333=LataProjekcji,$E333&gt;0),AND($C333=LataProjekcji,$E333=0,$D334&lt;=10)),$E334,IF($C333&lt;LataProjekcji,IF((SUM($K335:U335)+$C335)&lt;$C334,$C335,$C334-SUM($K335:U335)),0)),0)</f>
        <v>0</v>
      </c>
      <c r="W335" s="248">
        <f ca="1">ROUND(IF(OR(AND($C333=LataProjekcji,$E333&gt;0),AND($C333=LataProjekcji,$E333=0,$D334&lt;=10)),$E334,IF($C333&lt;LataProjekcji,IF((SUM($K335:V335)+$C335)&lt;$C334,$C335,$C334-SUM($K335:V335)),0)),0)</f>
        <v>0</v>
      </c>
      <c r="X335" s="248">
        <f ca="1">ROUND(IF(OR(AND($C333=LataProjekcji,$E333&gt;0),AND($C333=LataProjekcji,$E333=0,$D334&lt;=10)),$E334,IF($C333&lt;LataProjekcji,IF((SUM($K335:W335)+$C335)&lt;$C334,$C335,$C334-SUM($K335:W335)),0)),0)</f>
        <v>0</v>
      </c>
    </row>
    <row r="336" spans="1:24" hidden="1">
      <c r="A336" s="259"/>
      <c r="B336" s="21" t="s">
        <v>416</v>
      </c>
      <c r="C336" s="22"/>
      <c r="D336" s="21"/>
      <c r="E336" s="21"/>
      <c r="F336" s="21"/>
      <c r="G336" s="21"/>
      <c r="I336" s="21"/>
      <c r="J336" s="21"/>
      <c r="K336" s="22">
        <f ca="1">ROUND(K335,0)</f>
        <v>0</v>
      </c>
      <c r="L336" s="22">
        <f t="shared" ref="L336:X336" ca="1" si="70">ROUND(K336+L335,0)</f>
        <v>0</v>
      </c>
      <c r="M336" s="22">
        <f t="shared" ca="1" si="70"/>
        <v>0</v>
      </c>
      <c r="N336" s="22">
        <f t="shared" ca="1" si="70"/>
        <v>0</v>
      </c>
      <c r="O336" s="22">
        <f t="shared" ca="1" si="70"/>
        <v>0</v>
      </c>
      <c r="P336" s="22">
        <f t="shared" ca="1" si="70"/>
        <v>0</v>
      </c>
      <c r="Q336" s="22">
        <f t="shared" ca="1" si="70"/>
        <v>0</v>
      </c>
      <c r="R336" s="22">
        <f t="shared" ca="1" si="70"/>
        <v>0</v>
      </c>
      <c r="S336" s="22">
        <f t="shared" ca="1" si="70"/>
        <v>0</v>
      </c>
      <c r="T336" s="22">
        <f t="shared" ca="1" si="70"/>
        <v>0</v>
      </c>
      <c r="U336" s="22">
        <f t="shared" ca="1" si="70"/>
        <v>0</v>
      </c>
      <c r="V336" s="22">
        <f t="shared" ca="1" si="70"/>
        <v>0</v>
      </c>
      <c r="W336" s="22">
        <f t="shared" ca="1" si="70"/>
        <v>0</v>
      </c>
      <c r="X336" s="22">
        <f t="shared" ca="1" si="70"/>
        <v>0</v>
      </c>
    </row>
    <row r="337" spans="1:24" hidden="1">
      <c r="A337" s="259"/>
      <c r="B337" s="21" t="s">
        <v>406</v>
      </c>
      <c r="C337" s="22"/>
      <c r="D337" s="21"/>
      <c r="E337" s="21"/>
      <c r="F337" s="21"/>
      <c r="G337" s="21"/>
      <c r="I337" s="21"/>
      <c r="J337" s="21"/>
      <c r="K337" s="78">
        <f t="shared" ref="K337:X337" ca="1" si="71">IF($C333=K$25,$C334,ROUND(IF(K335=0,0,$C334-K336),0))</f>
        <v>0</v>
      </c>
      <c r="L337" s="78">
        <f t="shared" ca="1" si="71"/>
        <v>0</v>
      </c>
      <c r="M337" s="78">
        <f t="shared" ca="1" si="71"/>
        <v>0</v>
      </c>
      <c r="N337" s="78">
        <f t="shared" ca="1" si="71"/>
        <v>0</v>
      </c>
      <c r="O337" s="78">
        <f t="shared" ca="1" si="71"/>
        <v>0</v>
      </c>
      <c r="P337" s="78">
        <f t="shared" ca="1" si="71"/>
        <v>0</v>
      </c>
      <c r="Q337" s="78">
        <f t="shared" ca="1" si="71"/>
        <v>0</v>
      </c>
      <c r="R337" s="78">
        <f t="shared" ca="1" si="71"/>
        <v>0</v>
      </c>
      <c r="S337" s="78">
        <f t="shared" ca="1" si="71"/>
        <v>0</v>
      </c>
      <c r="T337" s="78">
        <f t="shared" ca="1" si="71"/>
        <v>0</v>
      </c>
      <c r="U337" s="78">
        <f t="shared" ca="1" si="71"/>
        <v>0</v>
      </c>
      <c r="V337" s="78">
        <f t="shared" ca="1" si="71"/>
        <v>0</v>
      </c>
      <c r="W337" s="78">
        <f t="shared" ca="1" si="71"/>
        <v>0</v>
      </c>
      <c r="X337" s="78">
        <f t="shared" ca="1" si="71"/>
        <v>0</v>
      </c>
    </row>
    <row r="338" spans="1:24" hidden="1">
      <c r="A338" s="259"/>
      <c r="B338" s="21"/>
      <c r="C338" s="22"/>
      <c r="D338" s="21"/>
      <c r="E338" s="21"/>
      <c r="F338" s="21"/>
      <c r="G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</row>
    <row r="339" spans="1:24" hidden="1">
      <c r="A339" s="259"/>
      <c r="B339" s="20" t="s">
        <v>454</v>
      </c>
      <c r="C339" s="21">
        <f>C332+1</f>
        <v>4</v>
      </c>
      <c r="D339" s="21" t="str">
        <f ca="1">OFFSET($B$28,C339,0)</f>
        <v/>
      </c>
      <c r="E339" s="483">
        <f>E332+1</f>
        <v>4</v>
      </c>
      <c r="F339" s="21"/>
      <c r="G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</row>
    <row r="340" spans="1:24" hidden="1">
      <c r="A340" s="259"/>
      <c r="B340" s="21" t="s">
        <v>414</v>
      </c>
      <c r="C340" s="165">
        <f ca="1">IFERROR(YEAR(OFFSET($D$28,C339,0)),0)</f>
        <v>0</v>
      </c>
      <c r="D340" s="21"/>
      <c r="E340" s="21"/>
      <c r="F340" s="21"/>
      <c r="G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</row>
    <row r="341" spans="1:24" hidden="1">
      <c r="A341" s="259"/>
      <c r="B341" s="21" t="s">
        <v>406</v>
      </c>
      <c r="C341" s="22">
        <f ca="1">OFFSET($F$28,C339,0)</f>
        <v>0</v>
      </c>
      <c r="D341" s="21"/>
      <c r="E341" s="21"/>
      <c r="F341" s="21"/>
      <c r="G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</row>
    <row r="342" spans="1:24" hidden="1">
      <c r="A342" s="259"/>
      <c r="B342" s="21" t="s">
        <v>415</v>
      </c>
      <c r="C342" s="22">
        <f ca="1">ROUND(C341*am_prace_rozwojowe,0)</f>
        <v>0</v>
      </c>
      <c r="D342" s="21"/>
      <c r="E342" s="21"/>
      <c r="F342" s="21"/>
      <c r="G342" s="21"/>
      <c r="I342" s="21"/>
      <c r="J342" s="483" cm="1">
        <f t="array" aca="1" ref="J342" ca="1">OFFSET('Środki trwałe'!$C$195,'Rozliczenie dotacji'!E339,,)</f>
        <v>0</v>
      </c>
      <c r="K342" s="76">
        <f ca="1">IFERROR(ROUND(IF(($C340+1)=K$25,$C342,0),0),0)</f>
        <v>0</v>
      </c>
      <c r="L342" s="248">
        <f ca="1">ROUND(IF(OR(AND($C340=LataProjekcji,$E340&gt;0),AND($C340=LataProjekcji,$E340=0,$D341&lt;=10)),$E341,IF($C340&lt;LataProjekcji,IF((SUM($K342:K342)+$C342)&lt;$C341,$C342,$C341-SUM($K342:K342)),0)),0)</f>
        <v>0</v>
      </c>
      <c r="M342" s="248">
        <f ca="1">ROUND(IF(OR(AND($C340=LataProjekcji,$E340&gt;0),AND($C340=LataProjekcji,$E340=0,$D341&lt;=10)),$E341,IF($C340&lt;LataProjekcji,IF((SUM($K342:L342)+$C342)&lt;$C341,$C342,$C341-SUM($K342:L342)),0)),0)</f>
        <v>0</v>
      </c>
      <c r="N342" s="248">
        <f ca="1">ROUND(IF(OR(AND($C340=LataProjekcji,$E340&gt;0),AND($C340=LataProjekcji,$E340=0,$D341&lt;=10)),$E341,IF($C340&lt;LataProjekcji,IF((SUM($K342:M342)+$C342)&lt;$C341,$C342,$C341-SUM($K342:M342)),0)),0)</f>
        <v>0</v>
      </c>
      <c r="O342" s="248">
        <f ca="1">ROUND(IF(OR(AND($C340=LataProjekcji,$E340&gt;0),AND($C340=LataProjekcji,$E340=0,$D341&lt;=10)),$E341,IF($C340&lt;LataProjekcji,IF((SUM($K342:N342)+$C342)&lt;$C341,$C342,$C341-SUM($K342:N342)),0)),0)</f>
        <v>0</v>
      </c>
      <c r="P342" s="248">
        <f ca="1">ROUND(IF(OR(AND($C340=LataProjekcji,$E340&gt;0),AND($C340=LataProjekcji,$E340=0,$D341&lt;=10)),$E341,IF($C340&lt;LataProjekcji,IF((SUM($K342:O342)+$C342)&lt;$C341,$C342,$C341-SUM($K342:O342)),0)),0)</f>
        <v>0</v>
      </c>
      <c r="Q342" s="248">
        <f ca="1">ROUND(IF(OR(AND($C340=LataProjekcji,$E340&gt;0),AND($C340=LataProjekcji,$E340=0,$D341&lt;=10)),$E341,IF($C340&lt;LataProjekcji,IF((SUM($K342:P342)+$C342)&lt;$C341,$C342,$C341-SUM($K342:P342)),0)),0)</f>
        <v>0</v>
      </c>
      <c r="R342" s="248">
        <f ca="1">ROUND(IF(OR(AND($C340=LataProjekcji,$E340&gt;0),AND($C340=LataProjekcji,$E340=0,$D341&lt;=10)),$E341,IF($C340&lt;LataProjekcji,IF((SUM($K342:Q342)+$C342)&lt;$C341,$C342,$C341-SUM($K342:Q342)),0)),0)</f>
        <v>0</v>
      </c>
      <c r="S342" s="248">
        <f ca="1">ROUND(IF(OR(AND($C340=LataProjekcji,$E340&gt;0),AND($C340=LataProjekcji,$E340=0,$D341&lt;=10)),$E341,IF($C340&lt;LataProjekcji,IF((SUM($K342:R342)+$C342)&lt;$C341,$C342,$C341-SUM($K342:R342)),0)),0)</f>
        <v>0</v>
      </c>
      <c r="T342" s="248">
        <f ca="1">ROUND(IF(OR(AND($C340=LataProjekcji,$E340&gt;0),AND($C340=LataProjekcji,$E340=0,$D341&lt;=10)),$E341,IF($C340&lt;LataProjekcji,IF((SUM($K342:S342)+$C342)&lt;$C341,$C342,$C341-SUM($K342:S342)),0)),0)</f>
        <v>0</v>
      </c>
      <c r="U342" s="248">
        <f ca="1">ROUND(IF(OR(AND($C340=LataProjekcji,$E340&gt;0),AND($C340=LataProjekcji,$E340=0,$D341&lt;=10)),$E341,IF($C340&lt;LataProjekcji,IF((SUM($K342:T342)+$C342)&lt;$C341,$C342,$C341-SUM($K342:T342)),0)),0)</f>
        <v>0</v>
      </c>
      <c r="V342" s="248">
        <f ca="1">ROUND(IF(OR(AND($C340=LataProjekcji,$E340&gt;0),AND($C340=LataProjekcji,$E340=0,$D341&lt;=10)),$E341,IF($C340&lt;LataProjekcji,IF((SUM($K342:U342)+$C342)&lt;$C341,$C342,$C341-SUM($K342:U342)),0)),0)</f>
        <v>0</v>
      </c>
      <c r="W342" s="248">
        <f ca="1">ROUND(IF(OR(AND($C340=LataProjekcji,$E340&gt;0),AND($C340=LataProjekcji,$E340=0,$D341&lt;=10)),$E341,IF($C340&lt;LataProjekcji,IF((SUM($K342:V342)+$C342)&lt;$C341,$C342,$C341-SUM($K342:V342)),0)),0)</f>
        <v>0</v>
      </c>
      <c r="X342" s="248">
        <f ca="1">ROUND(IF(OR(AND($C340=LataProjekcji,$E340&gt;0),AND($C340=LataProjekcji,$E340=0,$D341&lt;=10)),$E341,IF($C340&lt;LataProjekcji,IF((SUM($K342:W342)+$C342)&lt;$C341,$C342,$C341-SUM($K342:W342)),0)),0)</f>
        <v>0</v>
      </c>
    </row>
    <row r="343" spans="1:24" hidden="1">
      <c r="A343" s="259"/>
      <c r="B343" s="21" t="s">
        <v>416</v>
      </c>
      <c r="C343" s="22"/>
      <c r="D343" s="21"/>
      <c r="E343" s="21"/>
      <c r="F343" s="21"/>
      <c r="G343" s="21"/>
      <c r="I343" s="21"/>
      <c r="J343" s="21"/>
      <c r="K343" s="22">
        <f ca="1">ROUND(K342,0)</f>
        <v>0</v>
      </c>
      <c r="L343" s="22">
        <f t="shared" ref="L343" ca="1" si="72">ROUND(K343+L342,0)</f>
        <v>0</v>
      </c>
      <c r="M343" s="22">
        <f t="shared" ref="M343" ca="1" si="73">ROUND(L343+M342,0)</f>
        <v>0</v>
      </c>
      <c r="N343" s="22">
        <f t="shared" ref="N343" ca="1" si="74">ROUND(M343+N342,0)</f>
        <v>0</v>
      </c>
      <c r="O343" s="22">
        <f t="shared" ref="O343" ca="1" si="75">ROUND(N343+O342,0)</f>
        <v>0</v>
      </c>
      <c r="P343" s="22">
        <f t="shared" ref="P343" ca="1" si="76">ROUND(O343+P342,0)</f>
        <v>0</v>
      </c>
      <c r="Q343" s="22">
        <f t="shared" ref="Q343" ca="1" si="77">ROUND(P343+Q342,0)</f>
        <v>0</v>
      </c>
      <c r="R343" s="22">
        <f t="shared" ref="R343" ca="1" si="78">ROUND(Q343+R342,0)</f>
        <v>0</v>
      </c>
      <c r="S343" s="22">
        <f t="shared" ref="S343" ca="1" si="79">ROUND(R343+S342,0)</f>
        <v>0</v>
      </c>
      <c r="T343" s="22">
        <f t="shared" ref="T343" ca="1" si="80">ROUND(S343+T342,0)</f>
        <v>0</v>
      </c>
      <c r="U343" s="22">
        <f t="shared" ref="U343" ca="1" si="81">ROUND(T343+U342,0)</f>
        <v>0</v>
      </c>
      <c r="V343" s="22">
        <f t="shared" ref="V343" ca="1" si="82">ROUND(U343+V342,0)</f>
        <v>0</v>
      </c>
      <c r="W343" s="22">
        <f t="shared" ref="W343" ca="1" si="83">ROUND(V343+W342,0)</f>
        <v>0</v>
      </c>
      <c r="X343" s="22">
        <f t="shared" ref="X343" ca="1" si="84">ROUND(W343+X342,0)</f>
        <v>0</v>
      </c>
    </row>
    <row r="344" spans="1:24" hidden="1">
      <c r="A344" s="259"/>
      <c r="B344" s="21" t="s">
        <v>406</v>
      </c>
      <c r="C344" s="22"/>
      <c r="D344" s="21"/>
      <c r="E344" s="21"/>
      <c r="F344" s="21"/>
      <c r="G344" s="21"/>
      <c r="I344" s="21"/>
      <c r="J344" s="21"/>
      <c r="K344" s="78">
        <f t="shared" ref="K344:X344" ca="1" si="85">IF($C340=K$25,$C341,ROUND(IF(K342=0,0,$C341-K343),0))</f>
        <v>0</v>
      </c>
      <c r="L344" s="78">
        <f t="shared" ca="1" si="85"/>
        <v>0</v>
      </c>
      <c r="M344" s="78">
        <f t="shared" ca="1" si="85"/>
        <v>0</v>
      </c>
      <c r="N344" s="78">
        <f t="shared" ca="1" si="85"/>
        <v>0</v>
      </c>
      <c r="O344" s="78">
        <f t="shared" ca="1" si="85"/>
        <v>0</v>
      </c>
      <c r="P344" s="78">
        <f t="shared" ca="1" si="85"/>
        <v>0</v>
      </c>
      <c r="Q344" s="78">
        <f t="shared" ca="1" si="85"/>
        <v>0</v>
      </c>
      <c r="R344" s="78">
        <f t="shared" ca="1" si="85"/>
        <v>0</v>
      </c>
      <c r="S344" s="78">
        <f t="shared" ca="1" si="85"/>
        <v>0</v>
      </c>
      <c r="T344" s="78">
        <f t="shared" ca="1" si="85"/>
        <v>0</v>
      </c>
      <c r="U344" s="78">
        <f t="shared" ca="1" si="85"/>
        <v>0</v>
      </c>
      <c r="V344" s="78">
        <f t="shared" ca="1" si="85"/>
        <v>0</v>
      </c>
      <c r="W344" s="78">
        <f t="shared" ca="1" si="85"/>
        <v>0</v>
      </c>
      <c r="X344" s="78">
        <f t="shared" ca="1" si="85"/>
        <v>0</v>
      </c>
    </row>
    <row r="345" spans="1:24" hidden="1">
      <c r="A345" s="259"/>
      <c r="B345" s="20"/>
      <c r="C345" s="21"/>
      <c r="D345" s="21"/>
      <c r="E345" s="21"/>
      <c r="F345" s="21"/>
      <c r="G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idden="1">
      <c r="A346" s="259"/>
      <c r="B346" s="20" t="s">
        <v>454</v>
      </c>
      <c r="C346" s="21">
        <f>C339+1</f>
        <v>5</v>
      </c>
      <c r="D346" s="21" t="str">
        <f ca="1">OFFSET($B$28,C346,0)</f>
        <v/>
      </c>
      <c r="E346" s="483">
        <f>E339+1</f>
        <v>5</v>
      </c>
      <c r="F346" s="21"/>
      <c r="G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idden="1">
      <c r="A347" s="259"/>
      <c r="B347" s="21" t="s">
        <v>414</v>
      </c>
      <c r="C347" s="165">
        <f ca="1">IFERROR(YEAR(OFFSET($D$28,C346,0)),0)</f>
        <v>0</v>
      </c>
      <c r="D347" s="21"/>
      <c r="E347" s="21"/>
      <c r="F347" s="21"/>
      <c r="G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idden="1">
      <c r="A348" s="259"/>
      <c r="B348" s="21" t="s">
        <v>406</v>
      </c>
      <c r="C348" s="22">
        <f ca="1">OFFSET($F$28,C346,0)</f>
        <v>0</v>
      </c>
      <c r="D348" s="21"/>
      <c r="E348" s="21"/>
      <c r="F348" s="21"/>
      <c r="G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</row>
    <row r="349" spans="1:24" hidden="1">
      <c r="A349" s="259"/>
      <c r="B349" s="21" t="s">
        <v>415</v>
      </c>
      <c r="C349" s="22">
        <f ca="1">ROUND(C348*am_prace_rozwojowe,0)</f>
        <v>0</v>
      </c>
      <c r="D349" s="21"/>
      <c r="E349" s="21"/>
      <c r="F349" s="21"/>
      <c r="G349" s="21"/>
      <c r="I349" s="21"/>
      <c r="J349" s="483" cm="1">
        <f t="array" aca="1" ref="J349" ca="1">OFFSET('Środki trwałe'!$C$195,'Rozliczenie dotacji'!E346,,)</f>
        <v>0</v>
      </c>
      <c r="K349" s="76">
        <f ca="1">IFERROR(ROUND(IF(($C347+1)=K$25,$C349,0),0),0)</f>
        <v>0</v>
      </c>
      <c r="L349" s="248">
        <f ca="1">ROUND(IF(OR(AND($C347=LataProjekcji,$E347&gt;0),AND($C347=LataProjekcji,$E347=0,$D348&lt;=10)),$E348,IF($C347&lt;LataProjekcji,IF((SUM($K349:K349)+$C349)&lt;$C348,$C349,$C348-SUM($K349:K349)),0)),0)</f>
        <v>0</v>
      </c>
      <c r="M349" s="248">
        <f ca="1">ROUND(IF(OR(AND($C347=LataProjekcji,$E347&gt;0),AND($C347=LataProjekcji,$E347=0,$D348&lt;=10)),$E348,IF($C347&lt;LataProjekcji,IF((SUM($K349:L349)+$C349)&lt;$C348,$C349,$C348-SUM($K349:L349)),0)),0)</f>
        <v>0</v>
      </c>
      <c r="N349" s="248">
        <f ca="1">ROUND(IF(OR(AND($C347=LataProjekcji,$E347&gt;0),AND($C347=LataProjekcji,$E347=0,$D348&lt;=10)),$E348,IF($C347&lt;LataProjekcji,IF((SUM($K349:M349)+$C349)&lt;$C348,$C349,$C348-SUM($K349:M349)),0)),0)</f>
        <v>0</v>
      </c>
      <c r="O349" s="248">
        <f ca="1">ROUND(IF(OR(AND($C347=LataProjekcji,$E347&gt;0),AND($C347=LataProjekcji,$E347=0,$D348&lt;=10)),$E348,IF($C347&lt;LataProjekcji,IF((SUM($K349:N349)+$C349)&lt;$C348,$C349,$C348-SUM($K349:N349)),0)),0)</f>
        <v>0</v>
      </c>
      <c r="P349" s="248">
        <f ca="1">ROUND(IF(OR(AND($C347=LataProjekcji,$E347&gt;0),AND($C347=LataProjekcji,$E347=0,$D348&lt;=10)),$E348,IF($C347&lt;LataProjekcji,IF((SUM($K349:O349)+$C349)&lt;$C348,$C349,$C348-SUM($K349:O349)),0)),0)</f>
        <v>0</v>
      </c>
      <c r="Q349" s="248">
        <f ca="1">ROUND(IF(OR(AND($C347=LataProjekcji,$E347&gt;0),AND($C347=LataProjekcji,$E347=0,$D348&lt;=10)),$E348,IF($C347&lt;LataProjekcji,IF((SUM($K349:P349)+$C349)&lt;$C348,$C349,$C348-SUM($K349:P349)),0)),0)</f>
        <v>0</v>
      </c>
      <c r="R349" s="248">
        <f ca="1">ROUND(IF(OR(AND($C347=LataProjekcji,$E347&gt;0),AND($C347=LataProjekcji,$E347=0,$D348&lt;=10)),$E348,IF($C347&lt;LataProjekcji,IF((SUM($K349:Q349)+$C349)&lt;$C348,$C349,$C348-SUM($K349:Q349)),0)),0)</f>
        <v>0</v>
      </c>
      <c r="S349" s="248">
        <f ca="1">ROUND(IF(OR(AND($C347=LataProjekcji,$E347&gt;0),AND($C347=LataProjekcji,$E347=0,$D348&lt;=10)),$E348,IF($C347&lt;LataProjekcji,IF((SUM($K349:R349)+$C349)&lt;$C348,$C349,$C348-SUM($K349:R349)),0)),0)</f>
        <v>0</v>
      </c>
      <c r="T349" s="248">
        <f ca="1">ROUND(IF(OR(AND($C347=LataProjekcji,$E347&gt;0),AND($C347=LataProjekcji,$E347=0,$D348&lt;=10)),$E348,IF($C347&lt;LataProjekcji,IF((SUM($K349:S349)+$C349)&lt;$C348,$C349,$C348-SUM($K349:S349)),0)),0)</f>
        <v>0</v>
      </c>
      <c r="U349" s="248">
        <f ca="1">ROUND(IF(OR(AND($C347=LataProjekcji,$E347&gt;0),AND($C347=LataProjekcji,$E347=0,$D348&lt;=10)),$E348,IF($C347&lt;LataProjekcji,IF((SUM($K349:T349)+$C349)&lt;$C348,$C349,$C348-SUM($K349:T349)),0)),0)</f>
        <v>0</v>
      </c>
      <c r="V349" s="248">
        <f ca="1">ROUND(IF(OR(AND($C347=LataProjekcji,$E347&gt;0),AND($C347=LataProjekcji,$E347=0,$D348&lt;=10)),$E348,IF($C347&lt;LataProjekcji,IF((SUM($K349:U349)+$C349)&lt;$C348,$C349,$C348-SUM($K349:U349)),0)),0)</f>
        <v>0</v>
      </c>
      <c r="W349" s="248">
        <f ca="1">ROUND(IF(OR(AND($C347=LataProjekcji,$E347&gt;0),AND($C347=LataProjekcji,$E347=0,$D348&lt;=10)),$E348,IF($C347&lt;LataProjekcji,IF((SUM($K349:V349)+$C349)&lt;$C348,$C349,$C348-SUM($K349:V349)),0)),0)</f>
        <v>0</v>
      </c>
      <c r="X349" s="248">
        <f ca="1">ROUND(IF(OR(AND($C347=LataProjekcji,$E347&gt;0),AND($C347=LataProjekcji,$E347=0,$D348&lt;=10)),$E348,IF($C347&lt;LataProjekcji,IF((SUM($K349:W349)+$C349)&lt;$C348,$C349,$C348-SUM($K349:W349)),0)),0)</f>
        <v>0</v>
      </c>
    </row>
    <row r="350" spans="1:24" hidden="1">
      <c r="A350" s="259"/>
      <c r="B350" s="21" t="s">
        <v>416</v>
      </c>
      <c r="C350" s="22"/>
      <c r="D350" s="21"/>
      <c r="E350" s="21"/>
      <c r="F350" s="21"/>
      <c r="G350" s="21"/>
      <c r="I350" s="21"/>
      <c r="J350" s="21"/>
      <c r="K350" s="22">
        <f ca="1">ROUND(K349,0)</f>
        <v>0</v>
      </c>
      <c r="L350" s="22">
        <f t="shared" ref="L350" ca="1" si="86">ROUND(K350+L349,0)</f>
        <v>0</v>
      </c>
      <c r="M350" s="22">
        <f t="shared" ref="M350" ca="1" si="87">ROUND(L350+M349,0)</f>
        <v>0</v>
      </c>
      <c r="N350" s="22">
        <f t="shared" ref="N350" ca="1" si="88">ROUND(M350+N349,0)</f>
        <v>0</v>
      </c>
      <c r="O350" s="22">
        <f t="shared" ref="O350" ca="1" si="89">ROUND(N350+O349,0)</f>
        <v>0</v>
      </c>
      <c r="P350" s="22">
        <f t="shared" ref="P350" ca="1" si="90">ROUND(O350+P349,0)</f>
        <v>0</v>
      </c>
      <c r="Q350" s="22">
        <f t="shared" ref="Q350" ca="1" si="91">ROUND(P350+Q349,0)</f>
        <v>0</v>
      </c>
      <c r="R350" s="22">
        <f t="shared" ref="R350" ca="1" si="92">ROUND(Q350+R349,0)</f>
        <v>0</v>
      </c>
      <c r="S350" s="22">
        <f t="shared" ref="S350" ca="1" si="93">ROUND(R350+S349,0)</f>
        <v>0</v>
      </c>
      <c r="T350" s="22">
        <f t="shared" ref="T350" ca="1" si="94">ROUND(S350+T349,0)</f>
        <v>0</v>
      </c>
      <c r="U350" s="22">
        <f t="shared" ref="U350" ca="1" si="95">ROUND(T350+U349,0)</f>
        <v>0</v>
      </c>
      <c r="V350" s="22">
        <f t="shared" ref="V350" ca="1" si="96">ROUND(U350+V349,0)</f>
        <v>0</v>
      </c>
      <c r="W350" s="22">
        <f t="shared" ref="W350" ca="1" si="97">ROUND(V350+W349,0)</f>
        <v>0</v>
      </c>
      <c r="X350" s="22">
        <f t="shared" ref="X350" ca="1" si="98">ROUND(W350+X349,0)</f>
        <v>0</v>
      </c>
    </row>
    <row r="351" spans="1:24" hidden="1">
      <c r="A351" s="259"/>
      <c r="B351" s="21" t="s">
        <v>406</v>
      </c>
      <c r="C351" s="22"/>
      <c r="D351" s="21"/>
      <c r="E351" s="21"/>
      <c r="F351" s="21"/>
      <c r="G351" s="21"/>
      <c r="I351" s="21"/>
      <c r="J351" s="21"/>
      <c r="K351" s="78">
        <f t="shared" ref="K351:X351" ca="1" si="99">IF($C347=K$25,$C348,ROUND(IF(K349=0,0,$C348-K350),0))</f>
        <v>0</v>
      </c>
      <c r="L351" s="78">
        <f t="shared" ca="1" si="99"/>
        <v>0</v>
      </c>
      <c r="M351" s="78">
        <f t="shared" ca="1" si="99"/>
        <v>0</v>
      </c>
      <c r="N351" s="78">
        <f t="shared" ca="1" si="99"/>
        <v>0</v>
      </c>
      <c r="O351" s="78">
        <f t="shared" ca="1" si="99"/>
        <v>0</v>
      </c>
      <c r="P351" s="78">
        <f t="shared" ca="1" si="99"/>
        <v>0</v>
      </c>
      <c r="Q351" s="78">
        <f t="shared" ca="1" si="99"/>
        <v>0</v>
      </c>
      <c r="R351" s="78">
        <f t="shared" ca="1" si="99"/>
        <v>0</v>
      </c>
      <c r="S351" s="78">
        <f t="shared" ca="1" si="99"/>
        <v>0</v>
      </c>
      <c r="T351" s="78">
        <f t="shared" ca="1" si="99"/>
        <v>0</v>
      </c>
      <c r="U351" s="78">
        <f t="shared" ca="1" si="99"/>
        <v>0</v>
      </c>
      <c r="V351" s="78">
        <f t="shared" ca="1" si="99"/>
        <v>0</v>
      </c>
      <c r="W351" s="78">
        <f t="shared" ca="1" si="99"/>
        <v>0</v>
      </c>
      <c r="X351" s="78">
        <f t="shared" ca="1" si="99"/>
        <v>0</v>
      </c>
    </row>
    <row r="352" spans="1:24" hidden="1">
      <c r="A352" s="259"/>
      <c r="B352" s="21"/>
      <c r="C352" s="22"/>
      <c r="D352" s="21"/>
      <c r="E352" s="21"/>
      <c r="F352" s="21"/>
      <c r="G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idden="1">
      <c r="A353" s="259"/>
      <c r="B353" s="20" t="s">
        <v>454</v>
      </c>
      <c r="C353" s="21">
        <f>C346+1</f>
        <v>6</v>
      </c>
      <c r="D353" s="21" t="str">
        <f ca="1">OFFSET($B$28,C353,0)</f>
        <v/>
      </c>
      <c r="E353" s="483">
        <f>E346+1</f>
        <v>6</v>
      </c>
      <c r="F353" s="21"/>
      <c r="G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idden="1">
      <c r="A354" s="259"/>
      <c r="B354" s="21" t="s">
        <v>414</v>
      </c>
      <c r="C354" s="165">
        <f ca="1">IFERROR(YEAR(OFFSET($D$28,C353,0)),0)</f>
        <v>0</v>
      </c>
      <c r="D354" s="21"/>
      <c r="E354" s="21"/>
      <c r="F354" s="21"/>
      <c r="G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idden="1">
      <c r="A355" s="259"/>
      <c r="B355" s="21" t="s">
        <v>406</v>
      </c>
      <c r="C355" s="22">
        <f ca="1">OFFSET($F$28,C353,0)</f>
        <v>0</v>
      </c>
      <c r="D355" s="21"/>
      <c r="E355" s="21"/>
      <c r="F355" s="21"/>
      <c r="G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</row>
    <row r="356" spans="1:24" hidden="1">
      <c r="A356" s="259"/>
      <c r="B356" s="21" t="s">
        <v>415</v>
      </c>
      <c r="C356" s="22">
        <f ca="1">ROUND(C355*am_prace_rozwojowe,0)</f>
        <v>0</v>
      </c>
      <c r="D356" s="21"/>
      <c r="E356" s="21"/>
      <c r="F356" s="21"/>
      <c r="G356" s="21"/>
      <c r="I356" s="21"/>
      <c r="J356" s="483" cm="1">
        <f t="array" aca="1" ref="J356" ca="1">OFFSET('Środki trwałe'!$C$195,'Rozliczenie dotacji'!E353,,)</f>
        <v>0</v>
      </c>
      <c r="K356" s="76">
        <f ca="1">IFERROR(ROUND(IF(($C354+1)=K$25,$C356,0),0),0)</f>
        <v>0</v>
      </c>
      <c r="L356" s="248">
        <f ca="1">ROUND(IF(OR(AND($C354=LataProjekcji,$E354&gt;0),AND($C354=LataProjekcji,$E354=0,$D355&lt;=10)),$E355,IF($C354&lt;LataProjekcji,IF((SUM($K356:K356)+$C356)&lt;$C355,$C356,$C355-SUM($K356:K356)),0)),0)</f>
        <v>0</v>
      </c>
      <c r="M356" s="248">
        <f ca="1">ROUND(IF(OR(AND($C354=LataProjekcji,$E354&gt;0),AND($C354=LataProjekcji,$E354=0,$D355&lt;=10)),$E355,IF($C354&lt;LataProjekcji,IF((SUM($K356:L356)+$C356)&lt;$C355,$C356,$C355-SUM($K356:L356)),0)),0)</f>
        <v>0</v>
      </c>
      <c r="N356" s="248">
        <f ca="1">ROUND(IF(OR(AND($C354=LataProjekcji,$E354&gt;0),AND($C354=LataProjekcji,$E354=0,$D355&lt;=10)),$E355,IF($C354&lt;LataProjekcji,IF((SUM($K356:M356)+$C356)&lt;$C355,$C356,$C355-SUM($K356:M356)),0)),0)</f>
        <v>0</v>
      </c>
      <c r="O356" s="248">
        <f ca="1">ROUND(IF(OR(AND($C354=LataProjekcji,$E354&gt;0),AND($C354=LataProjekcji,$E354=0,$D355&lt;=10)),$E355,IF($C354&lt;LataProjekcji,IF((SUM($K356:N356)+$C356)&lt;$C355,$C356,$C355-SUM($K356:N356)),0)),0)</f>
        <v>0</v>
      </c>
      <c r="P356" s="248">
        <f ca="1">ROUND(IF(OR(AND($C354=LataProjekcji,$E354&gt;0),AND($C354=LataProjekcji,$E354=0,$D355&lt;=10)),$E355,IF($C354&lt;LataProjekcji,IF((SUM($K356:O356)+$C356)&lt;$C355,$C356,$C355-SUM($K356:O356)),0)),0)</f>
        <v>0</v>
      </c>
      <c r="Q356" s="248">
        <f ca="1">ROUND(IF(OR(AND($C354=LataProjekcji,$E354&gt;0),AND($C354=LataProjekcji,$E354=0,$D355&lt;=10)),$E355,IF($C354&lt;LataProjekcji,IF((SUM($K356:P356)+$C356)&lt;$C355,$C356,$C355-SUM($K356:P356)),0)),0)</f>
        <v>0</v>
      </c>
      <c r="R356" s="248">
        <f ca="1">ROUND(IF(OR(AND($C354=LataProjekcji,$E354&gt;0),AND($C354=LataProjekcji,$E354=0,$D355&lt;=10)),$E355,IF($C354&lt;LataProjekcji,IF((SUM($K356:Q356)+$C356)&lt;$C355,$C356,$C355-SUM($K356:Q356)),0)),0)</f>
        <v>0</v>
      </c>
      <c r="S356" s="248">
        <f ca="1">ROUND(IF(OR(AND($C354=LataProjekcji,$E354&gt;0),AND($C354=LataProjekcji,$E354=0,$D355&lt;=10)),$E355,IF($C354&lt;LataProjekcji,IF((SUM($K356:R356)+$C356)&lt;$C355,$C356,$C355-SUM($K356:R356)),0)),0)</f>
        <v>0</v>
      </c>
      <c r="T356" s="248">
        <f ca="1">ROUND(IF(OR(AND($C354=LataProjekcji,$E354&gt;0),AND($C354=LataProjekcji,$E354=0,$D355&lt;=10)),$E355,IF($C354&lt;LataProjekcji,IF((SUM($K356:S356)+$C356)&lt;$C355,$C356,$C355-SUM($K356:S356)),0)),0)</f>
        <v>0</v>
      </c>
      <c r="U356" s="248">
        <f ca="1">ROUND(IF(OR(AND($C354=LataProjekcji,$E354&gt;0),AND($C354=LataProjekcji,$E354=0,$D355&lt;=10)),$E355,IF($C354&lt;LataProjekcji,IF((SUM($K356:T356)+$C356)&lt;$C355,$C356,$C355-SUM($K356:T356)),0)),0)</f>
        <v>0</v>
      </c>
      <c r="V356" s="248">
        <f ca="1">ROUND(IF(OR(AND($C354=LataProjekcji,$E354&gt;0),AND($C354=LataProjekcji,$E354=0,$D355&lt;=10)),$E355,IF($C354&lt;LataProjekcji,IF((SUM($K356:U356)+$C356)&lt;$C355,$C356,$C355-SUM($K356:U356)),0)),0)</f>
        <v>0</v>
      </c>
      <c r="W356" s="248">
        <f ca="1">ROUND(IF(OR(AND($C354=LataProjekcji,$E354&gt;0),AND($C354=LataProjekcji,$E354=0,$D355&lt;=10)),$E355,IF($C354&lt;LataProjekcji,IF((SUM($K356:V356)+$C356)&lt;$C355,$C356,$C355-SUM($K356:V356)),0)),0)</f>
        <v>0</v>
      </c>
      <c r="X356" s="248">
        <f ca="1">ROUND(IF(OR(AND($C354=LataProjekcji,$E354&gt;0),AND($C354=LataProjekcji,$E354=0,$D355&lt;=10)),$E355,IF($C354&lt;LataProjekcji,IF((SUM($K356:W356)+$C356)&lt;$C355,$C356,$C355-SUM($K356:W356)),0)),0)</f>
        <v>0</v>
      </c>
    </row>
    <row r="357" spans="1:24" hidden="1">
      <c r="A357" s="259"/>
      <c r="B357" s="21" t="s">
        <v>416</v>
      </c>
      <c r="C357" s="22"/>
      <c r="D357" s="21"/>
      <c r="E357" s="21"/>
      <c r="F357" s="21"/>
      <c r="G357" s="21"/>
      <c r="I357" s="21"/>
      <c r="J357" s="21"/>
      <c r="K357" s="22">
        <f ca="1">ROUND(K356,0)</f>
        <v>0</v>
      </c>
      <c r="L357" s="22">
        <f t="shared" ref="L357" ca="1" si="100">ROUND(K357+L356,0)</f>
        <v>0</v>
      </c>
      <c r="M357" s="22">
        <f t="shared" ref="M357" ca="1" si="101">ROUND(L357+M356,0)</f>
        <v>0</v>
      </c>
      <c r="N357" s="22">
        <f t="shared" ref="N357" ca="1" si="102">ROUND(M357+N356,0)</f>
        <v>0</v>
      </c>
      <c r="O357" s="22">
        <f t="shared" ref="O357" ca="1" si="103">ROUND(N357+O356,0)</f>
        <v>0</v>
      </c>
      <c r="P357" s="22">
        <f t="shared" ref="P357" ca="1" si="104">ROUND(O357+P356,0)</f>
        <v>0</v>
      </c>
      <c r="Q357" s="22">
        <f t="shared" ref="Q357" ca="1" si="105">ROUND(P357+Q356,0)</f>
        <v>0</v>
      </c>
      <c r="R357" s="22">
        <f t="shared" ref="R357" ca="1" si="106">ROUND(Q357+R356,0)</f>
        <v>0</v>
      </c>
      <c r="S357" s="22">
        <f t="shared" ref="S357" ca="1" si="107">ROUND(R357+S356,0)</f>
        <v>0</v>
      </c>
      <c r="T357" s="22">
        <f t="shared" ref="T357" ca="1" si="108">ROUND(S357+T356,0)</f>
        <v>0</v>
      </c>
      <c r="U357" s="22">
        <f t="shared" ref="U357" ca="1" si="109">ROUND(T357+U356,0)</f>
        <v>0</v>
      </c>
      <c r="V357" s="22">
        <f t="shared" ref="V357" ca="1" si="110">ROUND(U357+V356,0)</f>
        <v>0</v>
      </c>
      <c r="W357" s="22">
        <f t="shared" ref="W357" ca="1" si="111">ROUND(V357+W356,0)</f>
        <v>0</v>
      </c>
      <c r="X357" s="22">
        <f t="shared" ref="X357" ca="1" si="112">ROUND(W357+X356,0)</f>
        <v>0</v>
      </c>
    </row>
    <row r="358" spans="1:24" hidden="1">
      <c r="A358" s="259"/>
      <c r="B358" s="21" t="s">
        <v>406</v>
      </c>
      <c r="C358" s="22"/>
      <c r="D358" s="21"/>
      <c r="E358" s="21"/>
      <c r="F358" s="21"/>
      <c r="G358" s="21"/>
      <c r="I358" s="21"/>
      <c r="J358" s="21"/>
      <c r="K358" s="78">
        <f t="shared" ref="K358:X358" ca="1" si="113">IF($C354=K$25,$C355,ROUND(IF(K356=0,0,$C355-K357),0))</f>
        <v>0</v>
      </c>
      <c r="L358" s="78">
        <f t="shared" ca="1" si="113"/>
        <v>0</v>
      </c>
      <c r="M358" s="78">
        <f t="shared" ca="1" si="113"/>
        <v>0</v>
      </c>
      <c r="N358" s="78">
        <f t="shared" ca="1" si="113"/>
        <v>0</v>
      </c>
      <c r="O358" s="78">
        <f t="shared" ca="1" si="113"/>
        <v>0</v>
      </c>
      <c r="P358" s="78">
        <f t="shared" ca="1" si="113"/>
        <v>0</v>
      </c>
      <c r="Q358" s="78">
        <f t="shared" ca="1" si="113"/>
        <v>0</v>
      </c>
      <c r="R358" s="78">
        <f t="shared" ca="1" si="113"/>
        <v>0</v>
      </c>
      <c r="S358" s="78">
        <f t="shared" ca="1" si="113"/>
        <v>0</v>
      </c>
      <c r="T358" s="78">
        <f t="shared" ca="1" si="113"/>
        <v>0</v>
      </c>
      <c r="U358" s="78">
        <f t="shared" ca="1" si="113"/>
        <v>0</v>
      </c>
      <c r="V358" s="78">
        <f t="shared" ca="1" si="113"/>
        <v>0</v>
      </c>
      <c r="W358" s="78">
        <f t="shared" ca="1" si="113"/>
        <v>0</v>
      </c>
      <c r="X358" s="78">
        <f t="shared" ca="1" si="113"/>
        <v>0</v>
      </c>
    </row>
    <row r="359" spans="1:24" hidden="1">
      <c r="A359" s="259"/>
      <c r="B359" s="21"/>
      <c r="C359" s="22"/>
      <c r="D359" s="21"/>
      <c r="E359" s="21"/>
      <c r="F359" s="21"/>
      <c r="G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idden="1">
      <c r="A360" s="259"/>
      <c r="B360" s="20" t="s">
        <v>454</v>
      </c>
      <c r="C360" s="21">
        <f>C353+1</f>
        <v>7</v>
      </c>
      <c r="D360" s="21" t="str">
        <f ca="1">OFFSET($B$28,C360,0)</f>
        <v/>
      </c>
      <c r="E360" s="483">
        <f>E353+1</f>
        <v>7</v>
      </c>
      <c r="F360" s="21"/>
      <c r="G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idden="1">
      <c r="A361" s="259"/>
      <c r="B361" s="21" t="s">
        <v>414</v>
      </c>
      <c r="C361" s="165">
        <f ca="1">IFERROR(YEAR(OFFSET($D$28,C360,0)),0)</f>
        <v>0</v>
      </c>
      <c r="D361" s="21"/>
      <c r="E361" s="21"/>
      <c r="F361" s="21"/>
      <c r="G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 spans="1:24" hidden="1">
      <c r="A362" s="259"/>
      <c r="B362" s="21" t="s">
        <v>406</v>
      </c>
      <c r="C362" s="22">
        <f ca="1">OFFSET($F$28,C360,0)</f>
        <v>0</v>
      </c>
      <c r="D362" s="21"/>
      <c r="E362" s="21"/>
      <c r="F362" s="21"/>
      <c r="G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</row>
    <row r="363" spans="1:24" hidden="1">
      <c r="A363" s="259"/>
      <c r="B363" s="21" t="s">
        <v>415</v>
      </c>
      <c r="C363" s="22">
        <f ca="1">ROUND(C362*am_prace_rozwojowe,0)</f>
        <v>0</v>
      </c>
      <c r="D363" s="21"/>
      <c r="E363" s="21"/>
      <c r="F363" s="21"/>
      <c r="G363" s="21"/>
      <c r="I363" s="21"/>
      <c r="J363" s="483" cm="1">
        <f t="array" aca="1" ref="J363" ca="1">OFFSET('Środki trwałe'!$C$195,'Rozliczenie dotacji'!E360,,)</f>
        <v>0</v>
      </c>
      <c r="K363" s="76">
        <f ca="1">IFERROR(ROUND(IF(($C361+1)=K$25,$C363,0),0),0)</f>
        <v>0</v>
      </c>
      <c r="L363" s="248">
        <f ca="1">ROUND(IF(OR(AND($C361=LataProjekcji,$E361&gt;0),AND($C361=LataProjekcji,$E361=0,$D362&lt;=10)),$E362,IF($C361&lt;LataProjekcji,IF((SUM($K363:K363)+$C363)&lt;$C362,$C363,$C362-SUM($K363:K363)),0)),0)</f>
        <v>0</v>
      </c>
      <c r="M363" s="248">
        <f ca="1">ROUND(IF(OR(AND($C361=LataProjekcji,$E361&gt;0),AND($C361=LataProjekcji,$E361=0,$D362&lt;=10)),$E362,IF($C361&lt;LataProjekcji,IF((SUM($K363:L363)+$C363)&lt;$C362,$C363,$C362-SUM($K363:L363)),0)),0)</f>
        <v>0</v>
      </c>
      <c r="N363" s="248">
        <f ca="1">ROUND(IF(OR(AND($C361=LataProjekcji,$E361&gt;0),AND($C361=LataProjekcji,$E361=0,$D362&lt;=10)),$E362,IF($C361&lt;LataProjekcji,IF((SUM($K363:M363)+$C363)&lt;$C362,$C363,$C362-SUM($K363:M363)),0)),0)</f>
        <v>0</v>
      </c>
      <c r="O363" s="248">
        <f ca="1">ROUND(IF(OR(AND($C361=LataProjekcji,$E361&gt;0),AND($C361=LataProjekcji,$E361=0,$D362&lt;=10)),$E362,IF($C361&lt;LataProjekcji,IF((SUM($K363:N363)+$C363)&lt;$C362,$C363,$C362-SUM($K363:N363)),0)),0)</f>
        <v>0</v>
      </c>
      <c r="P363" s="248">
        <f ca="1">ROUND(IF(OR(AND($C361=LataProjekcji,$E361&gt;0),AND($C361=LataProjekcji,$E361=0,$D362&lt;=10)),$E362,IF($C361&lt;LataProjekcji,IF((SUM($K363:O363)+$C363)&lt;$C362,$C363,$C362-SUM($K363:O363)),0)),0)</f>
        <v>0</v>
      </c>
      <c r="Q363" s="248">
        <f ca="1">ROUND(IF(OR(AND($C361=LataProjekcji,$E361&gt;0),AND($C361=LataProjekcji,$E361=0,$D362&lt;=10)),$E362,IF($C361&lt;LataProjekcji,IF((SUM($K363:P363)+$C363)&lt;$C362,$C363,$C362-SUM($K363:P363)),0)),0)</f>
        <v>0</v>
      </c>
      <c r="R363" s="248">
        <f ca="1">ROUND(IF(OR(AND($C361=LataProjekcji,$E361&gt;0),AND($C361=LataProjekcji,$E361=0,$D362&lt;=10)),$E362,IF($C361&lt;LataProjekcji,IF((SUM($K363:Q363)+$C363)&lt;$C362,$C363,$C362-SUM($K363:Q363)),0)),0)</f>
        <v>0</v>
      </c>
      <c r="S363" s="248">
        <f ca="1">ROUND(IF(OR(AND($C361=LataProjekcji,$E361&gt;0),AND($C361=LataProjekcji,$E361=0,$D362&lt;=10)),$E362,IF($C361&lt;LataProjekcji,IF((SUM($K363:R363)+$C363)&lt;$C362,$C363,$C362-SUM($K363:R363)),0)),0)</f>
        <v>0</v>
      </c>
      <c r="T363" s="248">
        <f ca="1">ROUND(IF(OR(AND($C361=LataProjekcji,$E361&gt;0),AND($C361=LataProjekcji,$E361=0,$D362&lt;=10)),$E362,IF($C361&lt;LataProjekcji,IF((SUM($K363:S363)+$C363)&lt;$C362,$C363,$C362-SUM($K363:S363)),0)),0)</f>
        <v>0</v>
      </c>
      <c r="U363" s="248">
        <f ca="1">ROUND(IF(OR(AND($C361=LataProjekcji,$E361&gt;0),AND($C361=LataProjekcji,$E361=0,$D362&lt;=10)),$E362,IF($C361&lt;LataProjekcji,IF((SUM($K363:T363)+$C363)&lt;$C362,$C363,$C362-SUM($K363:T363)),0)),0)</f>
        <v>0</v>
      </c>
      <c r="V363" s="248">
        <f ca="1">ROUND(IF(OR(AND($C361=LataProjekcji,$E361&gt;0),AND($C361=LataProjekcji,$E361=0,$D362&lt;=10)),$E362,IF($C361&lt;LataProjekcji,IF((SUM($K363:U363)+$C363)&lt;$C362,$C363,$C362-SUM($K363:U363)),0)),0)</f>
        <v>0</v>
      </c>
      <c r="W363" s="248">
        <f ca="1">ROUND(IF(OR(AND($C361=LataProjekcji,$E361&gt;0),AND($C361=LataProjekcji,$E361=0,$D362&lt;=10)),$E362,IF($C361&lt;LataProjekcji,IF((SUM($K363:V363)+$C363)&lt;$C362,$C363,$C362-SUM($K363:V363)),0)),0)</f>
        <v>0</v>
      </c>
      <c r="X363" s="248">
        <f ca="1">ROUND(IF(OR(AND($C361=LataProjekcji,$E361&gt;0),AND($C361=LataProjekcji,$E361=0,$D362&lt;=10)),$E362,IF($C361&lt;LataProjekcji,IF((SUM($K363:W363)+$C363)&lt;$C362,$C363,$C362-SUM($K363:W363)),0)),0)</f>
        <v>0</v>
      </c>
    </row>
    <row r="364" spans="1:24" hidden="1">
      <c r="A364" s="259"/>
      <c r="B364" s="21" t="s">
        <v>416</v>
      </c>
      <c r="C364" s="22"/>
      <c r="D364" s="21"/>
      <c r="E364" s="21"/>
      <c r="F364" s="21"/>
      <c r="G364" s="21"/>
      <c r="I364" s="21"/>
      <c r="J364" s="21"/>
      <c r="K364" s="22">
        <f ca="1">ROUND(K363,0)</f>
        <v>0</v>
      </c>
      <c r="L364" s="22">
        <f t="shared" ref="L364" ca="1" si="114">ROUND(K364+L363,0)</f>
        <v>0</v>
      </c>
      <c r="M364" s="22">
        <f t="shared" ref="M364" ca="1" si="115">ROUND(L364+M363,0)</f>
        <v>0</v>
      </c>
      <c r="N364" s="22">
        <f t="shared" ref="N364" ca="1" si="116">ROUND(M364+N363,0)</f>
        <v>0</v>
      </c>
      <c r="O364" s="22">
        <f t="shared" ref="O364" ca="1" si="117">ROUND(N364+O363,0)</f>
        <v>0</v>
      </c>
      <c r="P364" s="22">
        <f t="shared" ref="P364" ca="1" si="118">ROUND(O364+P363,0)</f>
        <v>0</v>
      </c>
      <c r="Q364" s="22">
        <f t="shared" ref="Q364" ca="1" si="119">ROUND(P364+Q363,0)</f>
        <v>0</v>
      </c>
      <c r="R364" s="22">
        <f t="shared" ref="R364" ca="1" si="120">ROUND(Q364+R363,0)</f>
        <v>0</v>
      </c>
      <c r="S364" s="22">
        <f t="shared" ref="S364" ca="1" si="121">ROUND(R364+S363,0)</f>
        <v>0</v>
      </c>
      <c r="T364" s="22">
        <f t="shared" ref="T364" ca="1" si="122">ROUND(S364+T363,0)</f>
        <v>0</v>
      </c>
      <c r="U364" s="22">
        <f t="shared" ref="U364" ca="1" si="123">ROUND(T364+U363,0)</f>
        <v>0</v>
      </c>
      <c r="V364" s="22">
        <f t="shared" ref="V364" ca="1" si="124">ROUND(U364+V363,0)</f>
        <v>0</v>
      </c>
      <c r="W364" s="22">
        <f t="shared" ref="W364" ca="1" si="125">ROUND(V364+W363,0)</f>
        <v>0</v>
      </c>
      <c r="X364" s="22">
        <f t="shared" ref="X364" ca="1" si="126">ROUND(W364+X363,0)</f>
        <v>0</v>
      </c>
    </row>
    <row r="365" spans="1:24" hidden="1">
      <c r="A365" s="259"/>
      <c r="B365" s="21" t="s">
        <v>406</v>
      </c>
      <c r="C365" s="22"/>
      <c r="D365" s="21"/>
      <c r="E365" s="21"/>
      <c r="F365" s="21"/>
      <c r="G365" s="21"/>
      <c r="I365" s="21"/>
      <c r="J365" s="21"/>
      <c r="K365" s="78">
        <f t="shared" ref="K365:X365" ca="1" si="127">IF($C361=K$25,$C362,ROUND(IF(K363=0,0,$C362-K364),0))</f>
        <v>0</v>
      </c>
      <c r="L365" s="78">
        <f t="shared" ca="1" si="127"/>
        <v>0</v>
      </c>
      <c r="M365" s="78">
        <f t="shared" ca="1" si="127"/>
        <v>0</v>
      </c>
      <c r="N365" s="78">
        <f t="shared" ca="1" si="127"/>
        <v>0</v>
      </c>
      <c r="O365" s="78">
        <f t="shared" ca="1" si="127"/>
        <v>0</v>
      </c>
      <c r="P365" s="78">
        <f t="shared" ca="1" si="127"/>
        <v>0</v>
      </c>
      <c r="Q365" s="78">
        <f t="shared" ca="1" si="127"/>
        <v>0</v>
      </c>
      <c r="R365" s="78">
        <f t="shared" ca="1" si="127"/>
        <v>0</v>
      </c>
      <c r="S365" s="78">
        <f t="shared" ca="1" si="127"/>
        <v>0</v>
      </c>
      <c r="T365" s="78">
        <f t="shared" ca="1" si="127"/>
        <v>0</v>
      </c>
      <c r="U365" s="78">
        <f t="shared" ca="1" si="127"/>
        <v>0</v>
      </c>
      <c r="V365" s="78">
        <f t="shared" ca="1" si="127"/>
        <v>0</v>
      </c>
      <c r="W365" s="78">
        <f t="shared" ca="1" si="127"/>
        <v>0</v>
      </c>
      <c r="X365" s="78">
        <f t="shared" ca="1" si="127"/>
        <v>0</v>
      </c>
    </row>
    <row r="366" spans="1:24" hidden="1">
      <c r="A366" s="259"/>
      <c r="B366" s="20"/>
      <c r="C366" s="21"/>
      <c r="D366" s="21"/>
      <c r="E366" s="21"/>
      <c r="F366" s="21"/>
      <c r="G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idden="1">
      <c r="A367" s="259"/>
      <c r="B367" s="20" t="s">
        <v>454</v>
      </c>
      <c r="C367" s="21">
        <f>C360+1</f>
        <v>8</v>
      </c>
      <c r="D367" s="21" t="str">
        <f ca="1">OFFSET($B$28,C367,0)</f>
        <v/>
      </c>
      <c r="E367" s="483">
        <f>E360+1</f>
        <v>8</v>
      </c>
      <c r="F367" s="21"/>
      <c r="G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idden="1">
      <c r="A368" s="259"/>
      <c r="B368" s="21" t="s">
        <v>414</v>
      </c>
      <c r="C368" s="165">
        <f ca="1">IFERROR(YEAR(OFFSET($D$28,C367,0)),0)</f>
        <v>0</v>
      </c>
      <c r="D368" s="21"/>
      <c r="E368" s="21"/>
      <c r="F368" s="21"/>
      <c r="G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idden="1">
      <c r="A369" s="259"/>
      <c r="B369" s="21" t="s">
        <v>406</v>
      </c>
      <c r="C369" s="22">
        <f ca="1">OFFSET($F$28,C367,0)</f>
        <v>0</v>
      </c>
      <c r="D369" s="21"/>
      <c r="E369" s="21"/>
      <c r="F369" s="21"/>
      <c r="G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</row>
    <row r="370" spans="1:24" hidden="1">
      <c r="A370" s="259"/>
      <c r="B370" s="21" t="s">
        <v>415</v>
      </c>
      <c r="C370" s="22">
        <f ca="1">ROUND(C369*am_prace_rozwojowe,0)</f>
        <v>0</v>
      </c>
      <c r="D370" s="21"/>
      <c r="E370" s="21"/>
      <c r="F370" s="21"/>
      <c r="G370" s="21"/>
      <c r="I370" s="21"/>
      <c r="J370" s="483" cm="1">
        <f t="array" aca="1" ref="J370" ca="1">OFFSET('Środki trwałe'!$C$195,'Rozliczenie dotacji'!E367,,)</f>
        <v>0</v>
      </c>
      <c r="K370" s="76">
        <f ca="1">IFERROR(ROUND(IF(($C368+1)=K$25,$C370,0),0),0)</f>
        <v>0</v>
      </c>
      <c r="L370" s="248">
        <f ca="1">ROUND(IF(OR(AND($C368=LataProjekcji,$E368&gt;0),AND($C368=LataProjekcji,$E368=0,$D369&lt;=10)),$E369,IF($C368&lt;LataProjekcji,IF((SUM($K370:K370)+$C370)&lt;$C369,$C370,$C369-SUM($K370:K370)),0)),0)</f>
        <v>0</v>
      </c>
      <c r="M370" s="248">
        <f ca="1">ROUND(IF(OR(AND($C368=LataProjekcji,$E368&gt;0),AND($C368=LataProjekcji,$E368=0,$D369&lt;=10)),$E369,IF($C368&lt;LataProjekcji,IF((SUM($K370:L370)+$C370)&lt;$C369,$C370,$C369-SUM($K370:L370)),0)),0)</f>
        <v>0</v>
      </c>
      <c r="N370" s="248">
        <f ca="1">ROUND(IF(OR(AND($C368=LataProjekcji,$E368&gt;0),AND($C368=LataProjekcji,$E368=0,$D369&lt;=10)),$E369,IF($C368&lt;LataProjekcji,IF((SUM($K370:M370)+$C370)&lt;$C369,$C370,$C369-SUM($K370:M370)),0)),0)</f>
        <v>0</v>
      </c>
      <c r="O370" s="248">
        <f ca="1">ROUND(IF(OR(AND($C368=LataProjekcji,$E368&gt;0),AND($C368=LataProjekcji,$E368=0,$D369&lt;=10)),$E369,IF($C368&lt;LataProjekcji,IF((SUM($K370:N370)+$C370)&lt;$C369,$C370,$C369-SUM($K370:N370)),0)),0)</f>
        <v>0</v>
      </c>
      <c r="P370" s="248">
        <f ca="1">ROUND(IF(OR(AND($C368=LataProjekcji,$E368&gt;0),AND($C368=LataProjekcji,$E368=0,$D369&lt;=10)),$E369,IF($C368&lt;LataProjekcji,IF((SUM($K370:O370)+$C370)&lt;$C369,$C370,$C369-SUM($K370:O370)),0)),0)</f>
        <v>0</v>
      </c>
      <c r="Q370" s="248">
        <f ca="1">ROUND(IF(OR(AND($C368=LataProjekcji,$E368&gt;0),AND($C368=LataProjekcji,$E368=0,$D369&lt;=10)),$E369,IF($C368&lt;LataProjekcji,IF((SUM($K370:P370)+$C370)&lt;$C369,$C370,$C369-SUM($K370:P370)),0)),0)</f>
        <v>0</v>
      </c>
      <c r="R370" s="248">
        <f ca="1">ROUND(IF(OR(AND($C368=LataProjekcji,$E368&gt;0),AND($C368=LataProjekcji,$E368=0,$D369&lt;=10)),$E369,IF($C368&lt;LataProjekcji,IF((SUM($K370:Q370)+$C370)&lt;$C369,$C370,$C369-SUM($K370:Q370)),0)),0)</f>
        <v>0</v>
      </c>
      <c r="S370" s="248">
        <f ca="1">ROUND(IF(OR(AND($C368=LataProjekcji,$E368&gt;0),AND($C368=LataProjekcji,$E368=0,$D369&lt;=10)),$E369,IF($C368&lt;LataProjekcji,IF((SUM($K370:R370)+$C370)&lt;$C369,$C370,$C369-SUM($K370:R370)),0)),0)</f>
        <v>0</v>
      </c>
      <c r="T370" s="248">
        <f ca="1">ROUND(IF(OR(AND($C368=LataProjekcji,$E368&gt;0),AND($C368=LataProjekcji,$E368=0,$D369&lt;=10)),$E369,IF($C368&lt;LataProjekcji,IF((SUM($K370:S370)+$C370)&lt;$C369,$C370,$C369-SUM($K370:S370)),0)),0)</f>
        <v>0</v>
      </c>
      <c r="U370" s="248">
        <f ca="1">ROUND(IF(OR(AND($C368=LataProjekcji,$E368&gt;0),AND($C368=LataProjekcji,$E368=0,$D369&lt;=10)),$E369,IF($C368&lt;LataProjekcji,IF((SUM($K370:T370)+$C370)&lt;$C369,$C370,$C369-SUM($K370:T370)),0)),0)</f>
        <v>0</v>
      </c>
      <c r="V370" s="248">
        <f ca="1">ROUND(IF(OR(AND($C368=LataProjekcji,$E368&gt;0),AND($C368=LataProjekcji,$E368=0,$D369&lt;=10)),$E369,IF($C368&lt;LataProjekcji,IF((SUM($K370:U370)+$C370)&lt;$C369,$C370,$C369-SUM($K370:U370)),0)),0)</f>
        <v>0</v>
      </c>
      <c r="W370" s="248">
        <f ca="1">ROUND(IF(OR(AND($C368=LataProjekcji,$E368&gt;0),AND($C368=LataProjekcji,$E368=0,$D369&lt;=10)),$E369,IF($C368&lt;LataProjekcji,IF((SUM($K370:V370)+$C370)&lt;$C369,$C370,$C369-SUM($K370:V370)),0)),0)</f>
        <v>0</v>
      </c>
      <c r="X370" s="248">
        <f ca="1">ROUND(IF(OR(AND($C368=LataProjekcji,$E368&gt;0),AND($C368=LataProjekcji,$E368=0,$D369&lt;=10)),$E369,IF($C368&lt;LataProjekcji,IF((SUM($K370:W370)+$C370)&lt;$C369,$C370,$C369-SUM($K370:W370)),0)),0)</f>
        <v>0</v>
      </c>
    </row>
    <row r="371" spans="1:24" hidden="1">
      <c r="A371" s="259"/>
      <c r="B371" s="21" t="s">
        <v>416</v>
      </c>
      <c r="C371" s="22"/>
      <c r="D371" s="21"/>
      <c r="E371" s="21"/>
      <c r="F371" s="21"/>
      <c r="G371" s="21"/>
      <c r="I371" s="21"/>
      <c r="J371" s="21"/>
      <c r="K371" s="22">
        <f ca="1">ROUND(K370,0)</f>
        <v>0</v>
      </c>
      <c r="L371" s="22">
        <f t="shared" ref="L371" ca="1" si="128">ROUND(K371+L370,0)</f>
        <v>0</v>
      </c>
      <c r="M371" s="22">
        <f t="shared" ref="M371" ca="1" si="129">ROUND(L371+M370,0)</f>
        <v>0</v>
      </c>
      <c r="N371" s="22">
        <f t="shared" ref="N371" ca="1" si="130">ROUND(M371+N370,0)</f>
        <v>0</v>
      </c>
      <c r="O371" s="22">
        <f t="shared" ref="O371" ca="1" si="131">ROUND(N371+O370,0)</f>
        <v>0</v>
      </c>
      <c r="P371" s="22">
        <f t="shared" ref="P371" ca="1" si="132">ROUND(O371+P370,0)</f>
        <v>0</v>
      </c>
      <c r="Q371" s="22">
        <f t="shared" ref="Q371" ca="1" si="133">ROUND(P371+Q370,0)</f>
        <v>0</v>
      </c>
      <c r="R371" s="22">
        <f t="shared" ref="R371" ca="1" si="134">ROUND(Q371+R370,0)</f>
        <v>0</v>
      </c>
      <c r="S371" s="22">
        <f t="shared" ref="S371" ca="1" si="135">ROUND(R371+S370,0)</f>
        <v>0</v>
      </c>
      <c r="T371" s="22">
        <f t="shared" ref="T371" ca="1" si="136">ROUND(S371+T370,0)</f>
        <v>0</v>
      </c>
      <c r="U371" s="22">
        <f t="shared" ref="U371" ca="1" si="137">ROUND(T371+U370,0)</f>
        <v>0</v>
      </c>
      <c r="V371" s="22">
        <f t="shared" ref="V371" ca="1" si="138">ROUND(U371+V370,0)</f>
        <v>0</v>
      </c>
      <c r="W371" s="22">
        <f t="shared" ref="W371" ca="1" si="139">ROUND(V371+W370,0)</f>
        <v>0</v>
      </c>
      <c r="X371" s="22">
        <f t="shared" ref="X371" ca="1" si="140">ROUND(W371+X370,0)</f>
        <v>0</v>
      </c>
    </row>
    <row r="372" spans="1:24" hidden="1">
      <c r="A372" s="259"/>
      <c r="B372" s="21" t="s">
        <v>406</v>
      </c>
      <c r="C372" s="22"/>
      <c r="D372" s="21"/>
      <c r="E372" s="21"/>
      <c r="F372" s="21"/>
      <c r="G372" s="21"/>
      <c r="I372" s="21"/>
      <c r="J372" s="21"/>
      <c r="K372" s="78">
        <f t="shared" ref="K372:X372" ca="1" si="141">IF($C368=K$25,$C369,ROUND(IF(K370=0,0,$C369-K371),0))</f>
        <v>0</v>
      </c>
      <c r="L372" s="78">
        <f t="shared" ca="1" si="141"/>
        <v>0</v>
      </c>
      <c r="M372" s="78">
        <f t="shared" ca="1" si="141"/>
        <v>0</v>
      </c>
      <c r="N372" s="78">
        <f t="shared" ca="1" si="141"/>
        <v>0</v>
      </c>
      <c r="O372" s="78">
        <f t="shared" ca="1" si="141"/>
        <v>0</v>
      </c>
      <c r="P372" s="78">
        <f t="shared" ca="1" si="141"/>
        <v>0</v>
      </c>
      <c r="Q372" s="78">
        <f t="shared" ca="1" si="141"/>
        <v>0</v>
      </c>
      <c r="R372" s="78">
        <f t="shared" ca="1" si="141"/>
        <v>0</v>
      </c>
      <c r="S372" s="78">
        <f t="shared" ca="1" si="141"/>
        <v>0</v>
      </c>
      <c r="T372" s="78">
        <f t="shared" ca="1" si="141"/>
        <v>0</v>
      </c>
      <c r="U372" s="78">
        <f t="shared" ca="1" si="141"/>
        <v>0</v>
      </c>
      <c r="V372" s="78">
        <f t="shared" ca="1" si="141"/>
        <v>0</v>
      </c>
      <c r="W372" s="78">
        <f t="shared" ca="1" si="141"/>
        <v>0</v>
      </c>
      <c r="X372" s="78">
        <f t="shared" ca="1" si="141"/>
        <v>0</v>
      </c>
    </row>
    <row r="373" spans="1:24" hidden="1">
      <c r="A373" s="259"/>
      <c r="B373" s="21"/>
      <c r="C373" s="22"/>
      <c r="D373" s="21"/>
      <c r="E373" s="21"/>
      <c r="F373" s="21"/>
      <c r="G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</row>
    <row r="374" spans="1:24" hidden="1">
      <c r="A374" s="259"/>
      <c r="B374" s="20" t="s">
        <v>454</v>
      </c>
      <c r="C374" s="21">
        <f>C367+1</f>
        <v>9</v>
      </c>
      <c r="D374" s="21" t="str">
        <f ca="1">OFFSET($B$28,C374,0)</f>
        <v/>
      </c>
      <c r="E374" s="483">
        <f>E367+1</f>
        <v>9</v>
      </c>
      <c r="F374" s="21"/>
      <c r="G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idden="1">
      <c r="A375" s="259"/>
      <c r="B375" s="21" t="s">
        <v>414</v>
      </c>
      <c r="C375" s="165">
        <f ca="1">IFERROR(YEAR(OFFSET($D$28,C374,0)),0)</f>
        <v>0</v>
      </c>
      <c r="D375" s="21"/>
      <c r="E375" s="21"/>
      <c r="F375" s="21"/>
      <c r="G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idden="1">
      <c r="A376" s="259"/>
      <c r="B376" s="21" t="s">
        <v>406</v>
      </c>
      <c r="C376" s="22">
        <f ca="1">OFFSET($F$28,C374,0)</f>
        <v>0</v>
      </c>
      <c r="D376" s="21"/>
      <c r="E376" s="21"/>
      <c r="F376" s="21"/>
      <c r="G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</row>
    <row r="377" spans="1:24" hidden="1">
      <c r="A377" s="259"/>
      <c r="B377" s="21" t="s">
        <v>415</v>
      </c>
      <c r="C377" s="22">
        <f ca="1">ROUND(C376*am_prace_rozwojowe,0)</f>
        <v>0</v>
      </c>
      <c r="D377" s="21"/>
      <c r="E377" s="21"/>
      <c r="F377" s="21"/>
      <c r="G377" s="21"/>
      <c r="I377" s="21"/>
      <c r="J377" s="483" cm="1">
        <f t="array" aca="1" ref="J377" ca="1">OFFSET('Środki trwałe'!$C$195,'Rozliczenie dotacji'!E374,,)</f>
        <v>0</v>
      </c>
      <c r="K377" s="76">
        <f ca="1">IFERROR(ROUND(IF(($C375+1)=K$25,$C377,0),0),0)</f>
        <v>0</v>
      </c>
      <c r="L377" s="248">
        <f ca="1">ROUND(IF(OR(AND($C375=LataProjekcji,$E375&gt;0),AND($C375=LataProjekcji,$E375=0,$D376&lt;=10)),$E376,IF($C375&lt;LataProjekcji,IF((SUM($K377:K377)+$C377)&lt;$C376,$C377,$C376-SUM($K377:K377)),0)),0)</f>
        <v>0</v>
      </c>
      <c r="M377" s="248">
        <f ca="1">ROUND(IF(OR(AND($C375=LataProjekcji,$E375&gt;0),AND($C375=LataProjekcji,$E375=0,$D376&lt;=10)),$E376,IF($C375&lt;LataProjekcji,IF((SUM($K377:L377)+$C377)&lt;$C376,$C377,$C376-SUM($K377:L377)),0)),0)</f>
        <v>0</v>
      </c>
      <c r="N377" s="248">
        <f ca="1">ROUND(IF(OR(AND($C375=LataProjekcji,$E375&gt;0),AND($C375=LataProjekcji,$E375=0,$D376&lt;=10)),$E376,IF($C375&lt;LataProjekcji,IF((SUM($K377:M377)+$C377)&lt;$C376,$C377,$C376-SUM($K377:M377)),0)),0)</f>
        <v>0</v>
      </c>
      <c r="O377" s="248">
        <f ca="1">ROUND(IF(OR(AND($C375=LataProjekcji,$E375&gt;0),AND($C375=LataProjekcji,$E375=0,$D376&lt;=10)),$E376,IF($C375&lt;LataProjekcji,IF((SUM($K377:N377)+$C377)&lt;$C376,$C377,$C376-SUM($K377:N377)),0)),0)</f>
        <v>0</v>
      </c>
      <c r="P377" s="248">
        <f ca="1">ROUND(IF(OR(AND($C375=LataProjekcji,$E375&gt;0),AND($C375=LataProjekcji,$E375=0,$D376&lt;=10)),$E376,IF($C375&lt;LataProjekcji,IF((SUM($K377:O377)+$C377)&lt;$C376,$C377,$C376-SUM($K377:O377)),0)),0)</f>
        <v>0</v>
      </c>
      <c r="Q377" s="248">
        <f ca="1">ROUND(IF(OR(AND($C375=LataProjekcji,$E375&gt;0),AND($C375=LataProjekcji,$E375=0,$D376&lt;=10)),$E376,IF($C375&lt;LataProjekcji,IF((SUM($K377:P377)+$C377)&lt;$C376,$C377,$C376-SUM($K377:P377)),0)),0)</f>
        <v>0</v>
      </c>
      <c r="R377" s="248">
        <f ca="1">ROUND(IF(OR(AND($C375=LataProjekcji,$E375&gt;0),AND($C375=LataProjekcji,$E375=0,$D376&lt;=10)),$E376,IF($C375&lt;LataProjekcji,IF((SUM($K377:Q377)+$C377)&lt;$C376,$C377,$C376-SUM($K377:Q377)),0)),0)</f>
        <v>0</v>
      </c>
      <c r="S377" s="248">
        <f ca="1">ROUND(IF(OR(AND($C375=LataProjekcji,$E375&gt;0),AND($C375=LataProjekcji,$E375=0,$D376&lt;=10)),$E376,IF($C375&lt;LataProjekcji,IF((SUM($K377:R377)+$C377)&lt;$C376,$C377,$C376-SUM($K377:R377)),0)),0)</f>
        <v>0</v>
      </c>
      <c r="T377" s="248">
        <f ca="1">ROUND(IF(OR(AND($C375=LataProjekcji,$E375&gt;0),AND($C375=LataProjekcji,$E375=0,$D376&lt;=10)),$E376,IF($C375&lt;LataProjekcji,IF((SUM($K377:S377)+$C377)&lt;$C376,$C377,$C376-SUM($K377:S377)),0)),0)</f>
        <v>0</v>
      </c>
      <c r="U377" s="248">
        <f ca="1">ROUND(IF(OR(AND($C375=LataProjekcji,$E375&gt;0),AND($C375=LataProjekcji,$E375=0,$D376&lt;=10)),$E376,IF($C375&lt;LataProjekcji,IF((SUM($K377:T377)+$C377)&lt;$C376,$C377,$C376-SUM($K377:T377)),0)),0)</f>
        <v>0</v>
      </c>
      <c r="V377" s="248">
        <f ca="1">ROUND(IF(OR(AND($C375=LataProjekcji,$E375&gt;0),AND($C375=LataProjekcji,$E375=0,$D376&lt;=10)),$E376,IF($C375&lt;LataProjekcji,IF((SUM($K377:U377)+$C377)&lt;$C376,$C377,$C376-SUM($K377:U377)),0)),0)</f>
        <v>0</v>
      </c>
      <c r="W377" s="248">
        <f ca="1">ROUND(IF(OR(AND($C375=LataProjekcji,$E375&gt;0),AND($C375=LataProjekcji,$E375=0,$D376&lt;=10)),$E376,IF($C375&lt;LataProjekcji,IF((SUM($K377:V377)+$C377)&lt;$C376,$C377,$C376-SUM($K377:V377)),0)),0)</f>
        <v>0</v>
      </c>
      <c r="X377" s="248">
        <f ca="1">ROUND(IF(OR(AND($C375=LataProjekcji,$E375&gt;0),AND($C375=LataProjekcji,$E375=0,$D376&lt;=10)),$E376,IF($C375&lt;LataProjekcji,IF((SUM($K377:W377)+$C377)&lt;$C376,$C377,$C376-SUM($K377:W377)),0)),0)</f>
        <v>0</v>
      </c>
    </row>
    <row r="378" spans="1:24" hidden="1">
      <c r="A378" s="259"/>
      <c r="B378" s="21" t="s">
        <v>416</v>
      </c>
      <c r="C378" s="22"/>
      <c r="D378" s="21"/>
      <c r="E378" s="21"/>
      <c r="F378" s="21"/>
      <c r="G378" s="21"/>
      <c r="I378" s="21"/>
      <c r="J378" s="21"/>
      <c r="K378" s="22">
        <f ca="1">ROUND(K377,0)</f>
        <v>0</v>
      </c>
      <c r="L378" s="22">
        <f t="shared" ref="L378" ca="1" si="142">ROUND(K378+L377,0)</f>
        <v>0</v>
      </c>
      <c r="M378" s="22">
        <f t="shared" ref="M378" ca="1" si="143">ROUND(L378+M377,0)</f>
        <v>0</v>
      </c>
      <c r="N378" s="22">
        <f t="shared" ref="N378" ca="1" si="144">ROUND(M378+N377,0)</f>
        <v>0</v>
      </c>
      <c r="O378" s="22">
        <f t="shared" ref="O378" ca="1" si="145">ROUND(N378+O377,0)</f>
        <v>0</v>
      </c>
      <c r="P378" s="22">
        <f t="shared" ref="P378" ca="1" si="146">ROUND(O378+P377,0)</f>
        <v>0</v>
      </c>
      <c r="Q378" s="22">
        <f t="shared" ref="Q378" ca="1" si="147">ROUND(P378+Q377,0)</f>
        <v>0</v>
      </c>
      <c r="R378" s="22">
        <f t="shared" ref="R378" ca="1" si="148">ROUND(Q378+R377,0)</f>
        <v>0</v>
      </c>
      <c r="S378" s="22">
        <f t="shared" ref="S378" ca="1" si="149">ROUND(R378+S377,0)</f>
        <v>0</v>
      </c>
      <c r="T378" s="22">
        <f t="shared" ref="T378" ca="1" si="150">ROUND(S378+T377,0)</f>
        <v>0</v>
      </c>
      <c r="U378" s="22">
        <f t="shared" ref="U378" ca="1" si="151">ROUND(T378+U377,0)</f>
        <v>0</v>
      </c>
      <c r="V378" s="22">
        <f t="shared" ref="V378" ca="1" si="152">ROUND(U378+V377,0)</f>
        <v>0</v>
      </c>
      <c r="W378" s="22">
        <f t="shared" ref="W378" ca="1" si="153">ROUND(V378+W377,0)</f>
        <v>0</v>
      </c>
      <c r="X378" s="22">
        <f t="shared" ref="X378" ca="1" si="154">ROUND(W378+X377,0)</f>
        <v>0</v>
      </c>
    </row>
    <row r="379" spans="1:24" hidden="1">
      <c r="A379" s="259"/>
      <c r="B379" s="21" t="s">
        <v>406</v>
      </c>
      <c r="C379" s="22"/>
      <c r="D379" s="21"/>
      <c r="E379" s="21"/>
      <c r="F379" s="21"/>
      <c r="G379" s="21"/>
      <c r="I379" s="21"/>
      <c r="J379" s="21"/>
      <c r="K379" s="78">
        <f t="shared" ref="K379:X379" ca="1" si="155">IF($C375=K$25,$C376,ROUND(IF(K377=0,0,$C376-K378),0))</f>
        <v>0</v>
      </c>
      <c r="L379" s="78">
        <f t="shared" ca="1" si="155"/>
        <v>0</v>
      </c>
      <c r="M379" s="78">
        <f t="shared" ca="1" si="155"/>
        <v>0</v>
      </c>
      <c r="N379" s="78">
        <f t="shared" ca="1" si="155"/>
        <v>0</v>
      </c>
      <c r="O379" s="78">
        <f t="shared" ca="1" si="155"/>
        <v>0</v>
      </c>
      <c r="P379" s="78">
        <f t="shared" ca="1" si="155"/>
        <v>0</v>
      </c>
      <c r="Q379" s="78">
        <f t="shared" ca="1" si="155"/>
        <v>0</v>
      </c>
      <c r="R379" s="78">
        <f t="shared" ca="1" si="155"/>
        <v>0</v>
      </c>
      <c r="S379" s="78">
        <f t="shared" ca="1" si="155"/>
        <v>0</v>
      </c>
      <c r="T379" s="78">
        <f t="shared" ca="1" si="155"/>
        <v>0</v>
      </c>
      <c r="U379" s="78">
        <f t="shared" ca="1" si="155"/>
        <v>0</v>
      </c>
      <c r="V379" s="78">
        <f t="shared" ca="1" si="155"/>
        <v>0</v>
      </c>
      <c r="W379" s="78">
        <f t="shared" ca="1" si="155"/>
        <v>0</v>
      </c>
      <c r="X379" s="78">
        <f t="shared" ca="1" si="155"/>
        <v>0</v>
      </c>
    </row>
    <row r="380" spans="1:24" hidden="1">
      <c r="A380" s="259"/>
      <c r="B380" s="21"/>
      <c r="C380" s="22"/>
      <c r="D380" s="21"/>
      <c r="E380" s="21"/>
      <c r="F380" s="21"/>
      <c r="G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idden="1">
      <c r="A381" s="259"/>
      <c r="B381" s="20" t="s">
        <v>454</v>
      </c>
      <c r="C381" s="21">
        <f>C374+1</f>
        <v>10</v>
      </c>
      <c r="D381" s="21" t="str">
        <f ca="1">OFFSET($B$28,C381,0)</f>
        <v/>
      </c>
      <c r="E381" s="483">
        <f>E374+1</f>
        <v>10</v>
      </c>
      <c r="F381" s="21"/>
      <c r="G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hidden="1">
      <c r="A382" s="259"/>
      <c r="B382" s="21" t="s">
        <v>414</v>
      </c>
      <c r="C382" s="165">
        <f ca="1">IFERROR(YEAR(OFFSET($D$28,C381,0)),0)</f>
        <v>0</v>
      </c>
      <c r="D382" s="21"/>
      <c r="E382" s="21"/>
      <c r="F382" s="21"/>
      <c r="G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</row>
    <row r="383" spans="1:24" hidden="1">
      <c r="A383" s="259"/>
      <c r="B383" s="21" t="s">
        <v>406</v>
      </c>
      <c r="C383" s="22">
        <f ca="1">OFFSET($F$28,C381,0)</f>
        <v>0</v>
      </c>
      <c r="D383" s="21"/>
      <c r="E383" s="21"/>
      <c r="F383" s="21"/>
      <c r="G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</row>
    <row r="384" spans="1:24" hidden="1">
      <c r="A384" s="259"/>
      <c r="B384" s="21" t="s">
        <v>415</v>
      </c>
      <c r="C384" s="22">
        <f ca="1">ROUND(C383*am_prace_rozwojowe,0)</f>
        <v>0</v>
      </c>
      <c r="D384" s="21"/>
      <c r="E384" s="21"/>
      <c r="F384" s="21"/>
      <c r="G384" s="21"/>
      <c r="I384" s="21"/>
      <c r="J384" s="483" cm="1">
        <f t="array" aca="1" ref="J384" ca="1">OFFSET('Środki trwałe'!$C$195,'Rozliczenie dotacji'!E381,,)</f>
        <v>0</v>
      </c>
      <c r="K384" s="76">
        <f ca="1">IFERROR(ROUND(IF(($C382+1)=K$25,$C384,0),0),0)</f>
        <v>0</v>
      </c>
      <c r="L384" s="248">
        <f ca="1">ROUND(IF(OR(AND($C382=LataProjekcji,$E382&gt;0),AND($C382=LataProjekcji,$E382=0,$D383&lt;=10)),$E383,IF($C382&lt;LataProjekcji,IF((SUM($K384:K384)+$C384)&lt;$C383,$C384,$C383-SUM($K384:K384)),0)),0)</f>
        <v>0</v>
      </c>
      <c r="M384" s="248">
        <f ca="1">ROUND(IF(OR(AND($C382=LataProjekcji,$E382&gt;0),AND($C382=LataProjekcji,$E382=0,$D383&lt;=10)),$E383,IF($C382&lt;LataProjekcji,IF((SUM($K384:L384)+$C384)&lt;$C383,$C384,$C383-SUM($K384:L384)),0)),0)</f>
        <v>0</v>
      </c>
      <c r="N384" s="248">
        <f ca="1">ROUND(IF(OR(AND($C382=LataProjekcji,$E382&gt;0),AND($C382=LataProjekcji,$E382=0,$D383&lt;=10)),$E383,IF($C382&lt;LataProjekcji,IF((SUM($K384:M384)+$C384)&lt;$C383,$C384,$C383-SUM($K384:M384)),0)),0)</f>
        <v>0</v>
      </c>
      <c r="O384" s="248">
        <f ca="1">ROUND(IF(OR(AND($C382=LataProjekcji,$E382&gt;0),AND($C382=LataProjekcji,$E382=0,$D383&lt;=10)),$E383,IF($C382&lt;LataProjekcji,IF((SUM($K384:N384)+$C384)&lt;$C383,$C384,$C383-SUM($K384:N384)),0)),0)</f>
        <v>0</v>
      </c>
      <c r="P384" s="248">
        <f ca="1">ROUND(IF(OR(AND($C382=LataProjekcji,$E382&gt;0),AND($C382=LataProjekcji,$E382=0,$D383&lt;=10)),$E383,IF($C382&lt;LataProjekcji,IF((SUM($K384:O384)+$C384)&lt;$C383,$C384,$C383-SUM($K384:O384)),0)),0)</f>
        <v>0</v>
      </c>
      <c r="Q384" s="248">
        <f ca="1">ROUND(IF(OR(AND($C382=LataProjekcji,$E382&gt;0),AND($C382=LataProjekcji,$E382=0,$D383&lt;=10)),$E383,IF($C382&lt;LataProjekcji,IF((SUM($K384:P384)+$C384)&lt;$C383,$C384,$C383-SUM($K384:P384)),0)),0)</f>
        <v>0</v>
      </c>
      <c r="R384" s="248">
        <f ca="1">ROUND(IF(OR(AND($C382=LataProjekcji,$E382&gt;0),AND($C382=LataProjekcji,$E382=0,$D383&lt;=10)),$E383,IF($C382&lt;LataProjekcji,IF((SUM($K384:Q384)+$C384)&lt;$C383,$C384,$C383-SUM($K384:Q384)),0)),0)</f>
        <v>0</v>
      </c>
      <c r="S384" s="248">
        <f ca="1">ROUND(IF(OR(AND($C382=LataProjekcji,$E382&gt;0),AND($C382=LataProjekcji,$E382=0,$D383&lt;=10)),$E383,IF($C382&lt;LataProjekcji,IF((SUM($K384:R384)+$C384)&lt;$C383,$C384,$C383-SUM($K384:R384)),0)),0)</f>
        <v>0</v>
      </c>
      <c r="T384" s="248">
        <f ca="1">ROUND(IF(OR(AND($C382=LataProjekcji,$E382&gt;0),AND($C382=LataProjekcji,$E382=0,$D383&lt;=10)),$E383,IF($C382&lt;LataProjekcji,IF((SUM($K384:S384)+$C384)&lt;$C383,$C384,$C383-SUM($K384:S384)),0)),0)</f>
        <v>0</v>
      </c>
      <c r="U384" s="248">
        <f ca="1">ROUND(IF(OR(AND($C382=LataProjekcji,$E382&gt;0),AND($C382=LataProjekcji,$E382=0,$D383&lt;=10)),$E383,IF($C382&lt;LataProjekcji,IF((SUM($K384:T384)+$C384)&lt;$C383,$C384,$C383-SUM($K384:T384)),0)),0)</f>
        <v>0</v>
      </c>
      <c r="V384" s="248">
        <f ca="1">ROUND(IF(OR(AND($C382=LataProjekcji,$E382&gt;0),AND($C382=LataProjekcji,$E382=0,$D383&lt;=10)),$E383,IF($C382&lt;LataProjekcji,IF((SUM($K384:U384)+$C384)&lt;$C383,$C384,$C383-SUM($K384:U384)),0)),0)</f>
        <v>0</v>
      </c>
      <c r="W384" s="248">
        <f ca="1">ROUND(IF(OR(AND($C382=LataProjekcji,$E382&gt;0),AND($C382=LataProjekcji,$E382=0,$D383&lt;=10)),$E383,IF($C382&lt;LataProjekcji,IF((SUM($K384:V384)+$C384)&lt;$C383,$C384,$C383-SUM($K384:V384)),0)),0)</f>
        <v>0</v>
      </c>
      <c r="X384" s="248">
        <f ca="1">ROUND(IF(OR(AND($C382=LataProjekcji,$E382&gt;0),AND($C382=LataProjekcji,$E382=0,$D383&lt;=10)),$E383,IF($C382&lt;LataProjekcji,IF((SUM($K384:W384)+$C384)&lt;$C383,$C384,$C383-SUM($K384:W384)),0)),0)</f>
        <v>0</v>
      </c>
    </row>
    <row r="385" spans="1:24" hidden="1">
      <c r="A385" s="259"/>
      <c r="B385" s="21" t="s">
        <v>416</v>
      </c>
      <c r="C385" s="22"/>
      <c r="D385" s="21"/>
      <c r="E385" s="21"/>
      <c r="F385" s="21"/>
      <c r="G385" s="21"/>
      <c r="I385" s="21"/>
      <c r="J385" s="21"/>
      <c r="K385" s="22">
        <f ca="1">ROUND(K384,0)</f>
        <v>0</v>
      </c>
      <c r="L385" s="22">
        <f t="shared" ref="L385" ca="1" si="156">ROUND(K385+L384,0)</f>
        <v>0</v>
      </c>
      <c r="M385" s="22">
        <f t="shared" ref="M385" ca="1" si="157">ROUND(L385+M384,0)</f>
        <v>0</v>
      </c>
      <c r="N385" s="22">
        <f t="shared" ref="N385" ca="1" si="158">ROUND(M385+N384,0)</f>
        <v>0</v>
      </c>
      <c r="O385" s="22">
        <f t="shared" ref="O385" ca="1" si="159">ROUND(N385+O384,0)</f>
        <v>0</v>
      </c>
      <c r="P385" s="22">
        <f t="shared" ref="P385" ca="1" si="160">ROUND(O385+P384,0)</f>
        <v>0</v>
      </c>
      <c r="Q385" s="22">
        <f t="shared" ref="Q385" ca="1" si="161">ROUND(P385+Q384,0)</f>
        <v>0</v>
      </c>
      <c r="R385" s="22">
        <f t="shared" ref="R385" ca="1" si="162">ROUND(Q385+R384,0)</f>
        <v>0</v>
      </c>
      <c r="S385" s="22">
        <f t="shared" ref="S385" ca="1" si="163">ROUND(R385+S384,0)</f>
        <v>0</v>
      </c>
      <c r="T385" s="22">
        <f t="shared" ref="T385" ca="1" si="164">ROUND(S385+T384,0)</f>
        <v>0</v>
      </c>
      <c r="U385" s="22">
        <f t="shared" ref="U385" ca="1" si="165">ROUND(T385+U384,0)</f>
        <v>0</v>
      </c>
      <c r="V385" s="22">
        <f t="shared" ref="V385" ca="1" si="166">ROUND(U385+V384,0)</f>
        <v>0</v>
      </c>
      <c r="W385" s="22">
        <f t="shared" ref="W385" ca="1" si="167">ROUND(V385+W384,0)</f>
        <v>0</v>
      </c>
      <c r="X385" s="22">
        <f t="shared" ref="X385" ca="1" si="168">ROUND(W385+X384,0)</f>
        <v>0</v>
      </c>
    </row>
    <row r="386" spans="1:24" hidden="1">
      <c r="A386" s="259"/>
      <c r="B386" s="21" t="s">
        <v>406</v>
      </c>
      <c r="C386" s="22"/>
      <c r="D386" s="21"/>
      <c r="E386" s="21"/>
      <c r="F386" s="21"/>
      <c r="G386" s="21"/>
      <c r="I386" s="21"/>
      <c r="J386" s="21"/>
      <c r="K386" s="78">
        <f t="shared" ref="K386:X386" ca="1" si="169">IF($C382=K$25,$C383,ROUND(IF(K384=0,0,$C383-K385),0))</f>
        <v>0</v>
      </c>
      <c r="L386" s="78">
        <f t="shared" ca="1" si="169"/>
        <v>0</v>
      </c>
      <c r="M386" s="78">
        <f t="shared" ca="1" si="169"/>
        <v>0</v>
      </c>
      <c r="N386" s="78">
        <f t="shared" ca="1" si="169"/>
        <v>0</v>
      </c>
      <c r="O386" s="78">
        <f t="shared" ca="1" si="169"/>
        <v>0</v>
      </c>
      <c r="P386" s="78">
        <f t="shared" ca="1" si="169"/>
        <v>0</v>
      </c>
      <c r="Q386" s="78">
        <f t="shared" ca="1" si="169"/>
        <v>0</v>
      </c>
      <c r="R386" s="78">
        <f t="shared" ca="1" si="169"/>
        <v>0</v>
      </c>
      <c r="S386" s="78">
        <f t="shared" ca="1" si="169"/>
        <v>0</v>
      </c>
      <c r="T386" s="78">
        <f t="shared" ca="1" si="169"/>
        <v>0</v>
      </c>
      <c r="U386" s="78">
        <f t="shared" ca="1" si="169"/>
        <v>0</v>
      </c>
      <c r="V386" s="78">
        <f t="shared" ca="1" si="169"/>
        <v>0</v>
      </c>
      <c r="W386" s="78">
        <f t="shared" ca="1" si="169"/>
        <v>0</v>
      </c>
      <c r="X386" s="78">
        <f t="shared" ca="1" si="169"/>
        <v>0</v>
      </c>
    </row>
    <row r="387" spans="1:24" hidden="1">
      <c r="A387" s="259"/>
      <c r="B387" s="20"/>
      <c r="C387" s="21"/>
      <c r="D387" s="21"/>
      <c r="E387" s="21"/>
      <c r="F387" s="21"/>
      <c r="G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</row>
    <row r="388" spans="1:24" hidden="1">
      <c r="A388" s="259"/>
      <c r="B388" s="20" t="s">
        <v>454</v>
      </c>
      <c r="C388" s="21">
        <f>C381+1</f>
        <v>11</v>
      </c>
      <c r="D388" s="21" t="str">
        <f ca="1">OFFSET($B$28,C388,0)</f>
        <v/>
      </c>
      <c r="E388" s="483">
        <f>E381+1</f>
        <v>11</v>
      </c>
      <c r="F388" s="21"/>
      <c r="G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 spans="1:24" hidden="1">
      <c r="A389" s="259"/>
      <c r="B389" s="21" t="s">
        <v>414</v>
      </c>
      <c r="C389" s="165">
        <f ca="1">IFERROR(YEAR(OFFSET($D$28,C388,0)),0)</f>
        <v>0</v>
      </c>
      <c r="D389" s="21"/>
      <c r="E389" s="21"/>
      <c r="F389" s="21"/>
      <c r="G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 spans="1:24" hidden="1">
      <c r="A390" s="259"/>
      <c r="B390" s="21" t="s">
        <v>406</v>
      </c>
      <c r="C390" s="22">
        <f ca="1">OFFSET($F$28,C388,0)</f>
        <v>0</v>
      </c>
      <c r="D390" s="21"/>
      <c r="E390" s="21"/>
      <c r="F390" s="21"/>
      <c r="G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</row>
    <row r="391" spans="1:24" hidden="1">
      <c r="A391" s="259"/>
      <c r="B391" s="21" t="s">
        <v>415</v>
      </c>
      <c r="C391" s="22">
        <f ca="1">ROUND(C390*am_prace_rozwojowe,0)</f>
        <v>0</v>
      </c>
      <c r="D391" s="21"/>
      <c r="E391" s="21"/>
      <c r="F391" s="21"/>
      <c r="G391" s="21"/>
      <c r="I391" s="21"/>
      <c r="J391" s="483" cm="1">
        <f t="array" aca="1" ref="J391" ca="1">OFFSET('Środki trwałe'!$C$195,'Rozliczenie dotacji'!E388,,)</f>
        <v>0</v>
      </c>
      <c r="K391" s="76">
        <f ca="1">IFERROR(ROUND(IF(($C389+1)=K$25,$C391,0),0),0)</f>
        <v>0</v>
      </c>
      <c r="L391" s="248">
        <f ca="1">ROUND(IF(OR(AND($C389=LataProjekcji,$E389&gt;0),AND($C389=LataProjekcji,$E389=0,$D390&lt;=10)),$E390,IF($C389&lt;LataProjekcji,IF((SUM($K391:K391)+$C391)&lt;$C390,$C391,$C390-SUM($K391:K391)),0)),0)</f>
        <v>0</v>
      </c>
      <c r="M391" s="248">
        <f ca="1">ROUND(IF(OR(AND($C389=LataProjekcji,$E389&gt;0),AND($C389=LataProjekcji,$E389=0,$D390&lt;=10)),$E390,IF($C389&lt;LataProjekcji,IF((SUM($K391:L391)+$C391)&lt;$C390,$C391,$C390-SUM($K391:L391)),0)),0)</f>
        <v>0</v>
      </c>
      <c r="N391" s="248">
        <f ca="1">ROUND(IF(OR(AND($C389=LataProjekcji,$E389&gt;0),AND($C389=LataProjekcji,$E389=0,$D390&lt;=10)),$E390,IF($C389&lt;LataProjekcji,IF((SUM($K391:M391)+$C391)&lt;$C390,$C391,$C390-SUM($K391:M391)),0)),0)</f>
        <v>0</v>
      </c>
      <c r="O391" s="248">
        <f ca="1">ROUND(IF(OR(AND($C389=LataProjekcji,$E389&gt;0),AND($C389=LataProjekcji,$E389=0,$D390&lt;=10)),$E390,IF($C389&lt;LataProjekcji,IF((SUM($K391:N391)+$C391)&lt;$C390,$C391,$C390-SUM($K391:N391)),0)),0)</f>
        <v>0</v>
      </c>
      <c r="P391" s="248">
        <f ca="1">ROUND(IF(OR(AND($C389=LataProjekcji,$E389&gt;0),AND($C389=LataProjekcji,$E389=0,$D390&lt;=10)),$E390,IF($C389&lt;LataProjekcji,IF((SUM($K391:O391)+$C391)&lt;$C390,$C391,$C390-SUM($K391:O391)),0)),0)</f>
        <v>0</v>
      </c>
      <c r="Q391" s="248">
        <f ca="1">ROUND(IF(OR(AND($C389=LataProjekcji,$E389&gt;0),AND($C389=LataProjekcji,$E389=0,$D390&lt;=10)),$E390,IF($C389&lt;LataProjekcji,IF((SUM($K391:P391)+$C391)&lt;$C390,$C391,$C390-SUM($K391:P391)),0)),0)</f>
        <v>0</v>
      </c>
      <c r="R391" s="248">
        <f ca="1">ROUND(IF(OR(AND($C389=LataProjekcji,$E389&gt;0),AND($C389=LataProjekcji,$E389=0,$D390&lt;=10)),$E390,IF($C389&lt;LataProjekcji,IF((SUM($K391:Q391)+$C391)&lt;$C390,$C391,$C390-SUM($K391:Q391)),0)),0)</f>
        <v>0</v>
      </c>
      <c r="S391" s="248">
        <f ca="1">ROUND(IF(OR(AND($C389=LataProjekcji,$E389&gt;0),AND($C389=LataProjekcji,$E389=0,$D390&lt;=10)),$E390,IF($C389&lt;LataProjekcji,IF((SUM($K391:R391)+$C391)&lt;$C390,$C391,$C390-SUM($K391:R391)),0)),0)</f>
        <v>0</v>
      </c>
      <c r="T391" s="248">
        <f ca="1">ROUND(IF(OR(AND($C389=LataProjekcji,$E389&gt;0),AND($C389=LataProjekcji,$E389=0,$D390&lt;=10)),$E390,IF($C389&lt;LataProjekcji,IF((SUM($K391:S391)+$C391)&lt;$C390,$C391,$C390-SUM($K391:S391)),0)),0)</f>
        <v>0</v>
      </c>
      <c r="U391" s="248">
        <f ca="1">ROUND(IF(OR(AND($C389=LataProjekcji,$E389&gt;0),AND($C389=LataProjekcji,$E389=0,$D390&lt;=10)),$E390,IF($C389&lt;LataProjekcji,IF((SUM($K391:T391)+$C391)&lt;$C390,$C391,$C390-SUM($K391:T391)),0)),0)</f>
        <v>0</v>
      </c>
      <c r="V391" s="248">
        <f ca="1">ROUND(IF(OR(AND($C389=LataProjekcji,$E389&gt;0),AND($C389=LataProjekcji,$E389=0,$D390&lt;=10)),$E390,IF($C389&lt;LataProjekcji,IF((SUM($K391:U391)+$C391)&lt;$C390,$C391,$C390-SUM($K391:U391)),0)),0)</f>
        <v>0</v>
      </c>
      <c r="W391" s="248">
        <f ca="1">ROUND(IF(OR(AND($C389=LataProjekcji,$E389&gt;0),AND($C389=LataProjekcji,$E389=0,$D390&lt;=10)),$E390,IF($C389&lt;LataProjekcji,IF((SUM($K391:V391)+$C391)&lt;$C390,$C391,$C390-SUM($K391:V391)),0)),0)</f>
        <v>0</v>
      </c>
      <c r="X391" s="248">
        <f ca="1">ROUND(IF(OR(AND($C389=LataProjekcji,$E389&gt;0),AND($C389=LataProjekcji,$E389=0,$D390&lt;=10)),$E390,IF($C389&lt;LataProjekcji,IF((SUM($K391:W391)+$C391)&lt;$C390,$C391,$C390-SUM($K391:W391)),0)),0)</f>
        <v>0</v>
      </c>
    </row>
    <row r="392" spans="1:24" hidden="1">
      <c r="A392" s="259"/>
      <c r="B392" s="21" t="s">
        <v>416</v>
      </c>
      <c r="C392" s="22"/>
      <c r="D392" s="21"/>
      <c r="E392" s="21"/>
      <c r="F392" s="21"/>
      <c r="G392" s="21"/>
      <c r="I392" s="21"/>
      <c r="J392" s="21"/>
      <c r="K392" s="22">
        <f ca="1">ROUND(K391,0)</f>
        <v>0</v>
      </c>
      <c r="L392" s="22">
        <f t="shared" ref="L392" ca="1" si="170">ROUND(K392+L391,0)</f>
        <v>0</v>
      </c>
      <c r="M392" s="22">
        <f t="shared" ref="M392" ca="1" si="171">ROUND(L392+M391,0)</f>
        <v>0</v>
      </c>
      <c r="N392" s="22">
        <f t="shared" ref="N392" ca="1" si="172">ROUND(M392+N391,0)</f>
        <v>0</v>
      </c>
      <c r="O392" s="22">
        <f t="shared" ref="O392" ca="1" si="173">ROUND(N392+O391,0)</f>
        <v>0</v>
      </c>
      <c r="P392" s="22">
        <f t="shared" ref="P392" ca="1" si="174">ROUND(O392+P391,0)</f>
        <v>0</v>
      </c>
      <c r="Q392" s="22">
        <f t="shared" ref="Q392" ca="1" si="175">ROUND(P392+Q391,0)</f>
        <v>0</v>
      </c>
      <c r="R392" s="22">
        <f t="shared" ref="R392" ca="1" si="176">ROUND(Q392+R391,0)</f>
        <v>0</v>
      </c>
      <c r="S392" s="22">
        <f t="shared" ref="S392" ca="1" si="177">ROUND(R392+S391,0)</f>
        <v>0</v>
      </c>
      <c r="T392" s="22">
        <f t="shared" ref="T392" ca="1" si="178">ROUND(S392+T391,0)</f>
        <v>0</v>
      </c>
      <c r="U392" s="22">
        <f t="shared" ref="U392" ca="1" si="179">ROUND(T392+U391,0)</f>
        <v>0</v>
      </c>
      <c r="V392" s="22">
        <f t="shared" ref="V392" ca="1" si="180">ROUND(U392+V391,0)</f>
        <v>0</v>
      </c>
      <c r="W392" s="22">
        <f t="shared" ref="W392" ca="1" si="181">ROUND(V392+W391,0)</f>
        <v>0</v>
      </c>
      <c r="X392" s="22">
        <f t="shared" ref="X392" ca="1" si="182">ROUND(W392+X391,0)</f>
        <v>0</v>
      </c>
    </row>
    <row r="393" spans="1:24" hidden="1">
      <c r="A393" s="259"/>
      <c r="B393" s="21" t="s">
        <v>406</v>
      </c>
      <c r="C393" s="22"/>
      <c r="D393" s="21"/>
      <c r="E393" s="21"/>
      <c r="F393" s="21"/>
      <c r="G393" s="21"/>
      <c r="I393" s="21"/>
      <c r="J393" s="21"/>
      <c r="K393" s="78">
        <f t="shared" ref="K393:X393" ca="1" si="183">IF($C389=K$25,$C390,ROUND(IF(K391=0,0,$C390-K392),0))</f>
        <v>0</v>
      </c>
      <c r="L393" s="78">
        <f t="shared" ca="1" si="183"/>
        <v>0</v>
      </c>
      <c r="M393" s="78">
        <f t="shared" ca="1" si="183"/>
        <v>0</v>
      </c>
      <c r="N393" s="78">
        <f t="shared" ca="1" si="183"/>
        <v>0</v>
      </c>
      <c r="O393" s="78">
        <f t="shared" ca="1" si="183"/>
        <v>0</v>
      </c>
      <c r="P393" s="78">
        <f t="shared" ca="1" si="183"/>
        <v>0</v>
      </c>
      <c r="Q393" s="78">
        <f t="shared" ca="1" si="183"/>
        <v>0</v>
      </c>
      <c r="R393" s="78">
        <f t="shared" ca="1" si="183"/>
        <v>0</v>
      </c>
      <c r="S393" s="78">
        <f t="shared" ca="1" si="183"/>
        <v>0</v>
      </c>
      <c r="T393" s="78">
        <f t="shared" ca="1" si="183"/>
        <v>0</v>
      </c>
      <c r="U393" s="78">
        <f t="shared" ca="1" si="183"/>
        <v>0</v>
      </c>
      <c r="V393" s="78">
        <f t="shared" ca="1" si="183"/>
        <v>0</v>
      </c>
      <c r="W393" s="78">
        <f t="shared" ca="1" si="183"/>
        <v>0</v>
      </c>
      <c r="X393" s="78">
        <f t="shared" ca="1" si="183"/>
        <v>0</v>
      </c>
    </row>
    <row r="394" spans="1:24" hidden="1">
      <c r="A394" s="259"/>
      <c r="B394" s="21"/>
      <c r="C394" s="22"/>
      <c r="D394" s="21"/>
      <c r="E394" s="21"/>
      <c r="F394" s="21"/>
      <c r="G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idden="1">
      <c r="A395" s="259"/>
      <c r="B395" s="20" t="s">
        <v>454</v>
      </c>
      <c r="C395" s="21">
        <f>C388+1</f>
        <v>12</v>
      </c>
      <c r="D395" s="21" t="str">
        <f ca="1">OFFSET($B$28,C395,0)</f>
        <v/>
      </c>
      <c r="E395" s="483">
        <f>E388+1</f>
        <v>12</v>
      </c>
      <c r="F395" s="21"/>
      <c r="G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idden="1">
      <c r="A396" s="259"/>
      <c r="B396" s="21" t="s">
        <v>414</v>
      </c>
      <c r="C396" s="165">
        <f ca="1">IFERROR(YEAR(OFFSET($D$28,C395,0)),0)</f>
        <v>0</v>
      </c>
      <c r="D396" s="21"/>
      <c r="E396" s="21"/>
      <c r="F396" s="21"/>
      <c r="G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idden="1">
      <c r="A397" s="259"/>
      <c r="B397" s="21" t="s">
        <v>406</v>
      </c>
      <c r="C397" s="22">
        <f ca="1">OFFSET($F$28,C395,0)</f>
        <v>0</v>
      </c>
      <c r="D397" s="21"/>
      <c r="E397" s="21"/>
      <c r="F397" s="21"/>
      <c r="G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</row>
    <row r="398" spans="1:24" hidden="1">
      <c r="A398" s="259"/>
      <c r="B398" s="21" t="s">
        <v>415</v>
      </c>
      <c r="C398" s="22">
        <f ca="1">ROUND(C397*am_prace_rozwojowe,0)</f>
        <v>0</v>
      </c>
      <c r="D398" s="21"/>
      <c r="E398" s="21"/>
      <c r="F398" s="21"/>
      <c r="G398" s="21"/>
      <c r="I398" s="21"/>
      <c r="J398" s="483" cm="1">
        <f t="array" aca="1" ref="J398" ca="1">OFFSET('Środki trwałe'!$C$195,'Rozliczenie dotacji'!E395,,)</f>
        <v>0</v>
      </c>
      <c r="K398" s="76">
        <f ca="1">IFERROR(ROUND(IF(($C396+1)=K$25,$C398,0),0),0)</f>
        <v>0</v>
      </c>
      <c r="L398" s="248">
        <f ca="1">ROUND(IF(OR(AND($C396=LataProjekcji,$E396&gt;0),AND($C396=LataProjekcji,$E396=0,$D397&lt;=10)),$E397,IF($C396&lt;LataProjekcji,IF((SUM($K398:K398)+$C398)&lt;$C397,$C398,$C397-SUM($K398:K398)),0)),0)</f>
        <v>0</v>
      </c>
      <c r="M398" s="248">
        <f ca="1">ROUND(IF(OR(AND($C396=LataProjekcji,$E396&gt;0),AND($C396=LataProjekcji,$E396=0,$D397&lt;=10)),$E397,IF($C396&lt;LataProjekcji,IF((SUM($K398:L398)+$C398)&lt;$C397,$C398,$C397-SUM($K398:L398)),0)),0)</f>
        <v>0</v>
      </c>
      <c r="N398" s="248">
        <f ca="1">ROUND(IF(OR(AND($C396=LataProjekcji,$E396&gt;0),AND($C396=LataProjekcji,$E396=0,$D397&lt;=10)),$E397,IF($C396&lt;LataProjekcji,IF((SUM($K398:M398)+$C398)&lt;$C397,$C398,$C397-SUM($K398:M398)),0)),0)</f>
        <v>0</v>
      </c>
      <c r="O398" s="248">
        <f ca="1">ROUND(IF(OR(AND($C396=LataProjekcji,$E396&gt;0),AND($C396=LataProjekcji,$E396=0,$D397&lt;=10)),$E397,IF($C396&lt;LataProjekcji,IF((SUM($K398:N398)+$C398)&lt;$C397,$C398,$C397-SUM($K398:N398)),0)),0)</f>
        <v>0</v>
      </c>
      <c r="P398" s="248">
        <f ca="1">ROUND(IF(OR(AND($C396=LataProjekcji,$E396&gt;0),AND($C396=LataProjekcji,$E396=0,$D397&lt;=10)),$E397,IF($C396&lt;LataProjekcji,IF((SUM($K398:O398)+$C398)&lt;$C397,$C398,$C397-SUM($K398:O398)),0)),0)</f>
        <v>0</v>
      </c>
      <c r="Q398" s="248">
        <f ca="1">ROUND(IF(OR(AND($C396=LataProjekcji,$E396&gt;0),AND($C396=LataProjekcji,$E396=0,$D397&lt;=10)),$E397,IF($C396&lt;LataProjekcji,IF((SUM($K398:P398)+$C398)&lt;$C397,$C398,$C397-SUM($K398:P398)),0)),0)</f>
        <v>0</v>
      </c>
      <c r="R398" s="248">
        <f ca="1">ROUND(IF(OR(AND($C396=LataProjekcji,$E396&gt;0),AND($C396=LataProjekcji,$E396=0,$D397&lt;=10)),$E397,IF($C396&lt;LataProjekcji,IF((SUM($K398:Q398)+$C398)&lt;$C397,$C398,$C397-SUM($K398:Q398)),0)),0)</f>
        <v>0</v>
      </c>
      <c r="S398" s="248">
        <f ca="1">ROUND(IF(OR(AND($C396=LataProjekcji,$E396&gt;0),AND($C396=LataProjekcji,$E396=0,$D397&lt;=10)),$E397,IF($C396&lt;LataProjekcji,IF((SUM($K398:R398)+$C398)&lt;$C397,$C398,$C397-SUM($K398:R398)),0)),0)</f>
        <v>0</v>
      </c>
      <c r="T398" s="248">
        <f ca="1">ROUND(IF(OR(AND($C396=LataProjekcji,$E396&gt;0),AND($C396=LataProjekcji,$E396=0,$D397&lt;=10)),$E397,IF($C396&lt;LataProjekcji,IF((SUM($K398:S398)+$C398)&lt;$C397,$C398,$C397-SUM($K398:S398)),0)),0)</f>
        <v>0</v>
      </c>
      <c r="U398" s="248">
        <f ca="1">ROUND(IF(OR(AND($C396=LataProjekcji,$E396&gt;0),AND($C396=LataProjekcji,$E396=0,$D397&lt;=10)),$E397,IF($C396&lt;LataProjekcji,IF((SUM($K398:T398)+$C398)&lt;$C397,$C398,$C397-SUM($K398:T398)),0)),0)</f>
        <v>0</v>
      </c>
      <c r="V398" s="248">
        <f ca="1">ROUND(IF(OR(AND($C396=LataProjekcji,$E396&gt;0),AND($C396=LataProjekcji,$E396=0,$D397&lt;=10)),$E397,IF($C396&lt;LataProjekcji,IF((SUM($K398:U398)+$C398)&lt;$C397,$C398,$C397-SUM($K398:U398)),0)),0)</f>
        <v>0</v>
      </c>
      <c r="W398" s="248">
        <f ca="1">ROUND(IF(OR(AND($C396=LataProjekcji,$E396&gt;0),AND($C396=LataProjekcji,$E396=0,$D397&lt;=10)),$E397,IF($C396&lt;LataProjekcji,IF((SUM($K398:V398)+$C398)&lt;$C397,$C398,$C397-SUM($K398:V398)),0)),0)</f>
        <v>0</v>
      </c>
      <c r="X398" s="248">
        <f ca="1">ROUND(IF(OR(AND($C396=LataProjekcji,$E396&gt;0),AND($C396=LataProjekcji,$E396=0,$D397&lt;=10)),$E397,IF($C396&lt;LataProjekcji,IF((SUM($K398:W398)+$C398)&lt;$C397,$C398,$C397-SUM($K398:W398)),0)),0)</f>
        <v>0</v>
      </c>
    </row>
    <row r="399" spans="1:24" hidden="1">
      <c r="A399" s="259"/>
      <c r="B399" s="21" t="s">
        <v>416</v>
      </c>
      <c r="C399" s="22"/>
      <c r="D399" s="21"/>
      <c r="E399" s="21"/>
      <c r="F399" s="21"/>
      <c r="G399" s="21"/>
      <c r="I399" s="21"/>
      <c r="J399" s="21"/>
      <c r="K399" s="22">
        <f ca="1">ROUND(K398,0)</f>
        <v>0</v>
      </c>
      <c r="L399" s="22">
        <f t="shared" ref="L399" ca="1" si="184">ROUND(K399+L398,0)</f>
        <v>0</v>
      </c>
      <c r="M399" s="22">
        <f t="shared" ref="M399" ca="1" si="185">ROUND(L399+M398,0)</f>
        <v>0</v>
      </c>
      <c r="N399" s="22">
        <f t="shared" ref="N399" ca="1" si="186">ROUND(M399+N398,0)</f>
        <v>0</v>
      </c>
      <c r="O399" s="22">
        <f t="shared" ref="O399" ca="1" si="187">ROUND(N399+O398,0)</f>
        <v>0</v>
      </c>
      <c r="P399" s="22">
        <f t="shared" ref="P399" ca="1" si="188">ROUND(O399+P398,0)</f>
        <v>0</v>
      </c>
      <c r="Q399" s="22">
        <f t="shared" ref="Q399" ca="1" si="189">ROUND(P399+Q398,0)</f>
        <v>0</v>
      </c>
      <c r="R399" s="22">
        <f t="shared" ref="R399" ca="1" si="190">ROUND(Q399+R398,0)</f>
        <v>0</v>
      </c>
      <c r="S399" s="22">
        <f t="shared" ref="S399" ca="1" si="191">ROUND(R399+S398,0)</f>
        <v>0</v>
      </c>
      <c r="T399" s="22">
        <f t="shared" ref="T399" ca="1" si="192">ROUND(S399+T398,0)</f>
        <v>0</v>
      </c>
      <c r="U399" s="22">
        <f t="shared" ref="U399" ca="1" si="193">ROUND(T399+U398,0)</f>
        <v>0</v>
      </c>
      <c r="V399" s="22">
        <f t="shared" ref="V399" ca="1" si="194">ROUND(U399+V398,0)</f>
        <v>0</v>
      </c>
      <c r="W399" s="22">
        <f t="shared" ref="W399" ca="1" si="195">ROUND(V399+W398,0)</f>
        <v>0</v>
      </c>
      <c r="X399" s="22">
        <f t="shared" ref="X399" ca="1" si="196">ROUND(W399+X398,0)</f>
        <v>0</v>
      </c>
    </row>
    <row r="400" spans="1:24" hidden="1">
      <c r="A400" s="259"/>
      <c r="B400" s="21" t="s">
        <v>406</v>
      </c>
      <c r="C400" s="22"/>
      <c r="D400" s="21"/>
      <c r="E400" s="21"/>
      <c r="F400" s="21"/>
      <c r="G400" s="21"/>
      <c r="I400" s="21"/>
      <c r="J400" s="21"/>
      <c r="K400" s="78">
        <f t="shared" ref="K400:X400" ca="1" si="197">IF($C396=K$25,$C397,ROUND(IF(K398=0,0,$C397-K399),0))</f>
        <v>0</v>
      </c>
      <c r="L400" s="78">
        <f t="shared" ca="1" si="197"/>
        <v>0</v>
      </c>
      <c r="M400" s="78">
        <f t="shared" ca="1" si="197"/>
        <v>0</v>
      </c>
      <c r="N400" s="78">
        <f t="shared" ca="1" si="197"/>
        <v>0</v>
      </c>
      <c r="O400" s="78">
        <f t="shared" ca="1" si="197"/>
        <v>0</v>
      </c>
      <c r="P400" s="78">
        <f t="shared" ca="1" si="197"/>
        <v>0</v>
      </c>
      <c r="Q400" s="78">
        <f t="shared" ca="1" si="197"/>
        <v>0</v>
      </c>
      <c r="R400" s="78">
        <f t="shared" ca="1" si="197"/>
        <v>0</v>
      </c>
      <c r="S400" s="78">
        <f t="shared" ca="1" si="197"/>
        <v>0</v>
      </c>
      <c r="T400" s="78">
        <f t="shared" ca="1" si="197"/>
        <v>0</v>
      </c>
      <c r="U400" s="78">
        <f t="shared" ca="1" si="197"/>
        <v>0</v>
      </c>
      <c r="V400" s="78">
        <f t="shared" ca="1" si="197"/>
        <v>0</v>
      </c>
      <c r="W400" s="78">
        <f t="shared" ca="1" si="197"/>
        <v>0</v>
      </c>
      <c r="X400" s="78">
        <f t="shared" ca="1" si="197"/>
        <v>0</v>
      </c>
    </row>
    <row r="401" spans="1:24" hidden="1">
      <c r="A401" s="259"/>
      <c r="B401" s="21"/>
      <c r="C401" s="22"/>
      <c r="D401" s="21"/>
      <c r="E401" s="21"/>
      <c r="F401" s="21"/>
      <c r="G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idden="1">
      <c r="A402" s="259"/>
      <c r="B402" s="20" t="s">
        <v>454</v>
      </c>
      <c r="C402" s="21">
        <f>C395+1</f>
        <v>13</v>
      </c>
      <c r="D402" s="21" t="str">
        <f ca="1">OFFSET($B$28,C402,0)</f>
        <v/>
      </c>
      <c r="E402" s="483">
        <f>E395+1</f>
        <v>13</v>
      </c>
      <c r="F402" s="21"/>
      <c r="G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idden="1">
      <c r="A403" s="259"/>
      <c r="B403" s="21" t="s">
        <v>414</v>
      </c>
      <c r="C403" s="165">
        <f ca="1">IFERROR(YEAR(OFFSET($D$28,C402,0)),0)</f>
        <v>0</v>
      </c>
      <c r="D403" s="21"/>
      <c r="E403" s="21"/>
      <c r="F403" s="21"/>
      <c r="G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idden="1">
      <c r="A404" s="259"/>
      <c r="B404" s="21" t="s">
        <v>406</v>
      </c>
      <c r="C404" s="22">
        <f ca="1">OFFSET($F$28,C402,0)</f>
        <v>0</v>
      </c>
      <c r="D404" s="21"/>
      <c r="E404" s="21"/>
      <c r="F404" s="21"/>
      <c r="G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</row>
    <row r="405" spans="1:24" hidden="1">
      <c r="A405" s="259"/>
      <c r="B405" s="21" t="s">
        <v>415</v>
      </c>
      <c r="C405" s="22">
        <f ca="1">ROUND(C404*am_prace_rozwojowe,0)</f>
        <v>0</v>
      </c>
      <c r="D405" s="21"/>
      <c r="E405" s="21"/>
      <c r="F405" s="21"/>
      <c r="G405" s="21"/>
      <c r="I405" s="21"/>
      <c r="J405" s="483" cm="1">
        <f t="array" aca="1" ref="J405" ca="1">OFFSET('Środki trwałe'!$C$195,'Rozliczenie dotacji'!E402,,)</f>
        <v>0</v>
      </c>
      <c r="K405" s="76">
        <f ca="1">IFERROR(ROUND(IF(($C403+1)=K$25,$C405,0),0),0)</f>
        <v>0</v>
      </c>
      <c r="L405" s="248">
        <f ca="1">ROUND(IF(OR(AND($C403=LataProjekcji,$E403&gt;0),AND($C403=LataProjekcji,$E403=0,$D404&lt;=10)),$E404,IF($C403&lt;LataProjekcji,IF((SUM($K405:K405)+$C405)&lt;$C404,$C405,$C404-SUM($K405:K405)),0)),0)</f>
        <v>0</v>
      </c>
      <c r="M405" s="248">
        <f ca="1">ROUND(IF(OR(AND($C403=LataProjekcji,$E403&gt;0),AND($C403=LataProjekcji,$E403=0,$D404&lt;=10)),$E404,IF($C403&lt;LataProjekcji,IF((SUM($K405:L405)+$C405)&lt;$C404,$C405,$C404-SUM($K405:L405)),0)),0)</f>
        <v>0</v>
      </c>
      <c r="N405" s="248">
        <f ca="1">ROUND(IF(OR(AND($C403=LataProjekcji,$E403&gt;0),AND($C403=LataProjekcji,$E403=0,$D404&lt;=10)),$E404,IF($C403&lt;LataProjekcji,IF((SUM($K405:M405)+$C405)&lt;$C404,$C405,$C404-SUM($K405:M405)),0)),0)</f>
        <v>0</v>
      </c>
      <c r="O405" s="248">
        <f ca="1">ROUND(IF(OR(AND($C403=LataProjekcji,$E403&gt;0),AND($C403=LataProjekcji,$E403=0,$D404&lt;=10)),$E404,IF($C403&lt;LataProjekcji,IF((SUM($K405:N405)+$C405)&lt;$C404,$C405,$C404-SUM($K405:N405)),0)),0)</f>
        <v>0</v>
      </c>
      <c r="P405" s="248">
        <f ca="1">ROUND(IF(OR(AND($C403=LataProjekcji,$E403&gt;0),AND($C403=LataProjekcji,$E403=0,$D404&lt;=10)),$E404,IF($C403&lt;LataProjekcji,IF((SUM($K405:O405)+$C405)&lt;$C404,$C405,$C404-SUM($K405:O405)),0)),0)</f>
        <v>0</v>
      </c>
      <c r="Q405" s="248">
        <f ca="1">ROUND(IF(OR(AND($C403=LataProjekcji,$E403&gt;0),AND($C403=LataProjekcji,$E403=0,$D404&lt;=10)),$E404,IF($C403&lt;LataProjekcji,IF((SUM($K405:P405)+$C405)&lt;$C404,$C405,$C404-SUM($K405:P405)),0)),0)</f>
        <v>0</v>
      </c>
      <c r="R405" s="248">
        <f ca="1">ROUND(IF(OR(AND($C403=LataProjekcji,$E403&gt;0),AND($C403=LataProjekcji,$E403=0,$D404&lt;=10)),$E404,IF($C403&lt;LataProjekcji,IF((SUM($K405:Q405)+$C405)&lt;$C404,$C405,$C404-SUM($K405:Q405)),0)),0)</f>
        <v>0</v>
      </c>
      <c r="S405" s="248">
        <f ca="1">ROUND(IF(OR(AND($C403=LataProjekcji,$E403&gt;0),AND($C403=LataProjekcji,$E403=0,$D404&lt;=10)),$E404,IF($C403&lt;LataProjekcji,IF((SUM($K405:R405)+$C405)&lt;$C404,$C405,$C404-SUM($K405:R405)),0)),0)</f>
        <v>0</v>
      </c>
      <c r="T405" s="248">
        <f ca="1">ROUND(IF(OR(AND($C403=LataProjekcji,$E403&gt;0),AND($C403=LataProjekcji,$E403=0,$D404&lt;=10)),$E404,IF($C403&lt;LataProjekcji,IF((SUM($K405:S405)+$C405)&lt;$C404,$C405,$C404-SUM($K405:S405)),0)),0)</f>
        <v>0</v>
      </c>
      <c r="U405" s="248">
        <f ca="1">ROUND(IF(OR(AND($C403=LataProjekcji,$E403&gt;0),AND($C403=LataProjekcji,$E403=0,$D404&lt;=10)),$E404,IF($C403&lt;LataProjekcji,IF((SUM($K405:T405)+$C405)&lt;$C404,$C405,$C404-SUM($K405:T405)),0)),0)</f>
        <v>0</v>
      </c>
      <c r="V405" s="248">
        <f ca="1">ROUND(IF(OR(AND($C403=LataProjekcji,$E403&gt;0),AND($C403=LataProjekcji,$E403=0,$D404&lt;=10)),$E404,IF($C403&lt;LataProjekcji,IF((SUM($K405:U405)+$C405)&lt;$C404,$C405,$C404-SUM($K405:U405)),0)),0)</f>
        <v>0</v>
      </c>
      <c r="W405" s="248">
        <f ca="1">ROUND(IF(OR(AND($C403=LataProjekcji,$E403&gt;0),AND($C403=LataProjekcji,$E403=0,$D404&lt;=10)),$E404,IF($C403&lt;LataProjekcji,IF((SUM($K405:V405)+$C405)&lt;$C404,$C405,$C404-SUM($K405:V405)),0)),0)</f>
        <v>0</v>
      </c>
      <c r="X405" s="248">
        <f ca="1">ROUND(IF(OR(AND($C403=LataProjekcji,$E403&gt;0),AND($C403=LataProjekcji,$E403=0,$D404&lt;=10)),$E404,IF($C403&lt;LataProjekcji,IF((SUM($K405:W405)+$C405)&lt;$C404,$C405,$C404-SUM($K405:W405)),0)),0)</f>
        <v>0</v>
      </c>
    </row>
    <row r="406" spans="1:24" hidden="1">
      <c r="A406" s="259"/>
      <c r="B406" s="21" t="s">
        <v>416</v>
      </c>
      <c r="C406" s="22"/>
      <c r="D406" s="21"/>
      <c r="E406" s="21"/>
      <c r="F406" s="21"/>
      <c r="G406" s="21"/>
      <c r="I406" s="21"/>
      <c r="J406" s="21"/>
      <c r="K406" s="22">
        <f ca="1">ROUND(K405,0)</f>
        <v>0</v>
      </c>
      <c r="L406" s="22">
        <f t="shared" ref="L406" ca="1" si="198">ROUND(K406+L405,0)</f>
        <v>0</v>
      </c>
      <c r="M406" s="22">
        <f t="shared" ref="M406" ca="1" si="199">ROUND(L406+M405,0)</f>
        <v>0</v>
      </c>
      <c r="N406" s="22">
        <f t="shared" ref="N406" ca="1" si="200">ROUND(M406+N405,0)</f>
        <v>0</v>
      </c>
      <c r="O406" s="22">
        <f t="shared" ref="O406" ca="1" si="201">ROUND(N406+O405,0)</f>
        <v>0</v>
      </c>
      <c r="P406" s="22">
        <f t="shared" ref="P406" ca="1" si="202">ROUND(O406+P405,0)</f>
        <v>0</v>
      </c>
      <c r="Q406" s="22">
        <f t="shared" ref="Q406" ca="1" si="203">ROUND(P406+Q405,0)</f>
        <v>0</v>
      </c>
      <c r="R406" s="22">
        <f t="shared" ref="R406" ca="1" si="204">ROUND(Q406+R405,0)</f>
        <v>0</v>
      </c>
      <c r="S406" s="22">
        <f t="shared" ref="S406" ca="1" si="205">ROUND(R406+S405,0)</f>
        <v>0</v>
      </c>
      <c r="T406" s="22">
        <f t="shared" ref="T406" ca="1" si="206">ROUND(S406+T405,0)</f>
        <v>0</v>
      </c>
      <c r="U406" s="22">
        <f t="shared" ref="U406" ca="1" si="207">ROUND(T406+U405,0)</f>
        <v>0</v>
      </c>
      <c r="V406" s="22">
        <f t="shared" ref="V406" ca="1" si="208">ROUND(U406+V405,0)</f>
        <v>0</v>
      </c>
      <c r="W406" s="22">
        <f t="shared" ref="W406" ca="1" si="209">ROUND(V406+W405,0)</f>
        <v>0</v>
      </c>
      <c r="X406" s="22">
        <f t="shared" ref="X406" ca="1" si="210">ROUND(W406+X405,0)</f>
        <v>0</v>
      </c>
    </row>
    <row r="407" spans="1:24" hidden="1">
      <c r="A407" s="259"/>
      <c r="B407" s="21" t="s">
        <v>406</v>
      </c>
      <c r="C407" s="22"/>
      <c r="D407" s="21"/>
      <c r="E407" s="21"/>
      <c r="F407" s="21"/>
      <c r="G407" s="21"/>
      <c r="I407" s="21"/>
      <c r="J407" s="21"/>
      <c r="K407" s="78">
        <f t="shared" ref="K407:X407" ca="1" si="211">IF($C403=K$25,$C404,ROUND(IF(K405=0,0,$C404-K406),0))</f>
        <v>0</v>
      </c>
      <c r="L407" s="78">
        <f t="shared" ca="1" si="211"/>
        <v>0</v>
      </c>
      <c r="M407" s="78">
        <f t="shared" ca="1" si="211"/>
        <v>0</v>
      </c>
      <c r="N407" s="78">
        <f t="shared" ca="1" si="211"/>
        <v>0</v>
      </c>
      <c r="O407" s="78">
        <f t="shared" ca="1" si="211"/>
        <v>0</v>
      </c>
      <c r="P407" s="78">
        <f t="shared" ca="1" si="211"/>
        <v>0</v>
      </c>
      <c r="Q407" s="78">
        <f t="shared" ca="1" si="211"/>
        <v>0</v>
      </c>
      <c r="R407" s="78">
        <f t="shared" ca="1" si="211"/>
        <v>0</v>
      </c>
      <c r="S407" s="78">
        <f t="shared" ca="1" si="211"/>
        <v>0</v>
      </c>
      <c r="T407" s="78">
        <f t="shared" ca="1" si="211"/>
        <v>0</v>
      </c>
      <c r="U407" s="78">
        <f t="shared" ca="1" si="211"/>
        <v>0</v>
      </c>
      <c r="V407" s="78">
        <f t="shared" ca="1" si="211"/>
        <v>0</v>
      </c>
      <c r="W407" s="78">
        <f t="shared" ca="1" si="211"/>
        <v>0</v>
      </c>
      <c r="X407" s="78">
        <f t="shared" ca="1" si="211"/>
        <v>0</v>
      </c>
    </row>
    <row r="408" spans="1:24" hidden="1">
      <c r="A408" s="259"/>
      <c r="B408" s="20"/>
      <c r="C408" s="21"/>
      <c r="D408" s="21"/>
      <c r="E408" s="21"/>
      <c r="F408" s="21"/>
      <c r="G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</row>
    <row r="409" spans="1:24" hidden="1">
      <c r="A409" s="259"/>
      <c r="B409" s="20" t="s">
        <v>454</v>
      </c>
      <c r="C409" s="21">
        <f>C402+1</f>
        <v>14</v>
      </c>
      <c r="D409" s="21" t="str">
        <f ca="1">OFFSET($B$28,C409,0)</f>
        <v/>
      </c>
      <c r="E409" s="483">
        <f>E402+1</f>
        <v>14</v>
      </c>
      <c r="F409" s="21"/>
      <c r="G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idden="1">
      <c r="A410" s="259"/>
      <c r="B410" s="21" t="s">
        <v>414</v>
      </c>
      <c r="C410" s="165">
        <f ca="1">IFERROR(YEAR(OFFSET($D$28,C409,0)),0)</f>
        <v>0</v>
      </c>
      <c r="D410" s="21"/>
      <c r="E410" s="21"/>
      <c r="F410" s="21"/>
      <c r="G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idden="1">
      <c r="A411" s="259"/>
      <c r="B411" s="21" t="s">
        <v>406</v>
      </c>
      <c r="C411" s="22">
        <f ca="1">OFFSET($F$28,C409,0)</f>
        <v>0</v>
      </c>
      <c r="D411" s="21"/>
      <c r="E411" s="21"/>
      <c r="F411" s="21"/>
      <c r="G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</row>
    <row r="412" spans="1:24" hidden="1">
      <c r="A412" s="259"/>
      <c r="B412" s="21" t="s">
        <v>415</v>
      </c>
      <c r="C412" s="22">
        <f ca="1">ROUND(C411*am_prace_rozwojowe,0)</f>
        <v>0</v>
      </c>
      <c r="D412" s="21"/>
      <c r="E412" s="21"/>
      <c r="F412" s="21"/>
      <c r="G412" s="21"/>
      <c r="I412" s="21"/>
      <c r="J412" s="483" cm="1">
        <f t="array" aca="1" ref="J412" ca="1">OFFSET('Środki trwałe'!$C$195,'Rozliczenie dotacji'!E409,,)</f>
        <v>0</v>
      </c>
      <c r="K412" s="76">
        <f ca="1">IFERROR(ROUND(IF(($C410+1)=K$25,$C412,0),0),0)</f>
        <v>0</v>
      </c>
      <c r="L412" s="248">
        <f ca="1">ROUND(IF(OR(AND($C410=LataProjekcji,$E410&gt;0),AND($C410=LataProjekcji,$E410=0,$D411&lt;=10)),$E411,IF($C410&lt;LataProjekcji,IF((SUM($K412:K412)+$C412)&lt;$C411,$C412,$C411-SUM($K412:K412)),0)),0)</f>
        <v>0</v>
      </c>
      <c r="M412" s="248">
        <f ca="1">ROUND(IF(OR(AND($C410=LataProjekcji,$E410&gt;0),AND($C410=LataProjekcji,$E410=0,$D411&lt;=10)),$E411,IF($C410&lt;LataProjekcji,IF((SUM($K412:L412)+$C412)&lt;$C411,$C412,$C411-SUM($K412:L412)),0)),0)</f>
        <v>0</v>
      </c>
      <c r="N412" s="248">
        <f ca="1">ROUND(IF(OR(AND($C410=LataProjekcji,$E410&gt;0),AND($C410=LataProjekcji,$E410=0,$D411&lt;=10)),$E411,IF($C410&lt;LataProjekcji,IF((SUM($K412:M412)+$C412)&lt;$C411,$C412,$C411-SUM($K412:M412)),0)),0)</f>
        <v>0</v>
      </c>
      <c r="O412" s="248">
        <f ca="1">ROUND(IF(OR(AND($C410=LataProjekcji,$E410&gt;0),AND($C410=LataProjekcji,$E410=0,$D411&lt;=10)),$E411,IF($C410&lt;LataProjekcji,IF((SUM($K412:N412)+$C412)&lt;$C411,$C412,$C411-SUM($K412:N412)),0)),0)</f>
        <v>0</v>
      </c>
      <c r="P412" s="248">
        <f ca="1">ROUND(IF(OR(AND($C410=LataProjekcji,$E410&gt;0),AND($C410=LataProjekcji,$E410=0,$D411&lt;=10)),$E411,IF($C410&lt;LataProjekcji,IF((SUM($K412:O412)+$C412)&lt;$C411,$C412,$C411-SUM($K412:O412)),0)),0)</f>
        <v>0</v>
      </c>
      <c r="Q412" s="248">
        <f ca="1">ROUND(IF(OR(AND($C410=LataProjekcji,$E410&gt;0),AND($C410=LataProjekcji,$E410=0,$D411&lt;=10)),$E411,IF($C410&lt;LataProjekcji,IF((SUM($K412:P412)+$C412)&lt;$C411,$C412,$C411-SUM($K412:P412)),0)),0)</f>
        <v>0</v>
      </c>
      <c r="R412" s="248">
        <f ca="1">ROUND(IF(OR(AND($C410=LataProjekcji,$E410&gt;0),AND($C410=LataProjekcji,$E410=0,$D411&lt;=10)),$E411,IF($C410&lt;LataProjekcji,IF((SUM($K412:Q412)+$C412)&lt;$C411,$C412,$C411-SUM($K412:Q412)),0)),0)</f>
        <v>0</v>
      </c>
      <c r="S412" s="248">
        <f ca="1">ROUND(IF(OR(AND($C410=LataProjekcji,$E410&gt;0),AND($C410=LataProjekcji,$E410=0,$D411&lt;=10)),$E411,IF($C410&lt;LataProjekcji,IF((SUM($K412:R412)+$C412)&lt;$C411,$C412,$C411-SUM($K412:R412)),0)),0)</f>
        <v>0</v>
      </c>
      <c r="T412" s="248">
        <f ca="1">ROUND(IF(OR(AND($C410=LataProjekcji,$E410&gt;0),AND($C410=LataProjekcji,$E410=0,$D411&lt;=10)),$E411,IF($C410&lt;LataProjekcji,IF((SUM($K412:S412)+$C412)&lt;$C411,$C412,$C411-SUM($K412:S412)),0)),0)</f>
        <v>0</v>
      </c>
      <c r="U412" s="248">
        <f ca="1">ROUND(IF(OR(AND($C410=LataProjekcji,$E410&gt;0),AND($C410=LataProjekcji,$E410=0,$D411&lt;=10)),$E411,IF($C410&lt;LataProjekcji,IF((SUM($K412:T412)+$C412)&lt;$C411,$C412,$C411-SUM($K412:T412)),0)),0)</f>
        <v>0</v>
      </c>
      <c r="V412" s="248">
        <f ca="1">ROUND(IF(OR(AND($C410=LataProjekcji,$E410&gt;0),AND($C410=LataProjekcji,$E410=0,$D411&lt;=10)),$E411,IF($C410&lt;LataProjekcji,IF((SUM($K412:U412)+$C412)&lt;$C411,$C412,$C411-SUM($K412:U412)),0)),0)</f>
        <v>0</v>
      </c>
      <c r="W412" s="248">
        <f ca="1">ROUND(IF(OR(AND($C410=LataProjekcji,$E410&gt;0),AND($C410=LataProjekcji,$E410=0,$D411&lt;=10)),$E411,IF($C410&lt;LataProjekcji,IF((SUM($K412:V412)+$C412)&lt;$C411,$C412,$C411-SUM($K412:V412)),0)),0)</f>
        <v>0</v>
      </c>
      <c r="X412" s="248">
        <f ca="1">ROUND(IF(OR(AND($C410=LataProjekcji,$E410&gt;0),AND($C410=LataProjekcji,$E410=0,$D411&lt;=10)),$E411,IF($C410&lt;LataProjekcji,IF((SUM($K412:W412)+$C412)&lt;$C411,$C412,$C411-SUM($K412:W412)),0)),0)</f>
        <v>0</v>
      </c>
    </row>
    <row r="413" spans="1:24" hidden="1">
      <c r="A413" s="259"/>
      <c r="B413" s="21" t="s">
        <v>416</v>
      </c>
      <c r="C413" s="22"/>
      <c r="D413" s="21"/>
      <c r="E413" s="21"/>
      <c r="F413" s="21"/>
      <c r="G413" s="21"/>
      <c r="I413" s="21"/>
      <c r="J413" s="21"/>
      <c r="K413" s="22">
        <f ca="1">ROUND(K412,0)</f>
        <v>0</v>
      </c>
      <c r="L413" s="22">
        <f t="shared" ref="L413" ca="1" si="212">ROUND(K413+L412,0)</f>
        <v>0</v>
      </c>
      <c r="M413" s="22">
        <f t="shared" ref="M413" ca="1" si="213">ROUND(L413+M412,0)</f>
        <v>0</v>
      </c>
      <c r="N413" s="22">
        <f t="shared" ref="N413" ca="1" si="214">ROUND(M413+N412,0)</f>
        <v>0</v>
      </c>
      <c r="O413" s="22">
        <f t="shared" ref="O413" ca="1" si="215">ROUND(N413+O412,0)</f>
        <v>0</v>
      </c>
      <c r="P413" s="22">
        <f t="shared" ref="P413" ca="1" si="216">ROUND(O413+P412,0)</f>
        <v>0</v>
      </c>
      <c r="Q413" s="22">
        <f t="shared" ref="Q413" ca="1" si="217">ROUND(P413+Q412,0)</f>
        <v>0</v>
      </c>
      <c r="R413" s="22">
        <f t="shared" ref="R413" ca="1" si="218">ROUND(Q413+R412,0)</f>
        <v>0</v>
      </c>
      <c r="S413" s="22">
        <f t="shared" ref="S413" ca="1" si="219">ROUND(R413+S412,0)</f>
        <v>0</v>
      </c>
      <c r="T413" s="22">
        <f t="shared" ref="T413" ca="1" si="220">ROUND(S413+T412,0)</f>
        <v>0</v>
      </c>
      <c r="U413" s="22">
        <f t="shared" ref="U413" ca="1" si="221">ROUND(T413+U412,0)</f>
        <v>0</v>
      </c>
      <c r="V413" s="22">
        <f t="shared" ref="V413" ca="1" si="222">ROUND(U413+V412,0)</f>
        <v>0</v>
      </c>
      <c r="W413" s="22">
        <f t="shared" ref="W413" ca="1" si="223">ROUND(V413+W412,0)</f>
        <v>0</v>
      </c>
      <c r="X413" s="22">
        <f t="shared" ref="X413" ca="1" si="224">ROUND(W413+X412,0)</f>
        <v>0</v>
      </c>
    </row>
    <row r="414" spans="1:24" hidden="1">
      <c r="A414" s="259"/>
      <c r="B414" s="21" t="s">
        <v>406</v>
      </c>
      <c r="C414" s="22"/>
      <c r="D414" s="21"/>
      <c r="E414" s="21"/>
      <c r="F414" s="21"/>
      <c r="G414" s="21"/>
      <c r="I414" s="21"/>
      <c r="J414" s="21"/>
      <c r="K414" s="78">
        <f t="shared" ref="K414:X414" ca="1" si="225">IF($C410=K$25,$C411,ROUND(IF(K412=0,0,$C411-K413),0))</f>
        <v>0</v>
      </c>
      <c r="L414" s="78">
        <f t="shared" ca="1" si="225"/>
        <v>0</v>
      </c>
      <c r="M414" s="78">
        <f t="shared" ca="1" si="225"/>
        <v>0</v>
      </c>
      <c r="N414" s="78">
        <f t="shared" ca="1" si="225"/>
        <v>0</v>
      </c>
      <c r="O414" s="78">
        <f t="shared" ca="1" si="225"/>
        <v>0</v>
      </c>
      <c r="P414" s="78">
        <f t="shared" ca="1" si="225"/>
        <v>0</v>
      </c>
      <c r="Q414" s="78">
        <f t="shared" ca="1" si="225"/>
        <v>0</v>
      </c>
      <c r="R414" s="78">
        <f t="shared" ca="1" si="225"/>
        <v>0</v>
      </c>
      <c r="S414" s="78">
        <f t="shared" ca="1" si="225"/>
        <v>0</v>
      </c>
      <c r="T414" s="78">
        <f t="shared" ca="1" si="225"/>
        <v>0</v>
      </c>
      <c r="U414" s="78">
        <f t="shared" ca="1" si="225"/>
        <v>0</v>
      </c>
      <c r="V414" s="78">
        <f t="shared" ca="1" si="225"/>
        <v>0</v>
      </c>
      <c r="W414" s="78">
        <f t="shared" ca="1" si="225"/>
        <v>0</v>
      </c>
      <c r="X414" s="78">
        <f t="shared" ca="1" si="225"/>
        <v>0</v>
      </c>
    </row>
    <row r="415" spans="1:24" hidden="1">
      <c r="A415" s="259"/>
      <c r="B415" s="21"/>
      <c r="C415" s="22"/>
      <c r="D415" s="21"/>
      <c r="E415" s="21"/>
      <c r="F415" s="21"/>
      <c r="G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idden="1">
      <c r="A416" s="259"/>
      <c r="B416" s="20" t="s">
        <v>454</v>
      </c>
      <c r="C416" s="21">
        <f>C409+1</f>
        <v>15</v>
      </c>
      <c r="D416" s="21" t="str">
        <f ca="1">OFFSET($B$28,C416,0)</f>
        <v/>
      </c>
      <c r="E416" s="483">
        <f>E409+1</f>
        <v>15</v>
      </c>
      <c r="F416" s="21"/>
      <c r="G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</row>
    <row r="417" spans="1:24" hidden="1">
      <c r="A417" s="259"/>
      <c r="B417" s="21" t="s">
        <v>414</v>
      </c>
      <c r="C417" s="165">
        <f ca="1">IFERROR(YEAR(OFFSET($D$28,C416,0)),0)</f>
        <v>0</v>
      </c>
      <c r="D417" s="21"/>
      <c r="E417" s="21"/>
      <c r="F417" s="21"/>
      <c r="G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idden="1">
      <c r="A418" s="259"/>
      <c r="B418" s="21" t="s">
        <v>406</v>
      </c>
      <c r="C418" s="22">
        <f ca="1">OFFSET($F$28,C416,0)</f>
        <v>0</v>
      </c>
      <c r="D418" s="21"/>
      <c r="E418" s="21"/>
      <c r="F418" s="21"/>
      <c r="G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</row>
    <row r="419" spans="1:24" hidden="1">
      <c r="A419" s="259"/>
      <c r="B419" s="21" t="s">
        <v>415</v>
      </c>
      <c r="C419" s="22">
        <f ca="1">ROUND(C418*am_prace_rozwojowe,0)</f>
        <v>0</v>
      </c>
      <c r="D419" s="21"/>
      <c r="E419" s="21"/>
      <c r="F419" s="21"/>
      <c r="G419" s="21"/>
      <c r="I419" s="21"/>
      <c r="J419" s="483" cm="1">
        <f t="array" aca="1" ref="J419" ca="1">OFFSET('Środki trwałe'!$C$195,'Rozliczenie dotacji'!E416,,)</f>
        <v>0</v>
      </c>
      <c r="K419" s="76">
        <f ca="1">IFERROR(ROUND(IF(($C417+1)=K$25,$C419,0),0),0)</f>
        <v>0</v>
      </c>
      <c r="L419" s="248">
        <f ca="1">ROUND(IF(OR(AND($C417=LataProjekcji,$E417&gt;0),AND($C417=LataProjekcji,$E417=0,$D418&lt;=10)),$E418,IF($C417&lt;LataProjekcji,IF((SUM($K419:K419)+$C419)&lt;$C418,$C419,$C418-SUM($K419:K419)),0)),0)</f>
        <v>0</v>
      </c>
      <c r="M419" s="248">
        <f ca="1">ROUND(IF(OR(AND($C417=LataProjekcji,$E417&gt;0),AND($C417=LataProjekcji,$E417=0,$D418&lt;=10)),$E418,IF($C417&lt;LataProjekcji,IF((SUM($K419:L419)+$C419)&lt;$C418,$C419,$C418-SUM($K419:L419)),0)),0)</f>
        <v>0</v>
      </c>
      <c r="N419" s="248">
        <f ca="1">ROUND(IF(OR(AND($C417=LataProjekcji,$E417&gt;0),AND($C417=LataProjekcji,$E417=0,$D418&lt;=10)),$E418,IF($C417&lt;LataProjekcji,IF((SUM($K419:M419)+$C419)&lt;$C418,$C419,$C418-SUM($K419:M419)),0)),0)</f>
        <v>0</v>
      </c>
      <c r="O419" s="248">
        <f ca="1">ROUND(IF(OR(AND($C417=LataProjekcji,$E417&gt;0),AND($C417=LataProjekcji,$E417=0,$D418&lt;=10)),$E418,IF($C417&lt;LataProjekcji,IF((SUM($K419:N419)+$C419)&lt;$C418,$C419,$C418-SUM($K419:N419)),0)),0)</f>
        <v>0</v>
      </c>
      <c r="P419" s="248">
        <f ca="1">ROUND(IF(OR(AND($C417=LataProjekcji,$E417&gt;0),AND($C417=LataProjekcji,$E417=0,$D418&lt;=10)),$E418,IF($C417&lt;LataProjekcji,IF((SUM($K419:O419)+$C419)&lt;$C418,$C419,$C418-SUM($K419:O419)),0)),0)</f>
        <v>0</v>
      </c>
      <c r="Q419" s="248">
        <f ca="1">ROUND(IF(OR(AND($C417=LataProjekcji,$E417&gt;0),AND($C417=LataProjekcji,$E417=0,$D418&lt;=10)),$E418,IF($C417&lt;LataProjekcji,IF((SUM($K419:P419)+$C419)&lt;$C418,$C419,$C418-SUM($K419:P419)),0)),0)</f>
        <v>0</v>
      </c>
      <c r="R419" s="248">
        <f ca="1">ROUND(IF(OR(AND($C417=LataProjekcji,$E417&gt;0),AND($C417=LataProjekcji,$E417=0,$D418&lt;=10)),$E418,IF($C417&lt;LataProjekcji,IF((SUM($K419:Q419)+$C419)&lt;$C418,$C419,$C418-SUM($K419:Q419)),0)),0)</f>
        <v>0</v>
      </c>
      <c r="S419" s="248">
        <f ca="1">ROUND(IF(OR(AND($C417=LataProjekcji,$E417&gt;0),AND($C417=LataProjekcji,$E417=0,$D418&lt;=10)),$E418,IF($C417&lt;LataProjekcji,IF((SUM($K419:R419)+$C419)&lt;$C418,$C419,$C418-SUM($K419:R419)),0)),0)</f>
        <v>0</v>
      </c>
      <c r="T419" s="248">
        <f ca="1">ROUND(IF(OR(AND($C417=LataProjekcji,$E417&gt;0),AND($C417=LataProjekcji,$E417=0,$D418&lt;=10)),$E418,IF($C417&lt;LataProjekcji,IF((SUM($K419:S419)+$C419)&lt;$C418,$C419,$C418-SUM($K419:S419)),0)),0)</f>
        <v>0</v>
      </c>
      <c r="U419" s="248">
        <f ca="1">ROUND(IF(OR(AND($C417=LataProjekcji,$E417&gt;0),AND($C417=LataProjekcji,$E417=0,$D418&lt;=10)),$E418,IF($C417&lt;LataProjekcji,IF((SUM($K419:T419)+$C419)&lt;$C418,$C419,$C418-SUM($K419:T419)),0)),0)</f>
        <v>0</v>
      </c>
      <c r="V419" s="248">
        <f ca="1">ROUND(IF(OR(AND($C417=LataProjekcji,$E417&gt;0),AND($C417=LataProjekcji,$E417=0,$D418&lt;=10)),$E418,IF($C417&lt;LataProjekcji,IF((SUM($K419:U419)+$C419)&lt;$C418,$C419,$C418-SUM($K419:U419)),0)),0)</f>
        <v>0</v>
      </c>
      <c r="W419" s="248">
        <f ca="1">ROUND(IF(OR(AND($C417=LataProjekcji,$E417&gt;0),AND($C417=LataProjekcji,$E417=0,$D418&lt;=10)),$E418,IF($C417&lt;LataProjekcji,IF((SUM($K419:V419)+$C419)&lt;$C418,$C419,$C418-SUM($K419:V419)),0)),0)</f>
        <v>0</v>
      </c>
      <c r="X419" s="248">
        <f ca="1">ROUND(IF(OR(AND($C417=LataProjekcji,$E417&gt;0),AND($C417=LataProjekcji,$E417=0,$D418&lt;=10)),$E418,IF($C417&lt;LataProjekcji,IF((SUM($K419:W419)+$C419)&lt;$C418,$C419,$C418-SUM($K419:W419)),0)),0)</f>
        <v>0</v>
      </c>
    </row>
    <row r="420" spans="1:24" hidden="1">
      <c r="A420" s="259"/>
      <c r="B420" s="21" t="s">
        <v>416</v>
      </c>
      <c r="C420" s="22"/>
      <c r="D420" s="21"/>
      <c r="E420" s="21"/>
      <c r="F420" s="21"/>
      <c r="G420" s="21"/>
      <c r="I420" s="21"/>
      <c r="J420" s="21"/>
      <c r="K420" s="22">
        <f ca="1">ROUND(K419,0)</f>
        <v>0</v>
      </c>
      <c r="L420" s="22">
        <f t="shared" ref="L420" ca="1" si="226">ROUND(K420+L419,0)</f>
        <v>0</v>
      </c>
      <c r="M420" s="22">
        <f t="shared" ref="M420" ca="1" si="227">ROUND(L420+M419,0)</f>
        <v>0</v>
      </c>
      <c r="N420" s="22">
        <f t="shared" ref="N420" ca="1" si="228">ROUND(M420+N419,0)</f>
        <v>0</v>
      </c>
      <c r="O420" s="22">
        <f t="shared" ref="O420" ca="1" si="229">ROUND(N420+O419,0)</f>
        <v>0</v>
      </c>
      <c r="P420" s="22">
        <f t="shared" ref="P420" ca="1" si="230">ROUND(O420+P419,0)</f>
        <v>0</v>
      </c>
      <c r="Q420" s="22">
        <f t="shared" ref="Q420" ca="1" si="231">ROUND(P420+Q419,0)</f>
        <v>0</v>
      </c>
      <c r="R420" s="22">
        <f t="shared" ref="R420" ca="1" si="232">ROUND(Q420+R419,0)</f>
        <v>0</v>
      </c>
      <c r="S420" s="22">
        <f t="shared" ref="S420" ca="1" si="233">ROUND(R420+S419,0)</f>
        <v>0</v>
      </c>
      <c r="T420" s="22">
        <f t="shared" ref="T420" ca="1" si="234">ROUND(S420+T419,0)</f>
        <v>0</v>
      </c>
      <c r="U420" s="22">
        <f t="shared" ref="U420" ca="1" si="235">ROUND(T420+U419,0)</f>
        <v>0</v>
      </c>
      <c r="V420" s="22">
        <f t="shared" ref="V420" ca="1" si="236">ROUND(U420+V419,0)</f>
        <v>0</v>
      </c>
      <c r="W420" s="22">
        <f t="shared" ref="W420" ca="1" si="237">ROUND(V420+W419,0)</f>
        <v>0</v>
      </c>
      <c r="X420" s="22">
        <f t="shared" ref="X420" ca="1" si="238">ROUND(W420+X419,0)</f>
        <v>0</v>
      </c>
    </row>
    <row r="421" spans="1:24" hidden="1">
      <c r="A421" s="259"/>
      <c r="B421" s="21" t="s">
        <v>406</v>
      </c>
      <c r="C421" s="22"/>
      <c r="D421" s="21"/>
      <c r="E421" s="21"/>
      <c r="F421" s="21"/>
      <c r="G421" s="21"/>
      <c r="I421" s="21"/>
      <c r="J421" s="21"/>
      <c r="K421" s="78">
        <f t="shared" ref="K421:X421" ca="1" si="239">IF($C417=K$25,$C418,ROUND(IF(K419=0,0,$C418-K420),0))</f>
        <v>0</v>
      </c>
      <c r="L421" s="78">
        <f t="shared" ca="1" si="239"/>
        <v>0</v>
      </c>
      <c r="M421" s="78">
        <f t="shared" ca="1" si="239"/>
        <v>0</v>
      </c>
      <c r="N421" s="78">
        <f t="shared" ca="1" si="239"/>
        <v>0</v>
      </c>
      <c r="O421" s="78">
        <f t="shared" ca="1" si="239"/>
        <v>0</v>
      </c>
      <c r="P421" s="78">
        <f t="shared" ca="1" si="239"/>
        <v>0</v>
      </c>
      <c r="Q421" s="78">
        <f t="shared" ca="1" si="239"/>
        <v>0</v>
      </c>
      <c r="R421" s="78">
        <f t="shared" ca="1" si="239"/>
        <v>0</v>
      </c>
      <c r="S421" s="78">
        <f t="shared" ca="1" si="239"/>
        <v>0</v>
      </c>
      <c r="T421" s="78">
        <f t="shared" ca="1" si="239"/>
        <v>0</v>
      </c>
      <c r="U421" s="78">
        <f t="shared" ca="1" si="239"/>
        <v>0</v>
      </c>
      <c r="V421" s="78">
        <f t="shared" ca="1" si="239"/>
        <v>0</v>
      </c>
      <c r="W421" s="78">
        <f t="shared" ca="1" si="239"/>
        <v>0</v>
      </c>
      <c r="X421" s="78">
        <f t="shared" ca="1" si="239"/>
        <v>0</v>
      </c>
    </row>
    <row r="422" spans="1:24" hidden="1">
      <c r="A422" s="259"/>
      <c r="B422" s="21"/>
      <c r="C422" s="22"/>
      <c r="D422" s="21"/>
      <c r="E422" s="21"/>
      <c r="F422" s="21"/>
      <c r="G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idden="1">
      <c r="A423" s="259"/>
      <c r="B423" s="20" t="s">
        <v>454</v>
      </c>
      <c r="C423" s="21">
        <f>C416+1</f>
        <v>16</v>
      </c>
      <c r="D423" s="21" t="str">
        <f ca="1">OFFSET($B$28,C423,0)</f>
        <v/>
      </c>
      <c r="E423" s="483">
        <f>E416+1</f>
        <v>16</v>
      </c>
      <c r="F423" s="21"/>
      <c r="G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idden="1">
      <c r="A424" s="259"/>
      <c r="B424" s="21" t="s">
        <v>414</v>
      </c>
      <c r="C424" s="165">
        <f ca="1">IFERROR(YEAR(OFFSET($D$28,C423,0)),0)</f>
        <v>0</v>
      </c>
      <c r="D424" s="21"/>
      <c r="E424" s="21"/>
      <c r="F424" s="21"/>
      <c r="G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idden="1">
      <c r="A425" s="259"/>
      <c r="B425" s="21" t="s">
        <v>406</v>
      </c>
      <c r="C425" s="22">
        <f ca="1">OFFSET($F$28,C423,0)</f>
        <v>0</v>
      </c>
      <c r="D425" s="21"/>
      <c r="E425" s="21"/>
      <c r="F425" s="21"/>
      <c r="G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</row>
    <row r="426" spans="1:24" hidden="1">
      <c r="A426" s="259"/>
      <c r="B426" s="21" t="s">
        <v>415</v>
      </c>
      <c r="C426" s="22">
        <f ca="1">ROUND(C425*am_prace_rozwojowe,0)</f>
        <v>0</v>
      </c>
      <c r="D426" s="21"/>
      <c r="E426" s="21"/>
      <c r="F426" s="21"/>
      <c r="G426" s="21"/>
      <c r="I426" s="21"/>
      <c r="J426" s="483" cm="1">
        <f t="array" aca="1" ref="J426" ca="1">OFFSET('Środki trwałe'!$C$195,'Rozliczenie dotacji'!E423,,)</f>
        <v>0</v>
      </c>
      <c r="K426" s="76">
        <f ca="1">IFERROR(ROUND(IF(($C424+1)=K$25,$C426,0),0),0)</f>
        <v>0</v>
      </c>
      <c r="L426" s="248">
        <f ca="1">ROUND(IF(OR(AND($C424=LataProjekcji,$E424&gt;0),AND($C424=LataProjekcji,$E424=0,$D425&lt;=10)),$E425,IF($C424&lt;LataProjekcji,IF((SUM($K426:K426)+$C426)&lt;$C425,$C426,$C425-SUM($K426:K426)),0)),0)</f>
        <v>0</v>
      </c>
      <c r="M426" s="248">
        <f ca="1">ROUND(IF(OR(AND($C424=LataProjekcji,$E424&gt;0),AND($C424=LataProjekcji,$E424=0,$D425&lt;=10)),$E425,IF($C424&lt;LataProjekcji,IF((SUM($K426:L426)+$C426)&lt;$C425,$C426,$C425-SUM($K426:L426)),0)),0)</f>
        <v>0</v>
      </c>
      <c r="N426" s="248">
        <f ca="1">ROUND(IF(OR(AND($C424=LataProjekcji,$E424&gt;0),AND($C424=LataProjekcji,$E424=0,$D425&lt;=10)),$E425,IF($C424&lt;LataProjekcji,IF((SUM($K426:M426)+$C426)&lt;$C425,$C426,$C425-SUM($K426:M426)),0)),0)</f>
        <v>0</v>
      </c>
      <c r="O426" s="248">
        <f ca="1">ROUND(IF(OR(AND($C424=LataProjekcji,$E424&gt;0),AND($C424=LataProjekcji,$E424=0,$D425&lt;=10)),$E425,IF($C424&lt;LataProjekcji,IF((SUM($K426:N426)+$C426)&lt;$C425,$C426,$C425-SUM($K426:N426)),0)),0)</f>
        <v>0</v>
      </c>
      <c r="P426" s="248">
        <f ca="1">ROUND(IF(OR(AND($C424=LataProjekcji,$E424&gt;0),AND($C424=LataProjekcji,$E424=0,$D425&lt;=10)),$E425,IF($C424&lt;LataProjekcji,IF((SUM($K426:O426)+$C426)&lt;$C425,$C426,$C425-SUM($K426:O426)),0)),0)</f>
        <v>0</v>
      </c>
      <c r="Q426" s="248">
        <f ca="1">ROUND(IF(OR(AND($C424=LataProjekcji,$E424&gt;0),AND($C424=LataProjekcji,$E424=0,$D425&lt;=10)),$E425,IF($C424&lt;LataProjekcji,IF((SUM($K426:P426)+$C426)&lt;$C425,$C426,$C425-SUM($K426:P426)),0)),0)</f>
        <v>0</v>
      </c>
      <c r="R426" s="248">
        <f ca="1">ROUND(IF(OR(AND($C424=LataProjekcji,$E424&gt;0),AND($C424=LataProjekcji,$E424=0,$D425&lt;=10)),$E425,IF($C424&lt;LataProjekcji,IF((SUM($K426:Q426)+$C426)&lt;$C425,$C426,$C425-SUM($K426:Q426)),0)),0)</f>
        <v>0</v>
      </c>
      <c r="S426" s="248">
        <f ca="1">ROUND(IF(OR(AND($C424=LataProjekcji,$E424&gt;0),AND($C424=LataProjekcji,$E424=0,$D425&lt;=10)),$E425,IF($C424&lt;LataProjekcji,IF((SUM($K426:R426)+$C426)&lt;$C425,$C426,$C425-SUM($K426:R426)),0)),0)</f>
        <v>0</v>
      </c>
      <c r="T426" s="248">
        <f ca="1">ROUND(IF(OR(AND($C424=LataProjekcji,$E424&gt;0),AND($C424=LataProjekcji,$E424=0,$D425&lt;=10)),$E425,IF($C424&lt;LataProjekcji,IF((SUM($K426:S426)+$C426)&lt;$C425,$C426,$C425-SUM($K426:S426)),0)),0)</f>
        <v>0</v>
      </c>
      <c r="U426" s="248">
        <f ca="1">ROUND(IF(OR(AND($C424=LataProjekcji,$E424&gt;0),AND($C424=LataProjekcji,$E424=0,$D425&lt;=10)),$E425,IF($C424&lt;LataProjekcji,IF((SUM($K426:T426)+$C426)&lt;$C425,$C426,$C425-SUM($K426:T426)),0)),0)</f>
        <v>0</v>
      </c>
      <c r="V426" s="248">
        <f ca="1">ROUND(IF(OR(AND($C424=LataProjekcji,$E424&gt;0),AND($C424=LataProjekcji,$E424=0,$D425&lt;=10)),$E425,IF($C424&lt;LataProjekcji,IF((SUM($K426:U426)+$C426)&lt;$C425,$C426,$C425-SUM($K426:U426)),0)),0)</f>
        <v>0</v>
      </c>
      <c r="W426" s="248">
        <f ca="1">ROUND(IF(OR(AND($C424=LataProjekcji,$E424&gt;0),AND($C424=LataProjekcji,$E424=0,$D425&lt;=10)),$E425,IF($C424&lt;LataProjekcji,IF((SUM($K426:V426)+$C426)&lt;$C425,$C426,$C425-SUM($K426:V426)),0)),0)</f>
        <v>0</v>
      </c>
      <c r="X426" s="248">
        <f ca="1">ROUND(IF(OR(AND($C424=LataProjekcji,$E424&gt;0),AND($C424=LataProjekcji,$E424=0,$D425&lt;=10)),$E425,IF($C424&lt;LataProjekcji,IF((SUM($K426:W426)+$C426)&lt;$C425,$C426,$C425-SUM($K426:W426)),0)),0)</f>
        <v>0</v>
      </c>
    </row>
    <row r="427" spans="1:24" hidden="1">
      <c r="A427" s="259"/>
      <c r="B427" s="21" t="s">
        <v>416</v>
      </c>
      <c r="C427" s="22"/>
      <c r="D427" s="21"/>
      <c r="E427" s="21"/>
      <c r="F427" s="21"/>
      <c r="G427" s="21"/>
      <c r="I427" s="21"/>
      <c r="J427" s="21"/>
      <c r="K427" s="22">
        <f ca="1">ROUND(K426,0)</f>
        <v>0</v>
      </c>
      <c r="L427" s="22">
        <f t="shared" ref="L427" ca="1" si="240">ROUND(K427+L426,0)</f>
        <v>0</v>
      </c>
      <c r="M427" s="22">
        <f t="shared" ref="M427" ca="1" si="241">ROUND(L427+M426,0)</f>
        <v>0</v>
      </c>
      <c r="N427" s="22">
        <f t="shared" ref="N427" ca="1" si="242">ROUND(M427+N426,0)</f>
        <v>0</v>
      </c>
      <c r="O427" s="22">
        <f t="shared" ref="O427" ca="1" si="243">ROUND(N427+O426,0)</f>
        <v>0</v>
      </c>
      <c r="P427" s="22">
        <f t="shared" ref="P427" ca="1" si="244">ROUND(O427+P426,0)</f>
        <v>0</v>
      </c>
      <c r="Q427" s="22">
        <f t="shared" ref="Q427" ca="1" si="245">ROUND(P427+Q426,0)</f>
        <v>0</v>
      </c>
      <c r="R427" s="22">
        <f t="shared" ref="R427" ca="1" si="246">ROUND(Q427+R426,0)</f>
        <v>0</v>
      </c>
      <c r="S427" s="22">
        <f t="shared" ref="S427" ca="1" si="247">ROUND(R427+S426,0)</f>
        <v>0</v>
      </c>
      <c r="T427" s="22">
        <f t="shared" ref="T427" ca="1" si="248">ROUND(S427+T426,0)</f>
        <v>0</v>
      </c>
      <c r="U427" s="22">
        <f t="shared" ref="U427" ca="1" si="249">ROUND(T427+U426,0)</f>
        <v>0</v>
      </c>
      <c r="V427" s="22">
        <f t="shared" ref="V427" ca="1" si="250">ROUND(U427+V426,0)</f>
        <v>0</v>
      </c>
      <c r="W427" s="22">
        <f t="shared" ref="W427" ca="1" si="251">ROUND(V427+W426,0)</f>
        <v>0</v>
      </c>
      <c r="X427" s="22">
        <f t="shared" ref="X427" ca="1" si="252">ROUND(W427+X426,0)</f>
        <v>0</v>
      </c>
    </row>
    <row r="428" spans="1:24" hidden="1">
      <c r="A428" s="259"/>
      <c r="B428" s="21" t="s">
        <v>406</v>
      </c>
      <c r="C428" s="22"/>
      <c r="D428" s="21"/>
      <c r="E428" s="21"/>
      <c r="F428" s="21"/>
      <c r="G428" s="21"/>
      <c r="I428" s="21"/>
      <c r="J428" s="21"/>
      <c r="K428" s="78">
        <f t="shared" ref="K428:X428" ca="1" si="253">IF($C424=K$25,$C425,ROUND(IF(K426=0,0,$C425-K427),0))</f>
        <v>0</v>
      </c>
      <c r="L428" s="78">
        <f t="shared" ca="1" si="253"/>
        <v>0</v>
      </c>
      <c r="M428" s="78">
        <f t="shared" ca="1" si="253"/>
        <v>0</v>
      </c>
      <c r="N428" s="78">
        <f t="shared" ca="1" si="253"/>
        <v>0</v>
      </c>
      <c r="O428" s="78">
        <f t="shared" ca="1" si="253"/>
        <v>0</v>
      </c>
      <c r="P428" s="78">
        <f t="shared" ca="1" si="253"/>
        <v>0</v>
      </c>
      <c r="Q428" s="78">
        <f t="shared" ca="1" si="253"/>
        <v>0</v>
      </c>
      <c r="R428" s="78">
        <f t="shared" ca="1" si="253"/>
        <v>0</v>
      </c>
      <c r="S428" s="78">
        <f t="shared" ca="1" si="253"/>
        <v>0</v>
      </c>
      <c r="T428" s="78">
        <f t="shared" ca="1" si="253"/>
        <v>0</v>
      </c>
      <c r="U428" s="78">
        <f t="shared" ca="1" si="253"/>
        <v>0</v>
      </c>
      <c r="V428" s="78">
        <f t="shared" ca="1" si="253"/>
        <v>0</v>
      </c>
      <c r="W428" s="78">
        <f t="shared" ca="1" si="253"/>
        <v>0</v>
      </c>
      <c r="X428" s="78">
        <f t="shared" ca="1" si="253"/>
        <v>0</v>
      </c>
    </row>
    <row r="429" spans="1:24" hidden="1">
      <c r="A429" s="259"/>
      <c r="B429" s="20"/>
      <c r="C429" s="21"/>
      <c r="D429" s="21"/>
      <c r="E429" s="21"/>
      <c r="F429" s="21"/>
      <c r="G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idden="1">
      <c r="A430" s="259"/>
      <c r="B430" s="20" t="s">
        <v>454</v>
      </c>
      <c r="C430" s="21">
        <f>C423+1</f>
        <v>17</v>
      </c>
      <c r="D430" s="21" t="str">
        <f ca="1">OFFSET($B$28,C430,0)</f>
        <v/>
      </c>
      <c r="E430" s="483">
        <f>E423+1</f>
        <v>17</v>
      </c>
      <c r="F430" s="21"/>
      <c r="G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idden="1">
      <c r="A431" s="259"/>
      <c r="B431" s="21" t="s">
        <v>414</v>
      </c>
      <c r="C431" s="165">
        <f ca="1">IFERROR(YEAR(OFFSET($D$28,C430,0)),0)</f>
        <v>0</v>
      </c>
      <c r="D431" s="21"/>
      <c r="E431" s="21"/>
      <c r="F431" s="21"/>
      <c r="G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idden="1">
      <c r="A432" s="259"/>
      <c r="B432" s="21" t="s">
        <v>406</v>
      </c>
      <c r="C432" s="22">
        <f ca="1">OFFSET($F$28,C430,0)</f>
        <v>0</v>
      </c>
      <c r="D432" s="21"/>
      <c r="E432" s="21"/>
      <c r="F432" s="21"/>
      <c r="G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</row>
    <row r="433" spans="1:24" hidden="1">
      <c r="A433" s="259"/>
      <c r="B433" s="21" t="s">
        <v>415</v>
      </c>
      <c r="C433" s="22">
        <f ca="1">ROUND(C432*am_prace_rozwojowe,0)</f>
        <v>0</v>
      </c>
      <c r="D433" s="21"/>
      <c r="E433" s="21"/>
      <c r="F433" s="21"/>
      <c r="G433" s="21"/>
      <c r="I433" s="21"/>
      <c r="J433" s="483" cm="1">
        <f t="array" aca="1" ref="J433" ca="1">OFFSET('Środki trwałe'!$C$195,'Rozliczenie dotacji'!E430,,)</f>
        <v>0</v>
      </c>
      <c r="K433" s="76">
        <f ca="1">IFERROR(ROUND(IF(($C431+1)=K$25,$C433,0),0),0)</f>
        <v>0</v>
      </c>
      <c r="L433" s="248">
        <f ca="1">ROUND(IF(OR(AND($C431=LataProjekcji,$E431&gt;0),AND($C431=LataProjekcji,$E431=0,$D432&lt;=10)),$E432,IF($C431&lt;LataProjekcji,IF((SUM($K433:K433)+$C433)&lt;$C432,$C433,$C432-SUM($K433:K433)),0)),0)</f>
        <v>0</v>
      </c>
      <c r="M433" s="248">
        <f ca="1">ROUND(IF(OR(AND($C431=LataProjekcji,$E431&gt;0),AND($C431=LataProjekcji,$E431=0,$D432&lt;=10)),$E432,IF($C431&lt;LataProjekcji,IF((SUM($K433:L433)+$C433)&lt;$C432,$C433,$C432-SUM($K433:L433)),0)),0)</f>
        <v>0</v>
      </c>
      <c r="N433" s="248">
        <f ca="1">ROUND(IF(OR(AND($C431=LataProjekcji,$E431&gt;0),AND($C431=LataProjekcji,$E431=0,$D432&lt;=10)),$E432,IF($C431&lt;LataProjekcji,IF((SUM($K433:M433)+$C433)&lt;$C432,$C433,$C432-SUM($K433:M433)),0)),0)</f>
        <v>0</v>
      </c>
      <c r="O433" s="248">
        <f ca="1">ROUND(IF(OR(AND($C431=LataProjekcji,$E431&gt;0),AND($C431=LataProjekcji,$E431=0,$D432&lt;=10)),$E432,IF($C431&lt;LataProjekcji,IF((SUM($K433:N433)+$C433)&lt;$C432,$C433,$C432-SUM($K433:N433)),0)),0)</f>
        <v>0</v>
      </c>
      <c r="P433" s="248">
        <f ca="1">ROUND(IF(OR(AND($C431=LataProjekcji,$E431&gt;0),AND($C431=LataProjekcji,$E431=0,$D432&lt;=10)),$E432,IF($C431&lt;LataProjekcji,IF((SUM($K433:O433)+$C433)&lt;$C432,$C433,$C432-SUM($K433:O433)),0)),0)</f>
        <v>0</v>
      </c>
      <c r="Q433" s="248">
        <f ca="1">ROUND(IF(OR(AND($C431=LataProjekcji,$E431&gt;0),AND($C431=LataProjekcji,$E431=0,$D432&lt;=10)),$E432,IF($C431&lt;LataProjekcji,IF((SUM($K433:P433)+$C433)&lt;$C432,$C433,$C432-SUM($K433:P433)),0)),0)</f>
        <v>0</v>
      </c>
      <c r="R433" s="248">
        <f ca="1">ROUND(IF(OR(AND($C431=LataProjekcji,$E431&gt;0),AND($C431=LataProjekcji,$E431=0,$D432&lt;=10)),$E432,IF($C431&lt;LataProjekcji,IF((SUM($K433:Q433)+$C433)&lt;$C432,$C433,$C432-SUM($K433:Q433)),0)),0)</f>
        <v>0</v>
      </c>
      <c r="S433" s="248">
        <f ca="1">ROUND(IF(OR(AND($C431=LataProjekcji,$E431&gt;0),AND($C431=LataProjekcji,$E431=0,$D432&lt;=10)),$E432,IF($C431&lt;LataProjekcji,IF((SUM($K433:R433)+$C433)&lt;$C432,$C433,$C432-SUM($K433:R433)),0)),0)</f>
        <v>0</v>
      </c>
      <c r="T433" s="248">
        <f ca="1">ROUND(IF(OR(AND($C431=LataProjekcji,$E431&gt;0),AND($C431=LataProjekcji,$E431=0,$D432&lt;=10)),$E432,IF($C431&lt;LataProjekcji,IF((SUM($K433:S433)+$C433)&lt;$C432,$C433,$C432-SUM($K433:S433)),0)),0)</f>
        <v>0</v>
      </c>
      <c r="U433" s="248">
        <f ca="1">ROUND(IF(OR(AND($C431=LataProjekcji,$E431&gt;0),AND($C431=LataProjekcji,$E431=0,$D432&lt;=10)),$E432,IF($C431&lt;LataProjekcji,IF((SUM($K433:T433)+$C433)&lt;$C432,$C433,$C432-SUM($K433:T433)),0)),0)</f>
        <v>0</v>
      </c>
      <c r="V433" s="248">
        <f ca="1">ROUND(IF(OR(AND($C431=LataProjekcji,$E431&gt;0),AND($C431=LataProjekcji,$E431=0,$D432&lt;=10)),$E432,IF($C431&lt;LataProjekcji,IF((SUM($K433:U433)+$C433)&lt;$C432,$C433,$C432-SUM($K433:U433)),0)),0)</f>
        <v>0</v>
      </c>
      <c r="W433" s="248">
        <f ca="1">ROUND(IF(OR(AND($C431=LataProjekcji,$E431&gt;0),AND($C431=LataProjekcji,$E431=0,$D432&lt;=10)),$E432,IF($C431&lt;LataProjekcji,IF((SUM($K433:V433)+$C433)&lt;$C432,$C433,$C432-SUM($K433:V433)),0)),0)</f>
        <v>0</v>
      </c>
      <c r="X433" s="248">
        <f ca="1">ROUND(IF(OR(AND($C431=LataProjekcji,$E431&gt;0),AND($C431=LataProjekcji,$E431=0,$D432&lt;=10)),$E432,IF($C431&lt;LataProjekcji,IF((SUM($K433:W433)+$C433)&lt;$C432,$C433,$C432-SUM($K433:W433)),0)),0)</f>
        <v>0</v>
      </c>
    </row>
    <row r="434" spans="1:24" hidden="1">
      <c r="A434" s="259"/>
      <c r="B434" s="21" t="s">
        <v>416</v>
      </c>
      <c r="C434" s="22"/>
      <c r="D434" s="21"/>
      <c r="E434" s="21"/>
      <c r="F434" s="21"/>
      <c r="G434" s="21"/>
      <c r="I434" s="21"/>
      <c r="J434" s="21"/>
      <c r="K434" s="22">
        <f ca="1">ROUND(K433,0)</f>
        <v>0</v>
      </c>
      <c r="L434" s="22">
        <f t="shared" ref="L434" ca="1" si="254">ROUND(K434+L433,0)</f>
        <v>0</v>
      </c>
      <c r="M434" s="22">
        <f t="shared" ref="M434" ca="1" si="255">ROUND(L434+M433,0)</f>
        <v>0</v>
      </c>
      <c r="N434" s="22">
        <f t="shared" ref="N434" ca="1" si="256">ROUND(M434+N433,0)</f>
        <v>0</v>
      </c>
      <c r="O434" s="22">
        <f t="shared" ref="O434" ca="1" si="257">ROUND(N434+O433,0)</f>
        <v>0</v>
      </c>
      <c r="P434" s="22">
        <f t="shared" ref="P434" ca="1" si="258">ROUND(O434+P433,0)</f>
        <v>0</v>
      </c>
      <c r="Q434" s="22">
        <f t="shared" ref="Q434" ca="1" si="259">ROUND(P434+Q433,0)</f>
        <v>0</v>
      </c>
      <c r="R434" s="22">
        <f t="shared" ref="R434" ca="1" si="260">ROUND(Q434+R433,0)</f>
        <v>0</v>
      </c>
      <c r="S434" s="22">
        <f t="shared" ref="S434" ca="1" si="261">ROUND(R434+S433,0)</f>
        <v>0</v>
      </c>
      <c r="T434" s="22">
        <f t="shared" ref="T434" ca="1" si="262">ROUND(S434+T433,0)</f>
        <v>0</v>
      </c>
      <c r="U434" s="22">
        <f t="shared" ref="U434" ca="1" si="263">ROUND(T434+U433,0)</f>
        <v>0</v>
      </c>
      <c r="V434" s="22">
        <f t="shared" ref="V434" ca="1" si="264">ROUND(U434+V433,0)</f>
        <v>0</v>
      </c>
      <c r="W434" s="22">
        <f t="shared" ref="W434" ca="1" si="265">ROUND(V434+W433,0)</f>
        <v>0</v>
      </c>
      <c r="X434" s="22">
        <f t="shared" ref="X434" ca="1" si="266">ROUND(W434+X433,0)</f>
        <v>0</v>
      </c>
    </row>
    <row r="435" spans="1:24" hidden="1">
      <c r="A435" s="259"/>
      <c r="B435" s="21" t="s">
        <v>406</v>
      </c>
      <c r="C435" s="22"/>
      <c r="D435" s="21"/>
      <c r="E435" s="21"/>
      <c r="F435" s="21"/>
      <c r="G435" s="21"/>
      <c r="I435" s="21"/>
      <c r="J435" s="21"/>
      <c r="K435" s="78">
        <f t="shared" ref="K435:X435" ca="1" si="267">IF($C431=K$25,$C432,ROUND(IF(K433=0,0,$C432-K434),0))</f>
        <v>0</v>
      </c>
      <c r="L435" s="78">
        <f t="shared" ca="1" si="267"/>
        <v>0</v>
      </c>
      <c r="M435" s="78">
        <f t="shared" ca="1" si="267"/>
        <v>0</v>
      </c>
      <c r="N435" s="78">
        <f t="shared" ca="1" si="267"/>
        <v>0</v>
      </c>
      <c r="O435" s="78">
        <f t="shared" ca="1" si="267"/>
        <v>0</v>
      </c>
      <c r="P435" s="78">
        <f t="shared" ca="1" si="267"/>
        <v>0</v>
      </c>
      <c r="Q435" s="78">
        <f t="shared" ca="1" si="267"/>
        <v>0</v>
      </c>
      <c r="R435" s="78">
        <f t="shared" ca="1" si="267"/>
        <v>0</v>
      </c>
      <c r="S435" s="78">
        <f t="shared" ca="1" si="267"/>
        <v>0</v>
      </c>
      <c r="T435" s="78">
        <f t="shared" ca="1" si="267"/>
        <v>0</v>
      </c>
      <c r="U435" s="78">
        <f t="shared" ca="1" si="267"/>
        <v>0</v>
      </c>
      <c r="V435" s="78">
        <f t="shared" ca="1" si="267"/>
        <v>0</v>
      </c>
      <c r="W435" s="78">
        <f t="shared" ca="1" si="267"/>
        <v>0</v>
      </c>
      <c r="X435" s="78">
        <f t="shared" ca="1" si="267"/>
        <v>0</v>
      </c>
    </row>
    <row r="436" spans="1:24" hidden="1">
      <c r="A436" s="259"/>
      <c r="B436" s="21"/>
      <c r="C436" s="22"/>
      <c r="D436" s="21"/>
      <c r="E436" s="21"/>
      <c r="F436" s="21"/>
      <c r="G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4" hidden="1">
      <c r="A437" s="259"/>
      <c r="B437" s="20" t="s">
        <v>454</v>
      </c>
      <c r="C437" s="21">
        <f>C430+1</f>
        <v>18</v>
      </c>
      <c r="D437" s="21" t="str">
        <f ca="1">OFFSET($B$28,C437,0)</f>
        <v/>
      </c>
      <c r="E437" s="483">
        <f>E430+1</f>
        <v>18</v>
      </c>
      <c r="F437" s="21"/>
      <c r="G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4" hidden="1">
      <c r="A438" s="259"/>
      <c r="B438" s="21" t="s">
        <v>414</v>
      </c>
      <c r="C438" s="165">
        <f ca="1">IFERROR(YEAR(OFFSET($D$28,C437,0)),0)</f>
        <v>0</v>
      </c>
      <c r="D438" s="21"/>
      <c r="E438" s="21"/>
      <c r="F438" s="21"/>
      <c r="G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4" hidden="1">
      <c r="A439" s="259"/>
      <c r="B439" s="21" t="s">
        <v>406</v>
      </c>
      <c r="C439" s="22">
        <f ca="1">OFFSET($F$28,C437,0)</f>
        <v>0</v>
      </c>
      <c r="D439" s="21"/>
      <c r="E439" s="21"/>
      <c r="F439" s="21"/>
      <c r="G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</row>
    <row r="440" spans="1:24" hidden="1">
      <c r="A440" s="259"/>
      <c r="B440" s="21" t="s">
        <v>415</v>
      </c>
      <c r="C440" s="22">
        <f ca="1">ROUND(C439*am_prace_rozwojowe,0)</f>
        <v>0</v>
      </c>
      <c r="D440" s="21"/>
      <c r="E440" s="21"/>
      <c r="F440" s="21"/>
      <c r="G440" s="21"/>
      <c r="I440" s="21"/>
      <c r="J440" s="483" cm="1">
        <f t="array" aca="1" ref="J440" ca="1">OFFSET('Środki trwałe'!$C$195,'Rozliczenie dotacji'!E437,,)</f>
        <v>0</v>
      </c>
      <c r="K440" s="76">
        <f ca="1">IFERROR(ROUND(IF(($C438+1)=K$25,$C440,0),0),0)</f>
        <v>0</v>
      </c>
      <c r="L440" s="248">
        <f ca="1">ROUND(IF(OR(AND($C438=LataProjekcji,$E438&gt;0),AND($C438=LataProjekcji,$E438=0,$D439&lt;=10)),$E439,IF($C438&lt;LataProjekcji,IF((SUM($K440:K440)+$C440)&lt;$C439,$C440,$C439-SUM($K440:K440)),0)),0)</f>
        <v>0</v>
      </c>
      <c r="M440" s="248">
        <f ca="1">ROUND(IF(OR(AND($C438=LataProjekcji,$E438&gt;0),AND($C438=LataProjekcji,$E438=0,$D439&lt;=10)),$E439,IF($C438&lt;LataProjekcji,IF((SUM($K440:L440)+$C440)&lt;$C439,$C440,$C439-SUM($K440:L440)),0)),0)</f>
        <v>0</v>
      </c>
      <c r="N440" s="248">
        <f ca="1">ROUND(IF(OR(AND($C438=LataProjekcji,$E438&gt;0),AND($C438=LataProjekcji,$E438=0,$D439&lt;=10)),$E439,IF($C438&lt;LataProjekcji,IF((SUM($K440:M440)+$C440)&lt;$C439,$C440,$C439-SUM($K440:M440)),0)),0)</f>
        <v>0</v>
      </c>
      <c r="O440" s="248">
        <f ca="1">ROUND(IF(OR(AND($C438=LataProjekcji,$E438&gt;0),AND($C438=LataProjekcji,$E438=0,$D439&lt;=10)),$E439,IF($C438&lt;LataProjekcji,IF((SUM($K440:N440)+$C440)&lt;$C439,$C440,$C439-SUM($K440:N440)),0)),0)</f>
        <v>0</v>
      </c>
      <c r="P440" s="248">
        <f ca="1">ROUND(IF(OR(AND($C438=LataProjekcji,$E438&gt;0),AND($C438=LataProjekcji,$E438=0,$D439&lt;=10)),$E439,IF($C438&lt;LataProjekcji,IF((SUM($K440:O440)+$C440)&lt;$C439,$C440,$C439-SUM($K440:O440)),0)),0)</f>
        <v>0</v>
      </c>
      <c r="Q440" s="248">
        <f ca="1">ROUND(IF(OR(AND($C438=LataProjekcji,$E438&gt;0),AND($C438=LataProjekcji,$E438=0,$D439&lt;=10)),$E439,IF($C438&lt;LataProjekcji,IF((SUM($K440:P440)+$C440)&lt;$C439,$C440,$C439-SUM($K440:P440)),0)),0)</f>
        <v>0</v>
      </c>
      <c r="R440" s="248">
        <f ca="1">ROUND(IF(OR(AND($C438=LataProjekcji,$E438&gt;0),AND($C438=LataProjekcji,$E438=0,$D439&lt;=10)),$E439,IF($C438&lt;LataProjekcji,IF((SUM($K440:Q440)+$C440)&lt;$C439,$C440,$C439-SUM($K440:Q440)),0)),0)</f>
        <v>0</v>
      </c>
      <c r="S440" s="248">
        <f ca="1">ROUND(IF(OR(AND($C438=LataProjekcji,$E438&gt;0),AND($C438=LataProjekcji,$E438=0,$D439&lt;=10)),$E439,IF($C438&lt;LataProjekcji,IF((SUM($K440:R440)+$C440)&lt;$C439,$C440,$C439-SUM($K440:R440)),0)),0)</f>
        <v>0</v>
      </c>
      <c r="T440" s="248">
        <f ca="1">ROUND(IF(OR(AND($C438=LataProjekcji,$E438&gt;0),AND($C438=LataProjekcji,$E438=0,$D439&lt;=10)),$E439,IF($C438&lt;LataProjekcji,IF((SUM($K440:S440)+$C440)&lt;$C439,$C440,$C439-SUM($K440:S440)),0)),0)</f>
        <v>0</v>
      </c>
      <c r="U440" s="248">
        <f ca="1">ROUND(IF(OR(AND($C438=LataProjekcji,$E438&gt;0),AND($C438=LataProjekcji,$E438=0,$D439&lt;=10)),$E439,IF($C438&lt;LataProjekcji,IF((SUM($K440:T440)+$C440)&lt;$C439,$C440,$C439-SUM($K440:T440)),0)),0)</f>
        <v>0</v>
      </c>
      <c r="V440" s="248">
        <f ca="1">ROUND(IF(OR(AND($C438=LataProjekcji,$E438&gt;0),AND($C438=LataProjekcji,$E438=0,$D439&lt;=10)),$E439,IF($C438&lt;LataProjekcji,IF((SUM($K440:U440)+$C440)&lt;$C439,$C440,$C439-SUM($K440:U440)),0)),0)</f>
        <v>0</v>
      </c>
      <c r="W440" s="248">
        <f ca="1">ROUND(IF(OR(AND($C438=LataProjekcji,$E438&gt;0),AND($C438=LataProjekcji,$E438=0,$D439&lt;=10)),$E439,IF($C438&lt;LataProjekcji,IF((SUM($K440:V440)+$C440)&lt;$C439,$C440,$C439-SUM($K440:V440)),0)),0)</f>
        <v>0</v>
      </c>
      <c r="X440" s="248">
        <f ca="1">ROUND(IF(OR(AND($C438=LataProjekcji,$E438&gt;0),AND($C438=LataProjekcji,$E438=0,$D439&lt;=10)),$E439,IF($C438&lt;LataProjekcji,IF((SUM($K440:W440)+$C440)&lt;$C439,$C440,$C439-SUM($K440:W440)),0)),0)</f>
        <v>0</v>
      </c>
    </row>
    <row r="441" spans="1:24" hidden="1">
      <c r="A441" s="259"/>
      <c r="B441" s="21" t="s">
        <v>416</v>
      </c>
      <c r="C441" s="22"/>
      <c r="D441" s="21"/>
      <c r="E441" s="21"/>
      <c r="F441" s="21"/>
      <c r="G441" s="21"/>
      <c r="I441" s="21"/>
      <c r="J441" s="21"/>
      <c r="K441" s="22">
        <f ca="1">ROUND(K440,0)</f>
        <v>0</v>
      </c>
      <c r="L441" s="22">
        <f t="shared" ref="L441" ca="1" si="268">ROUND(K441+L440,0)</f>
        <v>0</v>
      </c>
      <c r="M441" s="22">
        <f t="shared" ref="M441" ca="1" si="269">ROUND(L441+M440,0)</f>
        <v>0</v>
      </c>
      <c r="N441" s="22">
        <f t="shared" ref="N441" ca="1" si="270">ROUND(M441+N440,0)</f>
        <v>0</v>
      </c>
      <c r="O441" s="22">
        <f t="shared" ref="O441" ca="1" si="271">ROUND(N441+O440,0)</f>
        <v>0</v>
      </c>
      <c r="P441" s="22">
        <f t="shared" ref="P441" ca="1" si="272">ROUND(O441+P440,0)</f>
        <v>0</v>
      </c>
      <c r="Q441" s="22">
        <f t="shared" ref="Q441" ca="1" si="273">ROUND(P441+Q440,0)</f>
        <v>0</v>
      </c>
      <c r="R441" s="22">
        <f t="shared" ref="R441" ca="1" si="274">ROUND(Q441+R440,0)</f>
        <v>0</v>
      </c>
      <c r="S441" s="22">
        <f t="shared" ref="S441" ca="1" si="275">ROUND(R441+S440,0)</f>
        <v>0</v>
      </c>
      <c r="T441" s="22">
        <f t="shared" ref="T441" ca="1" si="276">ROUND(S441+T440,0)</f>
        <v>0</v>
      </c>
      <c r="U441" s="22">
        <f t="shared" ref="U441" ca="1" si="277">ROUND(T441+U440,0)</f>
        <v>0</v>
      </c>
      <c r="V441" s="22">
        <f t="shared" ref="V441" ca="1" si="278">ROUND(U441+V440,0)</f>
        <v>0</v>
      </c>
      <c r="W441" s="22">
        <f t="shared" ref="W441" ca="1" si="279">ROUND(V441+W440,0)</f>
        <v>0</v>
      </c>
      <c r="X441" s="22">
        <f t="shared" ref="X441" ca="1" si="280">ROUND(W441+X440,0)</f>
        <v>0</v>
      </c>
    </row>
    <row r="442" spans="1:24" hidden="1">
      <c r="A442" s="259"/>
      <c r="B442" s="21" t="s">
        <v>406</v>
      </c>
      <c r="C442" s="22"/>
      <c r="D442" s="21"/>
      <c r="E442" s="21"/>
      <c r="F442" s="21"/>
      <c r="G442" s="21"/>
      <c r="I442" s="21"/>
      <c r="J442" s="21"/>
      <c r="K442" s="78">
        <f t="shared" ref="K442:X442" ca="1" si="281">IF($C438=K$25,$C439,ROUND(IF(K440=0,0,$C439-K441),0))</f>
        <v>0</v>
      </c>
      <c r="L442" s="78">
        <f t="shared" ca="1" si="281"/>
        <v>0</v>
      </c>
      <c r="M442" s="78">
        <f t="shared" ca="1" si="281"/>
        <v>0</v>
      </c>
      <c r="N442" s="78">
        <f t="shared" ca="1" si="281"/>
        <v>0</v>
      </c>
      <c r="O442" s="78">
        <f t="shared" ca="1" si="281"/>
        <v>0</v>
      </c>
      <c r="P442" s="78">
        <f t="shared" ca="1" si="281"/>
        <v>0</v>
      </c>
      <c r="Q442" s="78">
        <f t="shared" ca="1" si="281"/>
        <v>0</v>
      </c>
      <c r="R442" s="78">
        <f t="shared" ca="1" si="281"/>
        <v>0</v>
      </c>
      <c r="S442" s="78">
        <f t="shared" ca="1" si="281"/>
        <v>0</v>
      </c>
      <c r="T442" s="78">
        <f t="shared" ca="1" si="281"/>
        <v>0</v>
      </c>
      <c r="U442" s="78">
        <f t="shared" ca="1" si="281"/>
        <v>0</v>
      </c>
      <c r="V442" s="78">
        <f t="shared" ca="1" si="281"/>
        <v>0</v>
      </c>
      <c r="W442" s="78">
        <f t="shared" ca="1" si="281"/>
        <v>0</v>
      </c>
      <c r="X442" s="78">
        <f t="shared" ca="1" si="281"/>
        <v>0</v>
      </c>
    </row>
    <row r="443" spans="1:24" hidden="1">
      <c r="A443" s="259"/>
      <c r="B443" s="21"/>
      <c r="C443" s="22"/>
      <c r="D443" s="21"/>
      <c r="E443" s="21"/>
      <c r="F443" s="21"/>
      <c r="G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4" hidden="1">
      <c r="A444" s="259"/>
      <c r="B444" s="20" t="s">
        <v>454</v>
      </c>
      <c r="C444" s="21">
        <f>C437+1</f>
        <v>19</v>
      </c>
      <c r="D444" s="21" t="str">
        <f ca="1">OFFSET($B$28,C444,0)</f>
        <v/>
      </c>
      <c r="E444" s="483">
        <f>E437+1</f>
        <v>19</v>
      </c>
      <c r="F444" s="21"/>
      <c r="G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</row>
    <row r="445" spans="1:24" hidden="1">
      <c r="A445" s="259"/>
      <c r="B445" s="21" t="s">
        <v>414</v>
      </c>
      <c r="C445" s="165">
        <f ca="1">IFERROR(YEAR(OFFSET($D$28,C444,0)),0)</f>
        <v>0</v>
      </c>
      <c r="D445" s="21"/>
      <c r="E445" s="21"/>
      <c r="F445" s="21"/>
      <c r="G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4" hidden="1">
      <c r="A446" s="259"/>
      <c r="B446" s="21" t="s">
        <v>406</v>
      </c>
      <c r="C446" s="22">
        <f ca="1">OFFSET($F$28,C444,0)</f>
        <v>0</v>
      </c>
      <c r="D446" s="21"/>
      <c r="E446" s="21"/>
      <c r="F446" s="21"/>
      <c r="G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</row>
    <row r="447" spans="1:24" hidden="1">
      <c r="A447" s="259"/>
      <c r="B447" s="21" t="s">
        <v>415</v>
      </c>
      <c r="C447" s="22">
        <f ca="1">ROUND(C446*am_prace_rozwojowe,0)</f>
        <v>0</v>
      </c>
      <c r="D447" s="21"/>
      <c r="E447" s="21"/>
      <c r="F447" s="21"/>
      <c r="G447" s="21"/>
      <c r="I447" s="21"/>
      <c r="J447" s="483" cm="1">
        <f t="array" aca="1" ref="J447" ca="1">OFFSET('Środki trwałe'!$C$195,'Rozliczenie dotacji'!E444,,)</f>
        <v>0</v>
      </c>
      <c r="K447" s="76">
        <f ca="1">IFERROR(ROUND(IF(($C445+1)=K$25,$C447,0),0),0)</f>
        <v>0</v>
      </c>
      <c r="L447" s="248">
        <f ca="1">ROUND(IF(OR(AND($C445=LataProjekcji,$E445&gt;0),AND($C445=LataProjekcji,$E445=0,$D446&lt;=10)),$E446,IF($C445&lt;LataProjekcji,IF((SUM($K447:K447)+$C447)&lt;$C446,$C447,$C446-SUM($K447:K447)),0)),0)</f>
        <v>0</v>
      </c>
      <c r="M447" s="248">
        <f ca="1">ROUND(IF(OR(AND($C445=LataProjekcji,$E445&gt;0),AND($C445=LataProjekcji,$E445=0,$D446&lt;=10)),$E446,IF($C445&lt;LataProjekcji,IF((SUM($K447:L447)+$C447)&lt;$C446,$C447,$C446-SUM($K447:L447)),0)),0)</f>
        <v>0</v>
      </c>
      <c r="N447" s="248">
        <f ca="1">ROUND(IF(OR(AND($C445=LataProjekcji,$E445&gt;0),AND($C445=LataProjekcji,$E445=0,$D446&lt;=10)),$E446,IF($C445&lt;LataProjekcji,IF((SUM($K447:M447)+$C447)&lt;$C446,$C447,$C446-SUM($K447:M447)),0)),0)</f>
        <v>0</v>
      </c>
      <c r="O447" s="248">
        <f ca="1">ROUND(IF(OR(AND($C445=LataProjekcji,$E445&gt;0),AND($C445=LataProjekcji,$E445=0,$D446&lt;=10)),$E446,IF($C445&lt;LataProjekcji,IF((SUM($K447:N447)+$C447)&lt;$C446,$C447,$C446-SUM($K447:N447)),0)),0)</f>
        <v>0</v>
      </c>
      <c r="P447" s="248">
        <f ca="1">ROUND(IF(OR(AND($C445=LataProjekcji,$E445&gt;0),AND($C445=LataProjekcji,$E445=0,$D446&lt;=10)),$E446,IF($C445&lt;LataProjekcji,IF((SUM($K447:O447)+$C447)&lt;$C446,$C447,$C446-SUM($K447:O447)),0)),0)</f>
        <v>0</v>
      </c>
      <c r="Q447" s="248">
        <f ca="1">ROUND(IF(OR(AND($C445=LataProjekcji,$E445&gt;0),AND($C445=LataProjekcji,$E445=0,$D446&lt;=10)),$E446,IF($C445&lt;LataProjekcji,IF((SUM($K447:P447)+$C447)&lt;$C446,$C447,$C446-SUM($K447:P447)),0)),0)</f>
        <v>0</v>
      </c>
      <c r="R447" s="248">
        <f ca="1">ROUND(IF(OR(AND($C445=LataProjekcji,$E445&gt;0),AND($C445=LataProjekcji,$E445=0,$D446&lt;=10)),$E446,IF($C445&lt;LataProjekcji,IF((SUM($K447:Q447)+$C447)&lt;$C446,$C447,$C446-SUM($K447:Q447)),0)),0)</f>
        <v>0</v>
      </c>
      <c r="S447" s="248">
        <f ca="1">ROUND(IF(OR(AND($C445=LataProjekcji,$E445&gt;0),AND($C445=LataProjekcji,$E445=0,$D446&lt;=10)),$E446,IF($C445&lt;LataProjekcji,IF((SUM($K447:R447)+$C447)&lt;$C446,$C447,$C446-SUM($K447:R447)),0)),0)</f>
        <v>0</v>
      </c>
      <c r="T447" s="248">
        <f ca="1">ROUND(IF(OR(AND($C445=LataProjekcji,$E445&gt;0),AND($C445=LataProjekcji,$E445=0,$D446&lt;=10)),$E446,IF($C445&lt;LataProjekcji,IF((SUM($K447:S447)+$C447)&lt;$C446,$C447,$C446-SUM($K447:S447)),0)),0)</f>
        <v>0</v>
      </c>
      <c r="U447" s="248">
        <f ca="1">ROUND(IF(OR(AND($C445=LataProjekcji,$E445&gt;0),AND($C445=LataProjekcji,$E445=0,$D446&lt;=10)),$E446,IF($C445&lt;LataProjekcji,IF((SUM($K447:T447)+$C447)&lt;$C446,$C447,$C446-SUM($K447:T447)),0)),0)</f>
        <v>0</v>
      </c>
      <c r="V447" s="248">
        <f ca="1">ROUND(IF(OR(AND($C445=LataProjekcji,$E445&gt;0),AND($C445=LataProjekcji,$E445=0,$D446&lt;=10)),$E446,IF($C445&lt;LataProjekcji,IF((SUM($K447:U447)+$C447)&lt;$C446,$C447,$C446-SUM($K447:U447)),0)),0)</f>
        <v>0</v>
      </c>
      <c r="W447" s="248">
        <f ca="1">ROUND(IF(OR(AND($C445=LataProjekcji,$E445&gt;0),AND($C445=LataProjekcji,$E445=0,$D446&lt;=10)),$E446,IF($C445&lt;LataProjekcji,IF((SUM($K447:V447)+$C447)&lt;$C446,$C447,$C446-SUM($K447:V447)),0)),0)</f>
        <v>0</v>
      </c>
      <c r="X447" s="248">
        <f ca="1">ROUND(IF(OR(AND($C445=LataProjekcji,$E445&gt;0),AND($C445=LataProjekcji,$E445=0,$D446&lt;=10)),$E446,IF($C445&lt;LataProjekcji,IF((SUM($K447:W447)+$C447)&lt;$C446,$C447,$C446-SUM($K447:W447)),0)),0)</f>
        <v>0</v>
      </c>
    </row>
    <row r="448" spans="1:24" hidden="1">
      <c r="A448" s="259"/>
      <c r="B448" s="21" t="s">
        <v>416</v>
      </c>
      <c r="C448" s="22"/>
      <c r="D448" s="21"/>
      <c r="E448" s="21"/>
      <c r="F448" s="21"/>
      <c r="G448" s="21"/>
      <c r="I448" s="21"/>
      <c r="J448" s="21"/>
      <c r="K448" s="22">
        <f ca="1">ROUND(K447,0)</f>
        <v>0</v>
      </c>
      <c r="L448" s="22">
        <f t="shared" ref="L448" ca="1" si="282">ROUND(K448+L447,0)</f>
        <v>0</v>
      </c>
      <c r="M448" s="22">
        <f t="shared" ref="M448" ca="1" si="283">ROUND(L448+M447,0)</f>
        <v>0</v>
      </c>
      <c r="N448" s="22">
        <f t="shared" ref="N448" ca="1" si="284">ROUND(M448+N447,0)</f>
        <v>0</v>
      </c>
      <c r="O448" s="22">
        <f t="shared" ref="O448" ca="1" si="285">ROUND(N448+O447,0)</f>
        <v>0</v>
      </c>
      <c r="P448" s="22">
        <f t="shared" ref="P448" ca="1" si="286">ROUND(O448+P447,0)</f>
        <v>0</v>
      </c>
      <c r="Q448" s="22">
        <f t="shared" ref="Q448" ca="1" si="287">ROUND(P448+Q447,0)</f>
        <v>0</v>
      </c>
      <c r="R448" s="22">
        <f t="shared" ref="R448" ca="1" si="288">ROUND(Q448+R447,0)</f>
        <v>0</v>
      </c>
      <c r="S448" s="22">
        <f t="shared" ref="S448" ca="1" si="289">ROUND(R448+S447,0)</f>
        <v>0</v>
      </c>
      <c r="T448" s="22">
        <f t="shared" ref="T448" ca="1" si="290">ROUND(S448+T447,0)</f>
        <v>0</v>
      </c>
      <c r="U448" s="22">
        <f t="shared" ref="U448" ca="1" si="291">ROUND(T448+U447,0)</f>
        <v>0</v>
      </c>
      <c r="V448" s="22">
        <f t="shared" ref="V448" ca="1" si="292">ROUND(U448+V447,0)</f>
        <v>0</v>
      </c>
      <c r="W448" s="22">
        <f t="shared" ref="W448" ca="1" si="293">ROUND(V448+W447,0)</f>
        <v>0</v>
      </c>
      <c r="X448" s="22">
        <f t="shared" ref="X448" ca="1" si="294">ROUND(W448+X447,0)</f>
        <v>0</v>
      </c>
    </row>
    <row r="449" spans="1:24" hidden="1">
      <c r="A449" s="259"/>
      <c r="B449" s="21" t="s">
        <v>406</v>
      </c>
      <c r="C449" s="22"/>
      <c r="D449" s="21"/>
      <c r="E449" s="21"/>
      <c r="F449" s="21"/>
      <c r="G449" s="21"/>
      <c r="I449" s="21"/>
      <c r="J449" s="21"/>
      <c r="K449" s="78">
        <f t="shared" ref="K449:X449" ca="1" si="295">IF($C445=K$25,$C446,ROUND(IF(K447=0,0,$C446-K448),0))</f>
        <v>0</v>
      </c>
      <c r="L449" s="78">
        <f t="shared" ca="1" si="295"/>
        <v>0</v>
      </c>
      <c r="M449" s="78">
        <f t="shared" ca="1" si="295"/>
        <v>0</v>
      </c>
      <c r="N449" s="78">
        <f t="shared" ca="1" si="295"/>
        <v>0</v>
      </c>
      <c r="O449" s="78">
        <f t="shared" ca="1" si="295"/>
        <v>0</v>
      </c>
      <c r="P449" s="78">
        <f t="shared" ca="1" si="295"/>
        <v>0</v>
      </c>
      <c r="Q449" s="78">
        <f t="shared" ca="1" si="295"/>
        <v>0</v>
      </c>
      <c r="R449" s="78">
        <f t="shared" ca="1" si="295"/>
        <v>0</v>
      </c>
      <c r="S449" s="78">
        <f t="shared" ca="1" si="295"/>
        <v>0</v>
      </c>
      <c r="T449" s="78">
        <f t="shared" ca="1" si="295"/>
        <v>0</v>
      </c>
      <c r="U449" s="78">
        <f t="shared" ca="1" si="295"/>
        <v>0</v>
      </c>
      <c r="V449" s="78">
        <f t="shared" ca="1" si="295"/>
        <v>0</v>
      </c>
      <c r="W449" s="78">
        <f t="shared" ca="1" si="295"/>
        <v>0</v>
      </c>
      <c r="X449" s="78">
        <f t="shared" ca="1" si="295"/>
        <v>0</v>
      </c>
    </row>
    <row r="450" spans="1:24" hidden="1">
      <c r="A450" s="259"/>
      <c r="B450" s="20"/>
      <c r="C450" s="21"/>
      <c r="D450" s="21"/>
      <c r="E450" s="21"/>
      <c r="F450" s="21"/>
      <c r="G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idden="1">
      <c r="A451" s="259"/>
      <c r="B451" s="20" t="s">
        <v>454</v>
      </c>
      <c r="C451" s="21">
        <f>C444+1</f>
        <v>20</v>
      </c>
      <c r="D451" s="21" t="str">
        <f ca="1">OFFSET($B$28,C451,0)</f>
        <v/>
      </c>
      <c r="E451" s="483">
        <f>E444+1</f>
        <v>20</v>
      </c>
      <c r="F451" s="21"/>
      <c r="G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idden="1">
      <c r="A452" s="259"/>
      <c r="B452" s="21" t="s">
        <v>414</v>
      </c>
      <c r="C452" s="165">
        <f ca="1">IFERROR(YEAR(OFFSET($D$28,C451,0)),0)</f>
        <v>0</v>
      </c>
      <c r="D452" s="21"/>
      <c r="E452" s="21"/>
      <c r="F452" s="21"/>
      <c r="G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idden="1">
      <c r="A453" s="259"/>
      <c r="B453" s="21" t="s">
        <v>406</v>
      </c>
      <c r="C453" s="22">
        <f ca="1">OFFSET($F$28,C451,0)</f>
        <v>0</v>
      </c>
      <c r="D453" s="21"/>
      <c r="E453" s="21"/>
      <c r="F453" s="21"/>
      <c r="G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</row>
    <row r="454" spans="1:24" hidden="1">
      <c r="A454" s="259"/>
      <c r="B454" s="21" t="s">
        <v>415</v>
      </c>
      <c r="C454" s="22">
        <f ca="1">ROUND(C453*am_prace_rozwojowe,0)</f>
        <v>0</v>
      </c>
      <c r="D454" s="21"/>
      <c r="E454" s="21"/>
      <c r="F454" s="21"/>
      <c r="G454" s="21"/>
      <c r="I454" s="21"/>
      <c r="J454" s="483" cm="1">
        <f t="array" aca="1" ref="J454" ca="1">OFFSET('Środki trwałe'!$C$195,'Rozliczenie dotacji'!E451,,)</f>
        <v>0</v>
      </c>
      <c r="K454" s="76">
        <f ca="1">IFERROR(ROUND(IF(($C452+1)=K$25,$C454,0),0),0)</f>
        <v>0</v>
      </c>
      <c r="L454" s="248">
        <f ca="1">ROUND(IF(OR(AND($C452=LataProjekcji,$E452&gt;0),AND($C452=LataProjekcji,$E452=0,$D453&lt;=10)),$E453,IF($C452&lt;LataProjekcji,IF((SUM($K454:K454)+$C454)&lt;$C453,$C454,$C453-SUM($K454:K454)),0)),0)</f>
        <v>0</v>
      </c>
      <c r="M454" s="248">
        <f ca="1">ROUND(IF(OR(AND($C452=LataProjekcji,$E452&gt;0),AND($C452=LataProjekcji,$E452=0,$D453&lt;=10)),$E453,IF($C452&lt;LataProjekcji,IF((SUM($K454:L454)+$C454)&lt;$C453,$C454,$C453-SUM($K454:L454)),0)),0)</f>
        <v>0</v>
      </c>
      <c r="N454" s="248">
        <f ca="1">ROUND(IF(OR(AND($C452=LataProjekcji,$E452&gt;0),AND($C452=LataProjekcji,$E452=0,$D453&lt;=10)),$E453,IF($C452&lt;LataProjekcji,IF((SUM($K454:M454)+$C454)&lt;$C453,$C454,$C453-SUM($K454:M454)),0)),0)</f>
        <v>0</v>
      </c>
      <c r="O454" s="248">
        <f ca="1">ROUND(IF(OR(AND($C452=LataProjekcji,$E452&gt;0),AND($C452=LataProjekcji,$E452=0,$D453&lt;=10)),$E453,IF($C452&lt;LataProjekcji,IF((SUM($K454:N454)+$C454)&lt;$C453,$C454,$C453-SUM($K454:N454)),0)),0)</f>
        <v>0</v>
      </c>
      <c r="P454" s="248">
        <f ca="1">ROUND(IF(OR(AND($C452=LataProjekcji,$E452&gt;0),AND($C452=LataProjekcji,$E452=0,$D453&lt;=10)),$E453,IF($C452&lt;LataProjekcji,IF((SUM($K454:O454)+$C454)&lt;$C453,$C454,$C453-SUM($K454:O454)),0)),0)</f>
        <v>0</v>
      </c>
      <c r="Q454" s="248">
        <f ca="1">ROUND(IF(OR(AND($C452=LataProjekcji,$E452&gt;0),AND($C452=LataProjekcji,$E452=0,$D453&lt;=10)),$E453,IF($C452&lt;LataProjekcji,IF((SUM($K454:P454)+$C454)&lt;$C453,$C454,$C453-SUM($K454:P454)),0)),0)</f>
        <v>0</v>
      </c>
      <c r="R454" s="248">
        <f ca="1">ROUND(IF(OR(AND($C452=LataProjekcji,$E452&gt;0),AND($C452=LataProjekcji,$E452=0,$D453&lt;=10)),$E453,IF($C452&lt;LataProjekcji,IF((SUM($K454:Q454)+$C454)&lt;$C453,$C454,$C453-SUM($K454:Q454)),0)),0)</f>
        <v>0</v>
      </c>
      <c r="S454" s="248">
        <f ca="1">ROUND(IF(OR(AND($C452=LataProjekcji,$E452&gt;0),AND($C452=LataProjekcji,$E452=0,$D453&lt;=10)),$E453,IF($C452&lt;LataProjekcji,IF((SUM($K454:R454)+$C454)&lt;$C453,$C454,$C453-SUM($K454:R454)),0)),0)</f>
        <v>0</v>
      </c>
      <c r="T454" s="248">
        <f ca="1">ROUND(IF(OR(AND($C452=LataProjekcji,$E452&gt;0),AND($C452=LataProjekcji,$E452=0,$D453&lt;=10)),$E453,IF($C452&lt;LataProjekcji,IF((SUM($K454:S454)+$C454)&lt;$C453,$C454,$C453-SUM($K454:S454)),0)),0)</f>
        <v>0</v>
      </c>
      <c r="U454" s="248">
        <f ca="1">ROUND(IF(OR(AND($C452=LataProjekcji,$E452&gt;0),AND($C452=LataProjekcji,$E452=0,$D453&lt;=10)),$E453,IF($C452&lt;LataProjekcji,IF((SUM($K454:T454)+$C454)&lt;$C453,$C454,$C453-SUM($K454:T454)),0)),0)</f>
        <v>0</v>
      </c>
      <c r="V454" s="248">
        <f ca="1">ROUND(IF(OR(AND($C452=LataProjekcji,$E452&gt;0),AND($C452=LataProjekcji,$E452=0,$D453&lt;=10)),$E453,IF($C452&lt;LataProjekcji,IF((SUM($K454:U454)+$C454)&lt;$C453,$C454,$C453-SUM($K454:U454)),0)),0)</f>
        <v>0</v>
      </c>
      <c r="W454" s="248">
        <f ca="1">ROUND(IF(OR(AND($C452=LataProjekcji,$E452&gt;0),AND($C452=LataProjekcji,$E452=0,$D453&lt;=10)),$E453,IF($C452&lt;LataProjekcji,IF((SUM($K454:V454)+$C454)&lt;$C453,$C454,$C453-SUM($K454:V454)),0)),0)</f>
        <v>0</v>
      </c>
      <c r="X454" s="248">
        <f ca="1">ROUND(IF(OR(AND($C452=LataProjekcji,$E452&gt;0),AND($C452=LataProjekcji,$E452=0,$D453&lt;=10)),$E453,IF($C452&lt;LataProjekcji,IF((SUM($K454:W454)+$C454)&lt;$C453,$C454,$C453-SUM($K454:W454)),0)),0)</f>
        <v>0</v>
      </c>
    </row>
    <row r="455" spans="1:24" hidden="1">
      <c r="A455" s="259"/>
      <c r="B455" s="21" t="s">
        <v>416</v>
      </c>
      <c r="C455" s="22"/>
      <c r="D455" s="21"/>
      <c r="E455" s="21"/>
      <c r="F455" s="21"/>
      <c r="G455" s="21"/>
      <c r="I455" s="21"/>
      <c r="J455" s="21"/>
      <c r="K455" s="22">
        <f ca="1">ROUND(K454,0)</f>
        <v>0</v>
      </c>
      <c r="L455" s="22">
        <f t="shared" ref="L455" ca="1" si="296">ROUND(K455+L454,0)</f>
        <v>0</v>
      </c>
      <c r="M455" s="22">
        <f t="shared" ref="M455" ca="1" si="297">ROUND(L455+M454,0)</f>
        <v>0</v>
      </c>
      <c r="N455" s="22">
        <f t="shared" ref="N455" ca="1" si="298">ROUND(M455+N454,0)</f>
        <v>0</v>
      </c>
      <c r="O455" s="22">
        <f t="shared" ref="O455" ca="1" si="299">ROUND(N455+O454,0)</f>
        <v>0</v>
      </c>
      <c r="P455" s="22">
        <f t="shared" ref="P455" ca="1" si="300">ROUND(O455+P454,0)</f>
        <v>0</v>
      </c>
      <c r="Q455" s="22">
        <f t="shared" ref="Q455" ca="1" si="301">ROUND(P455+Q454,0)</f>
        <v>0</v>
      </c>
      <c r="R455" s="22">
        <f t="shared" ref="R455" ca="1" si="302">ROUND(Q455+R454,0)</f>
        <v>0</v>
      </c>
      <c r="S455" s="22">
        <f t="shared" ref="S455" ca="1" si="303">ROUND(R455+S454,0)</f>
        <v>0</v>
      </c>
      <c r="T455" s="22">
        <f t="shared" ref="T455" ca="1" si="304">ROUND(S455+T454,0)</f>
        <v>0</v>
      </c>
      <c r="U455" s="22">
        <f t="shared" ref="U455" ca="1" si="305">ROUND(T455+U454,0)</f>
        <v>0</v>
      </c>
      <c r="V455" s="22">
        <f t="shared" ref="V455" ca="1" si="306">ROUND(U455+V454,0)</f>
        <v>0</v>
      </c>
      <c r="W455" s="22">
        <f t="shared" ref="W455" ca="1" si="307">ROUND(V455+W454,0)</f>
        <v>0</v>
      </c>
      <c r="X455" s="22">
        <f t="shared" ref="X455" ca="1" si="308">ROUND(W455+X454,0)</f>
        <v>0</v>
      </c>
    </row>
    <row r="456" spans="1:24" hidden="1">
      <c r="A456" s="259"/>
      <c r="B456" s="21" t="s">
        <v>406</v>
      </c>
      <c r="C456" s="22"/>
      <c r="D456" s="21"/>
      <c r="E456" s="21"/>
      <c r="F456" s="21"/>
      <c r="G456" s="21"/>
      <c r="I456" s="21"/>
      <c r="J456" s="21"/>
      <c r="K456" s="78">
        <f t="shared" ref="K456:X456" ca="1" si="309">IF($C452=K$25,$C453,ROUND(IF(K454=0,0,$C453-K455),0))</f>
        <v>0</v>
      </c>
      <c r="L456" s="78">
        <f t="shared" ca="1" si="309"/>
        <v>0</v>
      </c>
      <c r="M456" s="78">
        <f t="shared" ca="1" si="309"/>
        <v>0</v>
      </c>
      <c r="N456" s="78">
        <f t="shared" ca="1" si="309"/>
        <v>0</v>
      </c>
      <c r="O456" s="78">
        <f t="shared" ca="1" si="309"/>
        <v>0</v>
      </c>
      <c r="P456" s="78">
        <f t="shared" ca="1" si="309"/>
        <v>0</v>
      </c>
      <c r="Q456" s="78">
        <f t="shared" ca="1" si="309"/>
        <v>0</v>
      </c>
      <c r="R456" s="78">
        <f t="shared" ca="1" si="309"/>
        <v>0</v>
      </c>
      <c r="S456" s="78">
        <f t="shared" ca="1" si="309"/>
        <v>0</v>
      </c>
      <c r="T456" s="78">
        <f t="shared" ca="1" si="309"/>
        <v>0</v>
      </c>
      <c r="U456" s="78">
        <f t="shared" ca="1" si="309"/>
        <v>0</v>
      </c>
      <c r="V456" s="78">
        <f t="shared" ca="1" si="309"/>
        <v>0</v>
      </c>
      <c r="W456" s="78">
        <f t="shared" ca="1" si="309"/>
        <v>0</v>
      </c>
      <c r="X456" s="78">
        <f t="shared" ca="1" si="309"/>
        <v>0</v>
      </c>
    </row>
    <row r="457" spans="1:24" hidden="1">
      <c r="A457" s="259"/>
      <c r="B457" s="21"/>
      <c r="C457" s="22"/>
      <c r="D457" s="21"/>
      <c r="E457" s="21"/>
      <c r="F457" s="21"/>
      <c r="G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 spans="1:24" hidden="1">
      <c r="A458" s="259"/>
      <c r="B458" s="20" t="s">
        <v>454</v>
      </c>
      <c r="C458" s="21">
        <v>21</v>
      </c>
      <c r="D458" s="21" t="str">
        <f ca="1">OFFSET($B$28,C458,0)</f>
        <v/>
      </c>
      <c r="E458" s="483">
        <f>E451+1</f>
        <v>21</v>
      </c>
      <c r="F458" s="21"/>
      <c r="G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 spans="1:24" hidden="1">
      <c r="A459" s="259"/>
      <c r="B459" s="21" t="s">
        <v>414</v>
      </c>
      <c r="C459" s="165">
        <f ca="1">IFERROR(YEAR(OFFSET($D$28,C458,0)),0)</f>
        <v>0</v>
      </c>
      <c r="D459" s="21"/>
      <c r="E459" s="21"/>
      <c r="F459" s="21"/>
      <c r="G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 spans="1:24" hidden="1">
      <c r="A460" s="259"/>
      <c r="B460" s="21" t="s">
        <v>406</v>
      </c>
      <c r="C460" s="22">
        <f ca="1">OFFSET($F$28,C458,0)</f>
        <v>0</v>
      </c>
      <c r="D460" s="21"/>
      <c r="E460" s="21"/>
      <c r="F460" s="21"/>
      <c r="G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</row>
    <row r="461" spans="1:24" hidden="1">
      <c r="A461" s="259"/>
      <c r="B461" s="21" t="s">
        <v>415</v>
      </c>
      <c r="C461" s="22">
        <f ca="1">ROUND(C460*am_prace_rozwojowe,0)</f>
        <v>0</v>
      </c>
      <c r="D461" s="21"/>
      <c r="E461" s="21"/>
      <c r="F461" s="21"/>
      <c r="G461" s="21"/>
      <c r="I461" s="21"/>
      <c r="J461" s="483" cm="1">
        <f t="array" aca="1" ref="J461" ca="1">OFFSET('Środki trwałe'!$C$195,'Rozliczenie dotacji'!E458,,)</f>
        <v>0</v>
      </c>
      <c r="K461" s="76">
        <f ca="1">IFERROR(ROUND(IF(($C459+1)=K$25,$C461,0),0),0)</f>
        <v>0</v>
      </c>
      <c r="L461" s="248">
        <f ca="1">ROUND(IF(OR(AND($C459=LataProjekcji,$E459&gt;0),AND($C459=LataProjekcji,$E459=0,$D460&lt;=10)),$E460,IF($C459&lt;LataProjekcji,IF((SUM($K461:K461)+$C461)&lt;$C460,$C461,$C460-SUM($K461:K461)),0)),0)</f>
        <v>0</v>
      </c>
      <c r="M461" s="248">
        <f ca="1">ROUND(IF(OR(AND($C459=LataProjekcji,$E459&gt;0),AND($C459=LataProjekcji,$E459=0,$D460&lt;=10)),$E460,IF($C459&lt;LataProjekcji,IF((SUM($K461:L461)+$C461)&lt;$C460,$C461,$C460-SUM($K461:L461)),0)),0)</f>
        <v>0</v>
      </c>
      <c r="N461" s="248">
        <f ca="1">ROUND(IF(OR(AND($C459=LataProjekcji,$E459&gt;0),AND($C459=LataProjekcji,$E459=0,$D460&lt;=10)),$E460,IF($C459&lt;LataProjekcji,IF((SUM($K461:M461)+$C461)&lt;$C460,$C461,$C460-SUM($K461:M461)),0)),0)</f>
        <v>0</v>
      </c>
      <c r="O461" s="248">
        <f ca="1">ROUND(IF(OR(AND($C459=LataProjekcji,$E459&gt;0),AND($C459=LataProjekcji,$E459=0,$D460&lt;=10)),$E460,IF($C459&lt;LataProjekcji,IF((SUM($K461:N461)+$C461)&lt;$C460,$C461,$C460-SUM($K461:N461)),0)),0)</f>
        <v>0</v>
      </c>
      <c r="P461" s="248">
        <f ca="1">ROUND(IF(OR(AND($C459=LataProjekcji,$E459&gt;0),AND($C459=LataProjekcji,$E459=0,$D460&lt;=10)),$E460,IF($C459&lt;LataProjekcji,IF((SUM($K461:O461)+$C461)&lt;$C460,$C461,$C460-SUM($K461:O461)),0)),0)</f>
        <v>0</v>
      </c>
      <c r="Q461" s="248">
        <f ca="1">ROUND(IF(OR(AND($C459=LataProjekcji,$E459&gt;0),AND($C459=LataProjekcji,$E459=0,$D460&lt;=10)),$E460,IF($C459&lt;LataProjekcji,IF((SUM($K461:P461)+$C461)&lt;$C460,$C461,$C460-SUM($K461:P461)),0)),0)</f>
        <v>0</v>
      </c>
      <c r="R461" s="248">
        <f ca="1">ROUND(IF(OR(AND($C459=LataProjekcji,$E459&gt;0),AND($C459=LataProjekcji,$E459=0,$D460&lt;=10)),$E460,IF($C459&lt;LataProjekcji,IF((SUM($K461:Q461)+$C461)&lt;$C460,$C461,$C460-SUM($K461:Q461)),0)),0)</f>
        <v>0</v>
      </c>
      <c r="S461" s="248">
        <f ca="1">ROUND(IF(OR(AND($C459=LataProjekcji,$E459&gt;0),AND($C459=LataProjekcji,$E459=0,$D460&lt;=10)),$E460,IF($C459&lt;LataProjekcji,IF((SUM($K461:R461)+$C461)&lt;$C460,$C461,$C460-SUM($K461:R461)),0)),0)</f>
        <v>0</v>
      </c>
      <c r="T461" s="248">
        <f ca="1">ROUND(IF(OR(AND($C459=LataProjekcji,$E459&gt;0),AND($C459=LataProjekcji,$E459=0,$D460&lt;=10)),$E460,IF($C459&lt;LataProjekcji,IF((SUM($K461:S461)+$C461)&lt;$C460,$C461,$C460-SUM($K461:S461)),0)),0)</f>
        <v>0</v>
      </c>
      <c r="U461" s="248">
        <f ca="1">ROUND(IF(OR(AND($C459=LataProjekcji,$E459&gt;0),AND($C459=LataProjekcji,$E459=0,$D460&lt;=10)),$E460,IF($C459&lt;LataProjekcji,IF((SUM($K461:T461)+$C461)&lt;$C460,$C461,$C460-SUM($K461:T461)),0)),0)</f>
        <v>0</v>
      </c>
      <c r="V461" s="248">
        <f ca="1">ROUND(IF(OR(AND($C459=LataProjekcji,$E459&gt;0),AND($C459=LataProjekcji,$E459=0,$D460&lt;=10)),$E460,IF($C459&lt;LataProjekcji,IF((SUM($K461:U461)+$C461)&lt;$C460,$C461,$C460-SUM($K461:U461)),0)),0)</f>
        <v>0</v>
      </c>
      <c r="W461" s="248">
        <f ca="1">ROUND(IF(OR(AND($C459=LataProjekcji,$E459&gt;0),AND($C459=LataProjekcji,$E459=0,$D460&lt;=10)),$E460,IF($C459&lt;LataProjekcji,IF((SUM($K461:V461)+$C461)&lt;$C460,$C461,$C460-SUM($K461:V461)),0)),0)</f>
        <v>0</v>
      </c>
      <c r="X461" s="248">
        <f ca="1">ROUND(IF(OR(AND($C459=LataProjekcji,$E459&gt;0),AND($C459=LataProjekcji,$E459=0,$D460&lt;=10)),$E460,IF($C459&lt;LataProjekcji,IF((SUM($K461:W461)+$C461)&lt;$C460,$C461,$C460-SUM($K461:W461)),0)),0)</f>
        <v>0</v>
      </c>
    </row>
    <row r="462" spans="1:24" hidden="1">
      <c r="A462" s="259"/>
      <c r="B462" s="21" t="s">
        <v>416</v>
      </c>
      <c r="C462" s="22"/>
      <c r="D462" s="21"/>
      <c r="E462" s="21"/>
      <c r="F462" s="21"/>
      <c r="G462" s="21"/>
      <c r="I462" s="21"/>
      <c r="J462" s="21"/>
      <c r="K462" s="22">
        <f ca="1">ROUND(K461,0)</f>
        <v>0</v>
      </c>
      <c r="L462" s="22">
        <f t="shared" ref="L462:X462" ca="1" si="310">ROUND(K462+L461,0)</f>
        <v>0</v>
      </c>
      <c r="M462" s="22">
        <f t="shared" ca="1" si="310"/>
        <v>0</v>
      </c>
      <c r="N462" s="22">
        <f t="shared" ca="1" si="310"/>
        <v>0</v>
      </c>
      <c r="O462" s="22">
        <f t="shared" ca="1" si="310"/>
        <v>0</v>
      </c>
      <c r="P462" s="22">
        <f t="shared" ca="1" si="310"/>
        <v>0</v>
      </c>
      <c r="Q462" s="22">
        <f t="shared" ca="1" si="310"/>
        <v>0</v>
      </c>
      <c r="R462" s="22">
        <f t="shared" ca="1" si="310"/>
        <v>0</v>
      </c>
      <c r="S462" s="22">
        <f t="shared" ca="1" si="310"/>
        <v>0</v>
      </c>
      <c r="T462" s="22">
        <f t="shared" ca="1" si="310"/>
        <v>0</v>
      </c>
      <c r="U462" s="22">
        <f t="shared" ca="1" si="310"/>
        <v>0</v>
      </c>
      <c r="V462" s="22">
        <f t="shared" ca="1" si="310"/>
        <v>0</v>
      </c>
      <c r="W462" s="22">
        <f t="shared" ca="1" si="310"/>
        <v>0</v>
      </c>
      <c r="X462" s="22">
        <f t="shared" ca="1" si="310"/>
        <v>0</v>
      </c>
    </row>
    <row r="463" spans="1:24" hidden="1">
      <c r="A463" s="259"/>
      <c r="B463" s="21" t="s">
        <v>406</v>
      </c>
      <c r="C463" s="22"/>
      <c r="D463" s="21"/>
      <c r="E463" s="21"/>
      <c r="F463" s="21"/>
      <c r="G463" s="21"/>
      <c r="I463" s="21"/>
      <c r="J463" s="21"/>
      <c r="K463" s="78">
        <f t="shared" ref="K463:X463" ca="1" si="311">IF($C459=K$25,$C460,ROUND(IF(K461=0,0,$C460-K462),0))</f>
        <v>0</v>
      </c>
      <c r="L463" s="78">
        <f t="shared" ca="1" si="311"/>
        <v>0</v>
      </c>
      <c r="M463" s="78">
        <f t="shared" ca="1" si="311"/>
        <v>0</v>
      </c>
      <c r="N463" s="78">
        <f t="shared" ca="1" si="311"/>
        <v>0</v>
      </c>
      <c r="O463" s="78">
        <f t="shared" ca="1" si="311"/>
        <v>0</v>
      </c>
      <c r="P463" s="78">
        <f t="shared" ca="1" si="311"/>
        <v>0</v>
      </c>
      <c r="Q463" s="78">
        <f t="shared" ca="1" si="311"/>
        <v>0</v>
      </c>
      <c r="R463" s="78">
        <f t="shared" ca="1" si="311"/>
        <v>0</v>
      </c>
      <c r="S463" s="78">
        <f t="shared" ca="1" si="311"/>
        <v>0</v>
      </c>
      <c r="T463" s="78">
        <f t="shared" ca="1" si="311"/>
        <v>0</v>
      </c>
      <c r="U463" s="78">
        <f t="shared" ca="1" si="311"/>
        <v>0</v>
      </c>
      <c r="V463" s="78">
        <f t="shared" ca="1" si="311"/>
        <v>0</v>
      </c>
      <c r="W463" s="78">
        <f t="shared" ca="1" si="311"/>
        <v>0</v>
      </c>
      <c r="X463" s="78">
        <f t="shared" ca="1" si="311"/>
        <v>0</v>
      </c>
    </row>
    <row r="467" spans="1:24" ht="12.6" hidden="1" thickBot="1"/>
    <row r="468" spans="1:24" ht="12.6" hidden="1" thickBot="1">
      <c r="A468" s="259"/>
      <c r="B468" s="20" t="s">
        <v>388</v>
      </c>
      <c r="C468" s="250">
        <v>30</v>
      </c>
      <c r="D468" s="482">
        <v>74</v>
      </c>
      <c r="E468" s="21" t="s">
        <v>411</v>
      </c>
      <c r="F468" s="48"/>
      <c r="G468" s="50" t="s">
        <v>412</v>
      </c>
      <c r="H468" s="322"/>
      <c r="I468" s="21" t="s">
        <v>413</v>
      </c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</row>
    <row r="469" spans="1:24" hidden="1">
      <c r="A469" s="259"/>
      <c r="B469" s="21" t="s">
        <v>414</v>
      </c>
      <c r="C469" s="165">
        <f ca="1">IFERROR(YEAR(OFFSET($D$28,C468,0)),0)</f>
        <v>0</v>
      </c>
      <c r="D469" s="165">
        <f ca="1">IFERROR(MONTH(OFFSET($D$28,C468,0)),0)</f>
        <v>0</v>
      </c>
      <c r="E469" s="21">
        <f ca="1">12-$D469</f>
        <v>12</v>
      </c>
      <c r="F469" s="49"/>
      <c r="G469" s="51">
        <f>C73-F469</f>
        <v>0</v>
      </c>
      <c r="H469" s="323"/>
      <c r="I469" s="22">
        <f>C73-F469-G469</f>
        <v>0</v>
      </c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</row>
    <row r="470" spans="1:24" hidden="1">
      <c r="A470" s="259"/>
      <c r="B470" s="21" t="s">
        <v>406</v>
      </c>
      <c r="C470" s="245">
        <f ca="1">IF(OFFSET($F$28,C468,0)&lt;0,0,OFFSET($F$28,C468,0))</f>
        <v>0</v>
      </c>
      <c r="D470" s="22" t="str">
        <f ca="1">OFFSET($C$28,C468,0)</f>
        <v/>
      </c>
      <c r="E470" s="22">
        <f ca="1">IF(D470&gt;10,ROUND(($C471/12)*$E469,0),$C470)</f>
        <v>0</v>
      </c>
      <c r="F470" s="21" t="s">
        <v>426</v>
      </c>
      <c r="G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 spans="1:24" hidden="1">
      <c r="A471" s="259"/>
      <c r="B471" s="21" t="s">
        <v>415</v>
      </c>
      <c r="C471" s="245">
        <f ca="1">IF(ISBLANK(OFFSET($D$28,C468,0)),0,IF(OFFSET($C$28,C468,0)&gt;10,ROUND(C470*am_wnip,0),IF(C470&lt;0,0,C470)))</f>
        <v>0</v>
      </c>
      <c r="D471" s="21"/>
      <c r="E471" s="21"/>
      <c r="F471" s="21"/>
      <c r="G471" s="21"/>
      <c r="I471" s="21"/>
      <c r="J471" s="483" cm="1">
        <f t="array" aca="1" ref="J471" ca="1">OFFSET('Środki trwałe'!$C$195,'Rozliczenie dotacji'!D468,,)</f>
        <v>0</v>
      </c>
      <c r="K471" s="75">
        <f ca="1">ROUND(IF($C469=LataProjekcji,$E470,IF($C469=LataProjekcji,$C471,0)),0)</f>
        <v>0</v>
      </c>
      <c r="L471" s="248">
        <f ca="1">ROUND(IF(OR(AND($C469=LataProjekcji,$E469&gt;0),AND($C469=LataProjekcji,$E469=0,$D470&lt;=10)),$E470,IF($C469&lt;LataProjekcji,IF((SUM($K471:K471)+$C471)&lt;$C470,$C471,$C470-SUM($K471:K471)),0)),0)</f>
        <v>0</v>
      </c>
      <c r="M471" s="248">
        <f ca="1">ROUND(IF(OR(AND($C469=LataProjekcji,$E469&gt;0),AND($C469=LataProjekcji,$E469=0,$D470&lt;=10)),$E470,IF($C469&lt;LataProjekcji,IF((SUM($K471:L471)+$C471)&lt;$C470,$C471,$C470-SUM($K471:L471)),0)),0)</f>
        <v>0</v>
      </c>
      <c r="N471" s="248">
        <f ca="1">ROUND(IF(OR(AND($C469=LataProjekcji,$E469&gt;0),AND($C469=LataProjekcji,$E469=0,$D470&lt;=10)),$E470,IF($C469&lt;LataProjekcji,IF((SUM($K471:M471)+$C471)&lt;$C470,$C471,$C470-SUM($K471:M471)),0)),0)</f>
        <v>0</v>
      </c>
      <c r="O471" s="248">
        <f ca="1">ROUND(IF(OR(AND($C469=LataProjekcji,$E469&gt;0),AND($C469=LataProjekcji,$E469=0,$D470&lt;=10)),$E470,IF($C469&lt;LataProjekcji,IF((SUM($K471:N471)+$C471)&lt;$C470,$C471,$C470-SUM($K471:N471)),0)),0)</f>
        <v>0</v>
      </c>
      <c r="P471" s="248">
        <f ca="1">ROUND(IF(OR(AND($C469=LataProjekcji,$E469&gt;0),AND($C469=LataProjekcji,$E469=0,$D470&lt;=10)),$E470,IF($C469&lt;LataProjekcji,IF((SUM($K471:O471)+$C471)&lt;$C470,$C471,$C470-SUM($K471:O471)),0)),0)</f>
        <v>0</v>
      </c>
      <c r="Q471" s="248">
        <f ca="1">ROUND(IF(OR(AND($C469=LataProjekcji,$E469&gt;0),AND($C469=LataProjekcji,$E469=0,$D470&lt;=10)),$E470,IF($C469&lt;LataProjekcji,IF((SUM($K471:P471)+$C471)&lt;$C470,$C471,$C470-SUM($K471:P471)),0)),0)</f>
        <v>0</v>
      </c>
      <c r="R471" s="248">
        <f ca="1">ROUND(IF(OR(AND($C469=LataProjekcji,$E469&gt;0),AND($C469=LataProjekcji,$E469=0,$D470&lt;=10)),$E470,IF($C469&lt;LataProjekcji,IF((SUM($K471:Q471)+$C471)&lt;$C470,$C471,$C470-SUM($K471:Q471)),0)),0)</f>
        <v>0</v>
      </c>
      <c r="S471" s="248">
        <f ca="1">ROUND(IF(OR(AND($C469=LataProjekcji,$E469&gt;0),AND($C469=LataProjekcji,$E469=0,$D470&lt;=10)),$E470,IF($C469&lt;LataProjekcji,IF((SUM($K471:R471)+$C471)&lt;$C470,$C471,$C470-SUM($K471:R471)),0)),0)</f>
        <v>0</v>
      </c>
      <c r="T471" s="248">
        <f ca="1">ROUND(IF(OR(AND($C469=LataProjekcji,$E469&gt;0),AND($C469=LataProjekcji,$E469=0,$D470&lt;=10)),$E470,IF($C469&lt;LataProjekcji,IF((SUM($K471:S471)+$C471)&lt;$C470,$C471,$C470-SUM($K471:S471)),0)),0)</f>
        <v>0</v>
      </c>
      <c r="U471" s="248">
        <f ca="1">ROUND(IF(OR(AND($C469=LataProjekcji,$E469&gt;0),AND($C469=LataProjekcji,$E469=0,$D470&lt;=10)),$E470,IF($C469&lt;LataProjekcji,IF((SUM($K471:T471)+$C471)&lt;$C470,$C471,$C470-SUM($K471:T471)),0)),0)</f>
        <v>0</v>
      </c>
      <c r="V471" s="248">
        <f ca="1">ROUND(IF(OR(AND($C469=LataProjekcji,$E469&gt;0),AND($C469=LataProjekcji,$E469=0,$D470&lt;=10)),$E470,IF($C469&lt;LataProjekcji,IF((SUM($K471:U471)+$C471)&lt;$C470,$C471,$C470-SUM($K471:U471)),0)),0)</f>
        <v>0</v>
      </c>
      <c r="W471" s="248">
        <f ca="1">ROUND(IF(OR(AND($C469=LataProjekcji,$E469&gt;0),AND($C469=LataProjekcji,$E469=0,$D470&lt;=10)),$E470,IF($C469&lt;LataProjekcji,IF((SUM($K471:V471)+$C471)&lt;$C470,$C471,$C470-SUM($K471:V471)),0)),0)</f>
        <v>0</v>
      </c>
      <c r="X471" s="248">
        <f ca="1">ROUND(IF(OR(AND($C469=LataProjekcji,$E469&gt;0),AND($C469=LataProjekcji,$E469=0,$D470&lt;=10)),$E470,IF($C469&lt;LataProjekcji,IF((SUM($K471:W471)+$C471)&lt;$C470,$C471,$C470-SUM($K471:W471)),0)),0)</f>
        <v>0</v>
      </c>
    </row>
    <row r="472" spans="1:24" hidden="1">
      <c r="A472" s="259"/>
      <c r="B472" s="21" t="s">
        <v>416</v>
      </c>
      <c r="C472" s="22"/>
      <c r="D472" s="21"/>
      <c r="E472" s="21"/>
      <c r="F472" s="21"/>
      <c r="G472" s="21"/>
      <c r="I472" s="21"/>
      <c r="J472" s="21"/>
      <c r="K472" s="22">
        <f ca="1">ROUND(K471,0)</f>
        <v>0</v>
      </c>
      <c r="L472" s="22">
        <f t="shared" ref="L472:X472" ca="1" si="312">ROUND(K472+L471,0)</f>
        <v>0</v>
      </c>
      <c r="M472" s="22">
        <f t="shared" ca="1" si="312"/>
        <v>0</v>
      </c>
      <c r="N472" s="22">
        <f t="shared" ca="1" si="312"/>
        <v>0</v>
      </c>
      <c r="O472" s="22">
        <f t="shared" ca="1" si="312"/>
        <v>0</v>
      </c>
      <c r="P472" s="22">
        <f t="shared" ca="1" si="312"/>
        <v>0</v>
      </c>
      <c r="Q472" s="22">
        <f t="shared" ca="1" si="312"/>
        <v>0</v>
      </c>
      <c r="R472" s="22">
        <f t="shared" ca="1" si="312"/>
        <v>0</v>
      </c>
      <c r="S472" s="22">
        <f t="shared" ca="1" si="312"/>
        <v>0</v>
      </c>
      <c r="T472" s="22">
        <f t="shared" ca="1" si="312"/>
        <v>0</v>
      </c>
      <c r="U472" s="22">
        <f t="shared" ca="1" si="312"/>
        <v>0</v>
      </c>
      <c r="V472" s="22">
        <f t="shared" ca="1" si="312"/>
        <v>0</v>
      </c>
      <c r="W472" s="22">
        <f t="shared" ca="1" si="312"/>
        <v>0</v>
      </c>
      <c r="X472" s="22">
        <f t="shared" ca="1" si="312"/>
        <v>0</v>
      </c>
    </row>
    <row r="473" spans="1:24" hidden="1">
      <c r="A473" s="259"/>
      <c r="B473" s="21" t="s">
        <v>406</v>
      </c>
      <c r="C473" s="22"/>
      <c r="D473" s="21"/>
      <c r="E473" s="21"/>
      <c r="F473" s="21"/>
      <c r="G473" s="21"/>
      <c r="I473" s="21"/>
      <c r="J473" s="21"/>
      <c r="K473" s="77">
        <f t="shared" ref="K473:X473" ca="1" si="313">IF($C469=LataProjekcji,ROUND($C470-K472,0),ROUND(IF(K471=0,0,$C470-K472),0))</f>
        <v>0</v>
      </c>
      <c r="L473" s="77">
        <f t="shared" ca="1" si="313"/>
        <v>0</v>
      </c>
      <c r="M473" s="77">
        <f t="shared" ca="1" si="313"/>
        <v>0</v>
      </c>
      <c r="N473" s="77">
        <f t="shared" ca="1" si="313"/>
        <v>0</v>
      </c>
      <c r="O473" s="77">
        <f t="shared" ca="1" si="313"/>
        <v>0</v>
      </c>
      <c r="P473" s="77">
        <f t="shared" ca="1" si="313"/>
        <v>0</v>
      </c>
      <c r="Q473" s="77">
        <f t="shared" ca="1" si="313"/>
        <v>0</v>
      </c>
      <c r="R473" s="77">
        <f t="shared" ca="1" si="313"/>
        <v>0</v>
      </c>
      <c r="S473" s="77">
        <f t="shared" ca="1" si="313"/>
        <v>0</v>
      </c>
      <c r="T473" s="77">
        <f t="shared" ca="1" si="313"/>
        <v>0</v>
      </c>
      <c r="U473" s="77">
        <f t="shared" ca="1" si="313"/>
        <v>0</v>
      </c>
      <c r="V473" s="77">
        <f t="shared" ca="1" si="313"/>
        <v>0</v>
      </c>
      <c r="W473" s="77">
        <f t="shared" ca="1" si="313"/>
        <v>0</v>
      </c>
      <c r="X473" s="77">
        <f t="shared" ca="1" si="313"/>
        <v>0</v>
      </c>
    </row>
    <row r="474" spans="1:24" hidden="1">
      <c r="A474" s="259"/>
      <c r="B474" s="21"/>
      <c r="C474" s="22"/>
      <c r="D474" s="21"/>
      <c r="E474" s="21"/>
      <c r="F474" s="21"/>
      <c r="G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</row>
    <row r="475" spans="1:24" hidden="1">
      <c r="A475" s="259"/>
      <c r="B475" s="20" t="s">
        <v>388</v>
      </c>
      <c r="C475" s="21">
        <f>C468+1</f>
        <v>31</v>
      </c>
      <c r="D475" s="483">
        <f>D468+1</f>
        <v>75</v>
      </c>
      <c r="E475" s="21"/>
      <c r="F475" s="21"/>
      <c r="G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</row>
    <row r="476" spans="1:24" hidden="1">
      <c r="A476" s="259"/>
      <c r="B476" s="21" t="s">
        <v>414</v>
      </c>
      <c r="C476" s="165">
        <f ca="1">IFERROR(YEAR(OFFSET($D$28,C475,0)),0)</f>
        <v>0</v>
      </c>
      <c r="D476" s="165">
        <f ca="1">IFERROR(MONTH(OFFSET($D$28,C475,0)),0)</f>
        <v>0</v>
      </c>
      <c r="E476" s="21">
        <f ca="1">12-$D476</f>
        <v>12</v>
      </c>
      <c r="F476" s="21"/>
      <c r="G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</row>
    <row r="477" spans="1:24" hidden="1">
      <c r="A477" s="259"/>
      <c r="B477" s="21" t="s">
        <v>406</v>
      </c>
      <c r="C477" s="245">
        <f ca="1">IF(OFFSET($F$28,C475,0)&lt;0,0,OFFSET($F$28,C475,0))</f>
        <v>0</v>
      </c>
      <c r="D477" s="22" t="str">
        <f ca="1">OFFSET($C$28,C475,0)</f>
        <v/>
      </c>
      <c r="E477" s="22">
        <f ca="1">IF(D477&gt;10,ROUND(($C478/12)*$E476,0),$C477)</f>
        <v>0</v>
      </c>
      <c r="F477" s="21"/>
      <c r="G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 spans="1:24" hidden="1">
      <c r="A478" s="259"/>
      <c r="B478" s="21" t="s">
        <v>415</v>
      </c>
      <c r="C478" s="245">
        <f ca="1">IF(ISBLANK(OFFSET($D$28,C475,0)),0,IF(OFFSET($C$28,C475,0)&gt;10,ROUND(C477*am_wnip,0),IF(C477&lt;0,0,C477)))</f>
        <v>0</v>
      </c>
      <c r="D478" s="21"/>
      <c r="E478" s="21"/>
      <c r="F478" s="21"/>
      <c r="G478" s="21"/>
      <c r="I478" s="21"/>
      <c r="J478" s="483" cm="1">
        <f t="array" aca="1" ref="J478" ca="1">OFFSET('Środki trwałe'!$C$195,'Rozliczenie dotacji'!D475,,)</f>
        <v>0</v>
      </c>
      <c r="K478" s="75">
        <f ca="1">ROUND(IF($C476=LataProjekcji,$E477,IF($C476=LataProjekcji,$C478,0)),0)</f>
        <v>0</v>
      </c>
      <c r="L478" s="248">
        <f ca="1">ROUND(IF(OR(AND($C476=LataProjekcji,$E476&gt;0),AND($C476=LataProjekcji,$E476=0,$D477&lt;=10)),$E477,IF($C476&lt;LataProjekcji,IF((SUM($K478:K478)+$C478)&lt;$C477,$C478,$C477-SUM($K478:K478)),0)),0)</f>
        <v>0</v>
      </c>
      <c r="M478" s="248">
        <f ca="1">ROUND(IF(OR(AND($C476=LataProjekcji,$E476&gt;0),AND($C476=LataProjekcji,$E476=0,$D477&lt;=10)),$E477,IF($C476&lt;LataProjekcji,IF((SUM($K478:L478)+$C478)&lt;$C477,$C478,$C477-SUM($K478:L478)),0)),0)</f>
        <v>0</v>
      </c>
      <c r="N478" s="248">
        <f ca="1">ROUND(IF(OR(AND($C476=LataProjekcji,$E476&gt;0),AND($C476=LataProjekcji,$E476=0,$D477&lt;=10)),$E477,IF($C476&lt;LataProjekcji,IF((SUM($K478:M478)+$C478)&lt;$C477,$C478,$C477-SUM($K478:M478)),0)),0)</f>
        <v>0</v>
      </c>
      <c r="O478" s="248">
        <f ca="1">ROUND(IF(OR(AND($C476=LataProjekcji,$E476&gt;0),AND($C476=LataProjekcji,$E476=0,$D477&lt;=10)),$E477,IF($C476&lt;LataProjekcji,IF((SUM($K478:N478)+$C478)&lt;$C477,$C478,$C477-SUM($K478:N478)),0)),0)</f>
        <v>0</v>
      </c>
      <c r="P478" s="248">
        <f ca="1">ROUND(IF(OR(AND($C476=LataProjekcji,$E476&gt;0),AND($C476=LataProjekcji,$E476=0,$D477&lt;=10)),$E477,IF($C476&lt;LataProjekcji,IF((SUM($K478:O478)+$C478)&lt;$C477,$C478,$C477-SUM($K478:O478)),0)),0)</f>
        <v>0</v>
      </c>
      <c r="Q478" s="248">
        <f ca="1">ROUND(IF(OR(AND($C476=LataProjekcji,$E476&gt;0),AND($C476=LataProjekcji,$E476=0,$D477&lt;=10)),$E477,IF($C476&lt;LataProjekcji,IF((SUM($K478:P478)+$C478)&lt;$C477,$C478,$C477-SUM($K478:P478)),0)),0)</f>
        <v>0</v>
      </c>
      <c r="R478" s="248">
        <f ca="1">ROUND(IF(OR(AND($C476=LataProjekcji,$E476&gt;0),AND($C476=LataProjekcji,$E476=0,$D477&lt;=10)),$E477,IF($C476&lt;LataProjekcji,IF((SUM($K478:Q478)+$C478)&lt;$C477,$C478,$C477-SUM($K478:Q478)),0)),0)</f>
        <v>0</v>
      </c>
      <c r="S478" s="248">
        <f ca="1">ROUND(IF(OR(AND($C476=LataProjekcji,$E476&gt;0),AND($C476=LataProjekcji,$E476=0,$D477&lt;=10)),$E477,IF($C476&lt;LataProjekcji,IF((SUM($K478:R478)+$C478)&lt;$C477,$C478,$C477-SUM($K478:R478)),0)),0)</f>
        <v>0</v>
      </c>
      <c r="T478" s="248">
        <f ca="1">ROUND(IF(OR(AND($C476=LataProjekcji,$E476&gt;0),AND($C476=LataProjekcji,$E476=0,$D477&lt;=10)),$E477,IF($C476&lt;LataProjekcji,IF((SUM($K478:S478)+$C478)&lt;$C477,$C478,$C477-SUM($K478:S478)),0)),0)</f>
        <v>0</v>
      </c>
      <c r="U478" s="248">
        <f ca="1">ROUND(IF(OR(AND($C476=LataProjekcji,$E476&gt;0),AND($C476=LataProjekcji,$E476=0,$D477&lt;=10)),$E477,IF($C476&lt;LataProjekcji,IF((SUM($K478:T478)+$C478)&lt;$C477,$C478,$C477-SUM($K478:T478)),0)),0)</f>
        <v>0</v>
      </c>
      <c r="V478" s="248">
        <f ca="1">ROUND(IF(OR(AND($C476=LataProjekcji,$E476&gt;0),AND($C476=LataProjekcji,$E476=0,$D477&lt;=10)),$E477,IF($C476&lt;LataProjekcji,IF((SUM($K478:U478)+$C478)&lt;$C477,$C478,$C477-SUM($K478:U478)),0)),0)</f>
        <v>0</v>
      </c>
      <c r="W478" s="248">
        <f ca="1">ROUND(IF(OR(AND($C476=LataProjekcji,$E476&gt;0),AND($C476=LataProjekcji,$E476=0,$D477&lt;=10)),$E477,IF($C476&lt;LataProjekcji,IF((SUM($K478:V478)+$C478)&lt;$C477,$C478,$C477-SUM($K478:V478)),0)),0)</f>
        <v>0</v>
      </c>
      <c r="X478" s="248">
        <f ca="1">ROUND(IF(OR(AND($C476=LataProjekcji,$E476&gt;0),AND($C476=LataProjekcji,$E476=0,$D477&lt;=10)),$E477,IF($C476&lt;LataProjekcji,IF((SUM($K478:W478)+$C478)&lt;$C477,$C478,$C477-SUM($K478:W478)),0)),0)</f>
        <v>0</v>
      </c>
    </row>
    <row r="479" spans="1:24" hidden="1">
      <c r="A479" s="259"/>
      <c r="B479" s="21" t="s">
        <v>416</v>
      </c>
      <c r="C479" s="22"/>
      <c r="D479" s="21"/>
      <c r="E479" s="21"/>
      <c r="F479" s="21"/>
      <c r="G479" s="21"/>
      <c r="I479" s="21"/>
      <c r="J479" s="21"/>
      <c r="K479" s="22">
        <f ca="1">ROUND(K478,0)</f>
        <v>0</v>
      </c>
      <c r="L479" s="22">
        <f t="shared" ref="L479:X479" ca="1" si="314">ROUND(K479+L478,0)</f>
        <v>0</v>
      </c>
      <c r="M479" s="22">
        <f t="shared" ca="1" si="314"/>
        <v>0</v>
      </c>
      <c r="N479" s="22">
        <f t="shared" ca="1" si="314"/>
        <v>0</v>
      </c>
      <c r="O479" s="22">
        <f t="shared" ca="1" si="314"/>
        <v>0</v>
      </c>
      <c r="P479" s="22">
        <f t="shared" ca="1" si="314"/>
        <v>0</v>
      </c>
      <c r="Q479" s="22">
        <f t="shared" ca="1" si="314"/>
        <v>0</v>
      </c>
      <c r="R479" s="22">
        <f t="shared" ca="1" si="314"/>
        <v>0</v>
      </c>
      <c r="S479" s="22">
        <f t="shared" ca="1" si="314"/>
        <v>0</v>
      </c>
      <c r="T479" s="22">
        <f t="shared" ca="1" si="314"/>
        <v>0</v>
      </c>
      <c r="U479" s="22">
        <f t="shared" ca="1" si="314"/>
        <v>0</v>
      </c>
      <c r="V479" s="22">
        <f t="shared" ca="1" si="314"/>
        <v>0</v>
      </c>
      <c r="W479" s="22">
        <f t="shared" ca="1" si="314"/>
        <v>0</v>
      </c>
      <c r="X479" s="22">
        <f t="shared" ca="1" si="314"/>
        <v>0</v>
      </c>
    </row>
    <row r="480" spans="1:24" hidden="1">
      <c r="A480" s="259"/>
      <c r="B480" s="21" t="s">
        <v>406</v>
      </c>
      <c r="C480" s="22"/>
      <c r="D480" s="21"/>
      <c r="E480" s="21"/>
      <c r="F480" s="21"/>
      <c r="G480" s="21"/>
      <c r="I480" s="21"/>
      <c r="J480" s="21"/>
      <c r="K480" s="77">
        <f t="shared" ref="K480:X480" ca="1" si="315">IF($C476=LataProjekcji,ROUND($C477-K479,0),ROUND(IF(K478=0,0,$C477-K479),0))</f>
        <v>0</v>
      </c>
      <c r="L480" s="77">
        <f t="shared" ca="1" si="315"/>
        <v>0</v>
      </c>
      <c r="M480" s="77">
        <f t="shared" ca="1" si="315"/>
        <v>0</v>
      </c>
      <c r="N480" s="77">
        <f t="shared" ca="1" si="315"/>
        <v>0</v>
      </c>
      <c r="O480" s="77">
        <f t="shared" ca="1" si="315"/>
        <v>0</v>
      </c>
      <c r="P480" s="77">
        <f t="shared" ca="1" si="315"/>
        <v>0</v>
      </c>
      <c r="Q480" s="77">
        <f t="shared" ca="1" si="315"/>
        <v>0</v>
      </c>
      <c r="R480" s="77">
        <f t="shared" ca="1" si="315"/>
        <v>0</v>
      </c>
      <c r="S480" s="77">
        <f t="shared" ca="1" si="315"/>
        <v>0</v>
      </c>
      <c r="T480" s="77">
        <f t="shared" ca="1" si="315"/>
        <v>0</v>
      </c>
      <c r="U480" s="77">
        <f t="shared" ca="1" si="315"/>
        <v>0</v>
      </c>
      <c r="V480" s="77">
        <f t="shared" ca="1" si="315"/>
        <v>0</v>
      </c>
      <c r="W480" s="77">
        <f t="shared" ca="1" si="315"/>
        <v>0</v>
      </c>
      <c r="X480" s="77">
        <f t="shared" ca="1" si="315"/>
        <v>0</v>
      </c>
    </row>
    <row r="481" spans="1:24" hidden="1">
      <c r="A481" s="259"/>
      <c r="B481" s="20"/>
      <c r="C481" s="21"/>
      <c r="D481" s="21"/>
      <c r="E481" s="21"/>
      <c r="F481" s="21"/>
      <c r="G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</row>
    <row r="482" spans="1:24" hidden="1">
      <c r="A482" s="259"/>
      <c r="B482" s="20" t="s">
        <v>388</v>
      </c>
      <c r="C482" s="21">
        <f>C475+1</f>
        <v>32</v>
      </c>
      <c r="D482" s="483">
        <f>D475+1</f>
        <v>76</v>
      </c>
      <c r="E482" s="21"/>
      <c r="F482" s="21"/>
      <c r="G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</row>
    <row r="483" spans="1:24" hidden="1">
      <c r="A483" s="259"/>
      <c r="B483" s="21" t="s">
        <v>414</v>
      </c>
      <c r="C483" s="165">
        <f ca="1">IFERROR(YEAR(OFFSET($D$28,C482,0)),0)</f>
        <v>0</v>
      </c>
      <c r="D483" s="165">
        <f ca="1">IFERROR(MONTH(OFFSET($D$28,C482,0)),0)</f>
        <v>0</v>
      </c>
      <c r="E483" s="21">
        <f ca="1">12-$D483</f>
        <v>12</v>
      </c>
      <c r="F483" s="21"/>
      <c r="G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</row>
    <row r="484" spans="1:24" hidden="1">
      <c r="A484" s="259"/>
      <c r="B484" s="21" t="s">
        <v>406</v>
      </c>
      <c r="C484" s="245">
        <f ca="1">IF(OFFSET($F$28,C482,0)&lt;0,0,OFFSET($F$28,C482,0))</f>
        <v>0</v>
      </c>
      <c r="D484" s="22" t="str">
        <f ca="1">OFFSET($C$28,C482,0)</f>
        <v/>
      </c>
      <c r="E484" s="22">
        <f ca="1">IF(D484&gt;10,ROUND(($C485/12)*$E483,0),$C484)</f>
        <v>0</v>
      </c>
      <c r="F484" s="21"/>
      <c r="G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hidden="1">
      <c r="A485" s="259"/>
      <c r="B485" s="21" t="s">
        <v>415</v>
      </c>
      <c r="C485" s="245">
        <f ca="1">IF(ISBLANK(OFFSET($D$28,C482,0)),0,IF(OFFSET($C$28,C482,0)&gt;10,ROUND(C484*am_wnip,0),IF(C484&lt;0,0,C484)))</f>
        <v>0</v>
      </c>
      <c r="D485" s="21"/>
      <c r="E485" s="21"/>
      <c r="F485" s="21"/>
      <c r="G485" s="21"/>
      <c r="I485" s="21"/>
      <c r="J485" s="483" cm="1">
        <f t="array" aca="1" ref="J485" ca="1">OFFSET('Środki trwałe'!$C$195,'Rozliczenie dotacji'!D482,,)</f>
        <v>0</v>
      </c>
      <c r="K485" s="75">
        <f ca="1">ROUND(IF($C483=LataProjekcji,$E484,IF($C483=LataProjekcji,$C485,0)),0)</f>
        <v>0</v>
      </c>
      <c r="L485" s="248">
        <f ca="1">ROUND(IF(OR(AND($C483=LataProjekcji,$E483&gt;0),AND($C483=LataProjekcji,$E483=0,$D484&lt;=10)),$E484,IF($C483&lt;LataProjekcji,IF((SUM($K485:K485)+$C485)&lt;$C484,$C485,$C484-SUM($K485:K485)),0)),0)</f>
        <v>0</v>
      </c>
      <c r="M485" s="248">
        <f ca="1">ROUND(IF(OR(AND($C483=LataProjekcji,$E483&gt;0),AND($C483=LataProjekcji,$E483=0,$D484&lt;=10)),$E484,IF($C483&lt;LataProjekcji,IF((SUM($K485:L485)+$C485)&lt;$C484,$C485,$C484-SUM($K485:L485)),0)),0)</f>
        <v>0</v>
      </c>
      <c r="N485" s="248">
        <f ca="1">ROUND(IF(OR(AND($C483=LataProjekcji,$E483&gt;0),AND($C483=LataProjekcji,$E483=0,$D484&lt;=10)),$E484,IF($C483&lt;LataProjekcji,IF((SUM($K485:M485)+$C485)&lt;$C484,$C485,$C484-SUM($K485:M485)),0)),0)</f>
        <v>0</v>
      </c>
      <c r="O485" s="248">
        <f ca="1">ROUND(IF(OR(AND($C483=LataProjekcji,$E483&gt;0),AND($C483=LataProjekcji,$E483=0,$D484&lt;=10)),$E484,IF($C483&lt;LataProjekcji,IF((SUM($K485:N485)+$C485)&lt;$C484,$C485,$C484-SUM($K485:N485)),0)),0)</f>
        <v>0</v>
      </c>
      <c r="P485" s="248">
        <f ca="1">ROUND(IF(OR(AND($C483=LataProjekcji,$E483&gt;0),AND($C483=LataProjekcji,$E483=0,$D484&lt;=10)),$E484,IF($C483&lt;LataProjekcji,IF((SUM($K485:O485)+$C485)&lt;$C484,$C485,$C484-SUM($K485:O485)),0)),0)</f>
        <v>0</v>
      </c>
      <c r="Q485" s="248">
        <f ca="1">ROUND(IF(OR(AND($C483=LataProjekcji,$E483&gt;0),AND($C483=LataProjekcji,$E483=0,$D484&lt;=10)),$E484,IF($C483&lt;LataProjekcji,IF((SUM($K485:P485)+$C485)&lt;$C484,$C485,$C484-SUM($K485:P485)),0)),0)</f>
        <v>0</v>
      </c>
      <c r="R485" s="248">
        <f ca="1">ROUND(IF(OR(AND($C483=LataProjekcji,$E483&gt;0),AND($C483=LataProjekcji,$E483=0,$D484&lt;=10)),$E484,IF($C483&lt;LataProjekcji,IF((SUM($K485:Q485)+$C485)&lt;$C484,$C485,$C484-SUM($K485:Q485)),0)),0)</f>
        <v>0</v>
      </c>
      <c r="S485" s="248">
        <f ca="1">ROUND(IF(OR(AND($C483=LataProjekcji,$E483&gt;0),AND($C483=LataProjekcji,$E483=0,$D484&lt;=10)),$E484,IF($C483&lt;LataProjekcji,IF((SUM($K485:R485)+$C485)&lt;$C484,$C485,$C484-SUM($K485:R485)),0)),0)</f>
        <v>0</v>
      </c>
      <c r="T485" s="248">
        <f ca="1">ROUND(IF(OR(AND($C483=LataProjekcji,$E483&gt;0),AND($C483=LataProjekcji,$E483=0,$D484&lt;=10)),$E484,IF($C483&lt;LataProjekcji,IF((SUM($K485:S485)+$C485)&lt;$C484,$C485,$C484-SUM($K485:S485)),0)),0)</f>
        <v>0</v>
      </c>
      <c r="U485" s="248">
        <f ca="1">ROUND(IF(OR(AND($C483=LataProjekcji,$E483&gt;0),AND($C483=LataProjekcji,$E483=0,$D484&lt;=10)),$E484,IF($C483&lt;LataProjekcji,IF((SUM($K485:T485)+$C485)&lt;$C484,$C485,$C484-SUM($K485:T485)),0)),0)</f>
        <v>0</v>
      </c>
      <c r="V485" s="248">
        <f ca="1">ROUND(IF(OR(AND($C483=LataProjekcji,$E483&gt;0),AND($C483=LataProjekcji,$E483=0,$D484&lt;=10)),$E484,IF($C483&lt;LataProjekcji,IF((SUM($K485:U485)+$C485)&lt;$C484,$C485,$C484-SUM($K485:U485)),0)),0)</f>
        <v>0</v>
      </c>
      <c r="W485" s="248">
        <f ca="1">ROUND(IF(OR(AND($C483=LataProjekcji,$E483&gt;0),AND($C483=LataProjekcji,$E483=0,$D484&lt;=10)),$E484,IF($C483&lt;LataProjekcji,IF((SUM($K485:V485)+$C485)&lt;$C484,$C485,$C484-SUM($K485:V485)),0)),0)</f>
        <v>0</v>
      </c>
      <c r="X485" s="248">
        <f ca="1">ROUND(IF(OR(AND($C483=LataProjekcji,$E483&gt;0),AND($C483=LataProjekcji,$E483=0,$D484&lt;=10)),$E484,IF($C483&lt;LataProjekcji,IF((SUM($K485:W485)+$C485)&lt;$C484,$C485,$C484-SUM($K485:W485)),0)),0)</f>
        <v>0</v>
      </c>
    </row>
    <row r="486" spans="1:24" hidden="1">
      <c r="A486" s="259"/>
      <c r="B486" s="21" t="s">
        <v>416</v>
      </c>
      <c r="C486" s="22"/>
      <c r="D486" s="21"/>
      <c r="E486" s="21"/>
      <c r="F486" s="21"/>
      <c r="G486" s="21"/>
      <c r="I486" s="21"/>
      <c r="J486" s="21"/>
      <c r="K486" s="22">
        <f ca="1">ROUND(K485,0)</f>
        <v>0</v>
      </c>
      <c r="L486" s="22">
        <f t="shared" ref="L486:X486" ca="1" si="316">ROUND(K486+L485,0)</f>
        <v>0</v>
      </c>
      <c r="M486" s="22">
        <f t="shared" ca="1" si="316"/>
        <v>0</v>
      </c>
      <c r="N486" s="22">
        <f t="shared" ca="1" si="316"/>
        <v>0</v>
      </c>
      <c r="O486" s="22">
        <f t="shared" ca="1" si="316"/>
        <v>0</v>
      </c>
      <c r="P486" s="22">
        <f t="shared" ca="1" si="316"/>
        <v>0</v>
      </c>
      <c r="Q486" s="22">
        <f t="shared" ca="1" si="316"/>
        <v>0</v>
      </c>
      <c r="R486" s="22">
        <f t="shared" ca="1" si="316"/>
        <v>0</v>
      </c>
      <c r="S486" s="22">
        <f t="shared" ca="1" si="316"/>
        <v>0</v>
      </c>
      <c r="T486" s="22">
        <f t="shared" ca="1" si="316"/>
        <v>0</v>
      </c>
      <c r="U486" s="22">
        <f t="shared" ca="1" si="316"/>
        <v>0</v>
      </c>
      <c r="V486" s="22">
        <f t="shared" ca="1" si="316"/>
        <v>0</v>
      </c>
      <c r="W486" s="22">
        <f t="shared" ca="1" si="316"/>
        <v>0</v>
      </c>
      <c r="X486" s="22">
        <f t="shared" ca="1" si="316"/>
        <v>0</v>
      </c>
    </row>
    <row r="487" spans="1:24" hidden="1">
      <c r="A487" s="259"/>
      <c r="B487" s="21" t="s">
        <v>406</v>
      </c>
      <c r="C487" s="22"/>
      <c r="D487" s="21"/>
      <c r="E487" s="21"/>
      <c r="F487" s="21"/>
      <c r="G487" s="21"/>
      <c r="I487" s="21"/>
      <c r="J487" s="21"/>
      <c r="K487" s="77">
        <f t="shared" ref="K487:X487" ca="1" si="317">IF($C483=LataProjekcji,ROUND($C484-K486,0),ROUND(IF(K485=0,0,$C484-K486),0))</f>
        <v>0</v>
      </c>
      <c r="L487" s="77">
        <f t="shared" ca="1" si="317"/>
        <v>0</v>
      </c>
      <c r="M487" s="77">
        <f t="shared" ca="1" si="317"/>
        <v>0</v>
      </c>
      <c r="N487" s="77">
        <f t="shared" ca="1" si="317"/>
        <v>0</v>
      </c>
      <c r="O487" s="77">
        <f t="shared" ca="1" si="317"/>
        <v>0</v>
      </c>
      <c r="P487" s="77">
        <f t="shared" ca="1" si="317"/>
        <v>0</v>
      </c>
      <c r="Q487" s="77">
        <f t="shared" ca="1" si="317"/>
        <v>0</v>
      </c>
      <c r="R487" s="77">
        <f t="shared" ca="1" si="317"/>
        <v>0</v>
      </c>
      <c r="S487" s="77">
        <f t="shared" ca="1" si="317"/>
        <v>0</v>
      </c>
      <c r="T487" s="77">
        <f t="shared" ca="1" si="317"/>
        <v>0</v>
      </c>
      <c r="U487" s="77">
        <f t="shared" ca="1" si="317"/>
        <v>0</v>
      </c>
      <c r="V487" s="77">
        <f t="shared" ca="1" si="317"/>
        <v>0</v>
      </c>
      <c r="W487" s="77">
        <f t="shared" ca="1" si="317"/>
        <v>0</v>
      </c>
      <c r="X487" s="77">
        <f t="shared" ca="1" si="317"/>
        <v>0</v>
      </c>
    </row>
    <row r="488" spans="1:24" hidden="1">
      <c r="A488" s="259"/>
      <c r="B488" s="21"/>
      <c r="C488" s="22"/>
      <c r="D488" s="21"/>
      <c r="E488" s="21"/>
      <c r="F488" s="21"/>
      <c r="G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</row>
    <row r="489" spans="1:24" hidden="1">
      <c r="A489" s="259"/>
      <c r="B489" s="20" t="s">
        <v>388</v>
      </c>
      <c r="C489" s="21">
        <f>C482+1</f>
        <v>33</v>
      </c>
      <c r="D489" s="483">
        <f>D482+1</f>
        <v>77</v>
      </c>
      <c r="E489" s="21"/>
      <c r="F489" s="21"/>
      <c r="G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</row>
    <row r="490" spans="1:24" hidden="1">
      <c r="A490" s="259"/>
      <c r="B490" s="21" t="s">
        <v>414</v>
      </c>
      <c r="C490" s="165">
        <f ca="1">IFERROR(YEAR(OFFSET($D$28,C489,0)),0)</f>
        <v>0</v>
      </c>
      <c r="D490" s="165">
        <f ca="1">IFERROR(MONTH(OFFSET($D$28,C489,0)),0)</f>
        <v>0</v>
      </c>
      <c r="E490" s="21">
        <f ca="1">12-$D490</f>
        <v>12</v>
      </c>
      <c r="F490" s="21"/>
      <c r="G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1:24" hidden="1">
      <c r="A491" s="259"/>
      <c r="B491" s="21" t="s">
        <v>406</v>
      </c>
      <c r="C491" s="245">
        <f ca="1">IF(OFFSET($F$28,C489,0)&lt;0,0,OFFSET($F$28,C489,0))</f>
        <v>0</v>
      </c>
      <c r="D491" s="22" t="str">
        <f ca="1">OFFSET($C$28,C489,0)</f>
        <v/>
      </c>
      <c r="E491" s="22">
        <f ca="1">IF(D491&gt;10,ROUND(($C492/12)*$E490,0),$C491)</f>
        <v>0</v>
      </c>
      <c r="F491" s="21"/>
      <c r="G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 spans="1:24" hidden="1">
      <c r="A492" s="259"/>
      <c r="B492" s="21" t="s">
        <v>415</v>
      </c>
      <c r="C492" s="245">
        <f ca="1">IF(ISBLANK(OFFSET($D$28,C489,0)),0,IF(OFFSET($C$28,C489,0)&gt;10,ROUND(C491*am_wnip,0),IF(C491&lt;0,0,C491)))</f>
        <v>0</v>
      </c>
      <c r="D492" s="21"/>
      <c r="E492" s="21"/>
      <c r="F492" s="21"/>
      <c r="G492" s="21"/>
      <c r="I492" s="21"/>
      <c r="J492" s="483" cm="1">
        <f t="array" aca="1" ref="J492" ca="1">OFFSET('Środki trwałe'!$C$195,'Rozliczenie dotacji'!D489,,)</f>
        <v>0</v>
      </c>
      <c r="K492" s="75">
        <f ca="1">ROUND(IF($C490=LataProjekcji,$E491,IF($C490=LataProjekcji,$C492,0)),0)</f>
        <v>0</v>
      </c>
      <c r="L492" s="248">
        <f ca="1">ROUND(IF(OR(AND($C490=LataProjekcji,$E490&gt;0),AND($C490=LataProjekcji,$E490=0,$D491&lt;=10)),$E491,IF($C490&lt;LataProjekcji,IF((SUM($K492:K492)+$C492)&lt;$C491,$C492,$C491-SUM($K492:K492)),0)),0)</f>
        <v>0</v>
      </c>
      <c r="M492" s="248">
        <f ca="1">ROUND(IF(OR(AND($C490=LataProjekcji,$E490&gt;0),AND($C490=LataProjekcji,$E490=0,$D491&lt;=10)),$E491,IF($C490&lt;LataProjekcji,IF((SUM($K492:L492)+$C492)&lt;$C491,$C492,$C491-SUM($K492:L492)),0)),0)</f>
        <v>0</v>
      </c>
      <c r="N492" s="248">
        <f ca="1">ROUND(IF(OR(AND($C490=LataProjekcji,$E490&gt;0),AND($C490=LataProjekcji,$E490=0,$D491&lt;=10)),$E491,IF($C490&lt;LataProjekcji,IF((SUM($K492:M492)+$C492)&lt;$C491,$C492,$C491-SUM($K492:M492)),0)),0)</f>
        <v>0</v>
      </c>
      <c r="O492" s="248">
        <f ca="1">ROUND(IF(OR(AND($C490=LataProjekcji,$E490&gt;0),AND($C490=LataProjekcji,$E490=0,$D491&lt;=10)),$E491,IF($C490&lt;LataProjekcji,IF((SUM($K492:N492)+$C492)&lt;$C491,$C492,$C491-SUM($K492:N492)),0)),0)</f>
        <v>0</v>
      </c>
      <c r="P492" s="248">
        <f ca="1">ROUND(IF(OR(AND($C490=LataProjekcji,$E490&gt;0),AND($C490=LataProjekcji,$E490=0,$D491&lt;=10)),$E491,IF($C490&lt;LataProjekcji,IF((SUM($K492:O492)+$C492)&lt;$C491,$C492,$C491-SUM($K492:O492)),0)),0)</f>
        <v>0</v>
      </c>
      <c r="Q492" s="248">
        <f ca="1">ROUND(IF(OR(AND($C490=LataProjekcji,$E490&gt;0),AND($C490=LataProjekcji,$E490=0,$D491&lt;=10)),$E491,IF($C490&lt;LataProjekcji,IF((SUM($K492:P492)+$C492)&lt;$C491,$C492,$C491-SUM($K492:P492)),0)),0)</f>
        <v>0</v>
      </c>
      <c r="R492" s="248">
        <f ca="1">ROUND(IF(OR(AND($C490=LataProjekcji,$E490&gt;0),AND($C490=LataProjekcji,$E490=0,$D491&lt;=10)),$E491,IF($C490&lt;LataProjekcji,IF((SUM($K492:Q492)+$C492)&lt;$C491,$C492,$C491-SUM($K492:Q492)),0)),0)</f>
        <v>0</v>
      </c>
      <c r="S492" s="248">
        <f ca="1">ROUND(IF(OR(AND($C490=LataProjekcji,$E490&gt;0),AND($C490=LataProjekcji,$E490=0,$D491&lt;=10)),$E491,IF($C490&lt;LataProjekcji,IF((SUM($K492:R492)+$C492)&lt;$C491,$C492,$C491-SUM($K492:R492)),0)),0)</f>
        <v>0</v>
      </c>
      <c r="T492" s="248">
        <f ca="1">ROUND(IF(OR(AND($C490=LataProjekcji,$E490&gt;0),AND($C490=LataProjekcji,$E490=0,$D491&lt;=10)),$E491,IF($C490&lt;LataProjekcji,IF((SUM($K492:S492)+$C492)&lt;$C491,$C492,$C491-SUM($K492:S492)),0)),0)</f>
        <v>0</v>
      </c>
      <c r="U492" s="248">
        <f ca="1">ROUND(IF(OR(AND($C490=LataProjekcji,$E490&gt;0),AND($C490=LataProjekcji,$E490=0,$D491&lt;=10)),$E491,IF($C490&lt;LataProjekcji,IF((SUM($K492:T492)+$C492)&lt;$C491,$C492,$C491-SUM($K492:T492)),0)),0)</f>
        <v>0</v>
      </c>
      <c r="V492" s="248">
        <f ca="1">ROUND(IF(OR(AND($C490=LataProjekcji,$E490&gt;0),AND($C490=LataProjekcji,$E490=0,$D491&lt;=10)),$E491,IF($C490&lt;LataProjekcji,IF((SUM($K492:U492)+$C492)&lt;$C491,$C492,$C491-SUM($K492:U492)),0)),0)</f>
        <v>0</v>
      </c>
      <c r="W492" s="248">
        <f ca="1">ROUND(IF(OR(AND($C490=LataProjekcji,$E490&gt;0),AND($C490=LataProjekcji,$E490=0,$D491&lt;=10)),$E491,IF($C490&lt;LataProjekcji,IF((SUM($K492:V492)+$C492)&lt;$C491,$C492,$C491-SUM($K492:V492)),0)),0)</f>
        <v>0</v>
      </c>
      <c r="X492" s="248">
        <f ca="1">ROUND(IF(OR(AND($C490=LataProjekcji,$E490&gt;0),AND($C490=LataProjekcji,$E490=0,$D491&lt;=10)),$E491,IF($C490&lt;LataProjekcji,IF((SUM($K492:W492)+$C492)&lt;$C491,$C492,$C491-SUM($K492:W492)),0)),0)</f>
        <v>0</v>
      </c>
    </row>
    <row r="493" spans="1:24" hidden="1">
      <c r="A493" s="259"/>
      <c r="B493" s="21" t="s">
        <v>416</v>
      </c>
      <c r="C493" s="22"/>
      <c r="D493" s="21"/>
      <c r="E493" s="21"/>
      <c r="F493" s="21"/>
      <c r="G493" s="21"/>
      <c r="I493" s="21"/>
      <c r="J493" s="21"/>
      <c r="K493" s="22">
        <f ca="1">ROUND(K492,0)</f>
        <v>0</v>
      </c>
      <c r="L493" s="22">
        <f t="shared" ref="L493:X493" ca="1" si="318">ROUND(K493+L492,0)</f>
        <v>0</v>
      </c>
      <c r="M493" s="22">
        <f t="shared" ca="1" si="318"/>
        <v>0</v>
      </c>
      <c r="N493" s="22">
        <f t="shared" ca="1" si="318"/>
        <v>0</v>
      </c>
      <c r="O493" s="22">
        <f t="shared" ca="1" si="318"/>
        <v>0</v>
      </c>
      <c r="P493" s="22">
        <f t="shared" ca="1" si="318"/>
        <v>0</v>
      </c>
      <c r="Q493" s="22">
        <f t="shared" ca="1" si="318"/>
        <v>0</v>
      </c>
      <c r="R493" s="22">
        <f t="shared" ca="1" si="318"/>
        <v>0</v>
      </c>
      <c r="S493" s="22">
        <f t="shared" ca="1" si="318"/>
        <v>0</v>
      </c>
      <c r="T493" s="22">
        <f t="shared" ca="1" si="318"/>
        <v>0</v>
      </c>
      <c r="U493" s="22">
        <f t="shared" ca="1" si="318"/>
        <v>0</v>
      </c>
      <c r="V493" s="22">
        <f t="shared" ca="1" si="318"/>
        <v>0</v>
      </c>
      <c r="W493" s="22">
        <f t="shared" ca="1" si="318"/>
        <v>0</v>
      </c>
      <c r="X493" s="22">
        <f t="shared" ca="1" si="318"/>
        <v>0</v>
      </c>
    </row>
    <row r="494" spans="1:24" hidden="1">
      <c r="A494" s="259"/>
      <c r="B494" s="21" t="s">
        <v>406</v>
      </c>
      <c r="C494" s="22"/>
      <c r="D494" s="21"/>
      <c r="E494" s="21"/>
      <c r="F494" s="21"/>
      <c r="G494" s="21"/>
      <c r="I494" s="21"/>
      <c r="J494" s="21"/>
      <c r="K494" s="77">
        <f t="shared" ref="K494:X494" ca="1" si="319">IF($C490=LataProjekcji,ROUND($C491-K493,0),ROUND(IF(K492=0,0,$C491-K493),0))</f>
        <v>0</v>
      </c>
      <c r="L494" s="77">
        <f t="shared" ca="1" si="319"/>
        <v>0</v>
      </c>
      <c r="M494" s="77">
        <f t="shared" ca="1" si="319"/>
        <v>0</v>
      </c>
      <c r="N494" s="77">
        <f t="shared" ca="1" si="319"/>
        <v>0</v>
      </c>
      <c r="O494" s="77">
        <f t="shared" ca="1" si="319"/>
        <v>0</v>
      </c>
      <c r="P494" s="77">
        <f t="shared" ca="1" si="319"/>
        <v>0</v>
      </c>
      <c r="Q494" s="77">
        <f t="shared" ca="1" si="319"/>
        <v>0</v>
      </c>
      <c r="R494" s="77">
        <f t="shared" ca="1" si="319"/>
        <v>0</v>
      </c>
      <c r="S494" s="77">
        <f t="shared" ca="1" si="319"/>
        <v>0</v>
      </c>
      <c r="T494" s="77">
        <f t="shared" ca="1" si="319"/>
        <v>0</v>
      </c>
      <c r="U494" s="77">
        <f t="shared" ca="1" si="319"/>
        <v>0</v>
      </c>
      <c r="V494" s="77">
        <f t="shared" ca="1" si="319"/>
        <v>0</v>
      </c>
      <c r="W494" s="77">
        <f t="shared" ca="1" si="319"/>
        <v>0</v>
      </c>
      <c r="X494" s="77">
        <f t="shared" ca="1" si="319"/>
        <v>0</v>
      </c>
    </row>
    <row r="495" spans="1:24" hidden="1">
      <c r="A495" s="259"/>
      <c r="B495" s="21"/>
      <c r="C495" s="22"/>
      <c r="D495" s="21"/>
      <c r="E495" s="21"/>
      <c r="F495" s="21"/>
      <c r="G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</row>
    <row r="496" spans="1:24" hidden="1">
      <c r="A496" s="259"/>
      <c r="B496" s="20" t="s">
        <v>388</v>
      </c>
      <c r="C496" s="21">
        <f>C489+1</f>
        <v>34</v>
      </c>
      <c r="D496" s="483">
        <f>D489+1</f>
        <v>78</v>
      </c>
      <c r="E496" s="21"/>
      <c r="F496" s="21"/>
      <c r="G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</row>
    <row r="497" spans="1:24" hidden="1">
      <c r="A497" s="259"/>
      <c r="B497" s="21" t="s">
        <v>414</v>
      </c>
      <c r="C497" s="165">
        <f ca="1">IFERROR(YEAR(OFFSET($D$28,C496,0)),0)</f>
        <v>0</v>
      </c>
      <c r="D497" s="165">
        <f ca="1">IFERROR(MONTH(OFFSET($D$28,C496,0)),0)</f>
        <v>0</v>
      </c>
      <c r="E497" s="21">
        <f ca="1">12-$D497</f>
        <v>12</v>
      </c>
      <c r="F497" s="21"/>
      <c r="G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</row>
    <row r="498" spans="1:24" hidden="1">
      <c r="A498" s="259"/>
      <c r="B498" s="21" t="s">
        <v>406</v>
      </c>
      <c r="C498" s="245">
        <f ca="1">IF(OFFSET($F$28,C496,0)&lt;0,0,OFFSET($F$28,C496,0))</f>
        <v>0</v>
      </c>
      <c r="D498" s="22" t="str">
        <f ca="1">OFFSET($C$28,C496,0)</f>
        <v/>
      </c>
      <c r="E498" s="22">
        <f ca="1">IF(D498&gt;10,ROUND(($C499/12)*$E497,0),$C498)</f>
        <v>0</v>
      </c>
      <c r="F498" s="21"/>
      <c r="G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</row>
    <row r="499" spans="1:24" hidden="1">
      <c r="A499" s="259"/>
      <c r="B499" s="21" t="s">
        <v>415</v>
      </c>
      <c r="C499" s="245">
        <f ca="1">IF(ISBLANK(OFFSET($D$28,C496,0)),0,IF(OFFSET($C$28,C496,0)&gt;10,ROUND(C498*am_wnip,0),IF(C498&lt;0,0,C498)))</f>
        <v>0</v>
      </c>
      <c r="D499" s="21"/>
      <c r="E499" s="21"/>
      <c r="F499" s="21"/>
      <c r="G499" s="21"/>
      <c r="I499" s="21"/>
      <c r="J499" s="483" cm="1">
        <f t="array" aca="1" ref="J499" ca="1">OFFSET('Środki trwałe'!$C$195,'Rozliczenie dotacji'!D496,,)</f>
        <v>0</v>
      </c>
      <c r="K499" s="75">
        <f ca="1">ROUND(IF($C497=LataProjekcji,$E498,IF($C497=LataProjekcji,$C499,0)),0)</f>
        <v>0</v>
      </c>
      <c r="L499" s="248">
        <f ca="1">ROUND(IF(OR(AND($C497=LataProjekcji,$E497&gt;0),AND($C497=LataProjekcji,$E497=0,$D498&lt;=10)),$E498,IF($C497&lt;LataProjekcji,IF((SUM($K499:K499)+$C499)&lt;$C498,$C499,$C498-SUM($K499:K499)),0)),0)</f>
        <v>0</v>
      </c>
      <c r="M499" s="248">
        <f ca="1">ROUND(IF(OR(AND($C497=LataProjekcji,$E497&gt;0),AND($C497=LataProjekcji,$E497=0,$D498&lt;=10)),$E498,IF($C497&lt;LataProjekcji,IF((SUM($K499:L499)+$C499)&lt;$C498,$C499,$C498-SUM($K499:L499)),0)),0)</f>
        <v>0</v>
      </c>
      <c r="N499" s="248">
        <f ca="1">ROUND(IF(OR(AND($C497=LataProjekcji,$E497&gt;0),AND($C497=LataProjekcji,$E497=0,$D498&lt;=10)),$E498,IF($C497&lt;LataProjekcji,IF((SUM($K499:M499)+$C499)&lt;$C498,$C499,$C498-SUM($K499:M499)),0)),0)</f>
        <v>0</v>
      </c>
      <c r="O499" s="248">
        <f ca="1">ROUND(IF(OR(AND($C497=LataProjekcji,$E497&gt;0),AND($C497=LataProjekcji,$E497=0,$D498&lt;=10)),$E498,IF($C497&lt;LataProjekcji,IF((SUM($K499:N499)+$C499)&lt;$C498,$C499,$C498-SUM($K499:N499)),0)),0)</f>
        <v>0</v>
      </c>
      <c r="P499" s="248">
        <f ca="1">ROUND(IF(OR(AND($C497=LataProjekcji,$E497&gt;0),AND($C497=LataProjekcji,$E497=0,$D498&lt;=10)),$E498,IF($C497&lt;LataProjekcji,IF((SUM($K499:O499)+$C499)&lt;$C498,$C499,$C498-SUM($K499:O499)),0)),0)</f>
        <v>0</v>
      </c>
      <c r="Q499" s="248">
        <f ca="1">ROUND(IF(OR(AND($C497=LataProjekcji,$E497&gt;0),AND($C497=LataProjekcji,$E497=0,$D498&lt;=10)),$E498,IF($C497&lt;LataProjekcji,IF((SUM($K499:P499)+$C499)&lt;$C498,$C499,$C498-SUM($K499:P499)),0)),0)</f>
        <v>0</v>
      </c>
      <c r="R499" s="248">
        <f ca="1">ROUND(IF(OR(AND($C497=LataProjekcji,$E497&gt;0),AND($C497=LataProjekcji,$E497=0,$D498&lt;=10)),$E498,IF($C497&lt;LataProjekcji,IF((SUM($K499:Q499)+$C499)&lt;$C498,$C499,$C498-SUM($K499:Q499)),0)),0)</f>
        <v>0</v>
      </c>
      <c r="S499" s="248">
        <f ca="1">ROUND(IF(OR(AND($C497=LataProjekcji,$E497&gt;0),AND($C497=LataProjekcji,$E497=0,$D498&lt;=10)),$E498,IF($C497&lt;LataProjekcji,IF((SUM($K499:R499)+$C499)&lt;$C498,$C499,$C498-SUM($K499:R499)),0)),0)</f>
        <v>0</v>
      </c>
      <c r="T499" s="248">
        <f ca="1">ROUND(IF(OR(AND($C497=LataProjekcji,$E497&gt;0),AND($C497=LataProjekcji,$E497=0,$D498&lt;=10)),$E498,IF($C497&lt;LataProjekcji,IF((SUM($K499:S499)+$C499)&lt;$C498,$C499,$C498-SUM($K499:S499)),0)),0)</f>
        <v>0</v>
      </c>
      <c r="U499" s="248">
        <f ca="1">ROUND(IF(OR(AND($C497=LataProjekcji,$E497&gt;0),AND($C497=LataProjekcji,$E497=0,$D498&lt;=10)),$E498,IF($C497&lt;LataProjekcji,IF((SUM($K499:T499)+$C499)&lt;$C498,$C499,$C498-SUM($K499:T499)),0)),0)</f>
        <v>0</v>
      </c>
      <c r="V499" s="248">
        <f ca="1">ROUND(IF(OR(AND($C497=LataProjekcji,$E497&gt;0),AND($C497=LataProjekcji,$E497=0,$D498&lt;=10)),$E498,IF($C497&lt;LataProjekcji,IF((SUM($K499:U499)+$C499)&lt;$C498,$C499,$C498-SUM($K499:U499)),0)),0)</f>
        <v>0</v>
      </c>
      <c r="W499" s="248">
        <f ca="1">ROUND(IF(OR(AND($C497=LataProjekcji,$E497&gt;0),AND($C497=LataProjekcji,$E497=0,$D498&lt;=10)),$E498,IF($C497&lt;LataProjekcji,IF((SUM($K499:V499)+$C499)&lt;$C498,$C499,$C498-SUM($K499:V499)),0)),0)</f>
        <v>0</v>
      </c>
      <c r="X499" s="248">
        <f ca="1">ROUND(IF(OR(AND($C497=LataProjekcji,$E497&gt;0),AND($C497=LataProjekcji,$E497=0,$D498&lt;=10)),$E498,IF($C497&lt;LataProjekcji,IF((SUM($K499:W499)+$C499)&lt;$C498,$C499,$C498-SUM($K499:W499)),0)),0)</f>
        <v>0</v>
      </c>
    </row>
    <row r="500" spans="1:24" hidden="1">
      <c r="A500" s="259"/>
      <c r="B500" s="21" t="s">
        <v>416</v>
      </c>
      <c r="C500" s="22"/>
      <c r="D500" s="21"/>
      <c r="E500" s="21"/>
      <c r="F500" s="21"/>
      <c r="G500" s="21"/>
      <c r="I500" s="21"/>
      <c r="J500" s="21"/>
      <c r="K500" s="22">
        <f ca="1">ROUND(K499,0)</f>
        <v>0</v>
      </c>
      <c r="L500" s="22">
        <f t="shared" ref="L500:X500" ca="1" si="320">ROUND(K500+L499,0)</f>
        <v>0</v>
      </c>
      <c r="M500" s="22">
        <f t="shared" ca="1" si="320"/>
        <v>0</v>
      </c>
      <c r="N500" s="22">
        <f t="shared" ca="1" si="320"/>
        <v>0</v>
      </c>
      <c r="O500" s="22">
        <f t="shared" ca="1" si="320"/>
        <v>0</v>
      </c>
      <c r="P500" s="22">
        <f t="shared" ca="1" si="320"/>
        <v>0</v>
      </c>
      <c r="Q500" s="22">
        <f t="shared" ca="1" si="320"/>
        <v>0</v>
      </c>
      <c r="R500" s="22">
        <f t="shared" ca="1" si="320"/>
        <v>0</v>
      </c>
      <c r="S500" s="22">
        <f t="shared" ca="1" si="320"/>
        <v>0</v>
      </c>
      <c r="T500" s="22">
        <f t="shared" ca="1" si="320"/>
        <v>0</v>
      </c>
      <c r="U500" s="22">
        <f t="shared" ca="1" si="320"/>
        <v>0</v>
      </c>
      <c r="V500" s="22">
        <f t="shared" ca="1" si="320"/>
        <v>0</v>
      </c>
      <c r="W500" s="22">
        <f t="shared" ca="1" si="320"/>
        <v>0</v>
      </c>
      <c r="X500" s="22">
        <f t="shared" ca="1" si="320"/>
        <v>0</v>
      </c>
    </row>
    <row r="501" spans="1:24" hidden="1">
      <c r="A501" s="259"/>
      <c r="B501" s="21" t="s">
        <v>406</v>
      </c>
      <c r="C501" s="22"/>
      <c r="D501" s="21"/>
      <c r="E501" s="21"/>
      <c r="F501" s="21"/>
      <c r="G501" s="21"/>
      <c r="I501" s="21"/>
      <c r="J501" s="21"/>
      <c r="K501" s="77">
        <f t="shared" ref="K501:X501" ca="1" si="321">IF($C497=LataProjekcji,ROUND($C498-K500,0),ROUND(IF(K499=0,0,$C498-K500),0))</f>
        <v>0</v>
      </c>
      <c r="L501" s="77">
        <f t="shared" ca="1" si="321"/>
        <v>0</v>
      </c>
      <c r="M501" s="77">
        <f t="shared" ca="1" si="321"/>
        <v>0</v>
      </c>
      <c r="N501" s="77">
        <f t="shared" ca="1" si="321"/>
        <v>0</v>
      </c>
      <c r="O501" s="77">
        <f t="shared" ca="1" si="321"/>
        <v>0</v>
      </c>
      <c r="P501" s="77">
        <f t="shared" ca="1" si="321"/>
        <v>0</v>
      </c>
      <c r="Q501" s="77">
        <f t="shared" ca="1" si="321"/>
        <v>0</v>
      </c>
      <c r="R501" s="77">
        <f t="shared" ca="1" si="321"/>
        <v>0</v>
      </c>
      <c r="S501" s="77">
        <f t="shared" ca="1" si="321"/>
        <v>0</v>
      </c>
      <c r="T501" s="77">
        <f t="shared" ca="1" si="321"/>
        <v>0</v>
      </c>
      <c r="U501" s="77">
        <f t="shared" ca="1" si="321"/>
        <v>0</v>
      </c>
      <c r="V501" s="77">
        <f t="shared" ca="1" si="321"/>
        <v>0</v>
      </c>
      <c r="W501" s="77">
        <f t="shared" ca="1" si="321"/>
        <v>0</v>
      </c>
      <c r="X501" s="77">
        <f t="shared" ca="1" si="321"/>
        <v>0</v>
      </c>
    </row>
    <row r="502" spans="1:24" hidden="1">
      <c r="A502" s="259"/>
      <c r="B502" s="20"/>
      <c r="C502" s="21"/>
      <c r="D502" s="21"/>
      <c r="E502" s="21"/>
      <c r="F502" s="21"/>
      <c r="G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idden="1">
      <c r="A503" s="259"/>
      <c r="B503" s="20" t="s">
        <v>388</v>
      </c>
      <c r="C503" s="21">
        <f>C496+1</f>
        <v>35</v>
      </c>
      <c r="D503" s="483">
        <f>D496+1</f>
        <v>79</v>
      </c>
      <c r="E503" s="21"/>
      <c r="F503" s="21"/>
      <c r="G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 spans="1:24" hidden="1">
      <c r="A504" s="259"/>
      <c r="B504" s="21" t="s">
        <v>414</v>
      </c>
      <c r="C504" s="165">
        <f ca="1">IFERROR(YEAR(OFFSET($D$28,C503,0)),0)</f>
        <v>0</v>
      </c>
      <c r="D504" s="165">
        <f ca="1">IFERROR(MONTH(OFFSET($D$28,C503,0)),0)</f>
        <v>0</v>
      </c>
      <c r="E504" s="21">
        <f ca="1">12-$D504</f>
        <v>12</v>
      </c>
      <c r="F504" s="21"/>
      <c r="G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idden="1">
      <c r="A505" s="259"/>
      <c r="B505" s="21" t="s">
        <v>406</v>
      </c>
      <c r="C505" s="245">
        <f ca="1">IF(OFFSET($F$28,C503,0)&lt;0,0,OFFSET($F$28,C503,0))</f>
        <v>0</v>
      </c>
      <c r="D505" s="22" t="str">
        <f ca="1">OFFSET($C$28,C503,0)</f>
        <v/>
      </c>
      <c r="E505" s="22">
        <f ca="1">IF(D505&gt;10,ROUND(($C506/12)*$E504,0),$C505)</f>
        <v>0</v>
      </c>
      <c r="F505" s="21"/>
      <c r="G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</row>
    <row r="506" spans="1:24" hidden="1">
      <c r="A506" s="259"/>
      <c r="B506" s="21" t="s">
        <v>415</v>
      </c>
      <c r="C506" s="245">
        <f ca="1">IF(ISBLANK(OFFSET($D$28,C503,0)),0,IF(OFFSET($C$28,C503,0)&gt;10,ROUND(C505*am_wnip,0),IF(C505&lt;0,0,C505)))</f>
        <v>0</v>
      </c>
      <c r="D506" s="21"/>
      <c r="E506" s="21"/>
      <c r="F506" s="21"/>
      <c r="G506" s="21"/>
      <c r="I506" s="21"/>
      <c r="J506" s="483" cm="1">
        <f t="array" aca="1" ref="J506" ca="1">OFFSET('Środki trwałe'!$C$195,'Rozliczenie dotacji'!D503,,)</f>
        <v>0</v>
      </c>
      <c r="K506" s="75">
        <f ca="1">ROUND(IF($C504=LataProjekcji,$E505,IF($C504=LataProjekcji,$C506,0)),0)</f>
        <v>0</v>
      </c>
      <c r="L506" s="248">
        <f ca="1">ROUND(IF(OR(AND($C504=LataProjekcji,$E504&gt;0),AND($C504=LataProjekcji,$E504=0,$D505&lt;=10)),$E505,IF($C504&lt;LataProjekcji,IF((SUM($K506:K506)+$C506)&lt;$C505,$C506,$C505-SUM($K506:K506)),0)),0)</f>
        <v>0</v>
      </c>
      <c r="M506" s="248">
        <f ca="1">ROUND(IF(OR(AND($C504=LataProjekcji,$E504&gt;0),AND($C504=LataProjekcji,$E504=0,$D505&lt;=10)),$E505,IF($C504&lt;LataProjekcji,IF((SUM($K506:L506)+$C506)&lt;$C505,$C506,$C505-SUM($K506:L506)),0)),0)</f>
        <v>0</v>
      </c>
      <c r="N506" s="248">
        <f ca="1">ROUND(IF(OR(AND($C504=LataProjekcji,$E504&gt;0),AND($C504=LataProjekcji,$E504=0,$D505&lt;=10)),$E505,IF($C504&lt;LataProjekcji,IF((SUM($K506:M506)+$C506)&lt;$C505,$C506,$C505-SUM($K506:M506)),0)),0)</f>
        <v>0</v>
      </c>
      <c r="O506" s="248">
        <f ca="1">ROUND(IF(OR(AND($C504=LataProjekcji,$E504&gt;0),AND($C504=LataProjekcji,$E504=0,$D505&lt;=10)),$E505,IF($C504&lt;LataProjekcji,IF((SUM($K506:N506)+$C506)&lt;$C505,$C506,$C505-SUM($K506:N506)),0)),0)</f>
        <v>0</v>
      </c>
      <c r="P506" s="248">
        <f ca="1">ROUND(IF(OR(AND($C504=LataProjekcji,$E504&gt;0),AND($C504=LataProjekcji,$E504=0,$D505&lt;=10)),$E505,IF($C504&lt;LataProjekcji,IF((SUM($K506:O506)+$C506)&lt;$C505,$C506,$C505-SUM($K506:O506)),0)),0)</f>
        <v>0</v>
      </c>
      <c r="Q506" s="248">
        <f ca="1">ROUND(IF(OR(AND($C504=LataProjekcji,$E504&gt;0),AND($C504=LataProjekcji,$E504=0,$D505&lt;=10)),$E505,IF($C504&lt;LataProjekcji,IF((SUM($K506:P506)+$C506)&lt;$C505,$C506,$C505-SUM($K506:P506)),0)),0)</f>
        <v>0</v>
      </c>
      <c r="R506" s="248">
        <f ca="1">ROUND(IF(OR(AND($C504=LataProjekcji,$E504&gt;0),AND($C504=LataProjekcji,$E504=0,$D505&lt;=10)),$E505,IF($C504&lt;LataProjekcji,IF((SUM($K506:Q506)+$C506)&lt;$C505,$C506,$C505-SUM($K506:Q506)),0)),0)</f>
        <v>0</v>
      </c>
      <c r="S506" s="248">
        <f ca="1">ROUND(IF(OR(AND($C504=LataProjekcji,$E504&gt;0),AND($C504=LataProjekcji,$E504=0,$D505&lt;=10)),$E505,IF($C504&lt;LataProjekcji,IF((SUM($K506:R506)+$C506)&lt;$C505,$C506,$C505-SUM($K506:R506)),0)),0)</f>
        <v>0</v>
      </c>
      <c r="T506" s="248">
        <f ca="1">ROUND(IF(OR(AND($C504=LataProjekcji,$E504&gt;0),AND($C504=LataProjekcji,$E504=0,$D505&lt;=10)),$E505,IF($C504&lt;LataProjekcji,IF((SUM($K506:S506)+$C506)&lt;$C505,$C506,$C505-SUM($K506:S506)),0)),0)</f>
        <v>0</v>
      </c>
      <c r="U506" s="248">
        <f ca="1">ROUND(IF(OR(AND($C504=LataProjekcji,$E504&gt;0),AND($C504=LataProjekcji,$E504=0,$D505&lt;=10)),$E505,IF($C504&lt;LataProjekcji,IF((SUM($K506:T506)+$C506)&lt;$C505,$C506,$C505-SUM($K506:T506)),0)),0)</f>
        <v>0</v>
      </c>
      <c r="V506" s="248">
        <f ca="1">ROUND(IF(OR(AND($C504=LataProjekcji,$E504&gt;0),AND($C504=LataProjekcji,$E504=0,$D505&lt;=10)),$E505,IF($C504&lt;LataProjekcji,IF((SUM($K506:U506)+$C506)&lt;$C505,$C506,$C505-SUM($K506:U506)),0)),0)</f>
        <v>0</v>
      </c>
      <c r="W506" s="248">
        <f ca="1">ROUND(IF(OR(AND($C504=LataProjekcji,$E504&gt;0),AND($C504=LataProjekcji,$E504=0,$D505&lt;=10)),$E505,IF($C504&lt;LataProjekcji,IF((SUM($K506:V506)+$C506)&lt;$C505,$C506,$C505-SUM($K506:V506)),0)),0)</f>
        <v>0</v>
      </c>
      <c r="X506" s="248">
        <f ca="1">ROUND(IF(OR(AND($C504=LataProjekcji,$E504&gt;0),AND($C504=LataProjekcji,$E504=0,$D505&lt;=10)),$E505,IF($C504&lt;LataProjekcji,IF((SUM($K506:W506)+$C506)&lt;$C505,$C506,$C505-SUM($K506:W506)),0)),0)</f>
        <v>0</v>
      </c>
    </row>
    <row r="507" spans="1:24" hidden="1">
      <c r="A507" s="259"/>
      <c r="B507" s="21" t="s">
        <v>416</v>
      </c>
      <c r="C507" s="22"/>
      <c r="D507" s="21"/>
      <c r="E507" s="21"/>
      <c r="F507" s="21"/>
      <c r="G507" s="21"/>
      <c r="I507" s="21"/>
      <c r="J507" s="21"/>
      <c r="K507" s="22">
        <f ca="1">ROUND(K506,0)</f>
        <v>0</v>
      </c>
      <c r="L507" s="22">
        <f t="shared" ref="L507:X507" ca="1" si="322">ROUND(K507+L506,0)</f>
        <v>0</v>
      </c>
      <c r="M507" s="22">
        <f t="shared" ca="1" si="322"/>
        <v>0</v>
      </c>
      <c r="N507" s="22">
        <f t="shared" ca="1" si="322"/>
        <v>0</v>
      </c>
      <c r="O507" s="22">
        <f t="shared" ca="1" si="322"/>
        <v>0</v>
      </c>
      <c r="P507" s="22">
        <f t="shared" ca="1" si="322"/>
        <v>0</v>
      </c>
      <c r="Q507" s="22">
        <f t="shared" ca="1" si="322"/>
        <v>0</v>
      </c>
      <c r="R507" s="22">
        <f t="shared" ca="1" si="322"/>
        <v>0</v>
      </c>
      <c r="S507" s="22">
        <f t="shared" ca="1" si="322"/>
        <v>0</v>
      </c>
      <c r="T507" s="22">
        <f t="shared" ca="1" si="322"/>
        <v>0</v>
      </c>
      <c r="U507" s="22">
        <f t="shared" ca="1" si="322"/>
        <v>0</v>
      </c>
      <c r="V507" s="22">
        <f t="shared" ca="1" si="322"/>
        <v>0</v>
      </c>
      <c r="W507" s="22">
        <f t="shared" ca="1" si="322"/>
        <v>0</v>
      </c>
      <c r="X507" s="22">
        <f t="shared" ca="1" si="322"/>
        <v>0</v>
      </c>
    </row>
    <row r="508" spans="1:24" hidden="1">
      <c r="A508" s="259"/>
      <c r="B508" s="21" t="s">
        <v>406</v>
      </c>
      <c r="C508" s="22"/>
      <c r="D508" s="21"/>
      <c r="E508" s="21"/>
      <c r="F508" s="21"/>
      <c r="G508" s="21"/>
      <c r="I508" s="21"/>
      <c r="J508" s="21"/>
      <c r="K508" s="77">
        <f t="shared" ref="K508:X508" ca="1" si="323">IF($C504=LataProjekcji,ROUND($C505-K507,0),ROUND(IF(K506=0,0,$C505-K507),0))</f>
        <v>0</v>
      </c>
      <c r="L508" s="77">
        <f t="shared" ca="1" si="323"/>
        <v>0</v>
      </c>
      <c r="M508" s="77">
        <f t="shared" ca="1" si="323"/>
        <v>0</v>
      </c>
      <c r="N508" s="77">
        <f t="shared" ca="1" si="323"/>
        <v>0</v>
      </c>
      <c r="O508" s="77">
        <f t="shared" ca="1" si="323"/>
        <v>0</v>
      </c>
      <c r="P508" s="77">
        <f t="shared" ca="1" si="323"/>
        <v>0</v>
      </c>
      <c r="Q508" s="77">
        <f t="shared" ca="1" si="323"/>
        <v>0</v>
      </c>
      <c r="R508" s="77">
        <f t="shared" ca="1" si="323"/>
        <v>0</v>
      </c>
      <c r="S508" s="77">
        <f t="shared" ca="1" si="323"/>
        <v>0</v>
      </c>
      <c r="T508" s="77">
        <f t="shared" ca="1" si="323"/>
        <v>0</v>
      </c>
      <c r="U508" s="77">
        <f t="shared" ca="1" si="323"/>
        <v>0</v>
      </c>
      <c r="V508" s="77">
        <f t="shared" ca="1" si="323"/>
        <v>0</v>
      </c>
      <c r="W508" s="77">
        <f t="shared" ca="1" si="323"/>
        <v>0</v>
      </c>
      <c r="X508" s="77">
        <f t="shared" ca="1" si="323"/>
        <v>0</v>
      </c>
    </row>
    <row r="509" spans="1:24" hidden="1">
      <c r="A509" s="259"/>
      <c r="B509" s="21"/>
      <c r="C509" s="22"/>
      <c r="D509" s="21"/>
      <c r="E509" s="21"/>
      <c r="F509" s="21"/>
      <c r="G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idden="1">
      <c r="A510" s="259"/>
      <c r="B510" s="20" t="s">
        <v>388</v>
      </c>
      <c r="C510" s="21">
        <f>C503+1</f>
        <v>36</v>
      </c>
      <c r="D510" s="483">
        <f>D503+1</f>
        <v>80</v>
      </c>
      <c r="E510" s="21"/>
      <c r="F510" s="21"/>
      <c r="G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 spans="1:24" hidden="1">
      <c r="A511" s="259"/>
      <c r="B511" s="21" t="s">
        <v>414</v>
      </c>
      <c r="C511" s="165">
        <f ca="1">IFERROR(YEAR(OFFSET($D$28,C510,0)),0)</f>
        <v>0</v>
      </c>
      <c r="D511" s="165">
        <f ca="1">IFERROR(MONTH(OFFSET($D$28,C510,0)),0)</f>
        <v>0</v>
      </c>
      <c r="E511" s="21">
        <f ca="1">12-$D511</f>
        <v>12</v>
      </c>
      <c r="F511" s="21"/>
      <c r="G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idden="1">
      <c r="A512" s="259"/>
      <c r="B512" s="21" t="s">
        <v>406</v>
      </c>
      <c r="C512" s="245">
        <f ca="1">IF(OFFSET($F$28,C510,0)&lt;0,0,OFFSET($F$28,C510,0))</f>
        <v>0</v>
      </c>
      <c r="D512" s="22" t="str">
        <f ca="1">OFFSET($C$28,C510,0)</f>
        <v/>
      </c>
      <c r="E512" s="22">
        <f ca="1">IF(D512&gt;10,ROUND(($C513/12)*$E511,0),$C512)</f>
        <v>0</v>
      </c>
      <c r="F512" s="21"/>
      <c r="G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</row>
    <row r="513" spans="1:24" hidden="1">
      <c r="A513" s="259"/>
      <c r="B513" s="21" t="s">
        <v>415</v>
      </c>
      <c r="C513" s="245">
        <f ca="1">IF(ISBLANK(OFFSET($D$28,C510,0)),0,IF(OFFSET($C$28,C510,0)&gt;10,ROUND(C512*am_wnip,0),IF(C512&lt;0,0,C512)))</f>
        <v>0</v>
      </c>
      <c r="D513" s="21"/>
      <c r="E513" s="21"/>
      <c r="F513" s="21"/>
      <c r="G513" s="21"/>
      <c r="I513" s="21"/>
      <c r="J513" s="483" cm="1">
        <f t="array" aca="1" ref="J513" ca="1">OFFSET('Środki trwałe'!$C$195,'Rozliczenie dotacji'!D510,,)</f>
        <v>0</v>
      </c>
      <c r="K513" s="75">
        <f ca="1">ROUND(IF($C511=LataProjekcji,$E512,IF($C511=LataProjekcji,$C513,0)),0)</f>
        <v>0</v>
      </c>
      <c r="L513" s="248">
        <f ca="1">ROUND(IF(OR(AND($C511=LataProjekcji,$E511&gt;0),AND($C511=LataProjekcji,$E511=0,$D512&lt;=10)),$E512,IF($C511&lt;LataProjekcji,IF((SUM($K513:K513)+$C513)&lt;$C512,$C513,$C512-SUM($K513:K513)),0)),0)</f>
        <v>0</v>
      </c>
      <c r="M513" s="248">
        <f ca="1">ROUND(IF(OR(AND($C511=LataProjekcji,$E511&gt;0),AND($C511=LataProjekcji,$E511=0,$D512&lt;=10)),$E512,IF($C511&lt;LataProjekcji,IF((SUM($K513:L513)+$C513)&lt;$C512,$C513,$C512-SUM($K513:L513)),0)),0)</f>
        <v>0</v>
      </c>
      <c r="N513" s="248">
        <f ca="1">ROUND(IF(OR(AND($C511=LataProjekcji,$E511&gt;0),AND($C511=LataProjekcji,$E511=0,$D512&lt;=10)),$E512,IF($C511&lt;LataProjekcji,IF((SUM($K513:M513)+$C513)&lt;$C512,$C513,$C512-SUM($K513:M513)),0)),0)</f>
        <v>0</v>
      </c>
      <c r="O513" s="248">
        <f ca="1">ROUND(IF(OR(AND($C511=LataProjekcji,$E511&gt;0),AND($C511=LataProjekcji,$E511=0,$D512&lt;=10)),$E512,IF($C511&lt;LataProjekcji,IF((SUM($K513:N513)+$C513)&lt;$C512,$C513,$C512-SUM($K513:N513)),0)),0)</f>
        <v>0</v>
      </c>
      <c r="P513" s="248">
        <f ca="1">ROUND(IF(OR(AND($C511=LataProjekcji,$E511&gt;0),AND($C511=LataProjekcji,$E511=0,$D512&lt;=10)),$E512,IF($C511&lt;LataProjekcji,IF((SUM($K513:O513)+$C513)&lt;$C512,$C513,$C512-SUM($K513:O513)),0)),0)</f>
        <v>0</v>
      </c>
      <c r="Q513" s="248">
        <f ca="1">ROUND(IF(OR(AND($C511=LataProjekcji,$E511&gt;0),AND($C511=LataProjekcji,$E511=0,$D512&lt;=10)),$E512,IF($C511&lt;LataProjekcji,IF((SUM($K513:P513)+$C513)&lt;$C512,$C513,$C512-SUM($K513:P513)),0)),0)</f>
        <v>0</v>
      </c>
      <c r="R513" s="248">
        <f ca="1">ROUND(IF(OR(AND($C511=LataProjekcji,$E511&gt;0),AND($C511=LataProjekcji,$E511=0,$D512&lt;=10)),$E512,IF($C511&lt;LataProjekcji,IF((SUM($K513:Q513)+$C513)&lt;$C512,$C513,$C512-SUM($K513:Q513)),0)),0)</f>
        <v>0</v>
      </c>
      <c r="S513" s="248">
        <f ca="1">ROUND(IF(OR(AND($C511=LataProjekcji,$E511&gt;0),AND($C511=LataProjekcji,$E511=0,$D512&lt;=10)),$E512,IF($C511&lt;LataProjekcji,IF((SUM($K513:R513)+$C513)&lt;$C512,$C513,$C512-SUM($K513:R513)),0)),0)</f>
        <v>0</v>
      </c>
      <c r="T513" s="248">
        <f ca="1">ROUND(IF(OR(AND($C511=LataProjekcji,$E511&gt;0),AND($C511=LataProjekcji,$E511=0,$D512&lt;=10)),$E512,IF($C511&lt;LataProjekcji,IF((SUM($K513:S513)+$C513)&lt;$C512,$C513,$C512-SUM($K513:S513)),0)),0)</f>
        <v>0</v>
      </c>
      <c r="U513" s="248">
        <f ca="1">ROUND(IF(OR(AND($C511=LataProjekcji,$E511&gt;0),AND($C511=LataProjekcji,$E511=0,$D512&lt;=10)),$E512,IF($C511&lt;LataProjekcji,IF((SUM($K513:T513)+$C513)&lt;$C512,$C513,$C512-SUM($K513:T513)),0)),0)</f>
        <v>0</v>
      </c>
      <c r="V513" s="248">
        <f ca="1">ROUND(IF(OR(AND($C511=LataProjekcji,$E511&gt;0),AND($C511=LataProjekcji,$E511=0,$D512&lt;=10)),$E512,IF($C511&lt;LataProjekcji,IF((SUM($K513:U513)+$C513)&lt;$C512,$C513,$C512-SUM($K513:U513)),0)),0)</f>
        <v>0</v>
      </c>
      <c r="W513" s="248">
        <f ca="1">ROUND(IF(OR(AND($C511=LataProjekcji,$E511&gt;0),AND($C511=LataProjekcji,$E511=0,$D512&lt;=10)),$E512,IF($C511&lt;LataProjekcji,IF((SUM($K513:V513)+$C513)&lt;$C512,$C513,$C512-SUM($K513:V513)),0)),0)</f>
        <v>0</v>
      </c>
      <c r="X513" s="248">
        <f ca="1">ROUND(IF(OR(AND($C511=LataProjekcji,$E511&gt;0),AND($C511=LataProjekcji,$E511=0,$D512&lt;=10)),$E512,IF($C511&lt;LataProjekcji,IF((SUM($K513:W513)+$C513)&lt;$C512,$C513,$C512-SUM($K513:W513)),0)),0)</f>
        <v>0</v>
      </c>
    </row>
    <row r="514" spans="1:24" hidden="1">
      <c r="A514" s="259"/>
      <c r="B514" s="21" t="s">
        <v>416</v>
      </c>
      <c r="C514" s="22"/>
      <c r="D514" s="21"/>
      <c r="E514" s="21"/>
      <c r="F514" s="21"/>
      <c r="G514" s="21"/>
      <c r="I514" s="21"/>
      <c r="J514" s="21"/>
      <c r="K514" s="22">
        <f ca="1">ROUND(K513,0)</f>
        <v>0</v>
      </c>
      <c r="L514" s="22">
        <f t="shared" ref="L514:X514" ca="1" si="324">ROUND(K514+L513,0)</f>
        <v>0</v>
      </c>
      <c r="M514" s="22">
        <f t="shared" ca="1" si="324"/>
        <v>0</v>
      </c>
      <c r="N514" s="22">
        <f t="shared" ca="1" si="324"/>
        <v>0</v>
      </c>
      <c r="O514" s="22">
        <f t="shared" ca="1" si="324"/>
        <v>0</v>
      </c>
      <c r="P514" s="22">
        <f t="shared" ca="1" si="324"/>
        <v>0</v>
      </c>
      <c r="Q514" s="22">
        <f t="shared" ca="1" si="324"/>
        <v>0</v>
      </c>
      <c r="R514" s="22">
        <f t="shared" ca="1" si="324"/>
        <v>0</v>
      </c>
      <c r="S514" s="22">
        <f t="shared" ca="1" si="324"/>
        <v>0</v>
      </c>
      <c r="T514" s="22">
        <f t="shared" ca="1" si="324"/>
        <v>0</v>
      </c>
      <c r="U514" s="22">
        <f t="shared" ca="1" si="324"/>
        <v>0</v>
      </c>
      <c r="V514" s="22">
        <f t="shared" ca="1" si="324"/>
        <v>0</v>
      </c>
      <c r="W514" s="22">
        <f t="shared" ca="1" si="324"/>
        <v>0</v>
      </c>
      <c r="X514" s="22">
        <f t="shared" ca="1" si="324"/>
        <v>0</v>
      </c>
    </row>
    <row r="515" spans="1:24" hidden="1">
      <c r="A515" s="259"/>
      <c r="B515" s="21" t="s">
        <v>406</v>
      </c>
      <c r="C515" s="22"/>
      <c r="D515" s="21"/>
      <c r="E515" s="21"/>
      <c r="F515" s="21"/>
      <c r="G515" s="21"/>
      <c r="I515" s="21"/>
      <c r="J515" s="21"/>
      <c r="K515" s="77">
        <f t="shared" ref="K515:X515" ca="1" si="325">IF($C511=LataProjekcji,ROUND($C512-K514,0),ROUND(IF(K513=0,0,$C512-K514),0))</f>
        <v>0</v>
      </c>
      <c r="L515" s="77">
        <f t="shared" ca="1" si="325"/>
        <v>0</v>
      </c>
      <c r="M515" s="77">
        <f t="shared" ca="1" si="325"/>
        <v>0</v>
      </c>
      <c r="N515" s="77">
        <f t="shared" ca="1" si="325"/>
        <v>0</v>
      </c>
      <c r="O515" s="77">
        <f t="shared" ca="1" si="325"/>
        <v>0</v>
      </c>
      <c r="P515" s="77">
        <f t="shared" ca="1" si="325"/>
        <v>0</v>
      </c>
      <c r="Q515" s="77">
        <f t="shared" ca="1" si="325"/>
        <v>0</v>
      </c>
      <c r="R515" s="77">
        <f t="shared" ca="1" si="325"/>
        <v>0</v>
      </c>
      <c r="S515" s="77">
        <f t="shared" ca="1" si="325"/>
        <v>0</v>
      </c>
      <c r="T515" s="77">
        <f t="shared" ca="1" si="325"/>
        <v>0</v>
      </c>
      <c r="U515" s="77">
        <f t="shared" ca="1" si="325"/>
        <v>0</v>
      </c>
      <c r="V515" s="77">
        <f t="shared" ca="1" si="325"/>
        <v>0</v>
      </c>
      <c r="W515" s="77">
        <f t="shared" ca="1" si="325"/>
        <v>0</v>
      </c>
      <c r="X515" s="77">
        <f t="shared" ca="1" si="325"/>
        <v>0</v>
      </c>
    </row>
    <row r="516" spans="1:24" hidden="1">
      <c r="A516" s="259"/>
      <c r="B516" s="21"/>
      <c r="C516" s="22"/>
      <c r="D516" s="21"/>
      <c r="E516" s="21"/>
      <c r="F516" s="21"/>
      <c r="G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idden="1">
      <c r="A517" s="259"/>
      <c r="B517" s="20" t="s">
        <v>388</v>
      </c>
      <c r="C517" s="21">
        <f>C510+1</f>
        <v>37</v>
      </c>
      <c r="D517" s="483">
        <f>D510+1</f>
        <v>81</v>
      </c>
      <c r="E517" s="21"/>
      <c r="F517" s="21"/>
      <c r="G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idden="1">
      <c r="A518" s="259"/>
      <c r="B518" s="21" t="s">
        <v>414</v>
      </c>
      <c r="C518" s="165">
        <f ca="1">IFERROR(YEAR(OFFSET($D$28,C517,0)),0)</f>
        <v>0</v>
      </c>
      <c r="D518" s="165">
        <f ca="1">IFERROR(MONTH(OFFSET($D$28,C517,0)),0)</f>
        <v>0</v>
      </c>
      <c r="E518" s="21">
        <f ca="1">12-$D518</f>
        <v>12</v>
      </c>
      <c r="F518" s="21"/>
      <c r="G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 spans="1:24" hidden="1">
      <c r="A519" s="259"/>
      <c r="B519" s="21" t="s">
        <v>406</v>
      </c>
      <c r="C519" s="245">
        <f ca="1">IF(OFFSET($F$28,C517,0)&lt;0,0,OFFSET($F$28,C517,0))</f>
        <v>0</v>
      </c>
      <c r="D519" s="22" t="str">
        <f ca="1">OFFSET($C$28,C517,0)</f>
        <v/>
      </c>
      <c r="E519" s="22">
        <f ca="1">IF(D519&gt;10,ROUND(($C520/12)*$E518,0),$C519)</f>
        <v>0</v>
      </c>
      <c r="F519" s="21"/>
      <c r="G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</row>
    <row r="520" spans="1:24" hidden="1">
      <c r="A520" s="259"/>
      <c r="B520" s="21" t="s">
        <v>415</v>
      </c>
      <c r="C520" s="245">
        <f ca="1">IF(ISBLANK(OFFSET($D$28,C517,0)),0,IF(OFFSET($C$28,C517,0)&gt;10,ROUND(C519*am_wnip,0),IF(C519&lt;0,0,C519)))</f>
        <v>0</v>
      </c>
      <c r="D520" s="21"/>
      <c r="E520" s="21"/>
      <c r="F520" s="21"/>
      <c r="G520" s="21"/>
      <c r="I520" s="21"/>
      <c r="J520" s="483" cm="1">
        <f t="array" aca="1" ref="J520" ca="1">OFFSET('Środki trwałe'!$C$195,'Rozliczenie dotacji'!D517,,)</f>
        <v>0</v>
      </c>
      <c r="K520" s="75">
        <f ca="1">ROUND(IF($C518=LataProjekcji,$E519,IF($C518=LataProjekcji,$C520,0)),0)</f>
        <v>0</v>
      </c>
      <c r="L520" s="248">
        <f ca="1">ROUND(IF(OR(AND($C518=LataProjekcji,$E518&gt;0),AND($C518=LataProjekcji,$E518=0,$D519&lt;=10)),$E519,IF($C518&lt;LataProjekcji,IF((SUM($K520:K520)+$C520)&lt;$C519,$C520,$C519-SUM($K520:K520)),0)),0)</f>
        <v>0</v>
      </c>
      <c r="M520" s="248">
        <f ca="1">ROUND(IF(OR(AND($C518=LataProjekcji,$E518&gt;0),AND($C518=LataProjekcji,$E518=0,$D519&lt;=10)),$E519,IF($C518&lt;LataProjekcji,IF((SUM($K520:L520)+$C520)&lt;$C519,$C520,$C519-SUM($K520:L520)),0)),0)</f>
        <v>0</v>
      </c>
      <c r="N520" s="248">
        <f ca="1">ROUND(IF(OR(AND($C518=LataProjekcji,$E518&gt;0),AND($C518=LataProjekcji,$E518=0,$D519&lt;=10)),$E519,IF($C518&lt;LataProjekcji,IF((SUM($K520:M520)+$C520)&lt;$C519,$C520,$C519-SUM($K520:M520)),0)),0)</f>
        <v>0</v>
      </c>
      <c r="O520" s="248">
        <f ca="1">ROUND(IF(OR(AND($C518=LataProjekcji,$E518&gt;0),AND($C518=LataProjekcji,$E518=0,$D519&lt;=10)),$E519,IF($C518&lt;LataProjekcji,IF((SUM($K520:N520)+$C520)&lt;$C519,$C520,$C519-SUM($K520:N520)),0)),0)</f>
        <v>0</v>
      </c>
      <c r="P520" s="248">
        <f ca="1">ROUND(IF(OR(AND($C518=LataProjekcji,$E518&gt;0),AND($C518=LataProjekcji,$E518=0,$D519&lt;=10)),$E519,IF($C518&lt;LataProjekcji,IF((SUM($K520:O520)+$C520)&lt;$C519,$C520,$C519-SUM($K520:O520)),0)),0)</f>
        <v>0</v>
      </c>
      <c r="Q520" s="248">
        <f ca="1">ROUND(IF(OR(AND($C518=LataProjekcji,$E518&gt;0),AND($C518=LataProjekcji,$E518=0,$D519&lt;=10)),$E519,IF($C518&lt;LataProjekcji,IF((SUM($K520:P520)+$C520)&lt;$C519,$C520,$C519-SUM($K520:P520)),0)),0)</f>
        <v>0</v>
      </c>
      <c r="R520" s="248">
        <f ca="1">ROUND(IF(OR(AND($C518=LataProjekcji,$E518&gt;0),AND($C518=LataProjekcji,$E518=0,$D519&lt;=10)),$E519,IF($C518&lt;LataProjekcji,IF((SUM($K520:Q520)+$C520)&lt;$C519,$C520,$C519-SUM($K520:Q520)),0)),0)</f>
        <v>0</v>
      </c>
      <c r="S520" s="248">
        <f ca="1">ROUND(IF(OR(AND($C518=LataProjekcji,$E518&gt;0),AND($C518=LataProjekcji,$E518=0,$D519&lt;=10)),$E519,IF($C518&lt;LataProjekcji,IF((SUM($K520:R520)+$C520)&lt;$C519,$C520,$C519-SUM($K520:R520)),0)),0)</f>
        <v>0</v>
      </c>
      <c r="T520" s="248">
        <f ca="1">ROUND(IF(OR(AND($C518=LataProjekcji,$E518&gt;0),AND($C518=LataProjekcji,$E518=0,$D519&lt;=10)),$E519,IF($C518&lt;LataProjekcji,IF((SUM($K520:S520)+$C520)&lt;$C519,$C520,$C519-SUM($K520:S520)),0)),0)</f>
        <v>0</v>
      </c>
      <c r="U520" s="248">
        <f ca="1">ROUND(IF(OR(AND($C518=LataProjekcji,$E518&gt;0),AND($C518=LataProjekcji,$E518=0,$D519&lt;=10)),$E519,IF($C518&lt;LataProjekcji,IF((SUM($K520:T520)+$C520)&lt;$C519,$C520,$C519-SUM($K520:T520)),0)),0)</f>
        <v>0</v>
      </c>
      <c r="V520" s="248">
        <f ca="1">ROUND(IF(OR(AND($C518=LataProjekcji,$E518&gt;0),AND($C518=LataProjekcji,$E518=0,$D519&lt;=10)),$E519,IF($C518&lt;LataProjekcji,IF((SUM($K520:U520)+$C520)&lt;$C519,$C520,$C519-SUM($K520:U520)),0)),0)</f>
        <v>0</v>
      </c>
      <c r="W520" s="248">
        <f ca="1">ROUND(IF(OR(AND($C518=LataProjekcji,$E518&gt;0),AND($C518=LataProjekcji,$E518=0,$D519&lt;=10)),$E519,IF($C518&lt;LataProjekcji,IF((SUM($K520:V520)+$C520)&lt;$C519,$C520,$C519-SUM($K520:V520)),0)),0)</f>
        <v>0</v>
      </c>
      <c r="X520" s="248">
        <f ca="1">ROUND(IF(OR(AND($C518=LataProjekcji,$E518&gt;0),AND($C518=LataProjekcji,$E518=0,$D519&lt;=10)),$E519,IF($C518&lt;LataProjekcji,IF((SUM($K520:W520)+$C520)&lt;$C519,$C520,$C519-SUM($K520:W520)),0)),0)</f>
        <v>0</v>
      </c>
    </row>
    <row r="521" spans="1:24" hidden="1">
      <c r="A521" s="259"/>
      <c r="B521" s="21" t="s">
        <v>416</v>
      </c>
      <c r="C521" s="22"/>
      <c r="D521" s="21"/>
      <c r="E521" s="21"/>
      <c r="F521" s="21"/>
      <c r="G521" s="21"/>
      <c r="I521" s="21"/>
      <c r="J521" s="21"/>
      <c r="K521" s="22">
        <f ca="1">ROUND(K520,0)</f>
        <v>0</v>
      </c>
      <c r="L521" s="22">
        <f t="shared" ref="L521:X521" ca="1" si="326">ROUND(K521+L520,0)</f>
        <v>0</v>
      </c>
      <c r="M521" s="22">
        <f t="shared" ca="1" si="326"/>
        <v>0</v>
      </c>
      <c r="N521" s="22">
        <f t="shared" ca="1" si="326"/>
        <v>0</v>
      </c>
      <c r="O521" s="22">
        <f t="shared" ca="1" si="326"/>
        <v>0</v>
      </c>
      <c r="P521" s="22">
        <f t="shared" ca="1" si="326"/>
        <v>0</v>
      </c>
      <c r="Q521" s="22">
        <f t="shared" ca="1" si="326"/>
        <v>0</v>
      </c>
      <c r="R521" s="22">
        <f t="shared" ca="1" si="326"/>
        <v>0</v>
      </c>
      <c r="S521" s="22">
        <f t="shared" ca="1" si="326"/>
        <v>0</v>
      </c>
      <c r="T521" s="22">
        <f t="shared" ca="1" si="326"/>
        <v>0</v>
      </c>
      <c r="U521" s="22">
        <f t="shared" ca="1" si="326"/>
        <v>0</v>
      </c>
      <c r="V521" s="22">
        <f t="shared" ca="1" si="326"/>
        <v>0</v>
      </c>
      <c r="W521" s="22">
        <f t="shared" ca="1" si="326"/>
        <v>0</v>
      </c>
      <c r="X521" s="22">
        <f t="shared" ca="1" si="326"/>
        <v>0</v>
      </c>
    </row>
    <row r="522" spans="1:24" hidden="1">
      <c r="A522" s="259"/>
      <c r="B522" s="21" t="s">
        <v>406</v>
      </c>
      <c r="C522" s="22"/>
      <c r="D522" s="21"/>
      <c r="E522" s="21"/>
      <c r="F522" s="21"/>
      <c r="G522" s="21"/>
      <c r="I522" s="21"/>
      <c r="J522" s="21"/>
      <c r="K522" s="77">
        <f t="shared" ref="K522:X522" ca="1" si="327">IF($C518=LataProjekcji,ROUND($C519-K521,0),ROUND(IF(K520=0,0,$C519-K521),0))</f>
        <v>0</v>
      </c>
      <c r="L522" s="77">
        <f t="shared" ca="1" si="327"/>
        <v>0</v>
      </c>
      <c r="M522" s="77">
        <f t="shared" ca="1" si="327"/>
        <v>0</v>
      </c>
      <c r="N522" s="77">
        <f t="shared" ca="1" si="327"/>
        <v>0</v>
      </c>
      <c r="O522" s="77">
        <f t="shared" ca="1" si="327"/>
        <v>0</v>
      </c>
      <c r="P522" s="77">
        <f t="shared" ca="1" si="327"/>
        <v>0</v>
      </c>
      <c r="Q522" s="77">
        <f t="shared" ca="1" si="327"/>
        <v>0</v>
      </c>
      <c r="R522" s="77">
        <f t="shared" ca="1" si="327"/>
        <v>0</v>
      </c>
      <c r="S522" s="77">
        <f t="shared" ca="1" si="327"/>
        <v>0</v>
      </c>
      <c r="T522" s="77">
        <f t="shared" ca="1" si="327"/>
        <v>0</v>
      </c>
      <c r="U522" s="77">
        <f t="shared" ca="1" si="327"/>
        <v>0</v>
      </c>
      <c r="V522" s="77">
        <f t="shared" ca="1" si="327"/>
        <v>0</v>
      </c>
      <c r="W522" s="77">
        <f t="shared" ca="1" si="327"/>
        <v>0</v>
      </c>
      <c r="X522" s="77">
        <f t="shared" ca="1" si="327"/>
        <v>0</v>
      </c>
    </row>
    <row r="523" spans="1:24" hidden="1">
      <c r="A523" s="259"/>
      <c r="B523" s="20"/>
      <c r="C523" s="21"/>
      <c r="D523" s="21"/>
      <c r="E523" s="21"/>
      <c r="F523" s="21"/>
      <c r="G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idden="1">
      <c r="A524" s="259"/>
      <c r="B524" s="20" t="s">
        <v>388</v>
      </c>
      <c r="C524" s="21">
        <f>C517+1</f>
        <v>38</v>
      </c>
      <c r="D524" s="483">
        <f>D517+1</f>
        <v>82</v>
      </c>
      <c r="E524" s="21"/>
      <c r="F524" s="21"/>
      <c r="G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idden="1">
      <c r="A525" s="259"/>
      <c r="B525" s="21" t="s">
        <v>414</v>
      </c>
      <c r="C525" s="165">
        <f ca="1">IFERROR(YEAR(OFFSET($D$28,C524,0)),0)</f>
        <v>0</v>
      </c>
      <c r="D525" s="165">
        <f ca="1">IFERROR(MONTH(OFFSET($D$28,C524,0)),0)</f>
        <v>0</v>
      </c>
      <c r="E525" s="21">
        <f ca="1">12-$D525</f>
        <v>12</v>
      </c>
      <c r="F525" s="21"/>
      <c r="G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idden="1">
      <c r="A526" s="259"/>
      <c r="B526" s="21" t="s">
        <v>406</v>
      </c>
      <c r="C526" s="245">
        <f ca="1">IF(OFFSET($F$28,C524,0)&lt;0,0,OFFSET($F$28,C524,0))</f>
        <v>0</v>
      </c>
      <c r="D526" s="22" t="str">
        <f ca="1">OFFSET($C$28,C524,0)</f>
        <v/>
      </c>
      <c r="E526" s="22">
        <f ca="1">IF(D526&gt;10,ROUND(($C527/12)*$E525,0),$C526)</f>
        <v>0</v>
      </c>
      <c r="F526" s="21"/>
      <c r="G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</row>
    <row r="527" spans="1:24" hidden="1">
      <c r="A527" s="259"/>
      <c r="B527" s="21" t="s">
        <v>415</v>
      </c>
      <c r="C527" s="245">
        <f ca="1">IF(ISBLANK(OFFSET($D$28,C524,0)),0,IF(OFFSET($C$28,C524,0)&gt;10,ROUND(C526*am_wnip,0),IF(C526&lt;0,0,C526)))</f>
        <v>0</v>
      </c>
      <c r="D527" s="21"/>
      <c r="E527" s="21"/>
      <c r="F527" s="21"/>
      <c r="G527" s="21"/>
      <c r="I527" s="21"/>
      <c r="J527" s="483" cm="1">
        <f t="array" aca="1" ref="J527" ca="1">OFFSET('Środki trwałe'!$C$195,'Rozliczenie dotacji'!D524,,)</f>
        <v>0</v>
      </c>
      <c r="K527" s="75">
        <f ca="1">ROUND(IF($C525=LataProjekcji,$E526,IF($C525=LataProjekcji,$C527,0)),0)</f>
        <v>0</v>
      </c>
      <c r="L527" s="248">
        <f ca="1">ROUND(IF(OR(AND($C525=LataProjekcji,$E525&gt;0),AND($C525=LataProjekcji,$E525=0,$D526&lt;=10)),$E526,IF($C525&lt;LataProjekcji,IF((SUM($K527:K527)+$C527)&lt;$C526,$C527,$C526-SUM($K527:K527)),0)),0)</f>
        <v>0</v>
      </c>
      <c r="M527" s="248">
        <f ca="1">ROUND(IF(OR(AND($C525=LataProjekcji,$E525&gt;0),AND($C525=LataProjekcji,$E525=0,$D526&lt;=10)),$E526,IF($C525&lt;LataProjekcji,IF((SUM($K527:L527)+$C527)&lt;$C526,$C527,$C526-SUM($K527:L527)),0)),0)</f>
        <v>0</v>
      </c>
      <c r="N527" s="248">
        <f ca="1">ROUND(IF(OR(AND($C525=LataProjekcji,$E525&gt;0),AND($C525=LataProjekcji,$E525=0,$D526&lt;=10)),$E526,IF($C525&lt;LataProjekcji,IF((SUM($K527:M527)+$C527)&lt;$C526,$C527,$C526-SUM($K527:M527)),0)),0)</f>
        <v>0</v>
      </c>
      <c r="O527" s="248">
        <f ca="1">ROUND(IF(OR(AND($C525=LataProjekcji,$E525&gt;0),AND($C525=LataProjekcji,$E525=0,$D526&lt;=10)),$E526,IF($C525&lt;LataProjekcji,IF((SUM($K527:N527)+$C527)&lt;$C526,$C527,$C526-SUM($K527:N527)),0)),0)</f>
        <v>0</v>
      </c>
      <c r="P527" s="248">
        <f ca="1">ROUND(IF(OR(AND($C525=LataProjekcji,$E525&gt;0),AND($C525=LataProjekcji,$E525=0,$D526&lt;=10)),$E526,IF($C525&lt;LataProjekcji,IF((SUM($K527:O527)+$C527)&lt;$C526,$C527,$C526-SUM($K527:O527)),0)),0)</f>
        <v>0</v>
      </c>
      <c r="Q527" s="248">
        <f ca="1">ROUND(IF(OR(AND($C525=LataProjekcji,$E525&gt;0),AND($C525=LataProjekcji,$E525=0,$D526&lt;=10)),$E526,IF($C525&lt;LataProjekcji,IF((SUM($K527:P527)+$C527)&lt;$C526,$C527,$C526-SUM($K527:P527)),0)),0)</f>
        <v>0</v>
      </c>
      <c r="R527" s="248">
        <f ca="1">ROUND(IF(OR(AND($C525=LataProjekcji,$E525&gt;0),AND($C525=LataProjekcji,$E525=0,$D526&lt;=10)),$E526,IF($C525&lt;LataProjekcji,IF((SUM($K527:Q527)+$C527)&lt;$C526,$C527,$C526-SUM($K527:Q527)),0)),0)</f>
        <v>0</v>
      </c>
      <c r="S527" s="248">
        <f ca="1">ROUND(IF(OR(AND($C525=LataProjekcji,$E525&gt;0),AND($C525=LataProjekcji,$E525=0,$D526&lt;=10)),$E526,IF($C525&lt;LataProjekcji,IF((SUM($K527:R527)+$C527)&lt;$C526,$C527,$C526-SUM($K527:R527)),0)),0)</f>
        <v>0</v>
      </c>
      <c r="T527" s="248">
        <f ca="1">ROUND(IF(OR(AND($C525=LataProjekcji,$E525&gt;0),AND($C525=LataProjekcji,$E525=0,$D526&lt;=10)),$E526,IF($C525&lt;LataProjekcji,IF((SUM($K527:S527)+$C527)&lt;$C526,$C527,$C526-SUM($K527:S527)),0)),0)</f>
        <v>0</v>
      </c>
      <c r="U527" s="248">
        <f ca="1">ROUND(IF(OR(AND($C525=LataProjekcji,$E525&gt;0),AND($C525=LataProjekcji,$E525=0,$D526&lt;=10)),$E526,IF($C525&lt;LataProjekcji,IF((SUM($K527:T527)+$C527)&lt;$C526,$C527,$C526-SUM($K527:T527)),0)),0)</f>
        <v>0</v>
      </c>
      <c r="V527" s="248">
        <f ca="1">ROUND(IF(OR(AND($C525=LataProjekcji,$E525&gt;0),AND($C525=LataProjekcji,$E525=0,$D526&lt;=10)),$E526,IF($C525&lt;LataProjekcji,IF((SUM($K527:U527)+$C527)&lt;$C526,$C527,$C526-SUM($K527:U527)),0)),0)</f>
        <v>0</v>
      </c>
      <c r="W527" s="248">
        <f ca="1">ROUND(IF(OR(AND($C525=LataProjekcji,$E525&gt;0),AND($C525=LataProjekcji,$E525=0,$D526&lt;=10)),$E526,IF($C525&lt;LataProjekcji,IF((SUM($K527:V527)+$C527)&lt;$C526,$C527,$C526-SUM($K527:V527)),0)),0)</f>
        <v>0</v>
      </c>
      <c r="X527" s="248">
        <f ca="1">ROUND(IF(OR(AND($C525=LataProjekcji,$E525&gt;0),AND($C525=LataProjekcji,$E525=0,$D526&lt;=10)),$E526,IF($C525&lt;LataProjekcji,IF((SUM($K527:W527)+$C527)&lt;$C526,$C527,$C526-SUM($K527:W527)),0)),0)</f>
        <v>0</v>
      </c>
    </row>
    <row r="528" spans="1:24" hidden="1">
      <c r="A528" s="259"/>
      <c r="B528" s="21" t="s">
        <v>416</v>
      </c>
      <c r="C528" s="22"/>
      <c r="D528" s="21"/>
      <c r="E528" s="21"/>
      <c r="F528" s="21"/>
      <c r="G528" s="21"/>
      <c r="I528" s="21"/>
      <c r="J528" s="21"/>
      <c r="K528" s="22">
        <f ca="1">ROUND(K527,0)</f>
        <v>0</v>
      </c>
      <c r="L528" s="22">
        <f t="shared" ref="L528:X528" ca="1" si="328">ROUND(K528+L527,0)</f>
        <v>0</v>
      </c>
      <c r="M528" s="22">
        <f t="shared" ca="1" si="328"/>
        <v>0</v>
      </c>
      <c r="N528" s="22">
        <f t="shared" ca="1" si="328"/>
        <v>0</v>
      </c>
      <c r="O528" s="22">
        <f t="shared" ca="1" si="328"/>
        <v>0</v>
      </c>
      <c r="P528" s="22">
        <f t="shared" ca="1" si="328"/>
        <v>0</v>
      </c>
      <c r="Q528" s="22">
        <f t="shared" ca="1" si="328"/>
        <v>0</v>
      </c>
      <c r="R528" s="22">
        <f t="shared" ca="1" si="328"/>
        <v>0</v>
      </c>
      <c r="S528" s="22">
        <f t="shared" ca="1" si="328"/>
        <v>0</v>
      </c>
      <c r="T528" s="22">
        <f t="shared" ca="1" si="328"/>
        <v>0</v>
      </c>
      <c r="U528" s="22">
        <f t="shared" ca="1" si="328"/>
        <v>0</v>
      </c>
      <c r="V528" s="22">
        <f t="shared" ca="1" si="328"/>
        <v>0</v>
      </c>
      <c r="W528" s="22">
        <f t="shared" ca="1" si="328"/>
        <v>0</v>
      </c>
      <c r="X528" s="22">
        <f t="shared" ca="1" si="328"/>
        <v>0</v>
      </c>
    </row>
    <row r="529" spans="1:24" hidden="1">
      <c r="A529" s="259"/>
      <c r="B529" s="21" t="s">
        <v>406</v>
      </c>
      <c r="C529" s="22"/>
      <c r="D529" s="21"/>
      <c r="E529" s="21"/>
      <c r="F529" s="21"/>
      <c r="G529" s="21"/>
      <c r="I529" s="21"/>
      <c r="J529" s="21"/>
      <c r="K529" s="77">
        <f t="shared" ref="K529:X529" ca="1" si="329">IF($C525=LataProjekcji,ROUND($C526-K528,0),ROUND(IF(K527=0,0,$C526-K528),0))</f>
        <v>0</v>
      </c>
      <c r="L529" s="77">
        <f t="shared" ca="1" si="329"/>
        <v>0</v>
      </c>
      <c r="M529" s="77">
        <f t="shared" ca="1" si="329"/>
        <v>0</v>
      </c>
      <c r="N529" s="77">
        <f t="shared" ca="1" si="329"/>
        <v>0</v>
      </c>
      <c r="O529" s="77">
        <f t="shared" ca="1" si="329"/>
        <v>0</v>
      </c>
      <c r="P529" s="77">
        <f t="shared" ca="1" si="329"/>
        <v>0</v>
      </c>
      <c r="Q529" s="77">
        <f t="shared" ca="1" si="329"/>
        <v>0</v>
      </c>
      <c r="R529" s="77">
        <f t="shared" ca="1" si="329"/>
        <v>0</v>
      </c>
      <c r="S529" s="77">
        <f t="shared" ca="1" si="329"/>
        <v>0</v>
      </c>
      <c r="T529" s="77">
        <f t="shared" ca="1" si="329"/>
        <v>0</v>
      </c>
      <c r="U529" s="77">
        <f t="shared" ca="1" si="329"/>
        <v>0</v>
      </c>
      <c r="V529" s="77">
        <f t="shared" ca="1" si="329"/>
        <v>0</v>
      </c>
      <c r="W529" s="77">
        <f t="shared" ca="1" si="329"/>
        <v>0</v>
      </c>
      <c r="X529" s="77">
        <f t="shared" ca="1" si="329"/>
        <v>0</v>
      </c>
    </row>
    <row r="530" spans="1:24" hidden="1">
      <c r="A530" s="259"/>
      <c r="B530" s="21"/>
      <c r="C530" s="22"/>
      <c r="D530" s="21"/>
      <c r="E530" s="21"/>
      <c r="F530" s="21"/>
      <c r="G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4" hidden="1">
      <c r="A531" s="259"/>
      <c r="B531" s="20" t="s">
        <v>388</v>
      </c>
      <c r="C531" s="21">
        <f>C524+1</f>
        <v>39</v>
      </c>
      <c r="D531" s="483">
        <f>D524+1</f>
        <v>83</v>
      </c>
      <c r="E531" s="21"/>
      <c r="F531" s="21"/>
      <c r="G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4" hidden="1">
      <c r="A532" s="259"/>
      <c r="B532" s="21" t="s">
        <v>414</v>
      </c>
      <c r="C532" s="165">
        <f ca="1">IFERROR(YEAR(OFFSET($D$28,C531,0)),0)</f>
        <v>0</v>
      </c>
      <c r="D532" s="165">
        <f ca="1">IFERROR(MONTH(OFFSET($D$28,C531,0)),0)</f>
        <v>0</v>
      </c>
      <c r="E532" s="21">
        <f ca="1">12-$D532</f>
        <v>12</v>
      </c>
      <c r="F532" s="21"/>
      <c r="G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4" hidden="1">
      <c r="A533" s="259"/>
      <c r="B533" s="21" t="s">
        <v>406</v>
      </c>
      <c r="C533" s="245">
        <f ca="1">IF(OFFSET($F$28,C531,0)&lt;0,0,OFFSET($F$28,C531,0))</f>
        <v>0</v>
      </c>
      <c r="D533" s="22" t="str">
        <f ca="1">OFFSET($C$28,C531,0)</f>
        <v/>
      </c>
      <c r="E533" s="22">
        <f ca="1">IF(D533&gt;10,ROUND(($C534/12)*$E532,0),$C533)</f>
        <v>0</v>
      </c>
      <c r="F533" s="21"/>
      <c r="G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</row>
    <row r="534" spans="1:24" hidden="1">
      <c r="A534" s="259"/>
      <c r="B534" s="21" t="s">
        <v>415</v>
      </c>
      <c r="C534" s="245">
        <f ca="1">IF(ISBLANK(OFFSET($D$28,C531,0)),0,IF(OFFSET($C$28,C531,0)&gt;10,ROUND(C533*am_wnip,0),IF(C533&lt;0,0,C533)))</f>
        <v>0</v>
      </c>
      <c r="D534" s="21"/>
      <c r="E534" s="21"/>
      <c r="F534" s="21"/>
      <c r="G534" s="21"/>
      <c r="I534" s="21"/>
      <c r="J534" s="483" cm="1">
        <f t="array" aca="1" ref="J534" ca="1">OFFSET('Środki trwałe'!$C$195,'Rozliczenie dotacji'!D531,,)</f>
        <v>0</v>
      </c>
      <c r="K534" s="75">
        <f ca="1">ROUND(IF($C532=LataProjekcji,$E533,IF($C532=LataProjekcji,$C534,0)),0)</f>
        <v>0</v>
      </c>
      <c r="L534" s="248">
        <f ca="1">ROUND(IF(OR(AND($C532=LataProjekcji,$E532&gt;0),AND($C532=LataProjekcji,$E532=0,$D533&lt;=10)),$E533,IF($C532&lt;LataProjekcji,IF((SUM($K534:K534)+$C534)&lt;$C533,$C534,$C533-SUM($K534:K534)),0)),0)</f>
        <v>0</v>
      </c>
      <c r="M534" s="248">
        <f ca="1">ROUND(IF(OR(AND($C532=LataProjekcji,$E532&gt;0),AND($C532=LataProjekcji,$E532=0,$D533&lt;=10)),$E533,IF($C532&lt;LataProjekcji,IF((SUM($K534:L534)+$C534)&lt;$C533,$C534,$C533-SUM($K534:L534)),0)),0)</f>
        <v>0</v>
      </c>
      <c r="N534" s="248">
        <f ca="1">ROUND(IF(OR(AND($C532=LataProjekcji,$E532&gt;0),AND($C532=LataProjekcji,$E532=0,$D533&lt;=10)),$E533,IF($C532&lt;LataProjekcji,IF((SUM($K534:M534)+$C534)&lt;$C533,$C534,$C533-SUM($K534:M534)),0)),0)</f>
        <v>0</v>
      </c>
      <c r="O534" s="248">
        <f ca="1">ROUND(IF(OR(AND($C532=LataProjekcji,$E532&gt;0),AND($C532=LataProjekcji,$E532=0,$D533&lt;=10)),$E533,IF($C532&lt;LataProjekcji,IF((SUM($K534:N534)+$C534)&lt;$C533,$C534,$C533-SUM($K534:N534)),0)),0)</f>
        <v>0</v>
      </c>
      <c r="P534" s="248">
        <f ca="1">ROUND(IF(OR(AND($C532=LataProjekcji,$E532&gt;0),AND($C532=LataProjekcji,$E532=0,$D533&lt;=10)),$E533,IF($C532&lt;LataProjekcji,IF((SUM($K534:O534)+$C534)&lt;$C533,$C534,$C533-SUM($K534:O534)),0)),0)</f>
        <v>0</v>
      </c>
      <c r="Q534" s="248">
        <f ca="1">ROUND(IF(OR(AND($C532=LataProjekcji,$E532&gt;0),AND($C532=LataProjekcji,$E532=0,$D533&lt;=10)),$E533,IF($C532&lt;LataProjekcji,IF((SUM($K534:P534)+$C534)&lt;$C533,$C534,$C533-SUM($K534:P534)),0)),0)</f>
        <v>0</v>
      </c>
      <c r="R534" s="248">
        <f ca="1">ROUND(IF(OR(AND($C532=LataProjekcji,$E532&gt;0),AND($C532=LataProjekcji,$E532=0,$D533&lt;=10)),$E533,IF($C532&lt;LataProjekcji,IF((SUM($K534:Q534)+$C534)&lt;$C533,$C534,$C533-SUM($K534:Q534)),0)),0)</f>
        <v>0</v>
      </c>
      <c r="S534" s="248">
        <f ca="1">ROUND(IF(OR(AND($C532=LataProjekcji,$E532&gt;0),AND($C532=LataProjekcji,$E532=0,$D533&lt;=10)),$E533,IF($C532&lt;LataProjekcji,IF((SUM($K534:R534)+$C534)&lt;$C533,$C534,$C533-SUM($K534:R534)),0)),0)</f>
        <v>0</v>
      </c>
      <c r="T534" s="248">
        <f ca="1">ROUND(IF(OR(AND($C532=LataProjekcji,$E532&gt;0),AND($C532=LataProjekcji,$E532=0,$D533&lt;=10)),$E533,IF($C532&lt;LataProjekcji,IF((SUM($K534:S534)+$C534)&lt;$C533,$C534,$C533-SUM($K534:S534)),0)),0)</f>
        <v>0</v>
      </c>
      <c r="U534" s="248">
        <f ca="1">ROUND(IF(OR(AND($C532=LataProjekcji,$E532&gt;0),AND($C532=LataProjekcji,$E532=0,$D533&lt;=10)),$E533,IF($C532&lt;LataProjekcji,IF((SUM($K534:T534)+$C534)&lt;$C533,$C534,$C533-SUM($K534:T534)),0)),0)</f>
        <v>0</v>
      </c>
      <c r="V534" s="248">
        <f ca="1">ROUND(IF(OR(AND($C532=LataProjekcji,$E532&gt;0),AND($C532=LataProjekcji,$E532=0,$D533&lt;=10)),$E533,IF($C532&lt;LataProjekcji,IF((SUM($K534:U534)+$C534)&lt;$C533,$C534,$C533-SUM($K534:U534)),0)),0)</f>
        <v>0</v>
      </c>
      <c r="W534" s="248">
        <f ca="1">ROUND(IF(OR(AND($C532=LataProjekcji,$E532&gt;0),AND($C532=LataProjekcji,$E532=0,$D533&lt;=10)),$E533,IF($C532&lt;LataProjekcji,IF((SUM($K534:V534)+$C534)&lt;$C533,$C534,$C533-SUM($K534:V534)),0)),0)</f>
        <v>0</v>
      </c>
      <c r="X534" s="248">
        <f ca="1">ROUND(IF(OR(AND($C532=LataProjekcji,$E532&gt;0),AND($C532=LataProjekcji,$E532=0,$D533&lt;=10)),$E533,IF($C532&lt;LataProjekcji,IF((SUM($K534:W534)+$C534)&lt;$C533,$C534,$C533-SUM($K534:W534)),0)),0)</f>
        <v>0</v>
      </c>
    </row>
    <row r="535" spans="1:24" hidden="1">
      <c r="A535" s="259"/>
      <c r="B535" s="21" t="s">
        <v>416</v>
      </c>
      <c r="C535" s="22"/>
      <c r="D535" s="21"/>
      <c r="E535" s="21"/>
      <c r="F535" s="21"/>
      <c r="G535" s="21"/>
      <c r="I535" s="21"/>
      <c r="J535" s="21"/>
      <c r="K535" s="22">
        <f ca="1">ROUND(K534,0)</f>
        <v>0</v>
      </c>
      <c r="L535" s="22">
        <f t="shared" ref="L535:X535" ca="1" si="330">ROUND(K535+L534,0)</f>
        <v>0</v>
      </c>
      <c r="M535" s="22">
        <f t="shared" ca="1" si="330"/>
        <v>0</v>
      </c>
      <c r="N535" s="22">
        <f t="shared" ca="1" si="330"/>
        <v>0</v>
      </c>
      <c r="O535" s="22">
        <f t="shared" ca="1" si="330"/>
        <v>0</v>
      </c>
      <c r="P535" s="22">
        <f t="shared" ca="1" si="330"/>
        <v>0</v>
      </c>
      <c r="Q535" s="22">
        <f t="shared" ca="1" si="330"/>
        <v>0</v>
      </c>
      <c r="R535" s="22">
        <f t="shared" ca="1" si="330"/>
        <v>0</v>
      </c>
      <c r="S535" s="22">
        <f t="shared" ca="1" si="330"/>
        <v>0</v>
      </c>
      <c r="T535" s="22">
        <f t="shared" ca="1" si="330"/>
        <v>0</v>
      </c>
      <c r="U535" s="22">
        <f t="shared" ca="1" si="330"/>
        <v>0</v>
      </c>
      <c r="V535" s="22">
        <f t="shared" ca="1" si="330"/>
        <v>0</v>
      </c>
      <c r="W535" s="22">
        <f t="shared" ca="1" si="330"/>
        <v>0</v>
      </c>
      <c r="X535" s="22">
        <f t="shared" ca="1" si="330"/>
        <v>0</v>
      </c>
    </row>
    <row r="536" spans="1:24" hidden="1">
      <c r="A536" s="259"/>
      <c r="B536" s="21" t="s">
        <v>406</v>
      </c>
      <c r="C536" s="22"/>
      <c r="D536" s="21"/>
      <c r="E536" s="21"/>
      <c r="F536" s="21"/>
      <c r="G536" s="21"/>
      <c r="I536" s="21"/>
      <c r="J536" s="21"/>
      <c r="K536" s="77">
        <f t="shared" ref="K536:X536" ca="1" si="331">IF($C532=LataProjekcji,ROUND($C533-K535,0),ROUND(IF(K534=0,0,$C533-K535),0))</f>
        <v>0</v>
      </c>
      <c r="L536" s="77">
        <f t="shared" ca="1" si="331"/>
        <v>0</v>
      </c>
      <c r="M536" s="77">
        <f t="shared" ca="1" si="331"/>
        <v>0</v>
      </c>
      <c r="N536" s="77">
        <f t="shared" ca="1" si="331"/>
        <v>0</v>
      </c>
      <c r="O536" s="77">
        <f t="shared" ca="1" si="331"/>
        <v>0</v>
      </c>
      <c r="P536" s="77">
        <f t="shared" ca="1" si="331"/>
        <v>0</v>
      </c>
      <c r="Q536" s="77">
        <f t="shared" ca="1" si="331"/>
        <v>0</v>
      </c>
      <c r="R536" s="77">
        <f t="shared" ca="1" si="331"/>
        <v>0</v>
      </c>
      <c r="S536" s="77">
        <f t="shared" ca="1" si="331"/>
        <v>0</v>
      </c>
      <c r="T536" s="77">
        <f t="shared" ca="1" si="331"/>
        <v>0</v>
      </c>
      <c r="U536" s="77">
        <f t="shared" ca="1" si="331"/>
        <v>0</v>
      </c>
      <c r="V536" s="77">
        <f t="shared" ca="1" si="331"/>
        <v>0</v>
      </c>
      <c r="W536" s="77">
        <f t="shared" ca="1" si="331"/>
        <v>0</v>
      </c>
      <c r="X536" s="77">
        <f t="shared" ca="1" si="331"/>
        <v>0</v>
      </c>
    </row>
    <row r="537" spans="1:24" hidden="1">
      <c r="A537" s="259"/>
      <c r="B537" s="21"/>
      <c r="C537" s="22"/>
      <c r="D537" s="21"/>
      <c r="E537" s="21"/>
      <c r="F537" s="21"/>
      <c r="G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4" hidden="1">
      <c r="A538" s="259"/>
      <c r="B538" s="20" t="s">
        <v>388</v>
      </c>
      <c r="C538" s="21">
        <f>C531+1</f>
        <v>40</v>
      </c>
      <c r="D538" s="483">
        <f>D531+1</f>
        <v>84</v>
      </c>
      <c r="E538" s="21"/>
      <c r="F538" s="21"/>
      <c r="G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4" hidden="1">
      <c r="A539" s="259"/>
      <c r="B539" s="21" t="s">
        <v>414</v>
      </c>
      <c r="C539" s="165">
        <f ca="1">IFERROR(YEAR(OFFSET($D$28,C538,0)),0)</f>
        <v>0</v>
      </c>
      <c r="D539" s="165">
        <f ca="1">IFERROR(MONTH(OFFSET($D$28,C538,0)),0)</f>
        <v>0</v>
      </c>
      <c r="E539" s="21">
        <f ca="1">12-$D539</f>
        <v>12</v>
      </c>
      <c r="F539" s="21"/>
      <c r="G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4" hidden="1">
      <c r="A540" s="259"/>
      <c r="B540" s="21" t="s">
        <v>406</v>
      </c>
      <c r="C540" s="245">
        <f ca="1">IF(OFFSET($F$28,C538,0)&lt;0,0,OFFSET($F$28,C538,0))</f>
        <v>0</v>
      </c>
      <c r="D540" s="22" t="str">
        <f ca="1">OFFSET($C$28,C538,0)</f>
        <v/>
      </c>
      <c r="E540" s="22">
        <f ca="1">IF(D540&gt;10,ROUND(($C541/12)*$E539,0),$C540)</f>
        <v>0</v>
      </c>
      <c r="F540" s="21"/>
      <c r="G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</row>
    <row r="541" spans="1:24" hidden="1">
      <c r="A541" s="259"/>
      <c r="B541" s="21" t="s">
        <v>415</v>
      </c>
      <c r="C541" s="245">
        <f ca="1">IF(ISBLANK(OFFSET($D$28,C538,0)),0,IF(OFFSET($C$28,C538,0)&gt;10,ROUND(C540*am_wnip,0),IF(C540&lt;0,0,C540)))</f>
        <v>0</v>
      </c>
      <c r="D541" s="21"/>
      <c r="E541" s="21"/>
      <c r="F541" s="21"/>
      <c r="G541" s="21"/>
      <c r="I541" s="21"/>
      <c r="J541" s="483" cm="1">
        <f t="array" aca="1" ref="J541" ca="1">OFFSET('Środki trwałe'!$C$195,'Rozliczenie dotacji'!D538,,)</f>
        <v>0</v>
      </c>
      <c r="K541" s="75">
        <f ca="1">ROUND(IF($C539=LataProjekcji,$E540,IF($C539=LataProjekcji,$C541,0)),0)</f>
        <v>0</v>
      </c>
      <c r="L541" s="248">
        <f ca="1">ROUND(IF(OR(AND($C539=LataProjekcji,$E539&gt;0),AND($C539=LataProjekcji,$E539=0,$D540&lt;=10)),$E540,IF($C539&lt;LataProjekcji,IF((SUM($K541:K541)+$C541)&lt;$C540,$C541,$C540-SUM($K541:K541)),0)),0)</f>
        <v>0</v>
      </c>
      <c r="M541" s="248">
        <f ca="1">ROUND(IF(OR(AND($C539=LataProjekcji,$E539&gt;0),AND($C539=LataProjekcji,$E539=0,$D540&lt;=10)),$E540,IF($C539&lt;LataProjekcji,IF((SUM($K541:L541)+$C541)&lt;$C540,$C541,$C540-SUM($K541:L541)),0)),0)</f>
        <v>0</v>
      </c>
      <c r="N541" s="248">
        <f ca="1">ROUND(IF(OR(AND($C539=LataProjekcji,$E539&gt;0),AND($C539=LataProjekcji,$E539=0,$D540&lt;=10)),$E540,IF($C539&lt;LataProjekcji,IF((SUM($K541:M541)+$C541)&lt;$C540,$C541,$C540-SUM($K541:M541)),0)),0)</f>
        <v>0</v>
      </c>
      <c r="O541" s="248">
        <f ca="1">ROUND(IF(OR(AND($C539=LataProjekcji,$E539&gt;0),AND($C539=LataProjekcji,$E539=0,$D540&lt;=10)),$E540,IF($C539&lt;LataProjekcji,IF((SUM($K541:N541)+$C541)&lt;$C540,$C541,$C540-SUM($K541:N541)),0)),0)</f>
        <v>0</v>
      </c>
      <c r="P541" s="248">
        <f ca="1">ROUND(IF(OR(AND($C539=LataProjekcji,$E539&gt;0),AND($C539=LataProjekcji,$E539=0,$D540&lt;=10)),$E540,IF($C539&lt;LataProjekcji,IF((SUM($K541:O541)+$C541)&lt;$C540,$C541,$C540-SUM($K541:O541)),0)),0)</f>
        <v>0</v>
      </c>
      <c r="Q541" s="248">
        <f ca="1">ROUND(IF(OR(AND($C539=LataProjekcji,$E539&gt;0),AND($C539=LataProjekcji,$E539=0,$D540&lt;=10)),$E540,IF($C539&lt;LataProjekcji,IF((SUM($K541:P541)+$C541)&lt;$C540,$C541,$C540-SUM($K541:P541)),0)),0)</f>
        <v>0</v>
      </c>
      <c r="R541" s="248">
        <f ca="1">ROUND(IF(OR(AND($C539=LataProjekcji,$E539&gt;0),AND($C539=LataProjekcji,$E539=0,$D540&lt;=10)),$E540,IF($C539&lt;LataProjekcji,IF((SUM($K541:Q541)+$C541)&lt;$C540,$C541,$C540-SUM($K541:Q541)),0)),0)</f>
        <v>0</v>
      </c>
      <c r="S541" s="248">
        <f ca="1">ROUND(IF(OR(AND($C539=LataProjekcji,$E539&gt;0),AND($C539=LataProjekcji,$E539=0,$D540&lt;=10)),$E540,IF($C539&lt;LataProjekcji,IF((SUM($K541:R541)+$C541)&lt;$C540,$C541,$C540-SUM($K541:R541)),0)),0)</f>
        <v>0</v>
      </c>
      <c r="T541" s="248">
        <f ca="1">ROUND(IF(OR(AND($C539=LataProjekcji,$E539&gt;0),AND($C539=LataProjekcji,$E539=0,$D540&lt;=10)),$E540,IF($C539&lt;LataProjekcji,IF((SUM($K541:S541)+$C541)&lt;$C540,$C541,$C540-SUM($K541:S541)),0)),0)</f>
        <v>0</v>
      </c>
      <c r="U541" s="248">
        <f ca="1">ROUND(IF(OR(AND($C539=LataProjekcji,$E539&gt;0),AND($C539=LataProjekcji,$E539=0,$D540&lt;=10)),$E540,IF($C539&lt;LataProjekcji,IF((SUM($K541:T541)+$C541)&lt;$C540,$C541,$C540-SUM($K541:T541)),0)),0)</f>
        <v>0</v>
      </c>
      <c r="V541" s="248">
        <f ca="1">ROUND(IF(OR(AND($C539=LataProjekcji,$E539&gt;0),AND($C539=LataProjekcji,$E539=0,$D540&lt;=10)),$E540,IF($C539&lt;LataProjekcji,IF((SUM($K541:U541)+$C541)&lt;$C540,$C541,$C540-SUM($K541:U541)),0)),0)</f>
        <v>0</v>
      </c>
      <c r="W541" s="248">
        <f ca="1">ROUND(IF(OR(AND($C539=LataProjekcji,$E539&gt;0),AND($C539=LataProjekcji,$E539=0,$D540&lt;=10)),$E540,IF($C539&lt;LataProjekcji,IF((SUM($K541:V541)+$C541)&lt;$C540,$C541,$C540-SUM($K541:V541)),0)),0)</f>
        <v>0</v>
      </c>
      <c r="X541" s="248">
        <f ca="1">ROUND(IF(OR(AND($C539=LataProjekcji,$E539&gt;0),AND($C539=LataProjekcji,$E539=0,$D540&lt;=10)),$E540,IF($C539&lt;LataProjekcji,IF((SUM($K541:W541)+$C541)&lt;$C540,$C541,$C540-SUM($K541:W541)),0)),0)</f>
        <v>0</v>
      </c>
    </row>
    <row r="542" spans="1:24" hidden="1">
      <c r="A542" s="259"/>
      <c r="B542" s="21" t="s">
        <v>416</v>
      </c>
      <c r="C542" s="22"/>
      <c r="D542" s="21"/>
      <c r="E542" s="21"/>
      <c r="F542" s="21"/>
      <c r="G542" s="21"/>
      <c r="I542" s="21"/>
      <c r="J542" s="21"/>
      <c r="K542" s="22">
        <f ca="1">ROUND(K541,0)</f>
        <v>0</v>
      </c>
      <c r="L542" s="22">
        <f t="shared" ref="L542:X542" ca="1" si="332">ROUND(K542+L541,0)</f>
        <v>0</v>
      </c>
      <c r="M542" s="22">
        <f t="shared" ca="1" si="332"/>
        <v>0</v>
      </c>
      <c r="N542" s="22">
        <f t="shared" ca="1" si="332"/>
        <v>0</v>
      </c>
      <c r="O542" s="22">
        <f t="shared" ca="1" si="332"/>
        <v>0</v>
      </c>
      <c r="P542" s="22">
        <f t="shared" ca="1" si="332"/>
        <v>0</v>
      </c>
      <c r="Q542" s="22">
        <f t="shared" ca="1" si="332"/>
        <v>0</v>
      </c>
      <c r="R542" s="22">
        <f t="shared" ca="1" si="332"/>
        <v>0</v>
      </c>
      <c r="S542" s="22">
        <f t="shared" ca="1" si="332"/>
        <v>0</v>
      </c>
      <c r="T542" s="22">
        <f t="shared" ca="1" si="332"/>
        <v>0</v>
      </c>
      <c r="U542" s="22">
        <f t="shared" ca="1" si="332"/>
        <v>0</v>
      </c>
      <c r="V542" s="22">
        <f t="shared" ca="1" si="332"/>
        <v>0</v>
      </c>
      <c r="W542" s="22">
        <f t="shared" ca="1" si="332"/>
        <v>0</v>
      </c>
      <c r="X542" s="22">
        <f t="shared" ca="1" si="332"/>
        <v>0</v>
      </c>
    </row>
    <row r="543" spans="1:24" hidden="1">
      <c r="A543" s="259"/>
      <c r="B543" s="21" t="s">
        <v>406</v>
      </c>
      <c r="C543" s="22"/>
      <c r="D543" s="21"/>
      <c r="E543" s="21"/>
      <c r="F543" s="21"/>
      <c r="G543" s="21"/>
      <c r="I543" s="21"/>
      <c r="J543" s="21"/>
      <c r="K543" s="77">
        <f t="shared" ref="K543:X543" ca="1" si="333">IF($C539=LataProjekcji,ROUND($C540-K542,0),ROUND(IF(K541=0,0,$C540-K542),0))</f>
        <v>0</v>
      </c>
      <c r="L543" s="77">
        <f t="shared" ca="1" si="333"/>
        <v>0</v>
      </c>
      <c r="M543" s="77">
        <f t="shared" ca="1" si="333"/>
        <v>0</v>
      </c>
      <c r="N543" s="77">
        <f t="shared" ca="1" si="333"/>
        <v>0</v>
      </c>
      <c r="O543" s="77">
        <f t="shared" ca="1" si="333"/>
        <v>0</v>
      </c>
      <c r="P543" s="77">
        <f t="shared" ca="1" si="333"/>
        <v>0</v>
      </c>
      <c r="Q543" s="77">
        <f t="shared" ca="1" si="333"/>
        <v>0</v>
      </c>
      <c r="R543" s="77">
        <f t="shared" ca="1" si="333"/>
        <v>0</v>
      </c>
      <c r="S543" s="77">
        <f t="shared" ca="1" si="333"/>
        <v>0</v>
      </c>
      <c r="T543" s="77">
        <f t="shared" ca="1" si="333"/>
        <v>0</v>
      </c>
      <c r="U543" s="77">
        <f t="shared" ca="1" si="333"/>
        <v>0</v>
      </c>
      <c r="V543" s="77">
        <f t="shared" ca="1" si="333"/>
        <v>0</v>
      </c>
      <c r="W543" s="77">
        <f t="shared" ca="1" si="333"/>
        <v>0</v>
      </c>
      <c r="X543" s="77">
        <f t="shared" ca="1" si="333"/>
        <v>0</v>
      </c>
    </row>
    <row r="544" spans="1:24" hidden="1">
      <c r="A544" s="259"/>
      <c r="B544" s="21"/>
      <c r="C544" s="22"/>
      <c r="D544" s="21"/>
      <c r="E544" s="21"/>
      <c r="F544" s="21"/>
      <c r="G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idden="1">
      <c r="A545" s="259"/>
      <c r="B545" s="20" t="s">
        <v>388</v>
      </c>
      <c r="C545" s="21">
        <f>C538+1</f>
        <v>41</v>
      </c>
      <c r="D545" s="483">
        <f>D538+1</f>
        <v>85</v>
      </c>
      <c r="E545" s="21"/>
      <c r="F545" s="21"/>
      <c r="G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idden="1">
      <c r="A546" s="259"/>
      <c r="B546" s="21" t="s">
        <v>414</v>
      </c>
      <c r="C546" s="165">
        <f ca="1">IFERROR(YEAR(OFFSET($D$28,C545,0)),0)</f>
        <v>0</v>
      </c>
      <c r="D546" s="165">
        <f ca="1">IFERROR(MONTH(OFFSET($D$28,C545,0)),0)</f>
        <v>0</v>
      </c>
      <c r="E546" s="21">
        <f ca="1">12-$D546</f>
        <v>12</v>
      </c>
      <c r="F546" s="21"/>
      <c r="G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idden="1">
      <c r="A547" s="259"/>
      <c r="B547" s="21" t="s">
        <v>406</v>
      </c>
      <c r="C547" s="245">
        <f ca="1">IF(OFFSET($F$28,C545,0)&lt;0,0,OFFSET($F$28,C545,0))</f>
        <v>0</v>
      </c>
      <c r="D547" s="22" t="str">
        <f ca="1">OFFSET($C$28,C545,0)</f>
        <v/>
      </c>
      <c r="E547" s="22">
        <f ca="1">IF(D547&gt;10,ROUND(($C548/12)*$E546,0),$C547)</f>
        <v>0</v>
      </c>
      <c r="F547" s="21"/>
      <c r="G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</row>
    <row r="548" spans="1:24" hidden="1">
      <c r="A548" s="259"/>
      <c r="B548" s="21" t="s">
        <v>415</v>
      </c>
      <c r="C548" s="245">
        <f ca="1">IF(ISBLANK(OFFSET($D$28,C545,0)),0,IF(OFFSET($C$28,C545,0)&gt;10,ROUND(C547*am_wnip,0),IF(C547&lt;0,0,C547)))</f>
        <v>0</v>
      </c>
      <c r="D548" s="21"/>
      <c r="E548" s="21"/>
      <c r="F548" s="21"/>
      <c r="G548" s="21"/>
      <c r="I548" s="21"/>
      <c r="J548" s="483" cm="1">
        <f t="array" aca="1" ref="J548" ca="1">OFFSET('Środki trwałe'!$C$195,'Rozliczenie dotacji'!D545,,)</f>
        <v>0</v>
      </c>
      <c r="K548" s="75">
        <f ca="1">ROUND(IF($C546=LataProjekcji,$E547,IF($C546=LataProjekcji,$C548,0)),0)</f>
        <v>0</v>
      </c>
      <c r="L548" s="248">
        <f ca="1">ROUND(IF(OR(AND($C546=LataProjekcji,$E546&gt;0),AND($C546=LataProjekcji,$E546=0,$D547&lt;=10)),$E547,IF($C546&lt;LataProjekcji,IF((SUM($K548:K548)+$C548)&lt;$C547,$C548,$C547-SUM($K548:K548)),0)),0)</f>
        <v>0</v>
      </c>
      <c r="M548" s="248">
        <f ca="1">ROUND(IF(OR(AND($C546=LataProjekcji,$E546&gt;0),AND($C546=LataProjekcji,$E546=0,$D547&lt;=10)),$E547,IF($C546&lt;LataProjekcji,IF((SUM($K548:L548)+$C548)&lt;$C547,$C548,$C547-SUM($K548:L548)),0)),0)</f>
        <v>0</v>
      </c>
      <c r="N548" s="248">
        <f ca="1">ROUND(IF(OR(AND($C546=LataProjekcji,$E546&gt;0),AND($C546=LataProjekcji,$E546=0,$D547&lt;=10)),$E547,IF($C546&lt;LataProjekcji,IF((SUM($K548:M548)+$C548)&lt;$C547,$C548,$C547-SUM($K548:M548)),0)),0)</f>
        <v>0</v>
      </c>
      <c r="O548" s="248">
        <f ca="1">ROUND(IF(OR(AND($C546=LataProjekcji,$E546&gt;0),AND($C546=LataProjekcji,$E546=0,$D547&lt;=10)),$E547,IF($C546&lt;LataProjekcji,IF((SUM($K548:N548)+$C548)&lt;$C547,$C548,$C547-SUM($K548:N548)),0)),0)</f>
        <v>0</v>
      </c>
      <c r="P548" s="248">
        <f ca="1">ROUND(IF(OR(AND($C546=LataProjekcji,$E546&gt;0),AND($C546=LataProjekcji,$E546=0,$D547&lt;=10)),$E547,IF($C546&lt;LataProjekcji,IF((SUM($K548:O548)+$C548)&lt;$C547,$C548,$C547-SUM($K548:O548)),0)),0)</f>
        <v>0</v>
      </c>
      <c r="Q548" s="248">
        <f ca="1">ROUND(IF(OR(AND($C546=LataProjekcji,$E546&gt;0),AND($C546=LataProjekcji,$E546=0,$D547&lt;=10)),$E547,IF($C546&lt;LataProjekcji,IF((SUM($K548:P548)+$C548)&lt;$C547,$C548,$C547-SUM($K548:P548)),0)),0)</f>
        <v>0</v>
      </c>
      <c r="R548" s="248">
        <f ca="1">ROUND(IF(OR(AND($C546=LataProjekcji,$E546&gt;0),AND($C546=LataProjekcji,$E546=0,$D547&lt;=10)),$E547,IF($C546&lt;LataProjekcji,IF((SUM($K548:Q548)+$C548)&lt;$C547,$C548,$C547-SUM($K548:Q548)),0)),0)</f>
        <v>0</v>
      </c>
      <c r="S548" s="248">
        <f ca="1">ROUND(IF(OR(AND($C546=LataProjekcji,$E546&gt;0),AND($C546=LataProjekcji,$E546=0,$D547&lt;=10)),$E547,IF($C546&lt;LataProjekcji,IF((SUM($K548:R548)+$C548)&lt;$C547,$C548,$C547-SUM($K548:R548)),0)),0)</f>
        <v>0</v>
      </c>
      <c r="T548" s="248">
        <f ca="1">ROUND(IF(OR(AND($C546=LataProjekcji,$E546&gt;0),AND($C546=LataProjekcji,$E546=0,$D547&lt;=10)),$E547,IF($C546&lt;LataProjekcji,IF((SUM($K548:S548)+$C548)&lt;$C547,$C548,$C547-SUM($K548:S548)),0)),0)</f>
        <v>0</v>
      </c>
      <c r="U548" s="248">
        <f ca="1">ROUND(IF(OR(AND($C546=LataProjekcji,$E546&gt;0),AND($C546=LataProjekcji,$E546=0,$D547&lt;=10)),$E547,IF($C546&lt;LataProjekcji,IF((SUM($K548:T548)+$C548)&lt;$C547,$C548,$C547-SUM($K548:T548)),0)),0)</f>
        <v>0</v>
      </c>
      <c r="V548" s="248">
        <f ca="1">ROUND(IF(OR(AND($C546=LataProjekcji,$E546&gt;0),AND($C546=LataProjekcji,$E546=0,$D547&lt;=10)),$E547,IF($C546&lt;LataProjekcji,IF((SUM($K548:U548)+$C548)&lt;$C547,$C548,$C547-SUM($K548:U548)),0)),0)</f>
        <v>0</v>
      </c>
      <c r="W548" s="248">
        <f ca="1">ROUND(IF(OR(AND($C546=LataProjekcji,$E546&gt;0),AND($C546=LataProjekcji,$E546=0,$D547&lt;=10)),$E547,IF($C546&lt;LataProjekcji,IF((SUM($K548:V548)+$C548)&lt;$C547,$C548,$C547-SUM($K548:V548)),0)),0)</f>
        <v>0</v>
      </c>
      <c r="X548" s="248">
        <f ca="1">ROUND(IF(OR(AND($C546=LataProjekcji,$E546&gt;0),AND($C546=LataProjekcji,$E546=0,$D547&lt;=10)),$E547,IF($C546&lt;LataProjekcji,IF((SUM($K548:W548)+$C548)&lt;$C547,$C548,$C547-SUM($K548:W548)),0)),0)</f>
        <v>0</v>
      </c>
    </row>
    <row r="549" spans="1:24" hidden="1">
      <c r="A549" s="259"/>
      <c r="B549" s="21" t="s">
        <v>416</v>
      </c>
      <c r="C549" s="22"/>
      <c r="D549" s="21"/>
      <c r="E549" s="21"/>
      <c r="F549" s="21"/>
      <c r="G549" s="21"/>
      <c r="I549" s="21"/>
      <c r="J549" s="21"/>
      <c r="K549" s="22">
        <f ca="1">ROUND(K548,0)</f>
        <v>0</v>
      </c>
      <c r="L549" s="22">
        <f t="shared" ref="L549:X549" ca="1" si="334">ROUND(K549+L548,0)</f>
        <v>0</v>
      </c>
      <c r="M549" s="22">
        <f t="shared" ca="1" si="334"/>
        <v>0</v>
      </c>
      <c r="N549" s="22">
        <f t="shared" ca="1" si="334"/>
        <v>0</v>
      </c>
      <c r="O549" s="22">
        <f t="shared" ca="1" si="334"/>
        <v>0</v>
      </c>
      <c r="P549" s="22">
        <f t="shared" ca="1" si="334"/>
        <v>0</v>
      </c>
      <c r="Q549" s="22">
        <f t="shared" ca="1" si="334"/>
        <v>0</v>
      </c>
      <c r="R549" s="22">
        <f t="shared" ca="1" si="334"/>
        <v>0</v>
      </c>
      <c r="S549" s="22">
        <f t="shared" ca="1" si="334"/>
        <v>0</v>
      </c>
      <c r="T549" s="22">
        <f t="shared" ca="1" si="334"/>
        <v>0</v>
      </c>
      <c r="U549" s="22">
        <f t="shared" ca="1" si="334"/>
        <v>0</v>
      </c>
      <c r="V549" s="22">
        <f t="shared" ca="1" si="334"/>
        <v>0</v>
      </c>
      <c r="W549" s="22">
        <f t="shared" ca="1" si="334"/>
        <v>0</v>
      </c>
      <c r="X549" s="22">
        <f t="shared" ca="1" si="334"/>
        <v>0</v>
      </c>
    </row>
    <row r="550" spans="1:24" hidden="1">
      <c r="A550" s="259"/>
      <c r="B550" s="21" t="s">
        <v>406</v>
      </c>
      <c r="C550" s="22"/>
      <c r="D550" s="21"/>
      <c r="E550" s="21"/>
      <c r="F550" s="21"/>
      <c r="G550" s="21"/>
      <c r="I550" s="21"/>
      <c r="J550" s="21"/>
      <c r="K550" s="77">
        <f t="shared" ref="K550:X550" ca="1" si="335">IF($C546=LataProjekcji,ROUND($C547-K549,0),ROUND(IF(K548=0,0,$C547-K549),0))</f>
        <v>0</v>
      </c>
      <c r="L550" s="77">
        <f t="shared" ca="1" si="335"/>
        <v>0</v>
      </c>
      <c r="M550" s="77">
        <f t="shared" ca="1" si="335"/>
        <v>0</v>
      </c>
      <c r="N550" s="77">
        <f t="shared" ca="1" si="335"/>
        <v>0</v>
      </c>
      <c r="O550" s="77">
        <f t="shared" ca="1" si="335"/>
        <v>0</v>
      </c>
      <c r="P550" s="77">
        <f t="shared" ca="1" si="335"/>
        <v>0</v>
      </c>
      <c r="Q550" s="77">
        <f t="shared" ca="1" si="335"/>
        <v>0</v>
      </c>
      <c r="R550" s="77">
        <f t="shared" ca="1" si="335"/>
        <v>0</v>
      </c>
      <c r="S550" s="77">
        <f t="shared" ca="1" si="335"/>
        <v>0</v>
      </c>
      <c r="T550" s="77">
        <f t="shared" ca="1" si="335"/>
        <v>0</v>
      </c>
      <c r="U550" s="77">
        <f t="shared" ca="1" si="335"/>
        <v>0</v>
      </c>
      <c r="V550" s="77">
        <f t="shared" ca="1" si="335"/>
        <v>0</v>
      </c>
      <c r="W550" s="77">
        <f t="shared" ca="1" si="335"/>
        <v>0</v>
      </c>
      <c r="X550" s="77">
        <f t="shared" ca="1" si="335"/>
        <v>0</v>
      </c>
    </row>
    <row r="551" spans="1:24" hidden="1">
      <c r="A551" s="259"/>
      <c r="B551" s="20"/>
      <c r="C551" s="21"/>
      <c r="D551" s="21"/>
      <c r="E551" s="21"/>
      <c r="F551" s="21"/>
      <c r="G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idden="1">
      <c r="A552" s="259"/>
      <c r="B552" s="20" t="s">
        <v>388</v>
      </c>
      <c r="C552" s="21">
        <f>C545+1</f>
        <v>42</v>
      </c>
      <c r="D552" s="483">
        <f>D545+1</f>
        <v>86</v>
      </c>
      <c r="E552" s="21"/>
      <c r="F552" s="21"/>
      <c r="G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idden="1">
      <c r="A553" s="259"/>
      <c r="B553" s="21" t="s">
        <v>414</v>
      </c>
      <c r="C553" s="165">
        <f ca="1">IFERROR(YEAR(OFFSET($D$28,C552,0)),0)</f>
        <v>0</v>
      </c>
      <c r="D553" s="165">
        <f ca="1">IFERROR(MONTH(OFFSET($D$28,C552,0)),0)</f>
        <v>0</v>
      </c>
      <c r="E553" s="21">
        <f ca="1">12-$D553</f>
        <v>12</v>
      </c>
      <c r="F553" s="21"/>
      <c r="G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idden="1">
      <c r="A554" s="259"/>
      <c r="B554" s="21" t="s">
        <v>406</v>
      </c>
      <c r="C554" s="245">
        <f ca="1">IF(OFFSET($F$28,C552,0)&lt;0,0,OFFSET($F$28,C552,0))</f>
        <v>0</v>
      </c>
      <c r="D554" s="22" t="str">
        <f ca="1">OFFSET($C$28,C552,0)</f>
        <v/>
      </c>
      <c r="E554" s="22">
        <f ca="1">IF(D554&gt;10,ROUND(($C555/12)*$E553,0),$C554)</f>
        <v>0</v>
      </c>
      <c r="F554" s="21"/>
      <c r="G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</row>
    <row r="555" spans="1:24" hidden="1">
      <c r="A555" s="259"/>
      <c r="B555" s="21" t="s">
        <v>415</v>
      </c>
      <c r="C555" s="245">
        <f ca="1">IF(ISBLANK(OFFSET($D$28,C552,0)),0,IF(OFFSET($C$28,C552,0)&gt;10,ROUND(C554*am_wnip,0),IF(C554&lt;0,0,C554)))</f>
        <v>0</v>
      </c>
      <c r="D555" s="21"/>
      <c r="E555" s="21"/>
      <c r="F555" s="21"/>
      <c r="G555" s="21"/>
      <c r="I555" s="21"/>
      <c r="J555" s="483" cm="1">
        <f t="array" aca="1" ref="J555" ca="1">OFFSET('Środki trwałe'!$C$195,'Rozliczenie dotacji'!D552,,)</f>
        <v>0</v>
      </c>
      <c r="K555" s="75">
        <f ca="1">ROUND(IF($C553=LataProjekcji,$E554,IF($C553=LataProjekcji,$C555,0)),0)</f>
        <v>0</v>
      </c>
      <c r="L555" s="248">
        <f ca="1">ROUND(IF(OR(AND($C553=LataProjekcji,$E553&gt;0),AND($C553=LataProjekcji,$E553=0,$D554&lt;=10)),$E554,IF($C553&lt;LataProjekcji,IF((SUM($K555:K555)+$C555)&lt;$C554,$C555,$C554-SUM($K555:K555)),0)),0)</f>
        <v>0</v>
      </c>
      <c r="M555" s="248">
        <f ca="1">ROUND(IF(OR(AND($C553=LataProjekcji,$E553&gt;0),AND($C553=LataProjekcji,$E553=0,$D554&lt;=10)),$E554,IF($C553&lt;LataProjekcji,IF((SUM($K555:L555)+$C555)&lt;$C554,$C555,$C554-SUM($K555:L555)),0)),0)</f>
        <v>0</v>
      </c>
      <c r="N555" s="248">
        <f ca="1">ROUND(IF(OR(AND($C553=LataProjekcji,$E553&gt;0),AND($C553=LataProjekcji,$E553=0,$D554&lt;=10)),$E554,IF($C553&lt;LataProjekcji,IF((SUM($K555:M555)+$C555)&lt;$C554,$C555,$C554-SUM($K555:M555)),0)),0)</f>
        <v>0</v>
      </c>
      <c r="O555" s="248">
        <f ca="1">ROUND(IF(OR(AND($C553=LataProjekcji,$E553&gt;0),AND($C553=LataProjekcji,$E553=0,$D554&lt;=10)),$E554,IF($C553&lt;LataProjekcji,IF((SUM($K555:N555)+$C555)&lt;$C554,$C555,$C554-SUM($K555:N555)),0)),0)</f>
        <v>0</v>
      </c>
      <c r="P555" s="248">
        <f ca="1">ROUND(IF(OR(AND($C553=LataProjekcji,$E553&gt;0),AND($C553=LataProjekcji,$E553=0,$D554&lt;=10)),$E554,IF($C553&lt;LataProjekcji,IF((SUM($K555:O555)+$C555)&lt;$C554,$C555,$C554-SUM($K555:O555)),0)),0)</f>
        <v>0</v>
      </c>
      <c r="Q555" s="248">
        <f ca="1">ROUND(IF(OR(AND($C553=LataProjekcji,$E553&gt;0),AND($C553=LataProjekcji,$E553=0,$D554&lt;=10)),$E554,IF($C553&lt;LataProjekcji,IF((SUM($K555:P555)+$C555)&lt;$C554,$C555,$C554-SUM($K555:P555)),0)),0)</f>
        <v>0</v>
      </c>
      <c r="R555" s="248">
        <f ca="1">ROUND(IF(OR(AND($C553=LataProjekcji,$E553&gt;0),AND($C553=LataProjekcji,$E553=0,$D554&lt;=10)),$E554,IF($C553&lt;LataProjekcji,IF((SUM($K555:Q555)+$C555)&lt;$C554,$C555,$C554-SUM($K555:Q555)),0)),0)</f>
        <v>0</v>
      </c>
      <c r="S555" s="248">
        <f ca="1">ROUND(IF(OR(AND($C553=LataProjekcji,$E553&gt;0),AND($C553=LataProjekcji,$E553=0,$D554&lt;=10)),$E554,IF($C553&lt;LataProjekcji,IF((SUM($K555:R555)+$C555)&lt;$C554,$C555,$C554-SUM($K555:R555)),0)),0)</f>
        <v>0</v>
      </c>
      <c r="T555" s="248">
        <f ca="1">ROUND(IF(OR(AND($C553=LataProjekcji,$E553&gt;0),AND($C553=LataProjekcji,$E553=0,$D554&lt;=10)),$E554,IF($C553&lt;LataProjekcji,IF((SUM($K555:S555)+$C555)&lt;$C554,$C555,$C554-SUM($K555:S555)),0)),0)</f>
        <v>0</v>
      </c>
      <c r="U555" s="248">
        <f ca="1">ROUND(IF(OR(AND($C553=LataProjekcji,$E553&gt;0),AND($C553=LataProjekcji,$E553=0,$D554&lt;=10)),$E554,IF($C553&lt;LataProjekcji,IF((SUM($K555:T555)+$C555)&lt;$C554,$C555,$C554-SUM($K555:T555)),0)),0)</f>
        <v>0</v>
      </c>
      <c r="V555" s="248">
        <f ca="1">ROUND(IF(OR(AND($C553=LataProjekcji,$E553&gt;0),AND($C553=LataProjekcji,$E553=0,$D554&lt;=10)),$E554,IF($C553&lt;LataProjekcji,IF((SUM($K555:U555)+$C555)&lt;$C554,$C555,$C554-SUM($K555:U555)),0)),0)</f>
        <v>0</v>
      </c>
      <c r="W555" s="248">
        <f ca="1">ROUND(IF(OR(AND($C553=LataProjekcji,$E553&gt;0),AND($C553=LataProjekcji,$E553=0,$D554&lt;=10)),$E554,IF($C553&lt;LataProjekcji,IF((SUM($K555:V555)+$C555)&lt;$C554,$C555,$C554-SUM($K555:V555)),0)),0)</f>
        <v>0</v>
      </c>
      <c r="X555" s="248">
        <f ca="1">ROUND(IF(OR(AND($C553=LataProjekcji,$E553&gt;0),AND($C553=LataProjekcji,$E553=0,$D554&lt;=10)),$E554,IF($C553&lt;LataProjekcji,IF((SUM($K555:W555)+$C555)&lt;$C554,$C555,$C554-SUM($K555:W555)),0)),0)</f>
        <v>0</v>
      </c>
    </row>
    <row r="556" spans="1:24" hidden="1">
      <c r="A556" s="259"/>
      <c r="B556" s="21" t="s">
        <v>416</v>
      </c>
      <c r="C556" s="22"/>
      <c r="D556" s="21"/>
      <c r="E556" s="21"/>
      <c r="F556" s="21"/>
      <c r="G556" s="21"/>
      <c r="I556" s="21"/>
      <c r="J556" s="21"/>
      <c r="K556" s="22">
        <f ca="1">ROUND(K555,0)</f>
        <v>0</v>
      </c>
      <c r="L556" s="22">
        <f t="shared" ref="L556:X556" ca="1" si="336">ROUND(K556+L555,0)</f>
        <v>0</v>
      </c>
      <c r="M556" s="22">
        <f t="shared" ca="1" si="336"/>
        <v>0</v>
      </c>
      <c r="N556" s="22">
        <f t="shared" ca="1" si="336"/>
        <v>0</v>
      </c>
      <c r="O556" s="22">
        <f t="shared" ca="1" si="336"/>
        <v>0</v>
      </c>
      <c r="P556" s="22">
        <f t="shared" ca="1" si="336"/>
        <v>0</v>
      </c>
      <c r="Q556" s="22">
        <f t="shared" ca="1" si="336"/>
        <v>0</v>
      </c>
      <c r="R556" s="22">
        <f t="shared" ca="1" si="336"/>
        <v>0</v>
      </c>
      <c r="S556" s="22">
        <f t="shared" ca="1" si="336"/>
        <v>0</v>
      </c>
      <c r="T556" s="22">
        <f t="shared" ca="1" si="336"/>
        <v>0</v>
      </c>
      <c r="U556" s="22">
        <f t="shared" ca="1" si="336"/>
        <v>0</v>
      </c>
      <c r="V556" s="22">
        <f t="shared" ca="1" si="336"/>
        <v>0</v>
      </c>
      <c r="W556" s="22">
        <f t="shared" ca="1" si="336"/>
        <v>0</v>
      </c>
      <c r="X556" s="22">
        <f t="shared" ca="1" si="336"/>
        <v>0</v>
      </c>
    </row>
    <row r="557" spans="1:24" hidden="1">
      <c r="A557" s="259"/>
      <c r="B557" s="21" t="s">
        <v>406</v>
      </c>
      <c r="C557" s="22"/>
      <c r="D557" s="21"/>
      <c r="E557" s="21"/>
      <c r="F557" s="21"/>
      <c r="G557" s="21"/>
      <c r="I557" s="21"/>
      <c r="J557" s="21"/>
      <c r="K557" s="77">
        <f t="shared" ref="K557:X557" ca="1" si="337">IF($C553=LataProjekcji,ROUND($C554-K556,0),ROUND(IF(K555=0,0,$C554-K556),0))</f>
        <v>0</v>
      </c>
      <c r="L557" s="77">
        <f t="shared" ca="1" si="337"/>
        <v>0</v>
      </c>
      <c r="M557" s="77">
        <f t="shared" ca="1" si="337"/>
        <v>0</v>
      </c>
      <c r="N557" s="77">
        <f t="shared" ca="1" si="337"/>
        <v>0</v>
      </c>
      <c r="O557" s="77">
        <f t="shared" ca="1" si="337"/>
        <v>0</v>
      </c>
      <c r="P557" s="77">
        <f t="shared" ca="1" si="337"/>
        <v>0</v>
      </c>
      <c r="Q557" s="77">
        <f t="shared" ca="1" si="337"/>
        <v>0</v>
      </c>
      <c r="R557" s="77">
        <f t="shared" ca="1" si="337"/>
        <v>0</v>
      </c>
      <c r="S557" s="77">
        <f t="shared" ca="1" si="337"/>
        <v>0</v>
      </c>
      <c r="T557" s="77">
        <f t="shared" ca="1" si="337"/>
        <v>0</v>
      </c>
      <c r="U557" s="77">
        <f t="shared" ca="1" si="337"/>
        <v>0</v>
      </c>
      <c r="V557" s="77">
        <f t="shared" ca="1" si="337"/>
        <v>0</v>
      </c>
      <c r="W557" s="77">
        <f t="shared" ca="1" si="337"/>
        <v>0</v>
      </c>
      <c r="X557" s="77">
        <f t="shared" ca="1" si="337"/>
        <v>0</v>
      </c>
    </row>
    <row r="558" spans="1:24" hidden="1">
      <c r="A558" s="259"/>
      <c r="B558" s="21"/>
      <c r="C558" s="22"/>
      <c r="D558" s="21"/>
      <c r="E558" s="21"/>
      <c r="F558" s="21"/>
      <c r="G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idden="1">
      <c r="A559" s="259"/>
      <c r="B559" s="20" t="s">
        <v>388</v>
      </c>
      <c r="C559" s="21">
        <f>C552+1</f>
        <v>43</v>
      </c>
      <c r="D559" s="483">
        <f>D552+1</f>
        <v>87</v>
      </c>
      <c r="E559" s="21"/>
      <c r="F559" s="21"/>
      <c r="G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idden="1">
      <c r="A560" s="259"/>
      <c r="B560" s="21" t="s">
        <v>414</v>
      </c>
      <c r="C560" s="165">
        <f ca="1">IFERROR(YEAR(OFFSET($D$28,C559,0)),0)</f>
        <v>0</v>
      </c>
      <c r="D560" s="165">
        <f ca="1">IFERROR(MONTH(OFFSET($D$28,C559,0)),0)</f>
        <v>0</v>
      </c>
      <c r="E560" s="21">
        <f ca="1">12-$D560</f>
        <v>12</v>
      </c>
      <c r="F560" s="21"/>
      <c r="G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idden="1">
      <c r="A561" s="259"/>
      <c r="B561" s="21" t="s">
        <v>406</v>
      </c>
      <c r="C561" s="245">
        <f ca="1">IF(OFFSET($F$28,C559,0)&lt;0,0,OFFSET($F$28,C559,0))</f>
        <v>0</v>
      </c>
      <c r="D561" s="22" t="str">
        <f ca="1">OFFSET($C$28,C559,0)</f>
        <v/>
      </c>
      <c r="E561" s="22">
        <f ca="1">IF(D561&gt;10,ROUND(($C562/12)*$E560,0),$C561)</f>
        <v>0</v>
      </c>
      <c r="F561" s="21"/>
      <c r="G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</row>
    <row r="562" spans="1:24" hidden="1">
      <c r="A562" s="259"/>
      <c r="B562" s="21" t="s">
        <v>415</v>
      </c>
      <c r="C562" s="245">
        <f ca="1">IF(ISBLANK(OFFSET($D$28,C559,0)),0,IF(OFFSET($C$28,C559,0)&gt;10,ROUND(C561*am_wnip,0),IF(C561&lt;0,0,C561)))</f>
        <v>0</v>
      </c>
      <c r="D562" s="21"/>
      <c r="E562" s="21"/>
      <c r="F562" s="21"/>
      <c r="G562" s="21"/>
      <c r="I562" s="21"/>
      <c r="J562" s="483" cm="1">
        <f t="array" aca="1" ref="J562" ca="1">OFFSET('Środki trwałe'!$C$195,'Rozliczenie dotacji'!D559,,)</f>
        <v>0</v>
      </c>
      <c r="K562" s="75">
        <f ca="1">ROUND(IF($C560=LataProjekcji,$E561,IF($C560=LataProjekcji,$C562,0)),0)</f>
        <v>0</v>
      </c>
      <c r="L562" s="248">
        <f ca="1">ROUND(IF(OR(AND($C560=LataProjekcji,$E560&gt;0),AND($C560=LataProjekcji,$E560=0,$D561&lt;=10)),$E561,IF($C560&lt;LataProjekcji,IF((SUM($K562:K562)+$C562)&lt;$C561,$C562,$C561-SUM($K562:K562)),0)),0)</f>
        <v>0</v>
      </c>
      <c r="M562" s="248">
        <f ca="1">ROUND(IF(OR(AND($C560=LataProjekcji,$E560&gt;0),AND($C560=LataProjekcji,$E560=0,$D561&lt;=10)),$E561,IF($C560&lt;LataProjekcji,IF((SUM($K562:L562)+$C562)&lt;$C561,$C562,$C561-SUM($K562:L562)),0)),0)</f>
        <v>0</v>
      </c>
      <c r="N562" s="248">
        <f ca="1">ROUND(IF(OR(AND($C560=LataProjekcji,$E560&gt;0),AND($C560=LataProjekcji,$E560=0,$D561&lt;=10)),$E561,IF($C560&lt;LataProjekcji,IF((SUM($K562:M562)+$C562)&lt;$C561,$C562,$C561-SUM($K562:M562)),0)),0)</f>
        <v>0</v>
      </c>
      <c r="O562" s="248">
        <f ca="1">ROUND(IF(OR(AND($C560=LataProjekcji,$E560&gt;0),AND($C560=LataProjekcji,$E560=0,$D561&lt;=10)),$E561,IF($C560&lt;LataProjekcji,IF((SUM($K562:N562)+$C562)&lt;$C561,$C562,$C561-SUM($K562:N562)),0)),0)</f>
        <v>0</v>
      </c>
      <c r="P562" s="248">
        <f ca="1">ROUND(IF(OR(AND($C560=LataProjekcji,$E560&gt;0),AND($C560=LataProjekcji,$E560=0,$D561&lt;=10)),$E561,IF($C560&lt;LataProjekcji,IF((SUM($K562:O562)+$C562)&lt;$C561,$C562,$C561-SUM($K562:O562)),0)),0)</f>
        <v>0</v>
      </c>
      <c r="Q562" s="248">
        <f ca="1">ROUND(IF(OR(AND($C560=LataProjekcji,$E560&gt;0),AND($C560=LataProjekcji,$E560=0,$D561&lt;=10)),$E561,IF($C560&lt;LataProjekcji,IF((SUM($K562:P562)+$C562)&lt;$C561,$C562,$C561-SUM($K562:P562)),0)),0)</f>
        <v>0</v>
      </c>
      <c r="R562" s="248">
        <f ca="1">ROUND(IF(OR(AND($C560=LataProjekcji,$E560&gt;0),AND($C560=LataProjekcji,$E560=0,$D561&lt;=10)),$E561,IF($C560&lt;LataProjekcji,IF((SUM($K562:Q562)+$C562)&lt;$C561,$C562,$C561-SUM($K562:Q562)),0)),0)</f>
        <v>0</v>
      </c>
      <c r="S562" s="248">
        <f ca="1">ROUND(IF(OR(AND($C560=LataProjekcji,$E560&gt;0),AND($C560=LataProjekcji,$E560=0,$D561&lt;=10)),$E561,IF($C560&lt;LataProjekcji,IF((SUM($K562:R562)+$C562)&lt;$C561,$C562,$C561-SUM($K562:R562)),0)),0)</f>
        <v>0</v>
      </c>
      <c r="T562" s="248">
        <f ca="1">ROUND(IF(OR(AND($C560=LataProjekcji,$E560&gt;0),AND($C560=LataProjekcji,$E560=0,$D561&lt;=10)),$E561,IF($C560&lt;LataProjekcji,IF((SUM($K562:S562)+$C562)&lt;$C561,$C562,$C561-SUM($K562:S562)),0)),0)</f>
        <v>0</v>
      </c>
      <c r="U562" s="248">
        <f ca="1">ROUND(IF(OR(AND($C560=LataProjekcji,$E560&gt;0),AND($C560=LataProjekcji,$E560=0,$D561&lt;=10)),$E561,IF($C560&lt;LataProjekcji,IF((SUM($K562:T562)+$C562)&lt;$C561,$C562,$C561-SUM($K562:T562)),0)),0)</f>
        <v>0</v>
      </c>
      <c r="V562" s="248">
        <f ca="1">ROUND(IF(OR(AND($C560=LataProjekcji,$E560&gt;0),AND($C560=LataProjekcji,$E560=0,$D561&lt;=10)),$E561,IF($C560&lt;LataProjekcji,IF((SUM($K562:U562)+$C562)&lt;$C561,$C562,$C561-SUM($K562:U562)),0)),0)</f>
        <v>0</v>
      </c>
      <c r="W562" s="248">
        <f ca="1">ROUND(IF(OR(AND($C560=LataProjekcji,$E560&gt;0),AND($C560=LataProjekcji,$E560=0,$D561&lt;=10)),$E561,IF($C560&lt;LataProjekcji,IF((SUM($K562:V562)+$C562)&lt;$C561,$C562,$C561-SUM($K562:V562)),0)),0)</f>
        <v>0</v>
      </c>
      <c r="X562" s="248">
        <f ca="1">ROUND(IF(OR(AND($C560=LataProjekcji,$E560&gt;0),AND($C560=LataProjekcji,$E560=0,$D561&lt;=10)),$E561,IF($C560&lt;LataProjekcji,IF((SUM($K562:W562)+$C562)&lt;$C561,$C562,$C561-SUM($K562:W562)),0)),0)</f>
        <v>0</v>
      </c>
    </row>
    <row r="563" spans="1:24" hidden="1">
      <c r="A563" s="259"/>
      <c r="B563" s="21" t="s">
        <v>416</v>
      </c>
      <c r="C563" s="22"/>
      <c r="D563" s="21"/>
      <c r="E563" s="21"/>
      <c r="F563" s="21"/>
      <c r="G563" s="21"/>
      <c r="I563" s="21"/>
      <c r="J563" s="21"/>
      <c r="K563" s="22">
        <f ca="1">ROUND(K562,0)</f>
        <v>0</v>
      </c>
      <c r="L563" s="22">
        <f t="shared" ref="L563:X563" ca="1" si="338">ROUND(K563+L562,0)</f>
        <v>0</v>
      </c>
      <c r="M563" s="22">
        <f t="shared" ca="1" si="338"/>
        <v>0</v>
      </c>
      <c r="N563" s="22">
        <f t="shared" ca="1" si="338"/>
        <v>0</v>
      </c>
      <c r="O563" s="22">
        <f t="shared" ca="1" si="338"/>
        <v>0</v>
      </c>
      <c r="P563" s="22">
        <f t="shared" ca="1" si="338"/>
        <v>0</v>
      </c>
      <c r="Q563" s="22">
        <f t="shared" ca="1" si="338"/>
        <v>0</v>
      </c>
      <c r="R563" s="22">
        <f t="shared" ca="1" si="338"/>
        <v>0</v>
      </c>
      <c r="S563" s="22">
        <f t="shared" ca="1" si="338"/>
        <v>0</v>
      </c>
      <c r="T563" s="22">
        <f t="shared" ca="1" si="338"/>
        <v>0</v>
      </c>
      <c r="U563" s="22">
        <f t="shared" ca="1" si="338"/>
        <v>0</v>
      </c>
      <c r="V563" s="22">
        <f t="shared" ca="1" si="338"/>
        <v>0</v>
      </c>
      <c r="W563" s="22">
        <f t="shared" ca="1" si="338"/>
        <v>0</v>
      </c>
      <c r="X563" s="22">
        <f t="shared" ca="1" si="338"/>
        <v>0</v>
      </c>
    </row>
    <row r="564" spans="1:24" hidden="1">
      <c r="A564" s="259"/>
      <c r="B564" s="21" t="s">
        <v>406</v>
      </c>
      <c r="C564" s="22"/>
      <c r="D564" s="21"/>
      <c r="E564" s="21"/>
      <c r="F564" s="21"/>
      <c r="G564" s="21"/>
      <c r="I564" s="21"/>
      <c r="J564" s="21"/>
      <c r="K564" s="77">
        <f t="shared" ref="K564:X564" ca="1" si="339">IF($C560=LataProjekcji,ROUND($C561-K563,0),ROUND(IF(K562=0,0,$C561-K563),0))</f>
        <v>0</v>
      </c>
      <c r="L564" s="77">
        <f t="shared" ca="1" si="339"/>
        <v>0</v>
      </c>
      <c r="M564" s="77">
        <f t="shared" ca="1" si="339"/>
        <v>0</v>
      </c>
      <c r="N564" s="77">
        <f t="shared" ca="1" si="339"/>
        <v>0</v>
      </c>
      <c r="O564" s="77">
        <f t="shared" ca="1" si="339"/>
        <v>0</v>
      </c>
      <c r="P564" s="77">
        <f t="shared" ca="1" si="339"/>
        <v>0</v>
      </c>
      <c r="Q564" s="77">
        <f t="shared" ca="1" si="339"/>
        <v>0</v>
      </c>
      <c r="R564" s="77">
        <f t="shared" ca="1" si="339"/>
        <v>0</v>
      </c>
      <c r="S564" s="77">
        <f t="shared" ca="1" si="339"/>
        <v>0</v>
      </c>
      <c r="T564" s="77">
        <f t="shared" ca="1" si="339"/>
        <v>0</v>
      </c>
      <c r="U564" s="77">
        <f t="shared" ca="1" si="339"/>
        <v>0</v>
      </c>
      <c r="V564" s="77">
        <f t="shared" ca="1" si="339"/>
        <v>0</v>
      </c>
      <c r="W564" s="77">
        <f t="shared" ca="1" si="339"/>
        <v>0</v>
      </c>
      <c r="X564" s="77">
        <f t="shared" ca="1" si="339"/>
        <v>0</v>
      </c>
    </row>
    <row r="565" spans="1:24" hidden="1">
      <c r="A565" s="259"/>
      <c r="B565" s="21"/>
      <c r="C565" s="21"/>
      <c r="D565" s="21"/>
      <c r="E565" s="21"/>
      <c r="F565" s="21"/>
      <c r="G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idden="1">
      <c r="A566" s="259"/>
      <c r="B566" s="20" t="s">
        <v>388</v>
      </c>
      <c r="C566" s="21">
        <f>C559+1</f>
        <v>44</v>
      </c>
      <c r="D566" s="483">
        <f>D559+1</f>
        <v>88</v>
      </c>
      <c r="E566" s="21"/>
      <c r="F566" s="21"/>
      <c r="G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idden="1">
      <c r="A567" s="259"/>
      <c r="B567" s="21" t="s">
        <v>414</v>
      </c>
      <c r="C567" s="165">
        <f ca="1">IFERROR(YEAR(OFFSET($D$28,C566,0)),0)</f>
        <v>0</v>
      </c>
      <c r="D567" s="165">
        <f ca="1">IFERROR(MONTH(OFFSET($D$28,C566,0)),0)</f>
        <v>0</v>
      </c>
      <c r="E567" s="21">
        <f ca="1">12-$D567</f>
        <v>12</v>
      </c>
      <c r="F567" s="21"/>
      <c r="G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idden="1">
      <c r="A568" s="259"/>
      <c r="B568" s="21" t="s">
        <v>406</v>
      </c>
      <c r="C568" s="245">
        <f ca="1">IF(OFFSET($F$28,C566,0)&lt;0,0,OFFSET($F$28,C566,0))</f>
        <v>0</v>
      </c>
      <c r="D568" s="22" t="str">
        <f ca="1">OFFSET($C$28,C566,0)</f>
        <v/>
      </c>
      <c r="E568" s="22">
        <f ca="1">IF(D568&gt;10,ROUND(($C569/12)*$E567,0),$C568)</f>
        <v>0</v>
      </c>
      <c r="F568" s="21"/>
      <c r="G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</row>
    <row r="569" spans="1:24" hidden="1">
      <c r="A569" s="259"/>
      <c r="B569" s="21" t="s">
        <v>415</v>
      </c>
      <c r="C569" s="245">
        <f ca="1">IF(ISBLANK(OFFSET($D$28,C566,0)),0,IF(OFFSET($C$28,C566,0)&gt;10,ROUND(C568*am_wnip,0),IF(C568&lt;0,0,C568)))</f>
        <v>0</v>
      </c>
      <c r="D569" s="21"/>
      <c r="E569" s="21"/>
      <c r="F569" s="21"/>
      <c r="G569" s="21"/>
      <c r="I569" s="21"/>
      <c r="J569" s="483" cm="1">
        <f t="array" aca="1" ref="J569" ca="1">OFFSET('Środki trwałe'!$C$195,'Rozliczenie dotacji'!D566,,)</f>
        <v>0</v>
      </c>
      <c r="K569" s="75">
        <f ca="1">ROUND(IF($C567=LataProjekcji,$E568,IF($C567=LataProjekcji,$C569,0)),0)</f>
        <v>0</v>
      </c>
      <c r="L569" s="248">
        <f ca="1">ROUND(IF(OR(AND($C567=LataProjekcji,$E567&gt;0),AND($C567=LataProjekcji,$E567=0,$D568&lt;=10)),$E568,IF($C567&lt;LataProjekcji,IF((SUM($K569:K569)+$C569)&lt;$C568,$C569,$C568-SUM($K569:K569)),0)),0)</f>
        <v>0</v>
      </c>
      <c r="M569" s="248">
        <f ca="1">ROUND(IF(OR(AND($C567=LataProjekcji,$E567&gt;0),AND($C567=LataProjekcji,$E567=0,$D568&lt;=10)),$E568,IF($C567&lt;LataProjekcji,IF((SUM($K569:L569)+$C569)&lt;$C568,$C569,$C568-SUM($K569:L569)),0)),0)</f>
        <v>0</v>
      </c>
      <c r="N569" s="248">
        <f ca="1">ROUND(IF(OR(AND($C567=LataProjekcji,$E567&gt;0),AND($C567=LataProjekcji,$E567=0,$D568&lt;=10)),$E568,IF($C567&lt;LataProjekcji,IF((SUM($K569:M569)+$C569)&lt;$C568,$C569,$C568-SUM($K569:M569)),0)),0)</f>
        <v>0</v>
      </c>
      <c r="O569" s="248">
        <f ca="1">ROUND(IF(OR(AND($C567=LataProjekcji,$E567&gt;0),AND($C567=LataProjekcji,$E567=0,$D568&lt;=10)),$E568,IF($C567&lt;LataProjekcji,IF((SUM($K569:N569)+$C569)&lt;$C568,$C569,$C568-SUM($K569:N569)),0)),0)</f>
        <v>0</v>
      </c>
      <c r="P569" s="248">
        <f ca="1">ROUND(IF(OR(AND($C567=LataProjekcji,$E567&gt;0),AND($C567=LataProjekcji,$E567=0,$D568&lt;=10)),$E568,IF($C567&lt;LataProjekcji,IF((SUM($K569:O569)+$C569)&lt;$C568,$C569,$C568-SUM($K569:O569)),0)),0)</f>
        <v>0</v>
      </c>
      <c r="Q569" s="248">
        <f ca="1">ROUND(IF(OR(AND($C567=LataProjekcji,$E567&gt;0),AND($C567=LataProjekcji,$E567=0,$D568&lt;=10)),$E568,IF($C567&lt;LataProjekcji,IF((SUM($K569:P569)+$C569)&lt;$C568,$C569,$C568-SUM($K569:P569)),0)),0)</f>
        <v>0</v>
      </c>
      <c r="R569" s="248">
        <f ca="1">ROUND(IF(OR(AND($C567=LataProjekcji,$E567&gt;0),AND($C567=LataProjekcji,$E567=0,$D568&lt;=10)),$E568,IF($C567&lt;LataProjekcji,IF((SUM($K569:Q569)+$C569)&lt;$C568,$C569,$C568-SUM($K569:Q569)),0)),0)</f>
        <v>0</v>
      </c>
      <c r="S569" s="248">
        <f ca="1">ROUND(IF(OR(AND($C567=LataProjekcji,$E567&gt;0),AND($C567=LataProjekcji,$E567=0,$D568&lt;=10)),$E568,IF($C567&lt;LataProjekcji,IF((SUM($K569:R569)+$C569)&lt;$C568,$C569,$C568-SUM($K569:R569)),0)),0)</f>
        <v>0</v>
      </c>
      <c r="T569" s="248">
        <f ca="1">ROUND(IF(OR(AND($C567=LataProjekcji,$E567&gt;0),AND($C567=LataProjekcji,$E567=0,$D568&lt;=10)),$E568,IF($C567&lt;LataProjekcji,IF((SUM($K569:S569)+$C569)&lt;$C568,$C569,$C568-SUM($K569:S569)),0)),0)</f>
        <v>0</v>
      </c>
      <c r="U569" s="248">
        <f ca="1">ROUND(IF(OR(AND($C567=LataProjekcji,$E567&gt;0),AND($C567=LataProjekcji,$E567=0,$D568&lt;=10)),$E568,IF($C567&lt;LataProjekcji,IF((SUM($K569:T569)+$C569)&lt;$C568,$C569,$C568-SUM($K569:T569)),0)),0)</f>
        <v>0</v>
      </c>
      <c r="V569" s="248">
        <f ca="1">ROUND(IF(OR(AND($C567=LataProjekcji,$E567&gt;0),AND($C567=LataProjekcji,$E567=0,$D568&lt;=10)),$E568,IF($C567&lt;LataProjekcji,IF((SUM($K569:U569)+$C569)&lt;$C568,$C569,$C568-SUM($K569:U569)),0)),0)</f>
        <v>0</v>
      </c>
      <c r="W569" s="248">
        <f ca="1">ROUND(IF(OR(AND($C567=LataProjekcji,$E567&gt;0),AND($C567=LataProjekcji,$E567=0,$D568&lt;=10)),$E568,IF($C567&lt;LataProjekcji,IF((SUM($K569:V569)+$C569)&lt;$C568,$C569,$C568-SUM($K569:V569)),0)),0)</f>
        <v>0</v>
      </c>
      <c r="X569" s="248">
        <f ca="1">ROUND(IF(OR(AND($C567=LataProjekcji,$E567&gt;0),AND($C567=LataProjekcji,$E567=0,$D568&lt;=10)),$E568,IF($C567&lt;LataProjekcji,IF((SUM($K569:W569)+$C569)&lt;$C568,$C569,$C568-SUM($K569:W569)),0)),0)</f>
        <v>0</v>
      </c>
    </row>
    <row r="570" spans="1:24" hidden="1">
      <c r="A570" s="259"/>
      <c r="B570" s="21" t="s">
        <v>416</v>
      </c>
      <c r="C570" s="22"/>
      <c r="D570" s="21"/>
      <c r="E570" s="21"/>
      <c r="F570" s="21"/>
      <c r="G570" s="21"/>
      <c r="I570" s="21"/>
      <c r="J570" s="21"/>
      <c r="K570" s="22">
        <f ca="1">ROUND(K569,0)</f>
        <v>0</v>
      </c>
      <c r="L570" s="22">
        <f t="shared" ref="L570:X570" ca="1" si="340">ROUND(K570+L569,0)</f>
        <v>0</v>
      </c>
      <c r="M570" s="22">
        <f t="shared" ca="1" si="340"/>
        <v>0</v>
      </c>
      <c r="N570" s="22">
        <f t="shared" ca="1" si="340"/>
        <v>0</v>
      </c>
      <c r="O570" s="22">
        <f t="shared" ca="1" si="340"/>
        <v>0</v>
      </c>
      <c r="P570" s="22">
        <f t="shared" ca="1" si="340"/>
        <v>0</v>
      </c>
      <c r="Q570" s="22">
        <f t="shared" ca="1" si="340"/>
        <v>0</v>
      </c>
      <c r="R570" s="22">
        <f t="shared" ca="1" si="340"/>
        <v>0</v>
      </c>
      <c r="S570" s="22">
        <f t="shared" ca="1" si="340"/>
        <v>0</v>
      </c>
      <c r="T570" s="22">
        <f t="shared" ca="1" si="340"/>
        <v>0</v>
      </c>
      <c r="U570" s="22">
        <f t="shared" ca="1" si="340"/>
        <v>0</v>
      </c>
      <c r="V570" s="22">
        <f t="shared" ca="1" si="340"/>
        <v>0</v>
      </c>
      <c r="W570" s="22">
        <f t="shared" ca="1" si="340"/>
        <v>0</v>
      </c>
      <c r="X570" s="22">
        <f t="shared" ca="1" si="340"/>
        <v>0</v>
      </c>
    </row>
    <row r="571" spans="1:24" hidden="1">
      <c r="A571" s="259"/>
      <c r="B571" s="21" t="s">
        <v>406</v>
      </c>
      <c r="C571" s="22"/>
      <c r="D571" s="21"/>
      <c r="E571" s="21"/>
      <c r="F571" s="21"/>
      <c r="G571" s="21"/>
      <c r="I571" s="21"/>
      <c r="J571" s="21"/>
      <c r="K571" s="77">
        <f t="shared" ref="K571:X571" ca="1" si="341">IF($C567=LataProjekcji,ROUND($C568-K570,0),ROUND(IF(K569=0,0,$C568-K570),0))</f>
        <v>0</v>
      </c>
      <c r="L571" s="77">
        <f t="shared" ca="1" si="341"/>
        <v>0</v>
      </c>
      <c r="M571" s="77">
        <f t="shared" ca="1" si="341"/>
        <v>0</v>
      </c>
      <c r="N571" s="77">
        <f t="shared" ca="1" si="341"/>
        <v>0</v>
      </c>
      <c r="O571" s="77">
        <f t="shared" ca="1" si="341"/>
        <v>0</v>
      </c>
      <c r="P571" s="77">
        <f t="shared" ca="1" si="341"/>
        <v>0</v>
      </c>
      <c r="Q571" s="77">
        <f t="shared" ca="1" si="341"/>
        <v>0</v>
      </c>
      <c r="R571" s="77">
        <f t="shared" ca="1" si="341"/>
        <v>0</v>
      </c>
      <c r="S571" s="77">
        <f t="shared" ca="1" si="341"/>
        <v>0</v>
      </c>
      <c r="T571" s="77">
        <f t="shared" ca="1" si="341"/>
        <v>0</v>
      </c>
      <c r="U571" s="77">
        <f t="shared" ca="1" si="341"/>
        <v>0</v>
      </c>
      <c r="V571" s="77">
        <f t="shared" ca="1" si="341"/>
        <v>0</v>
      </c>
      <c r="W571" s="77">
        <f t="shared" ca="1" si="341"/>
        <v>0</v>
      </c>
      <c r="X571" s="77">
        <f t="shared" ca="1" si="341"/>
        <v>0</v>
      </c>
    </row>
    <row r="575" spans="1:24" ht="12.6" hidden="1" thickBot="1"/>
    <row r="576" spans="1:24" ht="12.6" hidden="1" thickBot="1">
      <c r="A576" s="259"/>
      <c r="B576" s="20" t="s">
        <v>389</v>
      </c>
      <c r="C576" s="250">
        <v>53</v>
      </c>
      <c r="D576" s="482">
        <v>131</v>
      </c>
      <c r="E576" s="21" t="s">
        <v>411</v>
      </c>
      <c r="F576" s="48"/>
      <c r="G576" s="50" t="s">
        <v>412</v>
      </c>
      <c r="H576" s="322"/>
      <c r="I576" s="21" t="s">
        <v>413</v>
      </c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</row>
    <row r="577" spans="1:24" hidden="1">
      <c r="A577" s="259"/>
      <c r="B577" s="21" t="s">
        <v>414</v>
      </c>
      <c r="C577" s="165">
        <f ca="1">IFERROR(YEAR(OFFSET($D$28,C576,0)),0)</f>
        <v>0</v>
      </c>
      <c r="D577" s="165">
        <f ca="1">IFERROR(MONTH(OFFSET($D$28,C576,0)),0)</f>
        <v>0</v>
      </c>
      <c r="E577" s="21">
        <f ca="1">12-$D577</f>
        <v>12</v>
      </c>
      <c r="F577" s="49"/>
      <c r="G577" s="51">
        <f>C86-F577</f>
        <v>0</v>
      </c>
      <c r="H577" s="323"/>
      <c r="I577" s="22">
        <f>C86-F577-G577</f>
        <v>0</v>
      </c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</row>
    <row r="578" spans="1:24" hidden="1">
      <c r="A578" s="259"/>
      <c r="B578" s="21" t="s">
        <v>406</v>
      </c>
      <c r="C578" s="245">
        <f ca="1">IF(OFFSET($F$28,C576,0)&lt;0,0,OFFSET($F$28,C576,0))</f>
        <v>0</v>
      </c>
      <c r="D578" s="22" t="str">
        <f ca="1">OFFSET($C$28,C576,0)</f>
        <v/>
      </c>
      <c r="E578" s="22">
        <f ca="1">IF(D578&gt;10,ROUND(($C579/12)*$E577,0),$C578)</f>
        <v>0</v>
      </c>
      <c r="F578" s="21" t="s">
        <v>426</v>
      </c>
      <c r="G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4" hidden="1">
      <c r="A579" s="259"/>
      <c r="B579" s="21" t="s">
        <v>415</v>
      </c>
      <c r="C579" s="245">
        <f ca="1">IF(ISBLANK(OFFSET($D$28,C576,0)),0,IF(OFFSET($C$28,C576,0)&gt;10,ROUND(C578*am_wnip,0),IF(C578&lt;0,0,C578)))</f>
        <v>0</v>
      </c>
      <c r="D579" s="21"/>
      <c r="E579" s="21"/>
      <c r="F579" s="21"/>
      <c r="G579" s="21"/>
      <c r="I579" s="21"/>
      <c r="J579" s="483" cm="1">
        <f t="array" aca="1" ref="J579" ca="1">OFFSET('Środki trwałe'!$C$195,'Rozliczenie dotacji'!D576,,)</f>
        <v>0</v>
      </c>
      <c r="K579" s="75">
        <f ca="1">ROUND(IF($C577=LataProjekcji,$E578,IF($C577=LataProjekcji,$C579,0)),0)</f>
        <v>0</v>
      </c>
      <c r="L579" s="248">
        <f ca="1">ROUND(IF(OR(AND($C577=LataProjekcji,$E577&gt;0),AND($C577=LataProjekcji,$E577=0,$D578&lt;=10)),$E578,IF($C577&lt;LataProjekcji,IF((SUM($K579:K579)+$C579)&lt;$C578,$C579,$C578-SUM($K579:K579)),0)),0)</f>
        <v>0</v>
      </c>
      <c r="M579" s="248">
        <f ca="1">ROUND(IF(OR(AND($C577=LataProjekcji,$E577&gt;0),AND($C577=LataProjekcji,$E577=0,$D578&lt;=10)),$E578,IF($C577&lt;LataProjekcji,IF((SUM($K579:L579)+$C579)&lt;$C578,$C579,$C578-SUM($K579:L579)),0)),0)</f>
        <v>0</v>
      </c>
      <c r="N579" s="248">
        <f ca="1">ROUND(IF(OR(AND($C577=LataProjekcji,$E577&gt;0),AND($C577=LataProjekcji,$E577=0,$D578&lt;=10)),$E578,IF($C577&lt;LataProjekcji,IF((SUM($K579:M579)+$C579)&lt;$C578,$C579,$C578-SUM($K579:M579)),0)),0)</f>
        <v>0</v>
      </c>
      <c r="O579" s="248">
        <f ca="1">ROUND(IF(OR(AND($C577=LataProjekcji,$E577&gt;0),AND($C577=LataProjekcji,$E577=0,$D578&lt;=10)),$E578,IF($C577&lt;LataProjekcji,IF((SUM($K579:N579)+$C579)&lt;$C578,$C579,$C578-SUM($K579:N579)),0)),0)</f>
        <v>0</v>
      </c>
      <c r="P579" s="248">
        <f ca="1">ROUND(IF(OR(AND($C577=LataProjekcji,$E577&gt;0),AND($C577=LataProjekcji,$E577=0,$D578&lt;=10)),$E578,IF($C577&lt;LataProjekcji,IF((SUM($K579:O579)+$C579)&lt;$C578,$C579,$C578-SUM($K579:O579)),0)),0)</f>
        <v>0</v>
      </c>
      <c r="Q579" s="248">
        <f ca="1">ROUND(IF(OR(AND($C577=LataProjekcji,$E577&gt;0),AND($C577=LataProjekcji,$E577=0,$D578&lt;=10)),$E578,IF($C577&lt;LataProjekcji,IF((SUM($K579:P579)+$C579)&lt;$C578,$C579,$C578-SUM($K579:P579)),0)),0)</f>
        <v>0</v>
      </c>
      <c r="R579" s="248">
        <f ca="1">ROUND(IF(OR(AND($C577=LataProjekcji,$E577&gt;0),AND($C577=LataProjekcji,$E577=0,$D578&lt;=10)),$E578,IF($C577&lt;LataProjekcji,IF((SUM($K579:Q579)+$C579)&lt;$C578,$C579,$C578-SUM($K579:Q579)),0)),0)</f>
        <v>0</v>
      </c>
      <c r="S579" s="248">
        <f ca="1">ROUND(IF(OR(AND($C577=LataProjekcji,$E577&gt;0),AND($C577=LataProjekcji,$E577=0,$D578&lt;=10)),$E578,IF($C577&lt;LataProjekcji,IF((SUM($K579:R579)+$C579)&lt;$C578,$C579,$C578-SUM($K579:R579)),0)),0)</f>
        <v>0</v>
      </c>
      <c r="T579" s="248">
        <f ca="1">ROUND(IF(OR(AND($C577=LataProjekcji,$E577&gt;0),AND($C577=LataProjekcji,$E577=0,$D578&lt;=10)),$E578,IF($C577&lt;LataProjekcji,IF((SUM($K579:S579)+$C579)&lt;$C578,$C579,$C578-SUM($K579:S579)),0)),0)</f>
        <v>0</v>
      </c>
      <c r="U579" s="248">
        <f ca="1">ROUND(IF(OR(AND($C577=LataProjekcji,$E577&gt;0),AND($C577=LataProjekcji,$E577=0,$D578&lt;=10)),$E578,IF($C577&lt;LataProjekcji,IF((SUM($K579:T579)+$C579)&lt;$C578,$C579,$C578-SUM($K579:T579)),0)),0)</f>
        <v>0</v>
      </c>
      <c r="V579" s="248">
        <f ca="1">ROUND(IF(OR(AND($C577=LataProjekcji,$E577&gt;0),AND($C577=LataProjekcji,$E577=0,$D578&lt;=10)),$E578,IF($C577&lt;LataProjekcji,IF((SUM($K579:U579)+$C579)&lt;$C578,$C579,$C578-SUM($K579:U579)),0)),0)</f>
        <v>0</v>
      </c>
      <c r="W579" s="248">
        <f ca="1">ROUND(IF(OR(AND($C577=LataProjekcji,$E577&gt;0),AND($C577=LataProjekcji,$E577=0,$D578&lt;=10)),$E578,IF($C577&lt;LataProjekcji,IF((SUM($K579:V579)+$C579)&lt;$C578,$C579,$C578-SUM($K579:V579)),0)),0)</f>
        <v>0</v>
      </c>
      <c r="X579" s="248">
        <f ca="1">ROUND(IF(OR(AND($C577=LataProjekcji,$E577&gt;0),AND($C577=LataProjekcji,$E577=0,$D578&lt;=10)),$E578,IF($C577&lt;LataProjekcji,IF((SUM($K579:W579)+$C579)&lt;$C578,$C579,$C578-SUM($K579:W579)),0)),0)</f>
        <v>0</v>
      </c>
    </row>
    <row r="580" spans="1:24" hidden="1">
      <c r="A580" s="259"/>
      <c r="B580" s="21" t="s">
        <v>416</v>
      </c>
      <c r="C580" s="22"/>
      <c r="D580" s="21"/>
      <c r="E580" s="21"/>
      <c r="F580" s="21"/>
      <c r="G580" s="21"/>
      <c r="I580" s="21"/>
      <c r="J580" s="21"/>
      <c r="K580" s="22">
        <f ca="1">ROUND(K579,0)</f>
        <v>0</v>
      </c>
      <c r="L580" s="22">
        <f t="shared" ref="L580:X580" ca="1" si="342">ROUND(K580+L579,0)</f>
        <v>0</v>
      </c>
      <c r="M580" s="22">
        <f t="shared" ca="1" si="342"/>
        <v>0</v>
      </c>
      <c r="N580" s="22">
        <f t="shared" ca="1" si="342"/>
        <v>0</v>
      </c>
      <c r="O580" s="22">
        <f t="shared" ca="1" si="342"/>
        <v>0</v>
      </c>
      <c r="P580" s="22">
        <f t="shared" ca="1" si="342"/>
        <v>0</v>
      </c>
      <c r="Q580" s="22">
        <f t="shared" ca="1" si="342"/>
        <v>0</v>
      </c>
      <c r="R580" s="22">
        <f t="shared" ca="1" si="342"/>
        <v>0</v>
      </c>
      <c r="S580" s="22">
        <f t="shared" ca="1" si="342"/>
        <v>0</v>
      </c>
      <c r="T580" s="22">
        <f t="shared" ca="1" si="342"/>
        <v>0</v>
      </c>
      <c r="U580" s="22">
        <f t="shared" ca="1" si="342"/>
        <v>0</v>
      </c>
      <c r="V580" s="22">
        <f t="shared" ca="1" si="342"/>
        <v>0</v>
      </c>
      <c r="W580" s="22">
        <f t="shared" ca="1" si="342"/>
        <v>0</v>
      </c>
      <c r="X580" s="22">
        <f t="shared" ca="1" si="342"/>
        <v>0</v>
      </c>
    </row>
    <row r="581" spans="1:24" hidden="1">
      <c r="A581" s="259"/>
      <c r="B581" s="21" t="s">
        <v>406</v>
      </c>
      <c r="C581" s="22"/>
      <c r="D581" s="21"/>
      <c r="E581" s="21"/>
      <c r="F581" s="21"/>
      <c r="G581" s="21"/>
      <c r="I581" s="21"/>
      <c r="J581" s="21"/>
      <c r="K581" s="77">
        <f t="shared" ref="K581:X581" ca="1" si="343">IF($C577=LataProjekcji,ROUND($C578-K580,0),ROUND(IF(K579=0,0,$C578-K580),0))</f>
        <v>0</v>
      </c>
      <c r="L581" s="77">
        <f t="shared" ca="1" si="343"/>
        <v>0</v>
      </c>
      <c r="M581" s="77">
        <f t="shared" ca="1" si="343"/>
        <v>0</v>
      </c>
      <c r="N581" s="77">
        <f t="shared" ca="1" si="343"/>
        <v>0</v>
      </c>
      <c r="O581" s="77">
        <f t="shared" ca="1" si="343"/>
        <v>0</v>
      </c>
      <c r="P581" s="77">
        <f t="shared" ca="1" si="343"/>
        <v>0</v>
      </c>
      <c r="Q581" s="77">
        <f t="shared" ca="1" si="343"/>
        <v>0</v>
      </c>
      <c r="R581" s="77">
        <f t="shared" ca="1" si="343"/>
        <v>0</v>
      </c>
      <c r="S581" s="77">
        <f t="shared" ca="1" si="343"/>
        <v>0</v>
      </c>
      <c r="T581" s="77">
        <f t="shared" ca="1" si="343"/>
        <v>0</v>
      </c>
      <c r="U581" s="77">
        <f t="shared" ca="1" si="343"/>
        <v>0</v>
      </c>
      <c r="V581" s="77">
        <f t="shared" ca="1" si="343"/>
        <v>0</v>
      </c>
      <c r="W581" s="77">
        <f t="shared" ca="1" si="343"/>
        <v>0</v>
      </c>
      <c r="X581" s="77">
        <f t="shared" ca="1" si="343"/>
        <v>0</v>
      </c>
    </row>
    <row r="582" spans="1:24" hidden="1">
      <c r="A582" s="259"/>
      <c r="B582" s="21"/>
      <c r="C582" s="22"/>
      <c r="D582" s="21"/>
      <c r="E582" s="21"/>
      <c r="F582" s="21"/>
      <c r="G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</row>
    <row r="583" spans="1:24" hidden="1">
      <c r="A583" s="259"/>
      <c r="B583" s="20" t="s">
        <v>389</v>
      </c>
      <c r="C583" s="21">
        <f>C576+1</f>
        <v>54</v>
      </c>
      <c r="D583" s="483">
        <f>D576+1</f>
        <v>132</v>
      </c>
      <c r="E583" s="21"/>
      <c r="F583" s="21"/>
      <c r="G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</row>
    <row r="584" spans="1:24" hidden="1">
      <c r="A584" s="259"/>
      <c r="B584" s="21" t="s">
        <v>414</v>
      </c>
      <c r="C584" s="165">
        <f ca="1">IFERROR(YEAR(OFFSET($D$28,C583,0)),0)</f>
        <v>0</v>
      </c>
      <c r="D584" s="165">
        <f ca="1">IFERROR(MONTH(OFFSET($D$28,C583,0)),0)</f>
        <v>0</v>
      </c>
      <c r="E584" s="21">
        <f ca="1">12-$D584</f>
        <v>12</v>
      </c>
      <c r="F584" s="21"/>
      <c r="G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</row>
    <row r="585" spans="1:24" hidden="1">
      <c r="A585" s="259"/>
      <c r="B585" s="21" t="s">
        <v>406</v>
      </c>
      <c r="C585" s="245">
        <f ca="1">IF(OFFSET($F$28,C583,0)&lt;0,0,OFFSET($F$28,C583,0))</f>
        <v>0</v>
      </c>
      <c r="D585" s="22" t="str">
        <f ca="1">OFFSET($C$28,C583,0)</f>
        <v/>
      </c>
      <c r="E585" s="22">
        <f ca="1">IF(D585&gt;10,ROUND(($C586/12)*$E584,0),$C585)</f>
        <v>0</v>
      </c>
      <c r="F585" s="21"/>
      <c r="G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4" hidden="1">
      <c r="A586" s="259"/>
      <c r="B586" s="21" t="s">
        <v>415</v>
      </c>
      <c r="C586" s="245">
        <f ca="1">IF(ISBLANK(OFFSET($D$28,C583,0)),0,IF(OFFSET($C$28,C583,0)&gt;10,ROUND(C585*am_wnip,0),IF(C585&lt;0,0,C585)))</f>
        <v>0</v>
      </c>
      <c r="D586" s="21"/>
      <c r="E586" s="21"/>
      <c r="F586" s="21"/>
      <c r="G586" s="21"/>
      <c r="I586" s="21"/>
      <c r="J586" s="483" cm="1">
        <f t="array" aca="1" ref="J586" ca="1">OFFSET('Środki trwałe'!$C$195,'Rozliczenie dotacji'!D583,,)</f>
        <v>0</v>
      </c>
      <c r="K586" s="75">
        <f ca="1">ROUND(IF($C584=LataProjekcji,$E585,IF($C584=LataProjekcji,$C586,0)),0)</f>
        <v>0</v>
      </c>
      <c r="L586" s="248">
        <f ca="1">ROUND(IF(OR(AND($C584=LataProjekcji,$E584&gt;0),AND($C584=LataProjekcji,$E584=0,$D585&lt;=10)),$E585,IF($C584&lt;LataProjekcji,IF((SUM($K586:K586)+$C586)&lt;$C585,$C586,$C585-SUM($K586:K586)),0)),0)</f>
        <v>0</v>
      </c>
      <c r="M586" s="248">
        <f ca="1">ROUND(IF(OR(AND($C584=LataProjekcji,$E584&gt;0),AND($C584=LataProjekcji,$E584=0,$D585&lt;=10)),$E585,IF($C584&lt;LataProjekcji,IF((SUM($K586:L586)+$C586)&lt;$C585,$C586,$C585-SUM($K586:L586)),0)),0)</f>
        <v>0</v>
      </c>
      <c r="N586" s="248">
        <f ca="1">ROUND(IF(OR(AND($C584=LataProjekcji,$E584&gt;0),AND($C584=LataProjekcji,$E584=0,$D585&lt;=10)),$E585,IF($C584&lt;LataProjekcji,IF((SUM($K586:M586)+$C586)&lt;$C585,$C586,$C585-SUM($K586:M586)),0)),0)</f>
        <v>0</v>
      </c>
      <c r="O586" s="248">
        <f ca="1">ROUND(IF(OR(AND($C584=LataProjekcji,$E584&gt;0),AND($C584=LataProjekcji,$E584=0,$D585&lt;=10)),$E585,IF($C584&lt;LataProjekcji,IF((SUM($K586:N586)+$C586)&lt;$C585,$C586,$C585-SUM($K586:N586)),0)),0)</f>
        <v>0</v>
      </c>
      <c r="P586" s="248">
        <f ca="1">ROUND(IF(OR(AND($C584=LataProjekcji,$E584&gt;0),AND($C584=LataProjekcji,$E584=0,$D585&lt;=10)),$E585,IF($C584&lt;LataProjekcji,IF((SUM($K586:O586)+$C586)&lt;$C585,$C586,$C585-SUM($K586:O586)),0)),0)</f>
        <v>0</v>
      </c>
      <c r="Q586" s="248">
        <f ca="1">ROUND(IF(OR(AND($C584=LataProjekcji,$E584&gt;0),AND($C584=LataProjekcji,$E584=0,$D585&lt;=10)),$E585,IF($C584&lt;LataProjekcji,IF((SUM($K586:P586)+$C586)&lt;$C585,$C586,$C585-SUM($K586:P586)),0)),0)</f>
        <v>0</v>
      </c>
      <c r="R586" s="248">
        <f ca="1">ROUND(IF(OR(AND($C584=LataProjekcji,$E584&gt;0),AND($C584=LataProjekcji,$E584=0,$D585&lt;=10)),$E585,IF($C584&lt;LataProjekcji,IF((SUM($K586:Q586)+$C586)&lt;$C585,$C586,$C585-SUM($K586:Q586)),0)),0)</f>
        <v>0</v>
      </c>
      <c r="S586" s="248">
        <f ca="1">ROUND(IF(OR(AND($C584=LataProjekcji,$E584&gt;0),AND($C584=LataProjekcji,$E584=0,$D585&lt;=10)),$E585,IF($C584&lt;LataProjekcji,IF((SUM($K586:R586)+$C586)&lt;$C585,$C586,$C585-SUM($K586:R586)),0)),0)</f>
        <v>0</v>
      </c>
      <c r="T586" s="248">
        <f ca="1">ROUND(IF(OR(AND($C584=LataProjekcji,$E584&gt;0),AND($C584=LataProjekcji,$E584=0,$D585&lt;=10)),$E585,IF($C584&lt;LataProjekcji,IF((SUM($K586:S586)+$C586)&lt;$C585,$C586,$C585-SUM($K586:S586)),0)),0)</f>
        <v>0</v>
      </c>
      <c r="U586" s="248">
        <f ca="1">ROUND(IF(OR(AND($C584=LataProjekcji,$E584&gt;0),AND($C584=LataProjekcji,$E584=0,$D585&lt;=10)),$E585,IF($C584&lt;LataProjekcji,IF((SUM($K586:T586)+$C586)&lt;$C585,$C586,$C585-SUM($K586:T586)),0)),0)</f>
        <v>0</v>
      </c>
      <c r="V586" s="248">
        <f ca="1">ROUND(IF(OR(AND($C584=LataProjekcji,$E584&gt;0),AND($C584=LataProjekcji,$E584=0,$D585&lt;=10)),$E585,IF($C584&lt;LataProjekcji,IF((SUM($K586:U586)+$C586)&lt;$C585,$C586,$C585-SUM($K586:U586)),0)),0)</f>
        <v>0</v>
      </c>
      <c r="W586" s="248">
        <f ca="1">ROUND(IF(OR(AND($C584=LataProjekcji,$E584&gt;0),AND($C584=LataProjekcji,$E584=0,$D585&lt;=10)),$E585,IF($C584&lt;LataProjekcji,IF((SUM($K586:V586)+$C586)&lt;$C585,$C586,$C585-SUM($K586:V586)),0)),0)</f>
        <v>0</v>
      </c>
      <c r="X586" s="248">
        <f ca="1">ROUND(IF(OR(AND($C584=LataProjekcji,$E584&gt;0),AND($C584=LataProjekcji,$E584=0,$D585&lt;=10)),$E585,IF($C584&lt;LataProjekcji,IF((SUM($K586:W586)+$C586)&lt;$C585,$C586,$C585-SUM($K586:W586)),0)),0)</f>
        <v>0</v>
      </c>
    </row>
    <row r="587" spans="1:24" hidden="1">
      <c r="A587" s="259"/>
      <c r="B587" s="21" t="s">
        <v>416</v>
      </c>
      <c r="C587" s="22"/>
      <c r="D587" s="21"/>
      <c r="E587" s="21"/>
      <c r="F587" s="21"/>
      <c r="G587" s="21"/>
      <c r="I587" s="21"/>
      <c r="J587" s="21"/>
      <c r="K587" s="22">
        <f ca="1">ROUND(K586,0)</f>
        <v>0</v>
      </c>
      <c r="L587" s="22">
        <f t="shared" ref="L587:X587" ca="1" si="344">ROUND(K587+L586,0)</f>
        <v>0</v>
      </c>
      <c r="M587" s="22">
        <f t="shared" ca="1" si="344"/>
        <v>0</v>
      </c>
      <c r="N587" s="22">
        <f t="shared" ca="1" si="344"/>
        <v>0</v>
      </c>
      <c r="O587" s="22">
        <f t="shared" ca="1" si="344"/>
        <v>0</v>
      </c>
      <c r="P587" s="22">
        <f t="shared" ca="1" si="344"/>
        <v>0</v>
      </c>
      <c r="Q587" s="22">
        <f t="shared" ca="1" si="344"/>
        <v>0</v>
      </c>
      <c r="R587" s="22">
        <f t="shared" ca="1" si="344"/>
        <v>0</v>
      </c>
      <c r="S587" s="22">
        <f t="shared" ca="1" si="344"/>
        <v>0</v>
      </c>
      <c r="T587" s="22">
        <f t="shared" ca="1" si="344"/>
        <v>0</v>
      </c>
      <c r="U587" s="22">
        <f t="shared" ca="1" si="344"/>
        <v>0</v>
      </c>
      <c r="V587" s="22">
        <f t="shared" ca="1" si="344"/>
        <v>0</v>
      </c>
      <c r="W587" s="22">
        <f t="shared" ca="1" si="344"/>
        <v>0</v>
      </c>
      <c r="X587" s="22">
        <f t="shared" ca="1" si="344"/>
        <v>0</v>
      </c>
    </row>
    <row r="588" spans="1:24" hidden="1">
      <c r="A588" s="259"/>
      <c r="B588" s="21" t="s">
        <v>406</v>
      </c>
      <c r="C588" s="22"/>
      <c r="D588" s="21"/>
      <c r="E588" s="21"/>
      <c r="F588" s="21"/>
      <c r="G588" s="21"/>
      <c r="I588" s="21"/>
      <c r="J588" s="21"/>
      <c r="K588" s="77">
        <f t="shared" ref="K588:X588" ca="1" si="345">IF($C584=LataProjekcji,ROUND($C585-K587,0),ROUND(IF(K586=0,0,$C585-K587),0))</f>
        <v>0</v>
      </c>
      <c r="L588" s="77">
        <f t="shared" ca="1" si="345"/>
        <v>0</v>
      </c>
      <c r="M588" s="77">
        <f t="shared" ca="1" si="345"/>
        <v>0</v>
      </c>
      <c r="N588" s="77">
        <f t="shared" ca="1" si="345"/>
        <v>0</v>
      </c>
      <c r="O588" s="77">
        <f t="shared" ca="1" si="345"/>
        <v>0</v>
      </c>
      <c r="P588" s="77">
        <f t="shared" ca="1" si="345"/>
        <v>0</v>
      </c>
      <c r="Q588" s="77">
        <f t="shared" ca="1" si="345"/>
        <v>0</v>
      </c>
      <c r="R588" s="77">
        <f t="shared" ca="1" si="345"/>
        <v>0</v>
      </c>
      <c r="S588" s="77">
        <f t="shared" ca="1" si="345"/>
        <v>0</v>
      </c>
      <c r="T588" s="77">
        <f t="shared" ca="1" si="345"/>
        <v>0</v>
      </c>
      <c r="U588" s="77">
        <f t="shared" ca="1" si="345"/>
        <v>0</v>
      </c>
      <c r="V588" s="77">
        <f t="shared" ca="1" si="345"/>
        <v>0</v>
      </c>
      <c r="W588" s="77">
        <f t="shared" ca="1" si="345"/>
        <v>0</v>
      </c>
      <c r="X588" s="77">
        <f t="shared" ca="1" si="345"/>
        <v>0</v>
      </c>
    </row>
    <row r="589" spans="1:24" hidden="1">
      <c r="A589" s="259"/>
      <c r="B589" s="20"/>
      <c r="C589" s="21"/>
      <c r="D589" s="21"/>
      <c r="E589" s="21"/>
      <c r="F589" s="21"/>
      <c r="G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</row>
    <row r="590" spans="1:24" hidden="1">
      <c r="A590" s="259"/>
      <c r="B590" s="20" t="s">
        <v>389</v>
      </c>
      <c r="C590" s="21">
        <f>C583+1</f>
        <v>55</v>
      </c>
      <c r="D590" s="483">
        <f>D583+1</f>
        <v>133</v>
      </c>
      <c r="E590" s="21"/>
      <c r="F590" s="21"/>
      <c r="G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</row>
    <row r="591" spans="1:24" hidden="1">
      <c r="A591" s="259"/>
      <c r="B591" s="21" t="s">
        <v>414</v>
      </c>
      <c r="C591" s="165">
        <f ca="1">IFERROR(YEAR(OFFSET($D$28,C590,0)),0)</f>
        <v>0</v>
      </c>
      <c r="D591" s="165">
        <f ca="1">IFERROR(MONTH(OFFSET($D$28,C590,0)),0)</f>
        <v>0</v>
      </c>
      <c r="E591" s="21">
        <f ca="1">12-$D591</f>
        <v>12</v>
      </c>
      <c r="F591" s="21"/>
      <c r="G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</row>
    <row r="592" spans="1:24" hidden="1">
      <c r="A592" s="259"/>
      <c r="B592" s="21" t="s">
        <v>406</v>
      </c>
      <c r="C592" s="245">
        <f ca="1">IF(OFFSET($F$28,C590,0)&lt;0,0,OFFSET($F$28,C590,0))</f>
        <v>0</v>
      </c>
      <c r="D592" s="22" t="str">
        <f ca="1">OFFSET($C$28,C590,0)</f>
        <v/>
      </c>
      <c r="E592" s="22">
        <f ca="1">IF(D592&gt;10,ROUND(($C593/12)*$E591,0),$C592)</f>
        <v>0</v>
      </c>
      <c r="F592" s="21"/>
      <c r="G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 spans="1:24" hidden="1">
      <c r="A593" s="259"/>
      <c r="B593" s="21" t="s">
        <v>415</v>
      </c>
      <c r="C593" s="245">
        <f ca="1">IF(ISBLANK(OFFSET($D$28,C590,0)),0,IF(OFFSET($C$28,C590,0)&gt;10,ROUND(C592*am_wnip,0),IF(C592&lt;0,0,C592)))</f>
        <v>0</v>
      </c>
      <c r="D593" s="21"/>
      <c r="E593" s="21"/>
      <c r="F593" s="21"/>
      <c r="G593" s="21"/>
      <c r="I593" s="21"/>
      <c r="J593" s="483" cm="1">
        <f t="array" aca="1" ref="J593" ca="1">OFFSET('Środki trwałe'!$C$195,'Rozliczenie dotacji'!D590,,)</f>
        <v>0</v>
      </c>
      <c r="K593" s="75">
        <f ca="1">ROUND(IF($C591=LataProjekcji,$E592,IF($C591=LataProjekcji,$C593,0)),0)</f>
        <v>0</v>
      </c>
      <c r="L593" s="248">
        <f ca="1">ROUND(IF(OR(AND($C591=LataProjekcji,$E591&gt;0),AND($C591=LataProjekcji,$E591=0,$D592&lt;=10)),$E592,IF($C591&lt;LataProjekcji,IF((SUM($K593:K593)+$C593)&lt;$C592,$C593,$C592-SUM($K593:K593)),0)),0)</f>
        <v>0</v>
      </c>
      <c r="M593" s="248">
        <f ca="1">ROUND(IF(OR(AND($C591=LataProjekcji,$E591&gt;0),AND($C591=LataProjekcji,$E591=0,$D592&lt;=10)),$E592,IF($C591&lt;LataProjekcji,IF((SUM($K593:L593)+$C593)&lt;$C592,$C593,$C592-SUM($K593:L593)),0)),0)</f>
        <v>0</v>
      </c>
      <c r="N593" s="248">
        <f ca="1">ROUND(IF(OR(AND($C591=LataProjekcji,$E591&gt;0),AND($C591=LataProjekcji,$E591=0,$D592&lt;=10)),$E592,IF($C591&lt;LataProjekcji,IF((SUM($K593:M593)+$C593)&lt;$C592,$C593,$C592-SUM($K593:M593)),0)),0)</f>
        <v>0</v>
      </c>
      <c r="O593" s="248">
        <f ca="1">ROUND(IF(OR(AND($C591=LataProjekcji,$E591&gt;0),AND($C591=LataProjekcji,$E591=0,$D592&lt;=10)),$E592,IF($C591&lt;LataProjekcji,IF((SUM($K593:N593)+$C593)&lt;$C592,$C593,$C592-SUM($K593:N593)),0)),0)</f>
        <v>0</v>
      </c>
      <c r="P593" s="248">
        <f ca="1">ROUND(IF(OR(AND($C591=LataProjekcji,$E591&gt;0),AND($C591=LataProjekcji,$E591=0,$D592&lt;=10)),$E592,IF($C591&lt;LataProjekcji,IF((SUM($K593:O593)+$C593)&lt;$C592,$C593,$C592-SUM($K593:O593)),0)),0)</f>
        <v>0</v>
      </c>
      <c r="Q593" s="248">
        <f ca="1">ROUND(IF(OR(AND($C591=LataProjekcji,$E591&gt;0),AND($C591=LataProjekcji,$E591=0,$D592&lt;=10)),$E592,IF($C591&lt;LataProjekcji,IF((SUM($K593:P593)+$C593)&lt;$C592,$C593,$C592-SUM($K593:P593)),0)),0)</f>
        <v>0</v>
      </c>
      <c r="R593" s="248">
        <f ca="1">ROUND(IF(OR(AND($C591=LataProjekcji,$E591&gt;0),AND($C591=LataProjekcji,$E591=0,$D592&lt;=10)),$E592,IF($C591&lt;LataProjekcji,IF((SUM($K593:Q593)+$C593)&lt;$C592,$C593,$C592-SUM($K593:Q593)),0)),0)</f>
        <v>0</v>
      </c>
      <c r="S593" s="248">
        <f ca="1">ROUND(IF(OR(AND($C591=LataProjekcji,$E591&gt;0),AND($C591=LataProjekcji,$E591=0,$D592&lt;=10)),$E592,IF($C591&lt;LataProjekcji,IF((SUM($K593:R593)+$C593)&lt;$C592,$C593,$C592-SUM($K593:R593)),0)),0)</f>
        <v>0</v>
      </c>
      <c r="T593" s="248">
        <f ca="1">ROUND(IF(OR(AND($C591=LataProjekcji,$E591&gt;0),AND($C591=LataProjekcji,$E591=0,$D592&lt;=10)),$E592,IF($C591&lt;LataProjekcji,IF((SUM($K593:S593)+$C593)&lt;$C592,$C593,$C592-SUM($K593:S593)),0)),0)</f>
        <v>0</v>
      </c>
      <c r="U593" s="248">
        <f ca="1">ROUND(IF(OR(AND($C591=LataProjekcji,$E591&gt;0),AND($C591=LataProjekcji,$E591=0,$D592&lt;=10)),$E592,IF($C591&lt;LataProjekcji,IF((SUM($K593:T593)+$C593)&lt;$C592,$C593,$C592-SUM($K593:T593)),0)),0)</f>
        <v>0</v>
      </c>
      <c r="V593" s="248">
        <f ca="1">ROUND(IF(OR(AND($C591=LataProjekcji,$E591&gt;0),AND($C591=LataProjekcji,$E591=0,$D592&lt;=10)),$E592,IF($C591&lt;LataProjekcji,IF((SUM($K593:U593)+$C593)&lt;$C592,$C593,$C592-SUM($K593:U593)),0)),0)</f>
        <v>0</v>
      </c>
      <c r="W593" s="248">
        <f ca="1">ROUND(IF(OR(AND($C591=LataProjekcji,$E591&gt;0),AND($C591=LataProjekcji,$E591=0,$D592&lt;=10)),$E592,IF($C591&lt;LataProjekcji,IF((SUM($K593:V593)+$C593)&lt;$C592,$C593,$C592-SUM($K593:V593)),0)),0)</f>
        <v>0</v>
      </c>
      <c r="X593" s="248">
        <f ca="1">ROUND(IF(OR(AND($C591=LataProjekcji,$E591&gt;0),AND($C591=LataProjekcji,$E591=0,$D592&lt;=10)),$E592,IF($C591&lt;LataProjekcji,IF((SUM($K593:W593)+$C593)&lt;$C592,$C593,$C592-SUM($K593:W593)),0)),0)</f>
        <v>0</v>
      </c>
    </row>
    <row r="594" spans="1:24" hidden="1">
      <c r="A594" s="259"/>
      <c r="B594" s="21" t="s">
        <v>416</v>
      </c>
      <c r="C594" s="22"/>
      <c r="D594" s="21"/>
      <c r="E594" s="21"/>
      <c r="F594" s="21"/>
      <c r="G594" s="21"/>
      <c r="I594" s="21"/>
      <c r="J594" s="21"/>
      <c r="K594" s="22">
        <f ca="1">ROUND(K593,0)</f>
        <v>0</v>
      </c>
      <c r="L594" s="22">
        <f t="shared" ref="L594:X594" ca="1" si="346">ROUND(K594+L593,0)</f>
        <v>0</v>
      </c>
      <c r="M594" s="22">
        <f t="shared" ca="1" si="346"/>
        <v>0</v>
      </c>
      <c r="N594" s="22">
        <f t="shared" ca="1" si="346"/>
        <v>0</v>
      </c>
      <c r="O594" s="22">
        <f t="shared" ca="1" si="346"/>
        <v>0</v>
      </c>
      <c r="P594" s="22">
        <f t="shared" ca="1" si="346"/>
        <v>0</v>
      </c>
      <c r="Q594" s="22">
        <f t="shared" ca="1" si="346"/>
        <v>0</v>
      </c>
      <c r="R594" s="22">
        <f t="shared" ca="1" si="346"/>
        <v>0</v>
      </c>
      <c r="S594" s="22">
        <f t="shared" ca="1" si="346"/>
        <v>0</v>
      </c>
      <c r="T594" s="22">
        <f t="shared" ca="1" si="346"/>
        <v>0</v>
      </c>
      <c r="U594" s="22">
        <f t="shared" ca="1" si="346"/>
        <v>0</v>
      </c>
      <c r="V594" s="22">
        <f t="shared" ca="1" si="346"/>
        <v>0</v>
      </c>
      <c r="W594" s="22">
        <f t="shared" ca="1" si="346"/>
        <v>0</v>
      </c>
      <c r="X594" s="22">
        <f t="shared" ca="1" si="346"/>
        <v>0</v>
      </c>
    </row>
    <row r="595" spans="1:24" hidden="1">
      <c r="A595" s="259"/>
      <c r="B595" s="21" t="s">
        <v>406</v>
      </c>
      <c r="C595" s="22"/>
      <c r="D595" s="21"/>
      <c r="E595" s="21"/>
      <c r="F595" s="21"/>
      <c r="G595" s="21"/>
      <c r="I595" s="21"/>
      <c r="J595" s="21"/>
      <c r="K595" s="77">
        <f t="shared" ref="K595:X595" ca="1" si="347">IF($C591=LataProjekcji,ROUND($C592-K594,0),ROUND(IF(K593=0,0,$C592-K594),0))</f>
        <v>0</v>
      </c>
      <c r="L595" s="77">
        <f t="shared" ca="1" si="347"/>
        <v>0</v>
      </c>
      <c r="M595" s="77">
        <f t="shared" ca="1" si="347"/>
        <v>0</v>
      </c>
      <c r="N595" s="77">
        <f t="shared" ca="1" si="347"/>
        <v>0</v>
      </c>
      <c r="O595" s="77">
        <f t="shared" ca="1" si="347"/>
        <v>0</v>
      </c>
      <c r="P595" s="77">
        <f t="shared" ca="1" si="347"/>
        <v>0</v>
      </c>
      <c r="Q595" s="77">
        <f t="shared" ca="1" si="347"/>
        <v>0</v>
      </c>
      <c r="R595" s="77">
        <f t="shared" ca="1" si="347"/>
        <v>0</v>
      </c>
      <c r="S595" s="77">
        <f t="shared" ca="1" si="347"/>
        <v>0</v>
      </c>
      <c r="T595" s="77">
        <f t="shared" ca="1" si="347"/>
        <v>0</v>
      </c>
      <c r="U595" s="77">
        <f t="shared" ca="1" si="347"/>
        <v>0</v>
      </c>
      <c r="V595" s="77">
        <f t="shared" ca="1" si="347"/>
        <v>0</v>
      </c>
      <c r="W595" s="77">
        <f t="shared" ca="1" si="347"/>
        <v>0</v>
      </c>
      <c r="X595" s="77">
        <f t="shared" ca="1" si="347"/>
        <v>0</v>
      </c>
    </row>
    <row r="596" spans="1:24" hidden="1">
      <c r="A596" s="259"/>
      <c r="B596" s="21"/>
      <c r="C596" s="22"/>
      <c r="D596" s="21"/>
      <c r="E596" s="21"/>
      <c r="F596" s="21"/>
      <c r="G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</row>
    <row r="597" spans="1:24" hidden="1">
      <c r="A597" s="259"/>
      <c r="B597" s="20" t="s">
        <v>389</v>
      </c>
      <c r="C597" s="21">
        <f>C590+1</f>
        <v>56</v>
      </c>
      <c r="D597" s="483">
        <f>D590+1</f>
        <v>134</v>
      </c>
      <c r="E597" s="21"/>
      <c r="F597" s="21"/>
      <c r="G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</row>
    <row r="598" spans="1:24" hidden="1">
      <c r="A598" s="259"/>
      <c r="B598" s="21" t="s">
        <v>414</v>
      </c>
      <c r="C598" s="165">
        <f ca="1">IFERROR(YEAR(OFFSET($D$28,C597,0)),0)</f>
        <v>0</v>
      </c>
      <c r="D598" s="165">
        <f ca="1">IFERROR(MONTH(OFFSET($D$28,C597,0)),0)</f>
        <v>0</v>
      </c>
      <c r="E598" s="21">
        <f ca="1">12-$D598</f>
        <v>12</v>
      </c>
      <c r="F598" s="21"/>
      <c r="G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</row>
    <row r="599" spans="1:24" hidden="1">
      <c r="A599" s="259"/>
      <c r="B599" s="21" t="s">
        <v>406</v>
      </c>
      <c r="C599" s="245">
        <f ca="1">IF(OFFSET($F$28,C597,0)&lt;0,0,OFFSET($F$28,C597,0))</f>
        <v>0</v>
      </c>
      <c r="D599" s="22" t="str">
        <f ca="1">OFFSET($C$28,C597,0)</f>
        <v/>
      </c>
      <c r="E599" s="22">
        <f ca="1">IF(D599&gt;10,ROUND(($C600/12)*$E598,0),$C599)</f>
        <v>0</v>
      </c>
      <c r="F599" s="21"/>
      <c r="G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idden="1">
      <c r="A600" s="259"/>
      <c r="B600" s="21" t="s">
        <v>415</v>
      </c>
      <c r="C600" s="245">
        <f ca="1">IF(ISBLANK(OFFSET($D$28,C597,0)),0,IF(OFFSET($C$28,C597,0)&gt;10,ROUND(C599*am_wnip,0),IF(C599&lt;0,0,C599)))</f>
        <v>0</v>
      </c>
      <c r="D600" s="21"/>
      <c r="E600" s="21"/>
      <c r="F600" s="21"/>
      <c r="G600" s="21"/>
      <c r="I600" s="21"/>
      <c r="J600" s="483" cm="1">
        <f t="array" aca="1" ref="J600" ca="1">OFFSET('Środki trwałe'!$C$195,'Rozliczenie dotacji'!D597,,)</f>
        <v>0</v>
      </c>
      <c r="K600" s="75">
        <f ca="1">ROUND(IF($C598=LataProjekcji,$E599,IF($C598=LataProjekcji,$C600,0)),0)</f>
        <v>0</v>
      </c>
      <c r="L600" s="248">
        <f ca="1">ROUND(IF(OR(AND($C598=LataProjekcji,$E598&gt;0),AND($C598=LataProjekcji,$E598=0,$D599&lt;=10)),$E599,IF($C598&lt;LataProjekcji,IF((SUM($K600:K600)+$C600)&lt;$C599,$C600,$C599-SUM($K600:K600)),0)),0)</f>
        <v>0</v>
      </c>
      <c r="M600" s="248">
        <f ca="1">ROUND(IF(OR(AND($C598=LataProjekcji,$E598&gt;0),AND($C598=LataProjekcji,$E598=0,$D599&lt;=10)),$E599,IF($C598&lt;LataProjekcji,IF((SUM($K600:L600)+$C600)&lt;$C599,$C600,$C599-SUM($K600:L600)),0)),0)</f>
        <v>0</v>
      </c>
      <c r="N600" s="248">
        <f ca="1">ROUND(IF(OR(AND($C598=LataProjekcji,$E598&gt;0),AND($C598=LataProjekcji,$E598=0,$D599&lt;=10)),$E599,IF($C598&lt;LataProjekcji,IF((SUM($K600:M600)+$C600)&lt;$C599,$C600,$C599-SUM($K600:M600)),0)),0)</f>
        <v>0</v>
      </c>
      <c r="O600" s="248">
        <f ca="1">ROUND(IF(OR(AND($C598=LataProjekcji,$E598&gt;0),AND($C598=LataProjekcji,$E598=0,$D599&lt;=10)),$E599,IF($C598&lt;LataProjekcji,IF((SUM($K600:N600)+$C600)&lt;$C599,$C600,$C599-SUM($K600:N600)),0)),0)</f>
        <v>0</v>
      </c>
      <c r="P600" s="248">
        <f ca="1">ROUND(IF(OR(AND($C598=LataProjekcji,$E598&gt;0),AND($C598=LataProjekcji,$E598=0,$D599&lt;=10)),$E599,IF($C598&lt;LataProjekcji,IF((SUM($K600:O600)+$C600)&lt;$C599,$C600,$C599-SUM($K600:O600)),0)),0)</f>
        <v>0</v>
      </c>
      <c r="Q600" s="248">
        <f ca="1">ROUND(IF(OR(AND($C598=LataProjekcji,$E598&gt;0),AND($C598=LataProjekcji,$E598=0,$D599&lt;=10)),$E599,IF($C598&lt;LataProjekcji,IF((SUM($K600:P600)+$C600)&lt;$C599,$C600,$C599-SUM($K600:P600)),0)),0)</f>
        <v>0</v>
      </c>
      <c r="R600" s="248">
        <f ca="1">ROUND(IF(OR(AND($C598=LataProjekcji,$E598&gt;0),AND($C598=LataProjekcji,$E598=0,$D599&lt;=10)),$E599,IF($C598&lt;LataProjekcji,IF((SUM($K600:Q600)+$C600)&lt;$C599,$C600,$C599-SUM($K600:Q600)),0)),0)</f>
        <v>0</v>
      </c>
      <c r="S600" s="248">
        <f ca="1">ROUND(IF(OR(AND($C598=LataProjekcji,$E598&gt;0),AND($C598=LataProjekcji,$E598=0,$D599&lt;=10)),$E599,IF($C598&lt;LataProjekcji,IF((SUM($K600:R600)+$C600)&lt;$C599,$C600,$C599-SUM($K600:R600)),0)),0)</f>
        <v>0</v>
      </c>
      <c r="T600" s="248">
        <f ca="1">ROUND(IF(OR(AND($C598=LataProjekcji,$E598&gt;0),AND($C598=LataProjekcji,$E598=0,$D599&lt;=10)),$E599,IF($C598&lt;LataProjekcji,IF((SUM($K600:S600)+$C600)&lt;$C599,$C600,$C599-SUM($K600:S600)),0)),0)</f>
        <v>0</v>
      </c>
      <c r="U600" s="248">
        <f ca="1">ROUND(IF(OR(AND($C598=LataProjekcji,$E598&gt;0),AND($C598=LataProjekcji,$E598=0,$D599&lt;=10)),$E599,IF($C598&lt;LataProjekcji,IF((SUM($K600:T600)+$C600)&lt;$C599,$C600,$C599-SUM($K600:T600)),0)),0)</f>
        <v>0</v>
      </c>
      <c r="V600" s="248">
        <f ca="1">ROUND(IF(OR(AND($C598=LataProjekcji,$E598&gt;0),AND($C598=LataProjekcji,$E598=0,$D599&lt;=10)),$E599,IF($C598&lt;LataProjekcji,IF((SUM($K600:U600)+$C600)&lt;$C599,$C600,$C599-SUM($K600:U600)),0)),0)</f>
        <v>0</v>
      </c>
      <c r="W600" s="248">
        <f ca="1">ROUND(IF(OR(AND($C598=LataProjekcji,$E598&gt;0),AND($C598=LataProjekcji,$E598=0,$D599&lt;=10)),$E599,IF($C598&lt;LataProjekcji,IF((SUM($K600:V600)+$C600)&lt;$C599,$C600,$C599-SUM($K600:V600)),0)),0)</f>
        <v>0</v>
      </c>
      <c r="X600" s="248">
        <f ca="1">ROUND(IF(OR(AND($C598=LataProjekcji,$E598&gt;0),AND($C598=LataProjekcji,$E598=0,$D599&lt;=10)),$E599,IF($C598&lt;LataProjekcji,IF((SUM($K600:W600)+$C600)&lt;$C599,$C600,$C599-SUM($K600:W600)),0)),0)</f>
        <v>0</v>
      </c>
    </row>
    <row r="601" spans="1:24" hidden="1">
      <c r="A601" s="259"/>
      <c r="B601" s="21" t="s">
        <v>416</v>
      </c>
      <c r="C601" s="22"/>
      <c r="D601" s="21"/>
      <c r="E601" s="21"/>
      <c r="F601" s="21"/>
      <c r="G601" s="21"/>
      <c r="I601" s="21"/>
      <c r="J601" s="21"/>
      <c r="K601" s="22">
        <f ca="1">ROUND(K600,0)</f>
        <v>0</v>
      </c>
      <c r="L601" s="22">
        <f t="shared" ref="L601:X601" ca="1" si="348">ROUND(K601+L600,0)</f>
        <v>0</v>
      </c>
      <c r="M601" s="22">
        <f t="shared" ca="1" si="348"/>
        <v>0</v>
      </c>
      <c r="N601" s="22">
        <f t="shared" ca="1" si="348"/>
        <v>0</v>
      </c>
      <c r="O601" s="22">
        <f t="shared" ca="1" si="348"/>
        <v>0</v>
      </c>
      <c r="P601" s="22">
        <f t="shared" ca="1" si="348"/>
        <v>0</v>
      </c>
      <c r="Q601" s="22">
        <f t="shared" ca="1" si="348"/>
        <v>0</v>
      </c>
      <c r="R601" s="22">
        <f t="shared" ca="1" si="348"/>
        <v>0</v>
      </c>
      <c r="S601" s="22">
        <f t="shared" ca="1" si="348"/>
        <v>0</v>
      </c>
      <c r="T601" s="22">
        <f t="shared" ca="1" si="348"/>
        <v>0</v>
      </c>
      <c r="U601" s="22">
        <f t="shared" ca="1" si="348"/>
        <v>0</v>
      </c>
      <c r="V601" s="22">
        <f t="shared" ca="1" si="348"/>
        <v>0</v>
      </c>
      <c r="W601" s="22">
        <f t="shared" ca="1" si="348"/>
        <v>0</v>
      </c>
      <c r="X601" s="22">
        <f t="shared" ca="1" si="348"/>
        <v>0</v>
      </c>
    </row>
    <row r="602" spans="1:24" hidden="1">
      <c r="A602" s="259"/>
      <c r="B602" s="21" t="s">
        <v>406</v>
      </c>
      <c r="C602" s="22"/>
      <c r="D602" s="21"/>
      <c r="E602" s="21"/>
      <c r="F602" s="21"/>
      <c r="G602" s="21"/>
      <c r="I602" s="21"/>
      <c r="J602" s="21"/>
      <c r="K602" s="77">
        <f t="shared" ref="K602:X602" ca="1" si="349">IF($C598=LataProjekcji,ROUND($C599-K601,0),ROUND(IF(K600=0,0,$C599-K601),0))</f>
        <v>0</v>
      </c>
      <c r="L602" s="77">
        <f t="shared" ca="1" si="349"/>
        <v>0</v>
      </c>
      <c r="M602" s="77">
        <f t="shared" ca="1" si="349"/>
        <v>0</v>
      </c>
      <c r="N602" s="77">
        <f t="shared" ca="1" si="349"/>
        <v>0</v>
      </c>
      <c r="O602" s="77">
        <f t="shared" ca="1" si="349"/>
        <v>0</v>
      </c>
      <c r="P602" s="77">
        <f t="shared" ca="1" si="349"/>
        <v>0</v>
      </c>
      <c r="Q602" s="77">
        <f t="shared" ca="1" si="349"/>
        <v>0</v>
      </c>
      <c r="R602" s="77">
        <f t="shared" ca="1" si="349"/>
        <v>0</v>
      </c>
      <c r="S602" s="77">
        <f t="shared" ca="1" si="349"/>
        <v>0</v>
      </c>
      <c r="T602" s="77">
        <f t="shared" ca="1" si="349"/>
        <v>0</v>
      </c>
      <c r="U602" s="77">
        <f t="shared" ca="1" si="349"/>
        <v>0</v>
      </c>
      <c r="V602" s="77">
        <f t="shared" ca="1" si="349"/>
        <v>0</v>
      </c>
      <c r="W602" s="77">
        <f t="shared" ca="1" si="349"/>
        <v>0</v>
      </c>
      <c r="X602" s="77">
        <f t="shared" ca="1" si="349"/>
        <v>0</v>
      </c>
    </row>
    <row r="603" spans="1:24" hidden="1">
      <c r="A603" s="259"/>
      <c r="B603" s="21"/>
      <c r="C603" s="21"/>
      <c r="D603" s="21"/>
      <c r="E603" s="21"/>
      <c r="F603" s="21"/>
      <c r="G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</row>
    <row r="604" spans="1:24" hidden="1">
      <c r="A604" s="259"/>
      <c r="B604" s="20" t="s">
        <v>389</v>
      </c>
      <c r="C604" s="21">
        <f>C597+1</f>
        <v>57</v>
      </c>
      <c r="D604" s="483">
        <f>D597+1</f>
        <v>135</v>
      </c>
      <c r="E604" s="21"/>
      <c r="F604" s="21"/>
      <c r="G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</row>
    <row r="605" spans="1:24" hidden="1">
      <c r="A605" s="259"/>
      <c r="B605" s="21" t="s">
        <v>414</v>
      </c>
      <c r="C605" s="165">
        <f ca="1">IFERROR(YEAR(OFFSET($D$28,C604,0)),0)</f>
        <v>0</v>
      </c>
      <c r="D605" s="165">
        <f ca="1">IFERROR(MONTH(OFFSET($D$28,C604,0)),0)</f>
        <v>0</v>
      </c>
      <c r="E605" s="21">
        <f ca="1">12-$D605</f>
        <v>12</v>
      </c>
      <c r="F605" s="21"/>
      <c r="G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</row>
    <row r="606" spans="1:24" hidden="1">
      <c r="A606" s="259"/>
      <c r="B606" s="21" t="s">
        <v>406</v>
      </c>
      <c r="C606" s="245">
        <f ca="1">IF(OFFSET($F$28,C604,0)&lt;0,0,OFFSET($F$28,C604,0))</f>
        <v>0</v>
      </c>
      <c r="D606" s="22" t="str">
        <f ca="1">OFFSET($C$28,C604,0)</f>
        <v/>
      </c>
      <c r="E606" s="22">
        <f ca="1">IF(D606&gt;10,ROUND(($C607/12)*$E605,0),$C606)</f>
        <v>0</v>
      </c>
      <c r="F606" s="21"/>
      <c r="G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</row>
    <row r="607" spans="1:24" hidden="1">
      <c r="A607" s="259"/>
      <c r="B607" s="21" t="s">
        <v>415</v>
      </c>
      <c r="C607" s="245">
        <f ca="1">IF(ISBLANK(OFFSET($D$28,C604,0)),0,IF(OFFSET($C$28,C604,0)&gt;10,ROUND(C606*am_wnip,0),IF(C606&lt;0,0,C606)))</f>
        <v>0</v>
      </c>
      <c r="D607" s="21"/>
      <c r="E607" s="21"/>
      <c r="F607" s="21"/>
      <c r="G607" s="21"/>
      <c r="I607" s="21"/>
      <c r="J607" s="483" cm="1">
        <f t="array" aca="1" ref="J607" ca="1">OFFSET('Środki trwałe'!$C$195,'Rozliczenie dotacji'!D604,,)</f>
        <v>0</v>
      </c>
      <c r="K607" s="75">
        <f ca="1">ROUND(IF($C605=LataProjekcji,$E606,IF($C605=LataProjekcji,$C607,0)),0)</f>
        <v>0</v>
      </c>
      <c r="L607" s="248">
        <f ca="1">ROUND(IF(OR(AND($C605=LataProjekcji,$E605&gt;0),AND($C605=LataProjekcji,$E605=0,$D606&lt;=10)),$E606,IF($C605&lt;LataProjekcji,IF((SUM($K607:K607)+$C607)&lt;$C606,$C607,$C606-SUM($K607:K607)),0)),0)</f>
        <v>0</v>
      </c>
      <c r="M607" s="248">
        <f ca="1">ROUND(IF(OR(AND($C605=LataProjekcji,$E605&gt;0),AND($C605=LataProjekcji,$E605=0,$D606&lt;=10)),$E606,IF($C605&lt;LataProjekcji,IF((SUM($K607:L607)+$C607)&lt;$C606,$C607,$C606-SUM($K607:L607)),0)),0)</f>
        <v>0</v>
      </c>
      <c r="N607" s="248">
        <f ca="1">ROUND(IF(OR(AND($C605=LataProjekcji,$E605&gt;0),AND($C605=LataProjekcji,$E605=0,$D606&lt;=10)),$E606,IF($C605&lt;LataProjekcji,IF((SUM($K607:M607)+$C607)&lt;$C606,$C607,$C606-SUM($K607:M607)),0)),0)</f>
        <v>0</v>
      </c>
      <c r="O607" s="248">
        <f ca="1">ROUND(IF(OR(AND($C605=LataProjekcji,$E605&gt;0),AND($C605=LataProjekcji,$E605=0,$D606&lt;=10)),$E606,IF($C605&lt;LataProjekcji,IF((SUM($K607:N607)+$C607)&lt;$C606,$C607,$C606-SUM($K607:N607)),0)),0)</f>
        <v>0</v>
      </c>
      <c r="P607" s="248">
        <f ca="1">ROUND(IF(OR(AND($C605=LataProjekcji,$E605&gt;0),AND($C605=LataProjekcji,$E605=0,$D606&lt;=10)),$E606,IF($C605&lt;LataProjekcji,IF((SUM($K607:O607)+$C607)&lt;$C606,$C607,$C606-SUM($K607:O607)),0)),0)</f>
        <v>0</v>
      </c>
      <c r="Q607" s="248">
        <f ca="1">ROUND(IF(OR(AND($C605=LataProjekcji,$E605&gt;0),AND($C605=LataProjekcji,$E605=0,$D606&lt;=10)),$E606,IF($C605&lt;LataProjekcji,IF((SUM($K607:P607)+$C607)&lt;$C606,$C607,$C606-SUM($K607:P607)),0)),0)</f>
        <v>0</v>
      </c>
      <c r="R607" s="248">
        <f ca="1">ROUND(IF(OR(AND($C605=LataProjekcji,$E605&gt;0),AND($C605=LataProjekcji,$E605=0,$D606&lt;=10)),$E606,IF($C605&lt;LataProjekcji,IF((SUM($K607:Q607)+$C607)&lt;$C606,$C607,$C606-SUM($K607:Q607)),0)),0)</f>
        <v>0</v>
      </c>
      <c r="S607" s="248">
        <f ca="1">ROUND(IF(OR(AND($C605=LataProjekcji,$E605&gt;0),AND($C605=LataProjekcji,$E605=0,$D606&lt;=10)),$E606,IF($C605&lt;LataProjekcji,IF((SUM($K607:R607)+$C607)&lt;$C606,$C607,$C606-SUM($K607:R607)),0)),0)</f>
        <v>0</v>
      </c>
      <c r="T607" s="248">
        <f ca="1">ROUND(IF(OR(AND($C605=LataProjekcji,$E605&gt;0),AND($C605=LataProjekcji,$E605=0,$D606&lt;=10)),$E606,IF($C605&lt;LataProjekcji,IF((SUM($K607:S607)+$C607)&lt;$C606,$C607,$C606-SUM($K607:S607)),0)),0)</f>
        <v>0</v>
      </c>
      <c r="U607" s="248">
        <f ca="1">ROUND(IF(OR(AND($C605=LataProjekcji,$E605&gt;0),AND($C605=LataProjekcji,$E605=0,$D606&lt;=10)),$E606,IF($C605&lt;LataProjekcji,IF((SUM($K607:T607)+$C607)&lt;$C606,$C607,$C606-SUM($K607:T607)),0)),0)</f>
        <v>0</v>
      </c>
      <c r="V607" s="248">
        <f ca="1">ROUND(IF(OR(AND($C605=LataProjekcji,$E605&gt;0),AND($C605=LataProjekcji,$E605=0,$D606&lt;=10)),$E606,IF($C605&lt;LataProjekcji,IF((SUM($K607:U607)+$C607)&lt;$C606,$C607,$C606-SUM($K607:U607)),0)),0)</f>
        <v>0</v>
      </c>
      <c r="W607" s="248">
        <f ca="1">ROUND(IF(OR(AND($C605=LataProjekcji,$E605&gt;0),AND($C605=LataProjekcji,$E605=0,$D606&lt;=10)),$E606,IF($C605&lt;LataProjekcji,IF((SUM($K607:V607)+$C607)&lt;$C606,$C607,$C606-SUM($K607:V607)),0)),0)</f>
        <v>0</v>
      </c>
      <c r="X607" s="248">
        <f ca="1">ROUND(IF(OR(AND($C605=LataProjekcji,$E605&gt;0),AND($C605=LataProjekcji,$E605=0,$D606&lt;=10)),$E606,IF($C605&lt;LataProjekcji,IF((SUM($K607:W607)+$C607)&lt;$C606,$C607,$C606-SUM($K607:W607)),0)),0)</f>
        <v>0</v>
      </c>
    </row>
    <row r="608" spans="1:24" hidden="1">
      <c r="A608" s="259"/>
      <c r="B608" s="21" t="s">
        <v>416</v>
      </c>
      <c r="C608" s="22"/>
      <c r="D608" s="21"/>
      <c r="E608" s="21"/>
      <c r="F608" s="21"/>
      <c r="G608" s="21"/>
      <c r="I608" s="21"/>
      <c r="J608" s="21"/>
      <c r="K608" s="22">
        <f ca="1">ROUND(K607,0)</f>
        <v>0</v>
      </c>
      <c r="L608" s="22">
        <f t="shared" ref="L608:X608" ca="1" si="350">ROUND(K608+L607,0)</f>
        <v>0</v>
      </c>
      <c r="M608" s="22">
        <f t="shared" ca="1" si="350"/>
        <v>0</v>
      </c>
      <c r="N608" s="22">
        <f t="shared" ca="1" si="350"/>
        <v>0</v>
      </c>
      <c r="O608" s="22">
        <f t="shared" ca="1" si="350"/>
        <v>0</v>
      </c>
      <c r="P608" s="22">
        <f t="shared" ca="1" si="350"/>
        <v>0</v>
      </c>
      <c r="Q608" s="22">
        <f t="shared" ca="1" si="350"/>
        <v>0</v>
      </c>
      <c r="R608" s="22">
        <f t="shared" ca="1" si="350"/>
        <v>0</v>
      </c>
      <c r="S608" s="22">
        <f t="shared" ca="1" si="350"/>
        <v>0</v>
      </c>
      <c r="T608" s="22">
        <f t="shared" ca="1" si="350"/>
        <v>0</v>
      </c>
      <c r="U608" s="22">
        <f t="shared" ca="1" si="350"/>
        <v>0</v>
      </c>
      <c r="V608" s="22">
        <f t="shared" ca="1" si="350"/>
        <v>0</v>
      </c>
      <c r="W608" s="22">
        <f t="shared" ca="1" si="350"/>
        <v>0</v>
      </c>
      <c r="X608" s="22">
        <f t="shared" ca="1" si="350"/>
        <v>0</v>
      </c>
    </row>
    <row r="609" spans="1:24" hidden="1">
      <c r="A609" s="259"/>
      <c r="B609" s="21" t="s">
        <v>406</v>
      </c>
      <c r="C609" s="22"/>
      <c r="D609" s="21"/>
      <c r="E609" s="21"/>
      <c r="F609" s="21"/>
      <c r="G609" s="21"/>
      <c r="I609" s="21"/>
      <c r="J609" s="21"/>
      <c r="K609" s="77">
        <f t="shared" ref="K609:X609" ca="1" si="351">IF($C605=LataProjekcji,ROUND($C606-K608,0),ROUND(IF(K607=0,0,$C606-K608),0))</f>
        <v>0</v>
      </c>
      <c r="L609" s="77">
        <f t="shared" ca="1" si="351"/>
        <v>0</v>
      </c>
      <c r="M609" s="77">
        <f t="shared" ca="1" si="351"/>
        <v>0</v>
      </c>
      <c r="N609" s="77">
        <f t="shared" ca="1" si="351"/>
        <v>0</v>
      </c>
      <c r="O609" s="77">
        <f t="shared" ca="1" si="351"/>
        <v>0</v>
      </c>
      <c r="P609" s="77">
        <f t="shared" ca="1" si="351"/>
        <v>0</v>
      </c>
      <c r="Q609" s="77">
        <f t="shared" ca="1" si="351"/>
        <v>0</v>
      </c>
      <c r="R609" s="77">
        <f t="shared" ca="1" si="351"/>
        <v>0</v>
      </c>
      <c r="S609" s="77">
        <f t="shared" ca="1" si="351"/>
        <v>0</v>
      </c>
      <c r="T609" s="77">
        <f t="shared" ca="1" si="351"/>
        <v>0</v>
      </c>
      <c r="U609" s="77">
        <f t="shared" ca="1" si="351"/>
        <v>0</v>
      </c>
      <c r="V609" s="77">
        <f t="shared" ca="1" si="351"/>
        <v>0</v>
      </c>
      <c r="W609" s="77">
        <f t="shared" ca="1" si="351"/>
        <v>0</v>
      </c>
      <c r="X609" s="77">
        <f t="shared" ca="1" si="351"/>
        <v>0</v>
      </c>
    </row>
    <row r="613" spans="1:24" ht="12.6" hidden="1" thickBot="1"/>
    <row r="614" spans="1:24" ht="12.6" hidden="1" thickBot="1">
      <c r="A614" s="259"/>
      <c r="B614" s="20" t="s">
        <v>390</v>
      </c>
      <c r="C614" s="250">
        <v>66</v>
      </c>
      <c r="D614" s="482">
        <v>158</v>
      </c>
      <c r="E614" s="21" t="s">
        <v>411</v>
      </c>
      <c r="F614" s="48"/>
      <c r="G614" s="50" t="s">
        <v>412</v>
      </c>
      <c r="H614" s="322"/>
      <c r="I614" s="21" t="s">
        <v>413</v>
      </c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</row>
    <row r="615" spans="1:24" hidden="1">
      <c r="A615" s="259"/>
      <c r="B615" s="21" t="s">
        <v>414</v>
      </c>
      <c r="C615" s="165">
        <f ca="1">IFERROR(YEAR(OFFSET($D$28,C614,0)),0)</f>
        <v>0</v>
      </c>
      <c r="D615" s="165">
        <f ca="1">IFERROR(MONTH(OFFSET($D$28,C614,0)),0)</f>
        <v>0</v>
      </c>
      <c r="E615" s="21">
        <f ca="1">12-$D615</f>
        <v>12</v>
      </c>
      <c r="F615" s="49"/>
      <c r="G615" s="51">
        <f ca="1">C109-F615</f>
        <v>0</v>
      </c>
      <c r="H615" s="323"/>
      <c r="I615" s="22">
        <f ca="1">C109-F615-G615</f>
        <v>0</v>
      </c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</row>
    <row r="616" spans="1:24" hidden="1">
      <c r="A616" s="259"/>
      <c r="B616" s="21" t="s">
        <v>406</v>
      </c>
      <c r="C616" s="245">
        <f ca="1">IF(OFFSET($F$28,C614,0)&lt;0,0,OFFSET($F$28,C614,0))</f>
        <v>0</v>
      </c>
      <c r="D616" s="22" t="str">
        <f ca="1">OFFSET($C$28,C614,0)</f>
        <v/>
      </c>
      <c r="E616" s="22">
        <f ca="1">IF(D616&gt;10,ROUND(($C617/12)*$E615,0),$C616)</f>
        <v>0</v>
      </c>
      <c r="F616" s="21" t="s">
        <v>426</v>
      </c>
      <c r="G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idden="1">
      <c r="A617" s="259"/>
      <c r="B617" s="21" t="s">
        <v>415</v>
      </c>
      <c r="C617" s="245">
        <f ca="1">IF(ISBLANK(OFFSET($D$28,C614,0)),0,IF(OFFSET($C$28,C614,0)&gt;10,ROUND(C616*am_wnip,0),IF(C616&lt;0,0,C616)))</f>
        <v>0</v>
      </c>
      <c r="D617" s="21"/>
      <c r="E617" s="21"/>
      <c r="F617" s="21"/>
      <c r="G617" s="21"/>
      <c r="I617" s="21"/>
      <c r="J617" s="483" cm="1">
        <f t="array" aca="1" ref="J617" ca="1">OFFSET('Środki trwałe'!$C$195,'Rozliczenie dotacji'!D614,,)</f>
        <v>0</v>
      </c>
      <c r="K617" s="75">
        <f ca="1">ROUND(IF($C615=LataProjekcji,$E616,IF($C615=LataProjekcji,$C617,0)),0)</f>
        <v>0</v>
      </c>
      <c r="L617" s="248">
        <f ca="1">ROUND(IF(OR(AND($C615=LataProjekcji,$E615&gt;0),AND($C615=LataProjekcji,$E615=0,$D616&lt;=10)),$E616,IF($C615&lt;LataProjekcji,IF((SUM($K617:K617)+$C617)&lt;$C616,$C617,$C616-SUM($K617:K617)),0)),0)</f>
        <v>0</v>
      </c>
      <c r="M617" s="248">
        <f ca="1">ROUND(IF(OR(AND($C615=LataProjekcji,$E615&gt;0),AND($C615=LataProjekcji,$E615=0,$D616&lt;=10)),$E616,IF($C615&lt;LataProjekcji,IF((SUM($K617:L617)+$C617)&lt;$C616,$C617,$C616-SUM($K617:L617)),0)),0)</f>
        <v>0</v>
      </c>
      <c r="N617" s="248">
        <f ca="1">ROUND(IF(OR(AND($C615=LataProjekcji,$E615&gt;0),AND($C615=LataProjekcji,$E615=0,$D616&lt;=10)),$E616,IF($C615&lt;LataProjekcji,IF((SUM($K617:M617)+$C617)&lt;$C616,$C617,$C616-SUM($K617:M617)),0)),0)</f>
        <v>0</v>
      </c>
      <c r="O617" s="248">
        <f ca="1">ROUND(IF(OR(AND($C615=LataProjekcji,$E615&gt;0),AND($C615=LataProjekcji,$E615=0,$D616&lt;=10)),$E616,IF($C615&lt;LataProjekcji,IF((SUM($K617:N617)+$C617)&lt;$C616,$C617,$C616-SUM($K617:N617)),0)),0)</f>
        <v>0</v>
      </c>
      <c r="P617" s="248">
        <f ca="1">ROUND(IF(OR(AND($C615=LataProjekcji,$E615&gt;0),AND($C615=LataProjekcji,$E615=0,$D616&lt;=10)),$E616,IF($C615&lt;LataProjekcji,IF((SUM($K617:O617)+$C617)&lt;$C616,$C617,$C616-SUM($K617:O617)),0)),0)</f>
        <v>0</v>
      </c>
      <c r="Q617" s="248">
        <f ca="1">ROUND(IF(OR(AND($C615=LataProjekcji,$E615&gt;0),AND($C615=LataProjekcji,$E615=0,$D616&lt;=10)),$E616,IF($C615&lt;LataProjekcji,IF((SUM($K617:P617)+$C617)&lt;$C616,$C617,$C616-SUM($K617:P617)),0)),0)</f>
        <v>0</v>
      </c>
      <c r="R617" s="248">
        <f ca="1">ROUND(IF(OR(AND($C615=LataProjekcji,$E615&gt;0),AND($C615=LataProjekcji,$E615=0,$D616&lt;=10)),$E616,IF($C615&lt;LataProjekcji,IF((SUM($K617:Q617)+$C617)&lt;$C616,$C617,$C616-SUM($K617:Q617)),0)),0)</f>
        <v>0</v>
      </c>
      <c r="S617" s="248">
        <f ca="1">ROUND(IF(OR(AND($C615=LataProjekcji,$E615&gt;0),AND($C615=LataProjekcji,$E615=0,$D616&lt;=10)),$E616,IF($C615&lt;LataProjekcji,IF((SUM($K617:R617)+$C617)&lt;$C616,$C617,$C616-SUM($K617:R617)),0)),0)</f>
        <v>0</v>
      </c>
      <c r="T617" s="248">
        <f ca="1">ROUND(IF(OR(AND($C615=LataProjekcji,$E615&gt;0),AND($C615=LataProjekcji,$E615=0,$D616&lt;=10)),$E616,IF($C615&lt;LataProjekcji,IF((SUM($K617:S617)+$C617)&lt;$C616,$C617,$C616-SUM($K617:S617)),0)),0)</f>
        <v>0</v>
      </c>
      <c r="U617" s="248">
        <f ca="1">ROUND(IF(OR(AND($C615=LataProjekcji,$E615&gt;0),AND($C615=LataProjekcji,$E615=0,$D616&lt;=10)),$E616,IF($C615&lt;LataProjekcji,IF((SUM($K617:T617)+$C617)&lt;$C616,$C617,$C616-SUM($K617:T617)),0)),0)</f>
        <v>0</v>
      </c>
      <c r="V617" s="248">
        <f ca="1">ROUND(IF(OR(AND($C615=LataProjekcji,$E615&gt;0),AND($C615=LataProjekcji,$E615=0,$D616&lt;=10)),$E616,IF($C615&lt;LataProjekcji,IF((SUM($K617:U617)+$C617)&lt;$C616,$C617,$C616-SUM($K617:U617)),0)),0)</f>
        <v>0</v>
      </c>
      <c r="W617" s="248">
        <f ca="1">ROUND(IF(OR(AND($C615=LataProjekcji,$E615&gt;0),AND($C615=LataProjekcji,$E615=0,$D616&lt;=10)),$E616,IF($C615&lt;LataProjekcji,IF((SUM($K617:V617)+$C617)&lt;$C616,$C617,$C616-SUM($K617:V617)),0)),0)</f>
        <v>0</v>
      </c>
      <c r="X617" s="248">
        <f ca="1">ROUND(IF(OR(AND($C615=LataProjekcji,$E615&gt;0),AND($C615=LataProjekcji,$E615=0,$D616&lt;=10)),$E616,IF($C615&lt;LataProjekcji,IF((SUM($K617:W617)+$C617)&lt;$C616,$C617,$C616-SUM($K617:W617)),0)),0)</f>
        <v>0</v>
      </c>
    </row>
    <row r="618" spans="1:24" hidden="1">
      <c r="A618" s="259"/>
      <c r="B618" s="21" t="s">
        <v>416</v>
      </c>
      <c r="C618" s="22"/>
      <c r="D618" s="21"/>
      <c r="E618" s="21"/>
      <c r="F618" s="21"/>
      <c r="G618" s="21"/>
      <c r="I618" s="21"/>
      <c r="J618" s="21"/>
      <c r="K618" s="22">
        <f ca="1">ROUND(K617,0)</f>
        <v>0</v>
      </c>
      <c r="L618" s="22">
        <f t="shared" ref="L618:X618" ca="1" si="352">ROUND(K618+L617,0)</f>
        <v>0</v>
      </c>
      <c r="M618" s="22">
        <f t="shared" ca="1" si="352"/>
        <v>0</v>
      </c>
      <c r="N618" s="22">
        <f t="shared" ca="1" si="352"/>
        <v>0</v>
      </c>
      <c r="O618" s="22">
        <f t="shared" ca="1" si="352"/>
        <v>0</v>
      </c>
      <c r="P618" s="22">
        <f t="shared" ca="1" si="352"/>
        <v>0</v>
      </c>
      <c r="Q618" s="22">
        <f t="shared" ca="1" si="352"/>
        <v>0</v>
      </c>
      <c r="R618" s="22">
        <f t="shared" ca="1" si="352"/>
        <v>0</v>
      </c>
      <c r="S618" s="22">
        <f t="shared" ca="1" si="352"/>
        <v>0</v>
      </c>
      <c r="T618" s="22">
        <f t="shared" ca="1" si="352"/>
        <v>0</v>
      </c>
      <c r="U618" s="22">
        <f t="shared" ca="1" si="352"/>
        <v>0</v>
      </c>
      <c r="V618" s="22">
        <f t="shared" ca="1" si="352"/>
        <v>0</v>
      </c>
      <c r="W618" s="22">
        <f t="shared" ca="1" si="352"/>
        <v>0</v>
      </c>
      <c r="X618" s="22">
        <f t="shared" ca="1" si="352"/>
        <v>0</v>
      </c>
    </row>
    <row r="619" spans="1:24" hidden="1">
      <c r="A619" s="259"/>
      <c r="B619" s="21" t="s">
        <v>406</v>
      </c>
      <c r="C619" s="22"/>
      <c r="D619" s="21"/>
      <c r="E619" s="21"/>
      <c r="F619" s="21"/>
      <c r="G619" s="21"/>
      <c r="I619" s="21"/>
      <c r="J619" s="21"/>
      <c r="K619" s="77">
        <f t="shared" ref="K619:X619" ca="1" si="353">IF($C615=LataProjekcji,ROUND($C616-K618,0),ROUND(IF(K617=0,0,$C616-K618),0))</f>
        <v>0</v>
      </c>
      <c r="L619" s="77">
        <f t="shared" ca="1" si="353"/>
        <v>0</v>
      </c>
      <c r="M619" s="77">
        <f t="shared" ca="1" si="353"/>
        <v>0</v>
      </c>
      <c r="N619" s="77">
        <f t="shared" ca="1" si="353"/>
        <v>0</v>
      </c>
      <c r="O619" s="77">
        <f t="shared" ca="1" si="353"/>
        <v>0</v>
      </c>
      <c r="P619" s="77">
        <f t="shared" ca="1" si="353"/>
        <v>0</v>
      </c>
      <c r="Q619" s="77">
        <f t="shared" ca="1" si="353"/>
        <v>0</v>
      </c>
      <c r="R619" s="77">
        <f t="shared" ca="1" si="353"/>
        <v>0</v>
      </c>
      <c r="S619" s="77">
        <f t="shared" ca="1" si="353"/>
        <v>0</v>
      </c>
      <c r="T619" s="77">
        <f t="shared" ca="1" si="353"/>
        <v>0</v>
      </c>
      <c r="U619" s="77">
        <f t="shared" ca="1" si="353"/>
        <v>0</v>
      </c>
      <c r="V619" s="77">
        <f t="shared" ca="1" si="353"/>
        <v>0</v>
      </c>
      <c r="W619" s="77">
        <f t="shared" ca="1" si="353"/>
        <v>0</v>
      </c>
      <c r="X619" s="77">
        <f t="shared" ca="1" si="353"/>
        <v>0</v>
      </c>
    </row>
    <row r="620" spans="1:24" hidden="1">
      <c r="A620" s="259"/>
      <c r="B620" s="21"/>
      <c r="C620" s="22"/>
      <c r="D620" s="21"/>
      <c r="E620" s="21"/>
      <c r="F620" s="21"/>
      <c r="G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</row>
    <row r="621" spans="1:24" hidden="1">
      <c r="A621" s="259"/>
      <c r="B621" s="20" t="s">
        <v>390</v>
      </c>
      <c r="C621" s="21">
        <f>C614+1</f>
        <v>67</v>
      </c>
      <c r="D621" s="483">
        <f>D614+1</f>
        <v>159</v>
      </c>
      <c r="E621" s="21"/>
      <c r="F621" s="21"/>
      <c r="G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</row>
    <row r="622" spans="1:24" hidden="1">
      <c r="A622" s="259"/>
      <c r="B622" s="21" t="s">
        <v>414</v>
      </c>
      <c r="C622" s="165">
        <f ca="1">IFERROR(YEAR(OFFSET($D$28,C621,0)),0)</f>
        <v>0</v>
      </c>
      <c r="D622" s="165">
        <f ca="1">IFERROR(MONTH(OFFSET($D$28,C621,0)),0)</f>
        <v>0</v>
      </c>
      <c r="E622" s="21">
        <f ca="1">12-$D622</f>
        <v>12</v>
      </c>
      <c r="F622" s="21"/>
      <c r="G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</row>
    <row r="623" spans="1:24" hidden="1">
      <c r="A623" s="259"/>
      <c r="B623" s="21" t="s">
        <v>406</v>
      </c>
      <c r="C623" s="245">
        <f ca="1">IF(OFFSET($F$28,C621,0)&lt;0,0,OFFSET($F$28,C621,0))</f>
        <v>0</v>
      </c>
      <c r="D623" s="22" t="str">
        <f ca="1">OFFSET($C$28,C621,0)</f>
        <v/>
      </c>
      <c r="E623" s="22">
        <f ca="1">IF(D623&gt;10,ROUND(($C624/12)*$E622,0),$C623)</f>
        <v>0</v>
      </c>
      <c r="F623" s="21"/>
      <c r="G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idden="1">
      <c r="A624" s="259"/>
      <c r="B624" s="21" t="s">
        <v>415</v>
      </c>
      <c r="C624" s="245">
        <f ca="1">IF(ISBLANK(OFFSET($D$28,C621,0)),0,IF(OFFSET($C$28,C621,0)&gt;10,ROUND(C623*am_wnip,0),IF(C623&lt;0,0,C623)))</f>
        <v>0</v>
      </c>
      <c r="D624" s="21"/>
      <c r="E624" s="21"/>
      <c r="F624" s="21"/>
      <c r="G624" s="21"/>
      <c r="I624" s="21"/>
      <c r="J624" s="483" cm="1">
        <f t="array" aca="1" ref="J624" ca="1">OFFSET('Środki trwałe'!$C$195,'Rozliczenie dotacji'!D621,,)</f>
        <v>0</v>
      </c>
      <c r="K624" s="75">
        <f ca="1">ROUND(IF($C622=LataProjekcji,$E623,IF($C622=LataProjekcji,$C624,0)),0)</f>
        <v>0</v>
      </c>
      <c r="L624" s="248">
        <f ca="1">ROUND(IF(OR(AND($C622=LataProjekcji,$E622&gt;0),AND($C622=LataProjekcji,$E622=0,$D623&lt;=10)),$E623,IF($C622&lt;LataProjekcji,IF((SUM($K624:K624)+$C624)&lt;$C623,$C624,$C623-SUM($K624:K624)),0)),0)</f>
        <v>0</v>
      </c>
      <c r="M624" s="248">
        <f ca="1">ROUND(IF(OR(AND($C622=LataProjekcji,$E622&gt;0),AND($C622=LataProjekcji,$E622=0,$D623&lt;=10)),$E623,IF($C622&lt;LataProjekcji,IF((SUM($K624:L624)+$C624)&lt;$C623,$C624,$C623-SUM($K624:L624)),0)),0)</f>
        <v>0</v>
      </c>
      <c r="N624" s="248">
        <f ca="1">ROUND(IF(OR(AND($C622=LataProjekcji,$E622&gt;0),AND($C622=LataProjekcji,$E622=0,$D623&lt;=10)),$E623,IF($C622&lt;LataProjekcji,IF((SUM($K624:M624)+$C624)&lt;$C623,$C624,$C623-SUM($K624:M624)),0)),0)</f>
        <v>0</v>
      </c>
      <c r="O624" s="248">
        <f ca="1">ROUND(IF(OR(AND($C622=LataProjekcji,$E622&gt;0),AND($C622=LataProjekcji,$E622=0,$D623&lt;=10)),$E623,IF($C622&lt;LataProjekcji,IF((SUM($K624:N624)+$C624)&lt;$C623,$C624,$C623-SUM($K624:N624)),0)),0)</f>
        <v>0</v>
      </c>
      <c r="P624" s="248">
        <f ca="1">ROUND(IF(OR(AND($C622=LataProjekcji,$E622&gt;0),AND($C622=LataProjekcji,$E622=0,$D623&lt;=10)),$E623,IF($C622&lt;LataProjekcji,IF((SUM($K624:O624)+$C624)&lt;$C623,$C624,$C623-SUM($K624:O624)),0)),0)</f>
        <v>0</v>
      </c>
      <c r="Q624" s="248">
        <f ca="1">ROUND(IF(OR(AND($C622=LataProjekcji,$E622&gt;0),AND($C622=LataProjekcji,$E622=0,$D623&lt;=10)),$E623,IF($C622&lt;LataProjekcji,IF((SUM($K624:P624)+$C624)&lt;$C623,$C624,$C623-SUM($K624:P624)),0)),0)</f>
        <v>0</v>
      </c>
      <c r="R624" s="248">
        <f ca="1">ROUND(IF(OR(AND($C622=LataProjekcji,$E622&gt;0),AND($C622=LataProjekcji,$E622=0,$D623&lt;=10)),$E623,IF($C622&lt;LataProjekcji,IF((SUM($K624:Q624)+$C624)&lt;$C623,$C624,$C623-SUM($K624:Q624)),0)),0)</f>
        <v>0</v>
      </c>
      <c r="S624" s="248">
        <f ca="1">ROUND(IF(OR(AND($C622=LataProjekcji,$E622&gt;0),AND($C622=LataProjekcji,$E622=0,$D623&lt;=10)),$E623,IF($C622&lt;LataProjekcji,IF((SUM($K624:R624)+$C624)&lt;$C623,$C624,$C623-SUM($K624:R624)),0)),0)</f>
        <v>0</v>
      </c>
      <c r="T624" s="248">
        <f ca="1">ROUND(IF(OR(AND($C622=LataProjekcji,$E622&gt;0),AND($C622=LataProjekcji,$E622=0,$D623&lt;=10)),$E623,IF($C622&lt;LataProjekcji,IF((SUM($K624:S624)+$C624)&lt;$C623,$C624,$C623-SUM($K624:S624)),0)),0)</f>
        <v>0</v>
      </c>
      <c r="U624" s="248">
        <f ca="1">ROUND(IF(OR(AND($C622=LataProjekcji,$E622&gt;0),AND($C622=LataProjekcji,$E622=0,$D623&lt;=10)),$E623,IF($C622&lt;LataProjekcji,IF((SUM($K624:T624)+$C624)&lt;$C623,$C624,$C623-SUM($K624:T624)),0)),0)</f>
        <v>0</v>
      </c>
      <c r="V624" s="248">
        <f ca="1">ROUND(IF(OR(AND($C622=LataProjekcji,$E622&gt;0),AND($C622=LataProjekcji,$E622=0,$D623&lt;=10)),$E623,IF($C622&lt;LataProjekcji,IF((SUM($K624:U624)+$C624)&lt;$C623,$C624,$C623-SUM($K624:U624)),0)),0)</f>
        <v>0</v>
      </c>
      <c r="W624" s="248">
        <f ca="1">ROUND(IF(OR(AND($C622=LataProjekcji,$E622&gt;0),AND($C622=LataProjekcji,$E622=0,$D623&lt;=10)),$E623,IF($C622&lt;LataProjekcji,IF((SUM($K624:V624)+$C624)&lt;$C623,$C624,$C623-SUM($K624:V624)),0)),0)</f>
        <v>0</v>
      </c>
      <c r="X624" s="248">
        <f ca="1">ROUND(IF(OR(AND($C622=LataProjekcji,$E622&gt;0),AND($C622=LataProjekcji,$E622=0,$D623&lt;=10)),$E623,IF($C622&lt;LataProjekcji,IF((SUM($K624:W624)+$C624)&lt;$C623,$C624,$C623-SUM($K624:W624)),0)),0)</f>
        <v>0</v>
      </c>
    </row>
    <row r="625" spans="1:24" hidden="1">
      <c r="A625" s="259"/>
      <c r="B625" s="21" t="s">
        <v>416</v>
      </c>
      <c r="C625" s="22"/>
      <c r="D625" s="21"/>
      <c r="E625" s="21"/>
      <c r="F625" s="21"/>
      <c r="G625" s="21"/>
      <c r="I625" s="21"/>
      <c r="J625" s="21"/>
      <c r="K625" s="22">
        <f ca="1">ROUND(K624,0)</f>
        <v>0</v>
      </c>
      <c r="L625" s="22">
        <f t="shared" ref="L625:X625" ca="1" si="354">ROUND(K625+L624,0)</f>
        <v>0</v>
      </c>
      <c r="M625" s="22">
        <f t="shared" ca="1" si="354"/>
        <v>0</v>
      </c>
      <c r="N625" s="22">
        <f t="shared" ca="1" si="354"/>
        <v>0</v>
      </c>
      <c r="O625" s="22">
        <f t="shared" ca="1" si="354"/>
        <v>0</v>
      </c>
      <c r="P625" s="22">
        <f t="shared" ca="1" si="354"/>
        <v>0</v>
      </c>
      <c r="Q625" s="22">
        <f t="shared" ca="1" si="354"/>
        <v>0</v>
      </c>
      <c r="R625" s="22">
        <f t="shared" ca="1" si="354"/>
        <v>0</v>
      </c>
      <c r="S625" s="22">
        <f t="shared" ca="1" si="354"/>
        <v>0</v>
      </c>
      <c r="T625" s="22">
        <f t="shared" ca="1" si="354"/>
        <v>0</v>
      </c>
      <c r="U625" s="22">
        <f t="shared" ca="1" si="354"/>
        <v>0</v>
      </c>
      <c r="V625" s="22">
        <f t="shared" ca="1" si="354"/>
        <v>0</v>
      </c>
      <c r="W625" s="22">
        <f t="shared" ca="1" si="354"/>
        <v>0</v>
      </c>
      <c r="X625" s="22">
        <f t="shared" ca="1" si="354"/>
        <v>0</v>
      </c>
    </row>
    <row r="626" spans="1:24" hidden="1">
      <c r="A626" s="259"/>
      <c r="B626" s="21" t="s">
        <v>406</v>
      </c>
      <c r="C626" s="22"/>
      <c r="D626" s="21"/>
      <c r="E626" s="21"/>
      <c r="F626" s="21"/>
      <c r="G626" s="21"/>
      <c r="I626" s="21"/>
      <c r="J626" s="21"/>
      <c r="K626" s="77">
        <f t="shared" ref="K626:X626" ca="1" si="355">IF($C622=LataProjekcji,ROUND($C623-K625,0),ROUND(IF(K624=0,0,$C623-K625),0))</f>
        <v>0</v>
      </c>
      <c r="L626" s="77">
        <f t="shared" ca="1" si="355"/>
        <v>0</v>
      </c>
      <c r="M626" s="77">
        <f t="shared" ca="1" si="355"/>
        <v>0</v>
      </c>
      <c r="N626" s="77">
        <f t="shared" ca="1" si="355"/>
        <v>0</v>
      </c>
      <c r="O626" s="77">
        <f t="shared" ca="1" si="355"/>
        <v>0</v>
      </c>
      <c r="P626" s="77">
        <f t="shared" ca="1" si="355"/>
        <v>0</v>
      </c>
      <c r="Q626" s="77">
        <f t="shared" ca="1" si="355"/>
        <v>0</v>
      </c>
      <c r="R626" s="77">
        <f t="shared" ca="1" si="355"/>
        <v>0</v>
      </c>
      <c r="S626" s="77">
        <f t="shared" ca="1" si="355"/>
        <v>0</v>
      </c>
      <c r="T626" s="77">
        <f t="shared" ca="1" si="355"/>
        <v>0</v>
      </c>
      <c r="U626" s="77">
        <f t="shared" ca="1" si="355"/>
        <v>0</v>
      </c>
      <c r="V626" s="77">
        <f t="shared" ca="1" si="355"/>
        <v>0</v>
      </c>
      <c r="W626" s="77">
        <f t="shared" ca="1" si="355"/>
        <v>0</v>
      </c>
      <c r="X626" s="77">
        <f t="shared" ca="1" si="355"/>
        <v>0</v>
      </c>
    </row>
    <row r="627" spans="1:24" hidden="1">
      <c r="A627" s="259"/>
      <c r="B627" s="20"/>
      <c r="C627" s="21"/>
      <c r="D627" s="21"/>
      <c r="E627" s="21"/>
      <c r="F627" s="21"/>
      <c r="G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</row>
    <row r="628" spans="1:24" hidden="1">
      <c r="A628" s="259"/>
      <c r="B628" s="20" t="s">
        <v>390</v>
      </c>
      <c r="C628" s="21">
        <f>C621+1</f>
        <v>68</v>
      </c>
      <c r="D628" s="483">
        <f>D621+1</f>
        <v>160</v>
      </c>
      <c r="E628" s="21"/>
      <c r="F628" s="21"/>
      <c r="G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</row>
    <row r="629" spans="1:24" hidden="1">
      <c r="A629" s="259"/>
      <c r="B629" s="21" t="s">
        <v>414</v>
      </c>
      <c r="C629" s="165">
        <f ca="1">IFERROR(YEAR(OFFSET($D$28,C628,0)),0)</f>
        <v>0</v>
      </c>
      <c r="D629" s="165">
        <f ca="1">IFERROR(MONTH(OFFSET($D$28,C628,0)),0)</f>
        <v>0</v>
      </c>
      <c r="E629" s="21">
        <f ca="1">12-$D629</f>
        <v>12</v>
      </c>
      <c r="F629" s="21"/>
      <c r="G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</row>
    <row r="630" spans="1:24" hidden="1">
      <c r="A630" s="259"/>
      <c r="B630" s="21" t="s">
        <v>406</v>
      </c>
      <c r="C630" s="245">
        <f ca="1">IF(OFFSET($F$28,C628,0)&lt;0,0,OFFSET($F$28,C628,0))</f>
        <v>0</v>
      </c>
      <c r="D630" s="22" t="str">
        <f ca="1">OFFSET($C$28,C628,0)</f>
        <v/>
      </c>
      <c r="E630" s="22">
        <f ca="1">IF(D630&gt;10,ROUND(($C631/12)*$E629,0),$C630)</f>
        <v>0</v>
      </c>
      <c r="F630" s="21"/>
      <c r="G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idden="1">
      <c r="A631" s="259"/>
      <c r="B631" s="21" t="s">
        <v>415</v>
      </c>
      <c r="C631" s="245">
        <f ca="1">IF(ISBLANK(OFFSET($D$28,C628,0)),0,IF(OFFSET($C$28,C628,0)&gt;10,ROUND(C630*am_wnip,0),IF(C630&lt;0,0,C630)))</f>
        <v>0</v>
      </c>
      <c r="D631" s="21"/>
      <c r="E631" s="21"/>
      <c r="F631" s="21"/>
      <c r="G631" s="21"/>
      <c r="I631" s="21"/>
      <c r="J631" s="483" cm="1">
        <f t="array" aca="1" ref="J631" ca="1">OFFSET('Środki trwałe'!$C$195,'Rozliczenie dotacji'!D628,,)</f>
        <v>0</v>
      </c>
      <c r="K631" s="75">
        <f ca="1">ROUND(IF($C629=LataProjekcji,$E630,IF($C629=LataProjekcji,$C631,0)),0)</f>
        <v>0</v>
      </c>
      <c r="L631" s="248">
        <f ca="1">ROUND(IF(OR(AND($C629=LataProjekcji,$E629&gt;0),AND($C629=LataProjekcji,$E629=0,$D630&lt;=10)),$E630,IF($C629&lt;LataProjekcji,IF((SUM($K631:K631)+$C631)&lt;$C630,$C631,$C630-SUM($K631:K631)),0)),0)</f>
        <v>0</v>
      </c>
      <c r="M631" s="248">
        <f ca="1">ROUND(IF(OR(AND($C629=LataProjekcji,$E629&gt;0),AND($C629=LataProjekcji,$E629=0,$D630&lt;=10)),$E630,IF($C629&lt;LataProjekcji,IF((SUM($K631:L631)+$C631)&lt;$C630,$C631,$C630-SUM($K631:L631)),0)),0)</f>
        <v>0</v>
      </c>
      <c r="N631" s="248">
        <f ca="1">ROUND(IF(OR(AND($C629=LataProjekcji,$E629&gt;0),AND($C629=LataProjekcji,$E629=0,$D630&lt;=10)),$E630,IF($C629&lt;LataProjekcji,IF((SUM($K631:M631)+$C631)&lt;$C630,$C631,$C630-SUM($K631:M631)),0)),0)</f>
        <v>0</v>
      </c>
      <c r="O631" s="248">
        <f ca="1">ROUND(IF(OR(AND($C629=LataProjekcji,$E629&gt;0),AND($C629=LataProjekcji,$E629=0,$D630&lt;=10)),$E630,IF($C629&lt;LataProjekcji,IF((SUM($K631:N631)+$C631)&lt;$C630,$C631,$C630-SUM($K631:N631)),0)),0)</f>
        <v>0</v>
      </c>
      <c r="P631" s="248">
        <f ca="1">ROUND(IF(OR(AND($C629=LataProjekcji,$E629&gt;0),AND($C629=LataProjekcji,$E629=0,$D630&lt;=10)),$E630,IF($C629&lt;LataProjekcji,IF((SUM($K631:O631)+$C631)&lt;$C630,$C631,$C630-SUM($K631:O631)),0)),0)</f>
        <v>0</v>
      </c>
      <c r="Q631" s="248">
        <f ca="1">ROUND(IF(OR(AND($C629=LataProjekcji,$E629&gt;0),AND($C629=LataProjekcji,$E629=0,$D630&lt;=10)),$E630,IF($C629&lt;LataProjekcji,IF((SUM($K631:P631)+$C631)&lt;$C630,$C631,$C630-SUM($K631:P631)),0)),0)</f>
        <v>0</v>
      </c>
      <c r="R631" s="248">
        <f ca="1">ROUND(IF(OR(AND($C629=LataProjekcji,$E629&gt;0),AND($C629=LataProjekcji,$E629=0,$D630&lt;=10)),$E630,IF($C629&lt;LataProjekcji,IF((SUM($K631:Q631)+$C631)&lt;$C630,$C631,$C630-SUM($K631:Q631)),0)),0)</f>
        <v>0</v>
      </c>
      <c r="S631" s="248">
        <f ca="1">ROUND(IF(OR(AND($C629=LataProjekcji,$E629&gt;0),AND($C629=LataProjekcji,$E629=0,$D630&lt;=10)),$E630,IF($C629&lt;LataProjekcji,IF((SUM($K631:R631)+$C631)&lt;$C630,$C631,$C630-SUM($K631:R631)),0)),0)</f>
        <v>0</v>
      </c>
      <c r="T631" s="248">
        <f ca="1">ROUND(IF(OR(AND($C629=LataProjekcji,$E629&gt;0),AND($C629=LataProjekcji,$E629=0,$D630&lt;=10)),$E630,IF($C629&lt;LataProjekcji,IF((SUM($K631:S631)+$C631)&lt;$C630,$C631,$C630-SUM($K631:S631)),0)),0)</f>
        <v>0</v>
      </c>
      <c r="U631" s="248">
        <f ca="1">ROUND(IF(OR(AND($C629=LataProjekcji,$E629&gt;0),AND($C629=LataProjekcji,$E629=0,$D630&lt;=10)),$E630,IF($C629&lt;LataProjekcji,IF((SUM($K631:T631)+$C631)&lt;$C630,$C631,$C630-SUM($K631:T631)),0)),0)</f>
        <v>0</v>
      </c>
      <c r="V631" s="248">
        <f ca="1">ROUND(IF(OR(AND($C629=LataProjekcji,$E629&gt;0),AND($C629=LataProjekcji,$E629=0,$D630&lt;=10)),$E630,IF($C629&lt;LataProjekcji,IF((SUM($K631:U631)+$C631)&lt;$C630,$C631,$C630-SUM($K631:U631)),0)),0)</f>
        <v>0</v>
      </c>
      <c r="W631" s="248">
        <f ca="1">ROUND(IF(OR(AND($C629=LataProjekcji,$E629&gt;0),AND($C629=LataProjekcji,$E629=0,$D630&lt;=10)),$E630,IF($C629&lt;LataProjekcji,IF((SUM($K631:V631)+$C631)&lt;$C630,$C631,$C630-SUM($K631:V631)),0)),0)</f>
        <v>0</v>
      </c>
      <c r="X631" s="248">
        <f ca="1">ROUND(IF(OR(AND($C629=LataProjekcji,$E629&gt;0),AND($C629=LataProjekcji,$E629=0,$D630&lt;=10)),$E630,IF($C629&lt;LataProjekcji,IF((SUM($K631:W631)+$C631)&lt;$C630,$C631,$C630-SUM($K631:W631)),0)),0)</f>
        <v>0</v>
      </c>
    </row>
    <row r="632" spans="1:24" hidden="1">
      <c r="A632" s="259"/>
      <c r="B632" s="21" t="s">
        <v>416</v>
      </c>
      <c r="C632" s="22"/>
      <c r="D632" s="21"/>
      <c r="E632" s="21"/>
      <c r="F632" s="21"/>
      <c r="G632" s="21"/>
      <c r="I632" s="21"/>
      <c r="J632" s="21"/>
      <c r="K632" s="22">
        <f ca="1">ROUND(K631,0)</f>
        <v>0</v>
      </c>
      <c r="L632" s="22">
        <f t="shared" ref="L632:X632" ca="1" si="356">ROUND(K632+L631,0)</f>
        <v>0</v>
      </c>
      <c r="M632" s="22">
        <f t="shared" ca="1" si="356"/>
        <v>0</v>
      </c>
      <c r="N632" s="22">
        <f t="shared" ca="1" si="356"/>
        <v>0</v>
      </c>
      <c r="O632" s="22">
        <f t="shared" ca="1" si="356"/>
        <v>0</v>
      </c>
      <c r="P632" s="22">
        <f t="shared" ca="1" si="356"/>
        <v>0</v>
      </c>
      <c r="Q632" s="22">
        <f t="shared" ca="1" si="356"/>
        <v>0</v>
      </c>
      <c r="R632" s="22">
        <f t="shared" ca="1" si="356"/>
        <v>0</v>
      </c>
      <c r="S632" s="22">
        <f t="shared" ca="1" si="356"/>
        <v>0</v>
      </c>
      <c r="T632" s="22">
        <f t="shared" ca="1" si="356"/>
        <v>0</v>
      </c>
      <c r="U632" s="22">
        <f t="shared" ca="1" si="356"/>
        <v>0</v>
      </c>
      <c r="V632" s="22">
        <f t="shared" ca="1" si="356"/>
        <v>0</v>
      </c>
      <c r="W632" s="22">
        <f t="shared" ca="1" si="356"/>
        <v>0</v>
      </c>
      <c r="X632" s="22">
        <f t="shared" ca="1" si="356"/>
        <v>0</v>
      </c>
    </row>
    <row r="633" spans="1:24" hidden="1">
      <c r="A633" s="259"/>
      <c r="B633" s="21" t="s">
        <v>406</v>
      </c>
      <c r="C633" s="22"/>
      <c r="D633" s="21"/>
      <c r="E633" s="21"/>
      <c r="F633" s="21"/>
      <c r="G633" s="21"/>
      <c r="I633" s="21"/>
      <c r="J633" s="21"/>
      <c r="K633" s="77">
        <f t="shared" ref="K633:X633" ca="1" si="357">IF($C629=LataProjekcji,ROUND($C630-K632,0),ROUND(IF(K631=0,0,$C630-K632),0))</f>
        <v>0</v>
      </c>
      <c r="L633" s="77">
        <f t="shared" ca="1" si="357"/>
        <v>0</v>
      </c>
      <c r="M633" s="77">
        <f t="shared" ca="1" si="357"/>
        <v>0</v>
      </c>
      <c r="N633" s="77">
        <f t="shared" ca="1" si="357"/>
        <v>0</v>
      </c>
      <c r="O633" s="77">
        <f t="shared" ca="1" si="357"/>
        <v>0</v>
      </c>
      <c r="P633" s="77">
        <f t="shared" ca="1" si="357"/>
        <v>0</v>
      </c>
      <c r="Q633" s="77">
        <f t="shared" ca="1" si="357"/>
        <v>0</v>
      </c>
      <c r="R633" s="77">
        <f t="shared" ca="1" si="357"/>
        <v>0</v>
      </c>
      <c r="S633" s="77">
        <f t="shared" ca="1" si="357"/>
        <v>0</v>
      </c>
      <c r="T633" s="77">
        <f t="shared" ca="1" si="357"/>
        <v>0</v>
      </c>
      <c r="U633" s="77">
        <f t="shared" ca="1" si="357"/>
        <v>0</v>
      </c>
      <c r="V633" s="77">
        <f t="shared" ca="1" si="357"/>
        <v>0</v>
      </c>
      <c r="W633" s="77">
        <f t="shared" ca="1" si="357"/>
        <v>0</v>
      </c>
      <c r="X633" s="77">
        <f t="shared" ca="1" si="357"/>
        <v>0</v>
      </c>
    </row>
    <row r="634" spans="1:24" hidden="1">
      <c r="A634" s="259"/>
      <c r="B634" s="21"/>
      <c r="C634" s="22"/>
      <c r="D634" s="21"/>
      <c r="E634" s="21"/>
      <c r="F634" s="21"/>
      <c r="G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</row>
    <row r="635" spans="1:24" hidden="1">
      <c r="A635" s="259"/>
      <c r="B635" s="20" t="s">
        <v>390</v>
      </c>
      <c r="C635" s="21">
        <f>C628+1</f>
        <v>69</v>
      </c>
      <c r="D635" s="483">
        <f>D628+1</f>
        <v>161</v>
      </c>
      <c r="E635" s="21"/>
      <c r="F635" s="21"/>
      <c r="G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</row>
    <row r="636" spans="1:24" hidden="1">
      <c r="A636" s="259"/>
      <c r="B636" s="21" t="s">
        <v>414</v>
      </c>
      <c r="C636" s="165">
        <f ca="1">IFERROR(YEAR(OFFSET($D$28,C635,0)),0)</f>
        <v>0</v>
      </c>
      <c r="D636" s="165">
        <f ca="1">IFERROR(MONTH(OFFSET($D$28,C635,0)),0)</f>
        <v>0</v>
      </c>
      <c r="E636" s="21">
        <f ca="1">12-$D636</f>
        <v>12</v>
      </c>
      <c r="F636" s="21"/>
      <c r="G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</row>
    <row r="637" spans="1:24" hidden="1">
      <c r="A637" s="259"/>
      <c r="B637" s="21" t="s">
        <v>406</v>
      </c>
      <c r="C637" s="245">
        <f ca="1">IF(OFFSET($F$28,C635,0)&lt;0,0,OFFSET($F$28,C635,0))</f>
        <v>0</v>
      </c>
      <c r="D637" s="22" t="str">
        <f ca="1">OFFSET($C$28,C635,0)</f>
        <v/>
      </c>
      <c r="E637" s="22">
        <f ca="1">IF(D637&gt;10,ROUND(($C638/12)*$E636,0),$C637)</f>
        <v>0</v>
      </c>
      <c r="F637" s="21"/>
      <c r="G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idden="1">
      <c r="A638" s="259"/>
      <c r="B638" s="21" t="s">
        <v>415</v>
      </c>
      <c r="C638" s="245">
        <f ca="1">IF(ISBLANK(OFFSET($D$28,C635,0)),0,IF(OFFSET($C$28,C635,0)&gt;10,ROUND(C637*am_wnip,0),IF(C637&lt;0,0,C637)))</f>
        <v>0</v>
      </c>
      <c r="D638" s="21"/>
      <c r="E638" s="21"/>
      <c r="F638" s="21"/>
      <c r="G638" s="21"/>
      <c r="I638" s="21"/>
      <c r="J638" s="483" cm="1">
        <f t="array" aca="1" ref="J638" ca="1">OFFSET('Środki trwałe'!$C$195,'Rozliczenie dotacji'!D635,,)</f>
        <v>0</v>
      </c>
      <c r="K638" s="75">
        <f ca="1">ROUND(IF($C636=LataProjekcji,$E637,IF($C636=LataProjekcji,$C638,0)),0)</f>
        <v>0</v>
      </c>
      <c r="L638" s="248">
        <f ca="1">ROUND(IF(OR(AND($C636=LataProjekcji,$E636&gt;0),AND($C636=LataProjekcji,$E636=0,$D637&lt;=10)),$E637,IF($C636&lt;LataProjekcji,IF((SUM($K638:K638)+$C638)&lt;$C637,$C638,$C637-SUM($K638:K638)),0)),0)</f>
        <v>0</v>
      </c>
      <c r="M638" s="248">
        <f ca="1">ROUND(IF(OR(AND($C636=LataProjekcji,$E636&gt;0),AND($C636=LataProjekcji,$E636=0,$D637&lt;=10)),$E637,IF($C636&lt;LataProjekcji,IF((SUM($K638:L638)+$C638)&lt;$C637,$C638,$C637-SUM($K638:L638)),0)),0)</f>
        <v>0</v>
      </c>
      <c r="N638" s="248">
        <f ca="1">ROUND(IF(OR(AND($C636=LataProjekcji,$E636&gt;0),AND($C636=LataProjekcji,$E636=0,$D637&lt;=10)),$E637,IF($C636&lt;LataProjekcji,IF((SUM($K638:M638)+$C638)&lt;$C637,$C638,$C637-SUM($K638:M638)),0)),0)</f>
        <v>0</v>
      </c>
      <c r="O638" s="248">
        <f ca="1">ROUND(IF(OR(AND($C636=LataProjekcji,$E636&gt;0),AND($C636=LataProjekcji,$E636=0,$D637&lt;=10)),$E637,IF($C636&lt;LataProjekcji,IF((SUM($K638:N638)+$C638)&lt;$C637,$C638,$C637-SUM($K638:N638)),0)),0)</f>
        <v>0</v>
      </c>
      <c r="P638" s="248">
        <f ca="1">ROUND(IF(OR(AND($C636=LataProjekcji,$E636&gt;0),AND($C636=LataProjekcji,$E636=0,$D637&lt;=10)),$E637,IF($C636&lt;LataProjekcji,IF((SUM($K638:O638)+$C638)&lt;$C637,$C638,$C637-SUM($K638:O638)),0)),0)</f>
        <v>0</v>
      </c>
      <c r="Q638" s="248">
        <f ca="1">ROUND(IF(OR(AND($C636=LataProjekcji,$E636&gt;0),AND($C636=LataProjekcji,$E636=0,$D637&lt;=10)),$E637,IF($C636&lt;LataProjekcji,IF((SUM($K638:P638)+$C638)&lt;$C637,$C638,$C637-SUM($K638:P638)),0)),0)</f>
        <v>0</v>
      </c>
      <c r="R638" s="248">
        <f ca="1">ROUND(IF(OR(AND($C636=LataProjekcji,$E636&gt;0),AND($C636=LataProjekcji,$E636=0,$D637&lt;=10)),$E637,IF($C636&lt;LataProjekcji,IF((SUM($K638:Q638)+$C638)&lt;$C637,$C638,$C637-SUM($K638:Q638)),0)),0)</f>
        <v>0</v>
      </c>
      <c r="S638" s="248">
        <f ca="1">ROUND(IF(OR(AND($C636=LataProjekcji,$E636&gt;0),AND($C636=LataProjekcji,$E636=0,$D637&lt;=10)),$E637,IF($C636&lt;LataProjekcji,IF((SUM($K638:R638)+$C638)&lt;$C637,$C638,$C637-SUM($K638:R638)),0)),0)</f>
        <v>0</v>
      </c>
      <c r="T638" s="248">
        <f ca="1">ROUND(IF(OR(AND($C636=LataProjekcji,$E636&gt;0),AND($C636=LataProjekcji,$E636=0,$D637&lt;=10)),$E637,IF($C636&lt;LataProjekcji,IF((SUM($K638:S638)+$C638)&lt;$C637,$C638,$C637-SUM($K638:S638)),0)),0)</f>
        <v>0</v>
      </c>
      <c r="U638" s="248">
        <f ca="1">ROUND(IF(OR(AND($C636=LataProjekcji,$E636&gt;0),AND($C636=LataProjekcji,$E636=0,$D637&lt;=10)),$E637,IF($C636&lt;LataProjekcji,IF((SUM($K638:T638)+$C638)&lt;$C637,$C638,$C637-SUM($K638:T638)),0)),0)</f>
        <v>0</v>
      </c>
      <c r="V638" s="248">
        <f ca="1">ROUND(IF(OR(AND($C636=LataProjekcji,$E636&gt;0),AND($C636=LataProjekcji,$E636=0,$D637&lt;=10)),$E637,IF($C636&lt;LataProjekcji,IF((SUM($K638:U638)+$C638)&lt;$C637,$C638,$C637-SUM($K638:U638)),0)),0)</f>
        <v>0</v>
      </c>
      <c r="W638" s="248">
        <f ca="1">ROUND(IF(OR(AND($C636=LataProjekcji,$E636&gt;0),AND($C636=LataProjekcji,$E636=0,$D637&lt;=10)),$E637,IF($C636&lt;LataProjekcji,IF((SUM($K638:V638)+$C638)&lt;$C637,$C638,$C637-SUM($K638:V638)),0)),0)</f>
        <v>0</v>
      </c>
      <c r="X638" s="248">
        <f ca="1">ROUND(IF(OR(AND($C636=LataProjekcji,$E636&gt;0),AND($C636=LataProjekcji,$E636=0,$D637&lt;=10)),$E637,IF($C636&lt;LataProjekcji,IF((SUM($K638:W638)+$C638)&lt;$C637,$C638,$C637-SUM($K638:W638)),0)),0)</f>
        <v>0</v>
      </c>
    </row>
    <row r="639" spans="1:24" hidden="1">
      <c r="A639" s="259"/>
      <c r="B639" s="21" t="s">
        <v>416</v>
      </c>
      <c r="C639" s="22"/>
      <c r="D639" s="21"/>
      <c r="E639" s="21"/>
      <c r="F639" s="21"/>
      <c r="G639" s="21"/>
      <c r="I639" s="21"/>
      <c r="J639" s="21"/>
      <c r="K639" s="22">
        <f ca="1">ROUND(K638,0)</f>
        <v>0</v>
      </c>
      <c r="L639" s="22">
        <f t="shared" ref="L639:X639" ca="1" si="358">ROUND(K639+L638,0)</f>
        <v>0</v>
      </c>
      <c r="M639" s="22">
        <f t="shared" ca="1" si="358"/>
        <v>0</v>
      </c>
      <c r="N639" s="22">
        <f t="shared" ca="1" si="358"/>
        <v>0</v>
      </c>
      <c r="O639" s="22">
        <f t="shared" ca="1" si="358"/>
        <v>0</v>
      </c>
      <c r="P639" s="22">
        <f t="shared" ca="1" si="358"/>
        <v>0</v>
      </c>
      <c r="Q639" s="22">
        <f t="shared" ca="1" si="358"/>
        <v>0</v>
      </c>
      <c r="R639" s="22">
        <f t="shared" ca="1" si="358"/>
        <v>0</v>
      </c>
      <c r="S639" s="22">
        <f t="shared" ca="1" si="358"/>
        <v>0</v>
      </c>
      <c r="T639" s="22">
        <f t="shared" ca="1" si="358"/>
        <v>0</v>
      </c>
      <c r="U639" s="22">
        <f t="shared" ca="1" si="358"/>
        <v>0</v>
      </c>
      <c r="V639" s="22">
        <f t="shared" ca="1" si="358"/>
        <v>0</v>
      </c>
      <c r="W639" s="22">
        <f t="shared" ca="1" si="358"/>
        <v>0</v>
      </c>
      <c r="X639" s="22">
        <f t="shared" ca="1" si="358"/>
        <v>0</v>
      </c>
    </row>
    <row r="640" spans="1:24" hidden="1">
      <c r="A640" s="259"/>
      <c r="B640" s="21" t="s">
        <v>406</v>
      </c>
      <c r="C640" s="22"/>
      <c r="D640" s="21"/>
      <c r="E640" s="21"/>
      <c r="F640" s="21"/>
      <c r="G640" s="21"/>
      <c r="I640" s="21"/>
      <c r="J640" s="21"/>
      <c r="K640" s="77">
        <f t="shared" ref="K640:X640" ca="1" si="359">IF($C636=LataProjekcji,ROUND($C637-K639,0),ROUND(IF(K638=0,0,$C637-K639),0))</f>
        <v>0</v>
      </c>
      <c r="L640" s="77">
        <f t="shared" ca="1" si="359"/>
        <v>0</v>
      </c>
      <c r="M640" s="77">
        <f t="shared" ca="1" si="359"/>
        <v>0</v>
      </c>
      <c r="N640" s="77">
        <f t="shared" ca="1" si="359"/>
        <v>0</v>
      </c>
      <c r="O640" s="77">
        <f t="shared" ca="1" si="359"/>
        <v>0</v>
      </c>
      <c r="P640" s="77">
        <f t="shared" ca="1" si="359"/>
        <v>0</v>
      </c>
      <c r="Q640" s="77">
        <f t="shared" ca="1" si="359"/>
        <v>0</v>
      </c>
      <c r="R640" s="77">
        <f t="shared" ca="1" si="359"/>
        <v>0</v>
      </c>
      <c r="S640" s="77">
        <f t="shared" ca="1" si="359"/>
        <v>0</v>
      </c>
      <c r="T640" s="77">
        <f t="shared" ca="1" si="359"/>
        <v>0</v>
      </c>
      <c r="U640" s="77">
        <f t="shared" ca="1" si="359"/>
        <v>0</v>
      </c>
      <c r="V640" s="77">
        <f t="shared" ca="1" si="359"/>
        <v>0</v>
      </c>
      <c r="W640" s="77">
        <f t="shared" ca="1" si="359"/>
        <v>0</v>
      </c>
      <c r="X640" s="77">
        <f t="shared" ca="1" si="359"/>
        <v>0</v>
      </c>
    </row>
    <row r="641" spans="1:24" hidden="1">
      <c r="A641" s="259"/>
      <c r="B641" s="21"/>
      <c r="C641" s="22"/>
      <c r="D641" s="21"/>
      <c r="E641" s="21"/>
      <c r="F641" s="21"/>
      <c r="G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</row>
    <row r="642" spans="1:24" hidden="1">
      <c r="A642" s="259"/>
      <c r="B642" s="20" t="s">
        <v>390</v>
      </c>
      <c r="C642" s="21">
        <f>C635+1</f>
        <v>70</v>
      </c>
      <c r="D642" s="483">
        <f>D635+1</f>
        <v>162</v>
      </c>
      <c r="E642" s="21"/>
      <c r="F642" s="21"/>
      <c r="G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</row>
    <row r="643" spans="1:24" hidden="1">
      <c r="A643" s="259"/>
      <c r="B643" s="21" t="s">
        <v>414</v>
      </c>
      <c r="C643" s="165">
        <f ca="1">IFERROR(YEAR(OFFSET($D$28,C642,0)),0)</f>
        <v>0</v>
      </c>
      <c r="D643" s="165">
        <f ca="1">IFERROR(MONTH(OFFSET($D$28,C642,0)),0)</f>
        <v>0</v>
      </c>
      <c r="E643" s="21">
        <f ca="1">12-$D643</f>
        <v>12</v>
      </c>
      <c r="F643" s="21"/>
      <c r="G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</row>
    <row r="644" spans="1:24" hidden="1">
      <c r="A644" s="259"/>
      <c r="B644" s="21" t="s">
        <v>406</v>
      </c>
      <c r="C644" s="245">
        <f ca="1">IF(OFFSET($F$28,C642,0)&lt;0,0,OFFSET($F$28,C642,0))</f>
        <v>0</v>
      </c>
      <c r="D644" s="22" t="str">
        <f ca="1">OFFSET($C$28,C642,0)</f>
        <v/>
      </c>
      <c r="E644" s="22">
        <f ca="1">IF(D644&gt;10,ROUND(($C645/12)*$E643,0),$C644)</f>
        <v>0</v>
      </c>
      <c r="F644" s="21"/>
      <c r="G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</row>
    <row r="645" spans="1:24" hidden="1">
      <c r="A645" s="259"/>
      <c r="B645" s="21" t="s">
        <v>415</v>
      </c>
      <c r="C645" s="245">
        <f ca="1">IF(ISBLANK(OFFSET($D$28,C642,0)),0,IF(OFFSET($C$28,C642,0)&gt;10,ROUND(C644*am_wnip,0),IF(C644&lt;0,0,C644)))</f>
        <v>0</v>
      </c>
      <c r="D645" s="21"/>
      <c r="E645" s="21"/>
      <c r="F645" s="21"/>
      <c r="G645" s="21"/>
      <c r="I645" s="21"/>
      <c r="J645" s="483" cm="1">
        <f t="array" aca="1" ref="J645" ca="1">OFFSET('Środki trwałe'!$C$195,'Rozliczenie dotacji'!D642,,)</f>
        <v>0</v>
      </c>
      <c r="K645" s="75">
        <f ca="1">ROUND(IF($C643=LataProjekcji,$E644,IF($C643=LataProjekcji,$C645,0)),0)</f>
        <v>0</v>
      </c>
      <c r="L645" s="248">
        <f ca="1">ROUND(IF(OR(AND($C643=LataProjekcji,$E643&gt;0),AND($C643=LataProjekcji,$E643=0,$D644&lt;=10)),$E644,IF($C643&lt;LataProjekcji,IF((SUM($K645:K645)+$C645)&lt;$C644,$C645,$C644-SUM($K645:K645)),0)),0)</f>
        <v>0</v>
      </c>
      <c r="M645" s="248">
        <f ca="1">ROUND(IF(OR(AND($C643=LataProjekcji,$E643&gt;0),AND($C643=LataProjekcji,$E643=0,$D644&lt;=10)),$E644,IF($C643&lt;LataProjekcji,IF((SUM($K645:L645)+$C645)&lt;$C644,$C645,$C644-SUM($K645:L645)),0)),0)</f>
        <v>0</v>
      </c>
      <c r="N645" s="248">
        <f ca="1">ROUND(IF(OR(AND($C643=LataProjekcji,$E643&gt;0),AND($C643=LataProjekcji,$E643=0,$D644&lt;=10)),$E644,IF($C643&lt;LataProjekcji,IF((SUM($K645:M645)+$C645)&lt;$C644,$C645,$C644-SUM($K645:M645)),0)),0)</f>
        <v>0</v>
      </c>
      <c r="O645" s="248">
        <f ca="1">ROUND(IF(OR(AND($C643=LataProjekcji,$E643&gt;0),AND($C643=LataProjekcji,$E643=0,$D644&lt;=10)),$E644,IF($C643&lt;LataProjekcji,IF((SUM($K645:N645)+$C645)&lt;$C644,$C645,$C644-SUM($K645:N645)),0)),0)</f>
        <v>0</v>
      </c>
      <c r="P645" s="248">
        <f ca="1">ROUND(IF(OR(AND($C643=LataProjekcji,$E643&gt;0),AND($C643=LataProjekcji,$E643=0,$D644&lt;=10)),$E644,IF($C643&lt;LataProjekcji,IF((SUM($K645:O645)+$C645)&lt;$C644,$C645,$C644-SUM($K645:O645)),0)),0)</f>
        <v>0</v>
      </c>
      <c r="Q645" s="248">
        <f ca="1">ROUND(IF(OR(AND($C643=LataProjekcji,$E643&gt;0),AND($C643=LataProjekcji,$E643=0,$D644&lt;=10)),$E644,IF($C643&lt;LataProjekcji,IF((SUM($K645:P645)+$C645)&lt;$C644,$C645,$C644-SUM($K645:P645)),0)),0)</f>
        <v>0</v>
      </c>
      <c r="R645" s="248">
        <f ca="1">ROUND(IF(OR(AND($C643=LataProjekcji,$E643&gt;0),AND($C643=LataProjekcji,$E643=0,$D644&lt;=10)),$E644,IF($C643&lt;LataProjekcji,IF((SUM($K645:Q645)+$C645)&lt;$C644,$C645,$C644-SUM($K645:Q645)),0)),0)</f>
        <v>0</v>
      </c>
      <c r="S645" s="248">
        <f ca="1">ROUND(IF(OR(AND($C643=LataProjekcji,$E643&gt;0),AND($C643=LataProjekcji,$E643=0,$D644&lt;=10)),$E644,IF($C643&lt;LataProjekcji,IF((SUM($K645:R645)+$C645)&lt;$C644,$C645,$C644-SUM($K645:R645)),0)),0)</f>
        <v>0</v>
      </c>
      <c r="T645" s="248">
        <f ca="1">ROUND(IF(OR(AND($C643=LataProjekcji,$E643&gt;0),AND($C643=LataProjekcji,$E643=0,$D644&lt;=10)),$E644,IF($C643&lt;LataProjekcji,IF((SUM($K645:S645)+$C645)&lt;$C644,$C645,$C644-SUM($K645:S645)),0)),0)</f>
        <v>0</v>
      </c>
      <c r="U645" s="248">
        <f ca="1">ROUND(IF(OR(AND($C643=LataProjekcji,$E643&gt;0),AND($C643=LataProjekcji,$E643=0,$D644&lt;=10)),$E644,IF($C643&lt;LataProjekcji,IF((SUM($K645:T645)+$C645)&lt;$C644,$C645,$C644-SUM($K645:T645)),0)),0)</f>
        <v>0</v>
      </c>
      <c r="V645" s="248">
        <f ca="1">ROUND(IF(OR(AND($C643=LataProjekcji,$E643&gt;0),AND($C643=LataProjekcji,$E643=0,$D644&lt;=10)),$E644,IF($C643&lt;LataProjekcji,IF((SUM($K645:U645)+$C645)&lt;$C644,$C645,$C644-SUM($K645:U645)),0)),0)</f>
        <v>0</v>
      </c>
      <c r="W645" s="248">
        <f ca="1">ROUND(IF(OR(AND($C643=LataProjekcji,$E643&gt;0),AND($C643=LataProjekcji,$E643=0,$D644&lt;=10)),$E644,IF($C643&lt;LataProjekcji,IF((SUM($K645:V645)+$C645)&lt;$C644,$C645,$C644-SUM($K645:V645)),0)),0)</f>
        <v>0</v>
      </c>
      <c r="X645" s="248">
        <f ca="1">ROUND(IF(OR(AND($C643=LataProjekcji,$E643&gt;0),AND($C643=LataProjekcji,$E643=0,$D644&lt;=10)),$E644,IF($C643&lt;LataProjekcji,IF((SUM($K645:W645)+$C645)&lt;$C644,$C645,$C644-SUM($K645:W645)),0)),0)</f>
        <v>0</v>
      </c>
    </row>
    <row r="646" spans="1:24" hidden="1">
      <c r="A646" s="259"/>
      <c r="B646" s="21" t="s">
        <v>416</v>
      </c>
      <c r="C646" s="22"/>
      <c r="D646" s="21"/>
      <c r="E646" s="21"/>
      <c r="F646" s="21"/>
      <c r="G646" s="21"/>
      <c r="I646" s="21"/>
      <c r="J646" s="21"/>
      <c r="K646" s="22">
        <f ca="1">ROUND(K645,0)</f>
        <v>0</v>
      </c>
      <c r="L646" s="22">
        <f t="shared" ref="L646:X646" ca="1" si="360">ROUND(K646+L645,0)</f>
        <v>0</v>
      </c>
      <c r="M646" s="22">
        <f t="shared" ca="1" si="360"/>
        <v>0</v>
      </c>
      <c r="N646" s="22">
        <f t="shared" ca="1" si="360"/>
        <v>0</v>
      </c>
      <c r="O646" s="22">
        <f t="shared" ca="1" si="360"/>
        <v>0</v>
      </c>
      <c r="P646" s="22">
        <f t="shared" ca="1" si="360"/>
        <v>0</v>
      </c>
      <c r="Q646" s="22">
        <f t="shared" ca="1" si="360"/>
        <v>0</v>
      </c>
      <c r="R646" s="22">
        <f t="shared" ca="1" si="360"/>
        <v>0</v>
      </c>
      <c r="S646" s="22">
        <f t="shared" ca="1" si="360"/>
        <v>0</v>
      </c>
      <c r="T646" s="22">
        <f t="shared" ca="1" si="360"/>
        <v>0</v>
      </c>
      <c r="U646" s="22">
        <f t="shared" ca="1" si="360"/>
        <v>0</v>
      </c>
      <c r="V646" s="22">
        <f t="shared" ca="1" si="360"/>
        <v>0</v>
      </c>
      <c r="W646" s="22">
        <f t="shared" ca="1" si="360"/>
        <v>0</v>
      </c>
      <c r="X646" s="22">
        <f t="shared" ca="1" si="360"/>
        <v>0</v>
      </c>
    </row>
    <row r="647" spans="1:24" hidden="1">
      <c r="A647" s="259"/>
      <c r="B647" s="21" t="s">
        <v>406</v>
      </c>
      <c r="C647" s="22"/>
      <c r="D647" s="21"/>
      <c r="E647" s="21"/>
      <c r="F647" s="21"/>
      <c r="G647" s="21"/>
      <c r="I647" s="21"/>
      <c r="J647" s="21"/>
      <c r="K647" s="77">
        <f t="shared" ref="K647:X647" ca="1" si="361">IF($C643=LataProjekcji,ROUND($C644-K646,0),ROUND(IF(K645=0,0,$C644-K646),0))</f>
        <v>0</v>
      </c>
      <c r="L647" s="77">
        <f t="shared" ca="1" si="361"/>
        <v>0</v>
      </c>
      <c r="M647" s="77">
        <f t="shared" ca="1" si="361"/>
        <v>0</v>
      </c>
      <c r="N647" s="77">
        <f t="shared" ca="1" si="361"/>
        <v>0</v>
      </c>
      <c r="O647" s="77">
        <f t="shared" ca="1" si="361"/>
        <v>0</v>
      </c>
      <c r="P647" s="77">
        <f t="shared" ca="1" si="361"/>
        <v>0</v>
      </c>
      <c r="Q647" s="77">
        <f t="shared" ca="1" si="361"/>
        <v>0</v>
      </c>
      <c r="R647" s="77">
        <f t="shared" ca="1" si="361"/>
        <v>0</v>
      </c>
      <c r="S647" s="77">
        <f t="shared" ca="1" si="361"/>
        <v>0</v>
      </c>
      <c r="T647" s="77">
        <f t="shared" ca="1" si="361"/>
        <v>0</v>
      </c>
      <c r="U647" s="77">
        <f t="shared" ca="1" si="361"/>
        <v>0</v>
      </c>
      <c r="V647" s="77">
        <f t="shared" ca="1" si="361"/>
        <v>0</v>
      </c>
      <c r="W647" s="77">
        <f t="shared" ca="1" si="361"/>
        <v>0</v>
      </c>
      <c r="X647" s="77">
        <f t="shared" ca="1" si="361"/>
        <v>0</v>
      </c>
    </row>
    <row r="648" spans="1:24" hidden="1">
      <c r="A648" s="259"/>
      <c r="B648" s="20"/>
      <c r="C648" s="21"/>
      <c r="D648" s="21"/>
      <c r="E648" s="21"/>
      <c r="F648" s="21"/>
      <c r="G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idden="1">
      <c r="A649" s="259"/>
      <c r="B649" s="20" t="s">
        <v>390</v>
      </c>
      <c r="C649" s="21">
        <f>C642+1</f>
        <v>71</v>
      </c>
      <c r="D649" s="483">
        <f>D642+1</f>
        <v>163</v>
      </c>
      <c r="E649" s="21"/>
      <c r="F649" s="21"/>
      <c r="G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idden="1">
      <c r="A650" s="259"/>
      <c r="B650" s="21" t="s">
        <v>414</v>
      </c>
      <c r="C650" s="165">
        <f ca="1">IFERROR(YEAR(OFFSET($D$28,C649,0)),0)</f>
        <v>0</v>
      </c>
      <c r="D650" s="165">
        <f ca="1">IFERROR(MONTH(OFFSET($D$28,C649,0)),0)</f>
        <v>0</v>
      </c>
      <c r="E650" s="21">
        <f ca="1">12-$D650</f>
        <v>12</v>
      </c>
      <c r="F650" s="21"/>
      <c r="G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idden="1">
      <c r="A651" s="259"/>
      <c r="B651" s="21" t="s">
        <v>406</v>
      </c>
      <c r="C651" s="245">
        <f ca="1">IF(OFFSET($F$28,C649,0)&lt;0,0,OFFSET($F$28,C649,0))</f>
        <v>0</v>
      </c>
      <c r="D651" s="22" t="str">
        <f ca="1">OFFSET($C$28,C649,0)</f>
        <v/>
      </c>
      <c r="E651" s="22">
        <f ca="1">IF(D651&gt;10,ROUND(($C652/12)*$E650,0),$C651)</f>
        <v>0</v>
      </c>
      <c r="F651" s="21"/>
      <c r="G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</row>
    <row r="652" spans="1:24" hidden="1">
      <c r="A652" s="259"/>
      <c r="B652" s="21" t="s">
        <v>415</v>
      </c>
      <c r="C652" s="245">
        <f ca="1">IF(ISBLANK(OFFSET($D$28,C649,0)),0,IF(OFFSET($C$28,C649,0)&gt;10,ROUND(C651*am_wnip,0),IF(C651&lt;0,0,C651)))</f>
        <v>0</v>
      </c>
      <c r="D652" s="21"/>
      <c r="E652" s="21"/>
      <c r="F652" s="21"/>
      <c r="G652" s="21"/>
      <c r="I652" s="21"/>
      <c r="J652" s="483" cm="1">
        <f t="array" aca="1" ref="J652" ca="1">OFFSET('Środki trwałe'!$C$195,'Rozliczenie dotacji'!D649,,)</f>
        <v>0</v>
      </c>
      <c r="K652" s="75">
        <f ca="1">ROUND(IF($C650=LataProjekcji,$E651,IF($C650=LataProjekcji,$C652,0)),0)</f>
        <v>0</v>
      </c>
      <c r="L652" s="248">
        <f ca="1">ROUND(IF(OR(AND($C650=LataProjekcji,$E650&gt;0),AND($C650=LataProjekcji,$E650=0,$D651&lt;=10)),$E651,IF($C650&lt;LataProjekcji,IF((SUM($K652:K652)+$C652)&lt;$C651,$C652,$C651-SUM($K652:K652)),0)),0)</f>
        <v>0</v>
      </c>
      <c r="M652" s="248">
        <f ca="1">ROUND(IF(OR(AND($C650=LataProjekcji,$E650&gt;0),AND($C650=LataProjekcji,$E650=0,$D651&lt;=10)),$E651,IF($C650&lt;LataProjekcji,IF((SUM($K652:L652)+$C652)&lt;$C651,$C652,$C651-SUM($K652:L652)),0)),0)</f>
        <v>0</v>
      </c>
      <c r="N652" s="248">
        <f ca="1">ROUND(IF(OR(AND($C650=LataProjekcji,$E650&gt;0),AND($C650=LataProjekcji,$E650=0,$D651&lt;=10)),$E651,IF($C650&lt;LataProjekcji,IF((SUM($K652:M652)+$C652)&lt;$C651,$C652,$C651-SUM($K652:M652)),0)),0)</f>
        <v>0</v>
      </c>
      <c r="O652" s="248">
        <f ca="1">ROUND(IF(OR(AND($C650=LataProjekcji,$E650&gt;0),AND($C650=LataProjekcji,$E650=0,$D651&lt;=10)),$E651,IF($C650&lt;LataProjekcji,IF((SUM($K652:N652)+$C652)&lt;$C651,$C652,$C651-SUM($K652:N652)),0)),0)</f>
        <v>0</v>
      </c>
      <c r="P652" s="248">
        <f ca="1">ROUND(IF(OR(AND($C650=LataProjekcji,$E650&gt;0),AND($C650=LataProjekcji,$E650=0,$D651&lt;=10)),$E651,IF($C650&lt;LataProjekcji,IF((SUM($K652:O652)+$C652)&lt;$C651,$C652,$C651-SUM($K652:O652)),0)),0)</f>
        <v>0</v>
      </c>
      <c r="Q652" s="248">
        <f ca="1">ROUND(IF(OR(AND($C650=LataProjekcji,$E650&gt;0),AND($C650=LataProjekcji,$E650=0,$D651&lt;=10)),$E651,IF($C650&lt;LataProjekcji,IF((SUM($K652:P652)+$C652)&lt;$C651,$C652,$C651-SUM($K652:P652)),0)),0)</f>
        <v>0</v>
      </c>
      <c r="R652" s="248">
        <f ca="1">ROUND(IF(OR(AND($C650=LataProjekcji,$E650&gt;0),AND($C650=LataProjekcji,$E650=0,$D651&lt;=10)),$E651,IF($C650&lt;LataProjekcji,IF((SUM($K652:Q652)+$C652)&lt;$C651,$C652,$C651-SUM($K652:Q652)),0)),0)</f>
        <v>0</v>
      </c>
      <c r="S652" s="248">
        <f ca="1">ROUND(IF(OR(AND($C650=LataProjekcji,$E650&gt;0),AND($C650=LataProjekcji,$E650=0,$D651&lt;=10)),$E651,IF($C650&lt;LataProjekcji,IF((SUM($K652:R652)+$C652)&lt;$C651,$C652,$C651-SUM($K652:R652)),0)),0)</f>
        <v>0</v>
      </c>
      <c r="T652" s="248">
        <f ca="1">ROUND(IF(OR(AND($C650=LataProjekcji,$E650&gt;0),AND($C650=LataProjekcji,$E650=0,$D651&lt;=10)),$E651,IF($C650&lt;LataProjekcji,IF((SUM($K652:S652)+$C652)&lt;$C651,$C652,$C651-SUM($K652:S652)),0)),0)</f>
        <v>0</v>
      </c>
      <c r="U652" s="248">
        <f ca="1">ROUND(IF(OR(AND($C650=LataProjekcji,$E650&gt;0),AND($C650=LataProjekcji,$E650=0,$D651&lt;=10)),$E651,IF($C650&lt;LataProjekcji,IF((SUM($K652:T652)+$C652)&lt;$C651,$C652,$C651-SUM($K652:T652)),0)),0)</f>
        <v>0</v>
      </c>
      <c r="V652" s="248">
        <f ca="1">ROUND(IF(OR(AND($C650=LataProjekcji,$E650&gt;0),AND($C650=LataProjekcji,$E650=0,$D651&lt;=10)),$E651,IF($C650&lt;LataProjekcji,IF((SUM($K652:U652)+$C652)&lt;$C651,$C652,$C651-SUM($K652:U652)),0)),0)</f>
        <v>0</v>
      </c>
      <c r="W652" s="248">
        <f ca="1">ROUND(IF(OR(AND($C650=LataProjekcji,$E650&gt;0),AND($C650=LataProjekcji,$E650=0,$D651&lt;=10)),$E651,IF($C650&lt;LataProjekcji,IF((SUM($K652:V652)+$C652)&lt;$C651,$C652,$C651-SUM($K652:V652)),0)),0)</f>
        <v>0</v>
      </c>
      <c r="X652" s="248">
        <f ca="1">ROUND(IF(OR(AND($C650=LataProjekcji,$E650&gt;0),AND($C650=LataProjekcji,$E650=0,$D651&lt;=10)),$E651,IF($C650&lt;LataProjekcji,IF((SUM($K652:W652)+$C652)&lt;$C651,$C652,$C651-SUM($K652:W652)),0)),0)</f>
        <v>0</v>
      </c>
    </row>
    <row r="653" spans="1:24" hidden="1">
      <c r="A653" s="259"/>
      <c r="B653" s="21" t="s">
        <v>416</v>
      </c>
      <c r="C653" s="22"/>
      <c r="D653" s="21"/>
      <c r="E653" s="21"/>
      <c r="F653" s="21"/>
      <c r="G653" s="21"/>
      <c r="I653" s="21"/>
      <c r="J653" s="21"/>
      <c r="K653" s="22">
        <f ca="1">ROUND(K652,0)</f>
        <v>0</v>
      </c>
      <c r="L653" s="22">
        <f t="shared" ref="L653:X653" ca="1" si="362">ROUND(K653+L652,0)</f>
        <v>0</v>
      </c>
      <c r="M653" s="22">
        <f t="shared" ca="1" si="362"/>
        <v>0</v>
      </c>
      <c r="N653" s="22">
        <f t="shared" ca="1" si="362"/>
        <v>0</v>
      </c>
      <c r="O653" s="22">
        <f t="shared" ca="1" si="362"/>
        <v>0</v>
      </c>
      <c r="P653" s="22">
        <f t="shared" ca="1" si="362"/>
        <v>0</v>
      </c>
      <c r="Q653" s="22">
        <f t="shared" ca="1" si="362"/>
        <v>0</v>
      </c>
      <c r="R653" s="22">
        <f t="shared" ca="1" si="362"/>
        <v>0</v>
      </c>
      <c r="S653" s="22">
        <f t="shared" ca="1" si="362"/>
        <v>0</v>
      </c>
      <c r="T653" s="22">
        <f t="shared" ca="1" si="362"/>
        <v>0</v>
      </c>
      <c r="U653" s="22">
        <f t="shared" ca="1" si="362"/>
        <v>0</v>
      </c>
      <c r="V653" s="22">
        <f t="shared" ca="1" si="362"/>
        <v>0</v>
      </c>
      <c r="W653" s="22">
        <f t="shared" ca="1" si="362"/>
        <v>0</v>
      </c>
      <c r="X653" s="22">
        <f t="shared" ca="1" si="362"/>
        <v>0</v>
      </c>
    </row>
    <row r="654" spans="1:24" hidden="1">
      <c r="A654" s="259"/>
      <c r="B654" s="21" t="s">
        <v>406</v>
      </c>
      <c r="C654" s="22"/>
      <c r="D654" s="21"/>
      <c r="E654" s="21"/>
      <c r="F654" s="21"/>
      <c r="G654" s="21"/>
      <c r="I654" s="21"/>
      <c r="J654" s="21"/>
      <c r="K654" s="77">
        <f t="shared" ref="K654:X654" ca="1" si="363">IF($C650=LataProjekcji,ROUND($C651-K653,0),ROUND(IF(K652=0,0,$C651-K653),0))</f>
        <v>0</v>
      </c>
      <c r="L654" s="77">
        <f t="shared" ca="1" si="363"/>
        <v>0</v>
      </c>
      <c r="M654" s="77">
        <f t="shared" ca="1" si="363"/>
        <v>0</v>
      </c>
      <c r="N654" s="77">
        <f t="shared" ca="1" si="363"/>
        <v>0</v>
      </c>
      <c r="O654" s="77">
        <f t="shared" ca="1" si="363"/>
        <v>0</v>
      </c>
      <c r="P654" s="77">
        <f t="shared" ca="1" si="363"/>
        <v>0</v>
      </c>
      <c r="Q654" s="77">
        <f t="shared" ca="1" si="363"/>
        <v>0</v>
      </c>
      <c r="R654" s="77">
        <f t="shared" ca="1" si="363"/>
        <v>0</v>
      </c>
      <c r="S654" s="77">
        <f t="shared" ca="1" si="363"/>
        <v>0</v>
      </c>
      <c r="T654" s="77">
        <f t="shared" ca="1" si="363"/>
        <v>0</v>
      </c>
      <c r="U654" s="77">
        <f t="shared" ca="1" si="363"/>
        <v>0</v>
      </c>
      <c r="V654" s="77">
        <f t="shared" ca="1" si="363"/>
        <v>0</v>
      </c>
      <c r="W654" s="77">
        <f t="shared" ca="1" si="363"/>
        <v>0</v>
      </c>
      <c r="X654" s="77">
        <f t="shared" ca="1" si="363"/>
        <v>0</v>
      </c>
    </row>
    <row r="655" spans="1:24" hidden="1">
      <c r="A655" s="259"/>
      <c r="B655" s="21"/>
      <c r="C655" s="22"/>
      <c r="D655" s="21"/>
      <c r="E655" s="21"/>
      <c r="F655" s="21"/>
      <c r="G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idden="1">
      <c r="A656" s="259"/>
      <c r="B656" s="20" t="s">
        <v>390</v>
      </c>
      <c r="C656" s="21">
        <f>C649+1</f>
        <v>72</v>
      </c>
      <c r="D656" s="483">
        <f>D649+1</f>
        <v>164</v>
      </c>
      <c r="E656" s="21"/>
      <c r="F656" s="21"/>
      <c r="G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idden="1">
      <c r="A657" s="259"/>
      <c r="B657" s="21" t="s">
        <v>414</v>
      </c>
      <c r="C657" s="165">
        <f ca="1">IFERROR(YEAR(OFFSET($D$28,C656,0)),0)</f>
        <v>0</v>
      </c>
      <c r="D657" s="165">
        <f ca="1">IFERROR(MONTH(OFFSET($D$28,C656,0)),0)</f>
        <v>0</v>
      </c>
      <c r="E657" s="21">
        <f ca="1">12-$D657</f>
        <v>12</v>
      </c>
      <c r="F657" s="21"/>
      <c r="G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idden="1">
      <c r="A658" s="259"/>
      <c r="B658" s="21" t="s">
        <v>406</v>
      </c>
      <c r="C658" s="245">
        <f ca="1">IF(OFFSET($F$28,C656,0)&lt;0,0,OFFSET($F$28,C656,0))</f>
        <v>0</v>
      </c>
      <c r="D658" s="22" t="str">
        <f ca="1">OFFSET($C$28,C656,0)</f>
        <v/>
      </c>
      <c r="E658" s="22">
        <f ca="1">IF(D658&gt;10,ROUND(($C659/12)*$E657,0),$C658)</f>
        <v>0</v>
      </c>
      <c r="F658" s="21"/>
      <c r="G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</row>
    <row r="659" spans="1:24" hidden="1">
      <c r="A659" s="259"/>
      <c r="B659" s="21" t="s">
        <v>415</v>
      </c>
      <c r="C659" s="245">
        <f ca="1">IF(ISBLANK(OFFSET($D$28,C656,0)),0,IF(OFFSET($C$28,C656,0)&gt;10,ROUND(C658*am_wnip,0),IF(C658&lt;0,0,C658)))</f>
        <v>0</v>
      </c>
      <c r="D659" s="21"/>
      <c r="E659" s="21"/>
      <c r="F659" s="21"/>
      <c r="G659" s="21"/>
      <c r="I659" s="21"/>
      <c r="J659" s="483" cm="1">
        <f t="array" aca="1" ref="J659" ca="1">OFFSET('Środki trwałe'!$C$195,'Rozliczenie dotacji'!D656,,)</f>
        <v>0</v>
      </c>
      <c r="K659" s="75">
        <f ca="1">ROUND(IF($C657=LataProjekcji,$E658,IF($C657=LataProjekcji,$C659,0)),0)</f>
        <v>0</v>
      </c>
      <c r="L659" s="248">
        <f ca="1">ROUND(IF(OR(AND($C657=LataProjekcji,$E657&gt;0),AND($C657=LataProjekcji,$E657=0,$D658&lt;=10)),$E658,IF($C657&lt;LataProjekcji,IF((SUM($K659:K659)+$C659)&lt;$C658,$C659,$C658-SUM($K659:K659)),0)),0)</f>
        <v>0</v>
      </c>
      <c r="M659" s="248">
        <f ca="1">ROUND(IF(OR(AND($C657=LataProjekcji,$E657&gt;0),AND($C657=LataProjekcji,$E657=0,$D658&lt;=10)),$E658,IF($C657&lt;LataProjekcji,IF((SUM($K659:L659)+$C659)&lt;$C658,$C659,$C658-SUM($K659:L659)),0)),0)</f>
        <v>0</v>
      </c>
      <c r="N659" s="248">
        <f ca="1">ROUND(IF(OR(AND($C657=LataProjekcji,$E657&gt;0),AND($C657=LataProjekcji,$E657=0,$D658&lt;=10)),$E658,IF($C657&lt;LataProjekcji,IF((SUM($K659:M659)+$C659)&lt;$C658,$C659,$C658-SUM($K659:M659)),0)),0)</f>
        <v>0</v>
      </c>
      <c r="O659" s="248">
        <f ca="1">ROUND(IF(OR(AND($C657=LataProjekcji,$E657&gt;0),AND($C657=LataProjekcji,$E657=0,$D658&lt;=10)),$E658,IF($C657&lt;LataProjekcji,IF((SUM($K659:N659)+$C659)&lt;$C658,$C659,$C658-SUM($K659:N659)),0)),0)</f>
        <v>0</v>
      </c>
      <c r="P659" s="248">
        <f ca="1">ROUND(IF(OR(AND($C657=LataProjekcji,$E657&gt;0),AND($C657=LataProjekcji,$E657=0,$D658&lt;=10)),$E658,IF($C657&lt;LataProjekcji,IF((SUM($K659:O659)+$C659)&lt;$C658,$C659,$C658-SUM($K659:O659)),0)),0)</f>
        <v>0</v>
      </c>
      <c r="Q659" s="248">
        <f ca="1">ROUND(IF(OR(AND($C657=LataProjekcji,$E657&gt;0),AND($C657=LataProjekcji,$E657=0,$D658&lt;=10)),$E658,IF($C657&lt;LataProjekcji,IF((SUM($K659:P659)+$C659)&lt;$C658,$C659,$C658-SUM($K659:P659)),0)),0)</f>
        <v>0</v>
      </c>
      <c r="R659" s="248">
        <f ca="1">ROUND(IF(OR(AND($C657=LataProjekcji,$E657&gt;0),AND($C657=LataProjekcji,$E657=0,$D658&lt;=10)),$E658,IF($C657&lt;LataProjekcji,IF((SUM($K659:Q659)+$C659)&lt;$C658,$C659,$C658-SUM($K659:Q659)),0)),0)</f>
        <v>0</v>
      </c>
      <c r="S659" s="248">
        <f ca="1">ROUND(IF(OR(AND($C657=LataProjekcji,$E657&gt;0),AND($C657=LataProjekcji,$E657=0,$D658&lt;=10)),$E658,IF($C657&lt;LataProjekcji,IF((SUM($K659:R659)+$C659)&lt;$C658,$C659,$C658-SUM($K659:R659)),0)),0)</f>
        <v>0</v>
      </c>
      <c r="T659" s="248">
        <f ca="1">ROUND(IF(OR(AND($C657=LataProjekcji,$E657&gt;0),AND($C657=LataProjekcji,$E657=0,$D658&lt;=10)),$E658,IF($C657&lt;LataProjekcji,IF((SUM($K659:S659)+$C659)&lt;$C658,$C659,$C658-SUM($K659:S659)),0)),0)</f>
        <v>0</v>
      </c>
      <c r="U659" s="248">
        <f ca="1">ROUND(IF(OR(AND($C657=LataProjekcji,$E657&gt;0),AND($C657=LataProjekcji,$E657=0,$D658&lt;=10)),$E658,IF($C657&lt;LataProjekcji,IF((SUM($K659:T659)+$C659)&lt;$C658,$C659,$C658-SUM($K659:T659)),0)),0)</f>
        <v>0</v>
      </c>
      <c r="V659" s="248">
        <f ca="1">ROUND(IF(OR(AND($C657=LataProjekcji,$E657&gt;0),AND($C657=LataProjekcji,$E657=0,$D658&lt;=10)),$E658,IF($C657&lt;LataProjekcji,IF((SUM($K659:U659)+$C659)&lt;$C658,$C659,$C658-SUM($K659:U659)),0)),0)</f>
        <v>0</v>
      </c>
      <c r="W659" s="248">
        <f ca="1">ROUND(IF(OR(AND($C657=LataProjekcji,$E657&gt;0),AND($C657=LataProjekcji,$E657=0,$D658&lt;=10)),$E658,IF($C657&lt;LataProjekcji,IF((SUM($K659:V659)+$C659)&lt;$C658,$C659,$C658-SUM($K659:V659)),0)),0)</f>
        <v>0</v>
      </c>
      <c r="X659" s="248">
        <f ca="1">ROUND(IF(OR(AND($C657=LataProjekcji,$E657&gt;0),AND($C657=LataProjekcji,$E657=0,$D658&lt;=10)),$E658,IF($C657&lt;LataProjekcji,IF((SUM($K659:W659)+$C659)&lt;$C658,$C659,$C658-SUM($K659:W659)),0)),0)</f>
        <v>0</v>
      </c>
    </row>
    <row r="660" spans="1:24" hidden="1">
      <c r="A660" s="259"/>
      <c r="B660" s="21" t="s">
        <v>416</v>
      </c>
      <c r="C660" s="22"/>
      <c r="D660" s="21"/>
      <c r="E660" s="21"/>
      <c r="F660" s="21"/>
      <c r="G660" s="21"/>
      <c r="I660" s="21"/>
      <c r="J660" s="21"/>
      <c r="K660" s="22">
        <f ca="1">ROUND(K659,0)</f>
        <v>0</v>
      </c>
      <c r="L660" s="22">
        <f t="shared" ref="L660:X660" ca="1" si="364">ROUND(K660+L659,0)</f>
        <v>0</v>
      </c>
      <c r="M660" s="22">
        <f t="shared" ca="1" si="364"/>
        <v>0</v>
      </c>
      <c r="N660" s="22">
        <f t="shared" ca="1" si="364"/>
        <v>0</v>
      </c>
      <c r="O660" s="22">
        <f t="shared" ca="1" si="364"/>
        <v>0</v>
      </c>
      <c r="P660" s="22">
        <f t="shared" ca="1" si="364"/>
        <v>0</v>
      </c>
      <c r="Q660" s="22">
        <f t="shared" ca="1" si="364"/>
        <v>0</v>
      </c>
      <c r="R660" s="22">
        <f t="shared" ca="1" si="364"/>
        <v>0</v>
      </c>
      <c r="S660" s="22">
        <f t="shared" ca="1" si="364"/>
        <v>0</v>
      </c>
      <c r="T660" s="22">
        <f t="shared" ca="1" si="364"/>
        <v>0</v>
      </c>
      <c r="U660" s="22">
        <f t="shared" ca="1" si="364"/>
        <v>0</v>
      </c>
      <c r="V660" s="22">
        <f t="shared" ca="1" si="364"/>
        <v>0</v>
      </c>
      <c r="W660" s="22">
        <f t="shared" ca="1" si="364"/>
        <v>0</v>
      </c>
      <c r="X660" s="22">
        <f t="shared" ca="1" si="364"/>
        <v>0</v>
      </c>
    </row>
    <row r="661" spans="1:24" hidden="1">
      <c r="A661" s="259"/>
      <c r="B661" s="21" t="s">
        <v>406</v>
      </c>
      <c r="C661" s="22"/>
      <c r="D661" s="21"/>
      <c r="E661" s="21"/>
      <c r="F661" s="21"/>
      <c r="G661" s="21"/>
      <c r="I661" s="21"/>
      <c r="J661" s="21"/>
      <c r="K661" s="77">
        <f t="shared" ref="K661:X661" ca="1" si="365">IF($C657=LataProjekcji,ROUND($C658-K660,0),ROUND(IF(K659=0,0,$C658-K660),0))</f>
        <v>0</v>
      </c>
      <c r="L661" s="77">
        <f t="shared" ca="1" si="365"/>
        <v>0</v>
      </c>
      <c r="M661" s="77">
        <f t="shared" ca="1" si="365"/>
        <v>0</v>
      </c>
      <c r="N661" s="77">
        <f t="shared" ca="1" si="365"/>
        <v>0</v>
      </c>
      <c r="O661" s="77">
        <f t="shared" ca="1" si="365"/>
        <v>0</v>
      </c>
      <c r="P661" s="77">
        <f t="shared" ca="1" si="365"/>
        <v>0</v>
      </c>
      <c r="Q661" s="77">
        <f t="shared" ca="1" si="365"/>
        <v>0</v>
      </c>
      <c r="R661" s="77">
        <f t="shared" ca="1" si="365"/>
        <v>0</v>
      </c>
      <c r="S661" s="77">
        <f t="shared" ca="1" si="365"/>
        <v>0</v>
      </c>
      <c r="T661" s="77">
        <f t="shared" ca="1" si="365"/>
        <v>0</v>
      </c>
      <c r="U661" s="77">
        <f t="shared" ca="1" si="365"/>
        <v>0</v>
      </c>
      <c r="V661" s="77">
        <f t="shared" ca="1" si="365"/>
        <v>0</v>
      </c>
      <c r="W661" s="77">
        <f t="shared" ca="1" si="365"/>
        <v>0</v>
      </c>
      <c r="X661" s="77">
        <f t="shared" ca="1" si="365"/>
        <v>0</v>
      </c>
    </row>
    <row r="662" spans="1:24" hidden="1">
      <c r="A662" s="259"/>
      <c r="B662" s="21"/>
      <c r="C662" s="22"/>
      <c r="D662" s="21"/>
      <c r="E662" s="21"/>
      <c r="F662" s="21"/>
      <c r="G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idden="1">
      <c r="A663" s="259"/>
      <c r="B663" s="20" t="s">
        <v>390</v>
      </c>
      <c r="C663" s="21">
        <f>C656+1</f>
        <v>73</v>
      </c>
      <c r="D663" s="483">
        <f>D656+1</f>
        <v>165</v>
      </c>
      <c r="E663" s="21"/>
      <c r="F663" s="21"/>
      <c r="G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idden="1">
      <c r="A664" s="259"/>
      <c r="B664" s="21" t="s">
        <v>414</v>
      </c>
      <c r="C664" s="165">
        <f ca="1">IFERROR(YEAR(OFFSET($D$28,C663,0)),0)</f>
        <v>0</v>
      </c>
      <c r="D664" s="165">
        <f ca="1">IFERROR(MONTH(OFFSET($D$28,C663,0)),0)</f>
        <v>0</v>
      </c>
      <c r="E664" s="21">
        <f ca="1">12-$D664</f>
        <v>12</v>
      </c>
      <c r="F664" s="21"/>
      <c r="G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idden="1">
      <c r="A665" s="259"/>
      <c r="B665" s="21" t="s">
        <v>406</v>
      </c>
      <c r="C665" s="245">
        <f ca="1">IF(OFFSET($F$28,C663,0)&lt;0,0,OFFSET($F$28,C663,0))</f>
        <v>0</v>
      </c>
      <c r="D665" s="22" t="str">
        <f ca="1">OFFSET($C$28,C663,0)</f>
        <v/>
      </c>
      <c r="E665" s="22">
        <f ca="1">IF(D665&gt;10,ROUND(($C666/12)*$E664,0),$C665)</f>
        <v>0</v>
      </c>
      <c r="F665" s="21"/>
      <c r="G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</row>
    <row r="666" spans="1:24" hidden="1">
      <c r="A666" s="259"/>
      <c r="B666" s="21" t="s">
        <v>415</v>
      </c>
      <c r="C666" s="245">
        <f ca="1">IF(ISBLANK(OFFSET($D$28,C663,0)),0,IF(OFFSET($C$28,C663,0)&gt;10,ROUND(C665*am_wnip,0),IF(C665&lt;0,0,C665)))</f>
        <v>0</v>
      </c>
      <c r="D666" s="21"/>
      <c r="E666" s="21"/>
      <c r="F666" s="21"/>
      <c r="G666" s="21"/>
      <c r="I666" s="21"/>
      <c r="J666" s="483" cm="1">
        <f t="array" aca="1" ref="J666" ca="1">OFFSET('Środki trwałe'!$C$195,'Rozliczenie dotacji'!D663,,)</f>
        <v>0</v>
      </c>
      <c r="K666" s="75">
        <f ca="1">ROUND(IF($C664=LataProjekcji,$E665,IF($C664=LataProjekcji,$C666,0)),0)</f>
        <v>0</v>
      </c>
      <c r="L666" s="248">
        <f ca="1">ROUND(IF(OR(AND($C664=LataProjekcji,$E664&gt;0),AND($C664=LataProjekcji,$E664=0,$D665&lt;=10)),$E665,IF($C664&lt;LataProjekcji,IF((SUM($K666:K666)+$C666)&lt;$C665,$C666,$C665-SUM($K666:K666)),0)),0)</f>
        <v>0</v>
      </c>
      <c r="M666" s="248">
        <f ca="1">ROUND(IF(OR(AND($C664=LataProjekcji,$E664&gt;0),AND($C664=LataProjekcji,$E664=0,$D665&lt;=10)),$E665,IF($C664&lt;LataProjekcji,IF((SUM($K666:L666)+$C666)&lt;$C665,$C666,$C665-SUM($K666:L666)),0)),0)</f>
        <v>0</v>
      </c>
      <c r="N666" s="248">
        <f ca="1">ROUND(IF(OR(AND($C664=LataProjekcji,$E664&gt;0),AND($C664=LataProjekcji,$E664=0,$D665&lt;=10)),$E665,IF($C664&lt;LataProjekcji,IF((SUM($K666:M666)+$C666)&lt;$C665,$C666,$C665-SUM($K666:M666)),0)),0)</f>
        <v>0</v>
      </c>
      <c r="O666" s="248">
        <f ca="1">ROUND(IF(OR(AND($C664=LataProjekcji,$E664&gt;0),AND($C664=LataProjekcji,$E664=0,$D665&lt;=10)),$E665,IF($C664&lt;LataProjekcji,IF((SUM($K666:N666)+$C666)&lt;$C665,$C666,$C665-SUM($K666:N666)),0)),0)</f>
        <v>0</v>
      </c>
      <c r="P666" s="248">
        <f ca="1">ROUND(IF(OR(AND($C664=LataProjekcji,$E664&gt;0),AND($C664=LataProjekcji,$E664=0,$D665&lt;=10)),$E665,IF($C664&lt;LataProjekcji,IF((SUM($K666:O666)+$C666)&lt;$C665,$C666,$C665-SUM($K666:O666)),0)),0)</f>
        <v>0</v>
      </c>
      <c r="Q666" s="248">
        <f ca="1">ROUND(IF(OR(AND($C664=LataProjekcji,$E664&gt;0),AND($C664=LataProjekcji,$E664=0,$D665&lt;=10)),$E665,IF($C664&lt;LataProjekcji,IF((SUM($K666:P666)+$C666)&lt;$C665,$C666,$C665-SUM($K666:P666)),0)),0)</f>
        <v>0</v>
      </c>
      <c r="R666" s="248">
        <f ca="1">ROUND(IF(OR(AND($C664=LataProjekcji,$E664&gt;0),AND($C664=LataProjekcji,$E664=0,$D665&lt;=10)),$E665,IF($C664&lt;LataProjekcji,IF((SUM($K666:Q666)+$C666)&lt;$C665,$C666,$C665-SUM($K666:Q666)),0)),0)</f>
        <v>0</v>
      </c>
      <c r="S666" s="248">
        <f ca="1">ROUND(IF(OR(AND($C664=LataProjekcji,$E664&gt;0),AND($C664=LataProjekcji,$E664=0,$D665&lt;=10)),$E665,IF($C664&lt;LataProjekcji,IF((SUM($K666:R666)+$C666)&lt;$C665,$C666,$C665-SUM($K666:R666)),0)),0)</f>
        <v>0</v>
      </c>
      <c r="T666" s="248">
        <f ca="1">ROUND(IF(OR(AND($C664=LataProjekcji,$E664&gt;0),AND($C664=LataProjekcji,$E664=0,$D665&lt;=10)),$E665,IF($C664&lt;LataProjekcji,IF((SUM($K666:S666)+$C666)&lt;$C665,$C666,$C665-SUM($K666:S666)),0)),0)</f>
        <v>0</v>
      </c>
      <c r="U666" s="248">
        <f ca="1">ROUND(IF(OR(AND($C664=LataProjekcji,$E664&gt;0),AND($C664=LataProjekcji,$E664=0,$D665&lt;=10)),$E665,IF($C664&lt;LataProjekcji,IF((SUM($K666:T666)+$C666)&lt;$C665,$C666,$C665-SUM($K666:T666)),0)),0)</f>
        <v>0</v>
      </c>
      <c r="V666" s="248">
        <f ca="1">ROUND(IF(OR(AND($C664=LataProjekcji,$E664&gt;0),AND($C664=LataProjekcji,$E664=0,$D665&lt;=10)),$E665,IF($C664&lt;LataProjekcji,IF((SUM($K666:U666)+$C666)&lt;$C665,$C666,$C665-SUM($K666:U666)),0)),0)</f>
        <v>0</v>
      </c>
      <c r="W666" s="248">
        <f ca="1">ROUND(IF(OR(AND($C664=LataProjekcji,$E664&gt;0),AND($C664=LataProjekcji,$E664=0,$D665&lt;=10)),$E665,IF($C664&lt;LataProjekcji,IF((SUM($K666:V666)+$C666)&lt;$C665,$C666,$C665-SUM($K666:V666)),0)),0)</f>
        <v>0</v>
      </c>
      <c r="X666" s="248">
        <f ca="1">ROUND(IF(OR(AND($C664=LataProjekcji,$E664&gt;0),AND($C664=LataProjekcji,$E664=0,$D665&lt;=10)),$E665,IF($C664&lt;LataProjekcji,IF((SUM($K666:W666)+$C666)&lt;$C665,$C666,$C665-SUM($K666:W666)),0)),0)</f>
        <v>0</v>
      </c>
    </row>
    <row r="667" spans="1:24" hidden="1">
      <c r="A667" s="259"/>
      <c r="B667" s="21" t="s">
        <v>416</v>
      </c>
      <c r="C667" s="22"/>
      <c r="D667" s="21"/>
      <c r="E667" s="21"/>
      <c r="F667" s="21"/>
      <c r="G667" s="21"/>
      <c r="I667" s="21"/>
      <c r="J667" s="21"/>
      <c r="K667" s="22">
        <f ca="1">ROUND(K666,0)</f>
        <v>0</v>
      </c>
      <c r="L667" s="22">
        <f t="shared" ref="L667:X667" ca="1" si="366">ROUND(K667+L666,0)</f>
        <v>0</v>
      </c>
      <c r="M667" s="22">
        <f t="shared" ca="1" si="366"/>
        <v>0</v>
      </c>
      <c r="N667" s="22">
        <f t="shared" ca="1" si="366"/>
        <v>0</v>
      </c>
      <c r="O667" s="22">
        <f t="shared" ca="1" si="366"/>
        <v>0</v>
      </c>
      <c r="P667" s="22">
        <f t="shared" ca="1" si="366"/>
        <v>0</v>
      </c>
      <c r="Q667" s="22">
        <f t="shared" ca="1" si="366"/>
        <v>0</v>
      </c>
      <c r="R667" s="22">
        <f t="shared" ca="1" si="366"/>
        <v>0</v>
      </c>
      <c r="S667" s="22">
        <f t="shared" ca="1" si="366"/>
        <v>0</v>
      </c>
      <c r="T667" s="22">
        <f t="shared" ca="1" si="366"/>
        <v>0</v>
      </c>
      <c r="U667" s="22">
        <f t="shared" ca="1" si="366"/>
        <v>0</v>
      </c>
      <c r="V667" s="22">
        <f t="shared" ca="1" si="366"/>
        <v>0</v>
      </c>
      <c r="W667" s="22">
        <f t="shared" ca="1" si="366"/>
        <v>0</v>
      </c>
      <c r="X667" s="22">
        <f t="shared" ca="1" si="366"/>
        <v>0</v>
      </c>
    </row>
    <row r="668" spans="1:24" hidden="1">
      <c r="A668" s="259"/>
      <c r="B668" s="21" t="s">
        <v>406</v>
      </c>
      <c r="C668" s="22"/>
      <c r="D668" s="21"/>
      <c r="E668" s="21"/>
      <c r="F668" s="21"/>
      <c r="G668" s="21"/>
      <c r="I668" s="21"/>
      <c r="J668" s="21"/>
      <c r="K668" s="77">
        <f t="shared" ref="K668:X668" ca="1" si="367">IF($C664=LataProjekcji,ROUND($C665-K667,0),ROUND(IF(K666=0,0,$C665-K667),0))</f>
        <v>0</v>
      </c>
      <c r="L668" s="77">
        <f t="shared" ca="1" si="367"/>
        <v>0</v>
      </c>
      <c r="M668" s="77">
        <f t="shared" ca="1" si="367"/>
        <v>0</v>
      </c>
      <c r="N668" s="77">
        <f t="shared" ca="1" si="367"/>
        <v>0</v>
      </c>
      <c r="O668" s="77">
        <f t="shared" ca="1" si="367"/>
        <v>0</v>
      </c>
      <c r="P668" s="77">
        <f t="shared" ca="1" si="367"/>
        <v>0</v>
      </c>
      <c r="Q668" s="77">
        <f t="shared" ca="1" si="367"/>
        <v>0</v>
      </c>
      <c r="R668" s="77">
        <f t="shared" ca="1" si="367"/>
        <v>0</v>
      </c>
      <c r="S668" s="77">
        <f t="shared" ca="1" si="367"/>
        <v>0</v>
      </c>
      <c r="T668" s="77">
        <f t="shared" ca="1" si="367"/>
        <v>0</v>
      </c>
      <c r="U668" s="77">
        <f t="shared" ca="1" si="367"/>
        <v>0</v>
      </c>
      <c r="V668" s="77">
        <f t="shared" ca="1" si="367"/>
        <v>0</v>
      </c>
      <c r="W668" s="77">
        <f t="shared" ca="1" si="367"/>
        <v>0</v>
      </c>
      <c r="X668" s="77">
        <f t="shared" ca="1" si="367"/>
        <v>0</v>
      </c>
    </row>
    <row r="669" spans="1:24" hidden="1">
      <c r="A669" s="259"/>
      <c r="B669" s="20"/>
      <c r="C669" s="21"/>
      <c r="D669" s="21"/>
      <c r="E669" s="21"/>
      <c r="F669" s="21"/>
      <c r="G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idden="1">
      <c r="A670" s="259"/>
      <c r="B670" s="20" t="s">
        <v>390</v>
      </c>
      <c r="C670" s="21">
        <f>C663+1</f>
        <v>74</v>
      </c>
      <c r="D670" s="483">
        <f>D663+1</f>
        <v>166</v>
      </c>
      <c r="E670" s="21"/>
      <c r="F670" s="21"/>
      <c r="G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idden="1">
      <c r="A671" s="259"/>
      <c r="B671" s="21" t="s">
        <v>414</v>
      </c>
      <c r="C671" s="165">
        <f ca="1">IFERROR(YEAR(OFFSET($D$28,C670,0)),0)</f>
        <v>0</v>
      </c>
      <c r="D671" s="165">
        <f ca="1">IFERROR(MONTH(OFFSET($D$28,C670,0)),0)</f>
        <v>0</v>
      </c>
      <c r="E671" s="21">
        <f ca="1">12-$D671</f>
        <v>12</v>
      </c>
      <c r="F671" s="21"/>
      <c r="G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idden="1">
      <c r="A672" s="259"/>
      <c r="B672" s="21" t="s">
        <v>406</v>
      </c>
      <c r="C672" s="245">
        <f ca="1">IF(OFFSET($F$28,C670,0)&lt;0,0,OFFSET($F$28,C670,0))</f>
        <v>0</v>
      </c>
      <c r="D672" s="22" t="str">
        <f ca="1">OFFSET($C$28,C670,0)</f>
        <v/>
      </c>
      <c r="E672" s="22">
        <f ca="1">IF(D672&gt;10,ROUND(($C673/12)*$E671,0),$C672)</f>
        <v>0</v>
      </c>
      <c r="F672" s="21"/>
      <c r="G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</row>
    <row r="673" spans="1:24" hidden="1">
      <c r="A673" s="259"/>
      <c r="B673" s="21" t="s">
        <v>415</v>
      </c>
      <c r="C673" s="245">
        <f ca="1">IF(ISBLANK(OFFSET($D$28,C670,0)),0,IF(OFFSET($C$28,C670,0)&gt;10,ROUND(C672*am_wnip,0),IF(C672&lt;0,0,C672)))</f>
        <v>0</v>
      </c>
      <c r="D673" s="21"/>
      <c r="E673" s="21"/>
      <c r="F673" s="21"/>
      <c r="G673" s="21"/>
      <c r="I673" s="21"/>
      <c r="J673" s="483" cm="1">
        <f t="array" aca="1" ref="J673" ca="1">OFFSET('Środki trwałe'!$C$195,'Rozliczenie dotacji'!D670,,)</f>
        <v>0</v>
      </c>
      <c r="K673" s="75">
        <f ca="1">ROUND(IF($C671=LataProjekcji,$E672,IF($C671=LataProjekcji,$C673,0)),0)</f>
        <v>0</v>
      </c>
      <c r="L673" s="248">
        <f ca="1">ROUND(IF(OR(AND($C671=LataProjekcji,$E671&gt;0),AND($C671=LataProjekcji,$E671=0,$D672&lt;=10)),$E672,IF($C671&lt;LataProjekcji,IF((SUM($K673:K673)+$C673)&lt;$C672,$C673,$C672-SUM($K673:K673)),0)),0)</f>
        <v>0</v>
      </c>
      <c r="M673" s="248">
        <f ca="1">ROUND(IF(OR(AND($C671=LataProjekcji,$E671&gt;0),AND($C671=LataProjekcji,$E671=0,$D672&lt;=10)),$E672,IF($C671&lt;LataProjekcji,IF((SUM($K673:L673)+$C673)&lt;$C672,$C673,$C672-SUM($K673:L673)),0)),0)</f>
        <v>0</v>
      </c>
      <c r="N673" s="248">
        <f ca="1">ROUND(IF(OR(AND($C671=LataProjekcji,$E671&gt;0),AND($C671=LataProjekcji,$E671=0,$D672&lt;=10)),$E672,IF($C671&lt;LataProjekcji,IF((SUM($K673:M673)+$C673)&lt;$C672,$C673,$C672-SUM($K673:M673)),0)),0)</f>
        <v>0</v>
      </c>
      <c r="O673" s="248">
        <f ca="1">ROUND(IF(OR(AND($C671=LataProjekcji,$E671&gt;0),AND($C671=LataProjekcji,$E671=0,$D672&lt;=10)),$E672,IF($C671&lt;LataProjekcji,IF((SUM($K673:N673)+$C673)&lt;$C672,$C673,$C672-SUM($K673:N673)),0)),0)</f>
        <v>0</v>
      </c>
      <c r="P673" s="248">
        <f ca="1">ROUND(IF(OR(AND($C671=LataProjekcji,$E671&gt;0),AND($C671=LataProjekcji,$E671=0,$D672&lt;=10)),$E672,IF($C671&lt;LataProjekcji,IF((SUM($K673:O673)+$C673)&lt;$C672,$C673,$C672-SUM($K673:O673)),0)),0)</f>
        <v>0</v>
      </c>
      <c r="Q673" s="248">
        <f ca="1">ROUND(IF(OR(AND($C671=LataProjekcji,$E671&gt;0),AND($C671=LataProjekcji,$E671=0,$D672&lt;=10)),$E672,IF($C671&lt;LataProjekcji,IF((SUM($K673:P673)+$C673)&lt;$C672,$C673,$C672-SUM($K673:P673)),0)),0)</f>
        <v>0</v>
      </c>
      <c r="R673" s="248">
        <f ca="1">ROUND(IF(OR(AND($C671=LataProjekcji,$E671&gt;0),AND($C671=LataProjekcji,$E671=0,$D672&lt;=10)),$E672,IF($C671&lt;LataProjekcji,IF((SUM($K673:Q673)+$C673)&lt;$C672,$C673,$C672-SUM($K673:Q673)),0)),0)</f>
        <v>0</v>
      </c>
      <c r="S673" s="248">
        <f ca="1">ROUND(IF(OR(AND($C671=LataProjekcji,$E671&gt;0),AND($C671=LataProjekcji,$E671=0,$D672&lt;=10)),$E672,IF($C671&lt;LataProjekcji,IF((SUM($K673:R673)+$C673)&lt;$C672,$C673,$C672-SUM($K673:R673)),0)),0)</f>
        <v>0</v>
      </c>
      <c r="T673" s="248">
        <f ca="1">ROUND(IF(OR(AND($C671=LataProjekcji,$E671&gt;0),AND($C671=LataProjekcji,$E671=0,$D672&lt;=10)),$E672,IF($C671&lt;LataProjekcji,IF((SUM($K673:S673)+$C673)&lt;$C672,$C673,$C672-SUM($K673:S673)),0)),0)</f>
        <v>0</v>
      </c>
      <c r="U673" s="248">
        <f ca="1">ROUND(IF(OR(AND($C671=LataProjekcji,$E671&gt;0),AND($C671=LataProjekcji,$E671=0,$D672&lt;=10)),$E672,IF($C671&lt;LataProjekcji,IF((SUM($K673:T673)+$C673)&lt;$C672,$C673,$C672-SUM($K673:T673)),0)),0)</f>
        <v>0</v>
      </c>
      <c r="V673" s="248">
        <f ca="1">ROUND(IF(OR(AND($C671=LataProjekcji,$E671&gt;0),AND($C671=LataProjekcji,$E671=0,$D672&lt;=10)),$E672,IF($C671&lt;LataProjekcji,IF((SUM($K673:U673)+$C673)&lt;$C672,$C673,$C672-SUM($K673:U673)),0)),0)</f>
        <v>0</v>
      </c>
      <c r="W673" s="248">
        <f ca="1">ROUND(IF(OR(AND($C671=LataProjekcji,$E671&gt;0),AND($C671=LataProjekcji,$E671=0,$D672&lt;=10)),$E672,IF($C671&lt;LataProjekcji,IF((SUM($K673:V673)+$C673)&lt;$C672,$C673,$C672-SUM($K673:V673)),0)),0)</f>
        <v>0</v>
      </c>
      <c r="X673" s="248">
        <f ca="1">ROUND(IF(OR(AND($C671=LataProjekcji,$E671&gt;0),AND($C671=LataProjekcji,$E671=0,$D672&lt;=10)),$E672,IF($C671&lt;LataProjekcji,IF((SUM($K673:W673)+$C673)&lt;$C672,$C673,$C672-SUM($K673:W673)),0)),0)</f>
        <v>0</v>
      </c>
    </row>
    <row r="674" spans="1:24" hidden="1">
      <c r="A674" s="259"/>
      <c r="B674" s="21" t="s">
        <v>416</v>
      </c>
      <c r="C674" s="22"/>
      <c r="D674" s="21"/>
      <c r="E674" s="21"/>
      <c r="F674" s="21"/>
      <c r="G674" s="21"/>
      <c r="I674" s="21"/>
      <c r="J674" s="21"/>
      <c r="K674" s="22">
        <f ca="1">ROUND(K673,0)</f>
        <v>0</v>
      </c>
      <c r="L674" s="22">
        <f t="shared" ref="L674:X674" ca="1" si="368">ROUND(K674+L673,0)</f>
        <v>0</v>
      </c>
      <c r="M674" s="22">
        <f t="shared" ca="1" si="368"/>
        <v>0</v>
      </c>
      <c r="N674" s="22">
        <f t="shared" ca="1" si="368"/>
        <v>0</v>
      </c>
      <c r="O674" s="22">
        <f t="shared" ca="1" si="368"/>
        <v>0</v>
      </c>
      <c r="P674" s="22">
        <f t="shared" ca="1" si="368"/>
        <v>0</v>
      </c>
      <c r="Q674" s="22">
        <f t="shared" ca="1" si="368"/>
        <v>0</v>
      </c>
      <c r="R674" s="22">
        <f t="shared" ca="1" si="368"/>
        <v>0</v>
      </c>
      <c r="S674" s="22">
        <f t="shared" ca="1" si="368"/>
        <v>0</v>
      </c>
      <c r="T674" s="22">
        <f t="shared" ca="1" si="368"/>
        <v>0</v>
      </c>
      <c r="U674" s="22">
        <f t="shared" ca="1" si="368"/>
        <v>0</v>
      </c>
      <c r="V674" s="22">
        <f t="shared" ca="1" si="368"/>
        <v>0</v>
      </c>
      <c r="W674" s="22">
        <f t="shared" ca="1" si="368"/>
        <v>0</v>
      </c>
      <c r="X674" s="22">
        <f t="shared" ca="1" si="368"/>
        <v>0</v>
      </c>
    </row>
    <row r="675" spans="1:24" hidden="1">
      <c r="A675" s="259"/>
      <c r="B675" s="21" t="s">
        <v>406</v>
      </c>
      <c r="C675" s="22"/>
      <c r="D675" s="21"/>
      <c r="E675" s="21"/>
      <c r="F675" s="21"/>
      <c r="G675" s="21"/>
      <c r="I675" s="21"/>
      <c r="J675" s="21"/>
      <c r="K675" s="77">
        <f t="shared" ref="K675:X675" ca="1" si="369">IF($C671=LataProjekcji,ROUND($C672-K674,0),ROUND(IF(K673=0,0,$C672-K674),0))</f>
        <v>0</v>
      </c>
      <c r="L675" s="77">
        <f t="shared" ca="1" si="369"/>
        <v>0</v>
      </c>
      <c r="M675" s="77">
        <f t="shared" ca="1" si="369"/>
        <v>0</v>
      </c>
      <c r="N675" s="77">
        <f t="shared" ca="1" si="369"/>
        <v>0</v>
      </c>
      <c r="O675" s="77">
        <f t="shared" ca="1" si="369"/>
        <v>0</v>
      </c>
      <c r="P675" s="77">
        <f t="shared" ca="1" si="369"/>
        <v>0</v>
      </c>
      <c r="Q675" s="77">
        <f t="shared" ca="1" si="369"/>
        <v>0</v>
      </c>
      <c r="R675" s="77">
        <f t="shared" ca="1" si="369"/>
        <v>0</v>
      </c>
      <c r="S675" s="77">
        <f t="shared" ca="1" si="369"/>
        <v>0</v>
      </c>
      <c r="T675" s="77">
        <f t="shared" ca="1" si="369"/>
        <v>0</v>
      </c>
      <c r="U675" s="77">
        <f t="shared" ca="1" si="369"/>
        <v>0</v>
      </c>
      <c r="V675" s="77">
        <f t="shared" ca="1" si="369"/>
        <v>0</v>
      </c>
      <c r="W675" s="77">
        <f t="shared" ca="1" si="369"/>
        <v>0</v>
      </c>
      <c r="X675" s="77">
        <f t="shared" ca="1" si="369"/>
        <v>0</v>
      </c>
    </row>
    <row r="676" spans="1:24" hidden="1">
      <c r="A676" s="259"/>
      <c r="B676" s="21"/>
      <c r="C676" s="21"/>
      <c r="D676" s="21"/>
      <c r="E676" s="21"/>
      <c r="F676" s="21"/>
      <c r="G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idden="1">
      <c r="A677" s="259"/>
      <c r="B677" s="20" t="s">
        <v>390</v>
      </c>
      <c r="C677" s="21">
        <f>C670+1</f>
        <v>75</v>
      </c>
      <c r="D677" s="483">
        <f>D670+1</f>
        <v>167</v>
      </c>
      <c r="E677" s="21"/>
      <c r="F677" s="21"/>
      <c r="G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idden="1">
      <c r="A678" s="259"/>
      <c r="B678" s="21" t="s">
        <v>414</v>
      </c>
      <c r="C678" s="165">
        <f ca="1">IFERROR(YEAR(OFFSET($D$28,C677,0)),0)</f>
        <v>0</v>
      </c>
      <c r="D678" s="165">
        <f ca="1">IFERROR(MONTH(OFFSET($D$28,C677,0)),0)</f>
        <v>0</v>
      </c>
      <c r="E678" s="21">
        <f ca="1">12-$D678</f>
        <v>12</v>
      </c>
      <c r="F678" s="21"/>
      <c r="G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idden="1">
      <c r="A679" s="259"/>
      <c r="B679" s="21" t="s">
        <v>406</v>
      </c>
      <c r="C679" s="245">
        <f ca="1">IF(OFFSET($F$28,C677,0)&lt;0,0,OFFSET($F$28,C677,0))</f>
        <v>0</v>
      </c>
      <c r="D679" s="22" t="str">
        <f ca="1">OFFSET($C$28,C677,0)</f>
        <v/>
      </c>
      <c r="E679" s="22">
        <f ca="1">IF(D679&gt;10,ROUND(($C680/12)*$E678,0),$C679)</f>
        <v>0</v>
      </c>
      <c r="F679" s="21"/>
      <c r="G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</row>
    <row r="680" spans="1:24" hidden="1">
      <c r="A680" s="259"/>
      <c r="B680" s="21" t="s">
        <v>415</v>
      </c>
      <c r="C680" s="245">
        <f ca="1">IF(ISBLANK(OFFSET($D$28,C677,0)),0,IF(OFFSET($C$28,C677,0)&gt;10,ROUND(C679*am_wnip,0),IF(C679&lt;0,0,C679)))</f>
        <v>0</v>
      </c>
      <c r="D680" s="21"/>
      <c r="E680" s="21"/>
      <c r="F680" s="21"/>
      <c r="G680" s="21"/>
      <c r="I680" s="21"/>
      <c r="J680" s="483" cm="1">
        <f t="array" aca="1" ref="J680" ca="1">OFFSET('Środki trwałe'!$C$195,'Rozliczenie dotacji'!D677,,)</f>
        <v>0</v>
      </c>
      <c r="K680" s="75">
        <f ca="1">ROUND(IF($C678=LataProjekcji,$E679,IF($C678=LataProjekcji,$C680,0)),0)</f>
        <v>0</v>
      </c>
      <c r="L680" s="248">
        <f ca="1">ROUND(IF(OR(AND($C678=LataProjekcji,$E678&gt;0),AND($C678=LataProjekcji,$E678=0,$D679&lt;=10)),$E679,IF($C678&lt;LataProjekcji,IF((SUM($K680:K680)+$C680)&lt;$C679,$C680,$C679-SUM($K680:K680)),0)),0)</f>
        <v>0</v>
      </c>
      <c r="M680" s="248">
        <f ca="1">ROUND(IF(OR(AND($C678=LataProjekcji,$E678&gt;0),AND($C678=LataProjekcji,$E678=0,$D679&lt;=10)),$E679,IF($C678&lt;LataProjekcji,IF((SUM($K680:L680)+$C680)&lt;$C679,$C680,$C679-SUM($K680:L680)),0)),0)</f>
        <v>0</v>
      </c>
      <c r="N680" s="248">
        <f ca="1">ROUND(IF(OR(AND($C678=LataProjekcji,$E678&gt;0),AND($C678=LataProjekcji,$E678=0,$D679&lt;=10)),$E679,IF($C678&lt;LataProjekcji,IF((SUM($K680:M680)+$C680)&lt;$C679,$C680,$C679-SUM($K680:M680)),0)),0)</f>
        <v>0</v>
      </c>
      <c r="O680" s="248">
        <f ca="1">ROUND(IF(OR(AND($C678=LataProjekcji,$E678&gt;0),AND($C678=LataProjekcji,$E678=0,$D679&lt;=10)),$E679,IF($C678&lt;LataProjekcji,IF((SUM($K680:N680)+$C680)&lt;$C679,$C680,$C679-SUM($K680:N680)),0)),0)</f>
        <v>0</v>
      </c>
      <c r="P680" s="248">
        <f ca="1">ROUND(IF(OR(AND($C678=LataProjekcji,$E678&gt;0),AND($C678=LataProjekcji,$E678=0,$D679&lt;=10)),$E679,IF($C678&lt;LataProjekcji,IF((SUM($K680:O680)+$C680)&lt;$C679,$C680,$C679-SUM($K680:O680)),0)),0)</f>
        <v>0</v>
      </c>
      <c r="Q680" s="248">
        <f ca="1">ROUND(IF(OR(AND($C678=LataProjekcji,$E678&gt;0),AND($C678=LataProjekcji,$E678=0,$D679&lt;=10)),$E679,IF($C678&lt;LataProjekcji,IF((SUM($K680:P680)+$C680)&lt;$C679,$C680,$C679-SUM($K680:P680)),0)),0)</f>
        <v>0</v>
      </c>
      <c r="R680" s="248">
        <f ca="1">ROUND(IF(OR(AND($C678=LataProjekcji,$E678&gt;0),AND($C678=LataProjekcji,$E678=0,$D679&lt;=10)),$E679,IF($C678&lt;LataProjekcji,IF((SUM($K680:Q680)+$C680)&lt;$C679,$C680,$C679-SUM($K680:Q680)),0)),0)</f>
        <v>0</v>
      </c>
      <c r="S680" s="248">
        <f ca="1">ROUND(IF(OR(AND($C678=LataProjekcji,$E678&gt;0),AND($C678=LataProjekcji,$E678=0,$D679&lt;=10)),$E679,IF($C678&lt;LataProjekcji,IF((SUM($K680:R680)+$C680)&lt;$C679,$C680,$C679-SUM($K680:R680)),0)),0)</f>
        <v>0</v>
      </c>
      <c r="T680" s="248">
        <f ca="1">ROUND(IF(OR(AND($C678=LataProjekcji,$E678&gt;0),AND($C678=LataProjekcji,$E678=0,$D679&lt;=10)),$E679,IF($C678&lt;LataProjekcji,IF((SUM($K680:S680)+$C680)&lt;$C679,$C680,$C679-SUM($K680:S680)),0)),0)</f>
        <v>0</v>
      </c>
      <c r="U680" s="248">
        <f ca="1">ROUND(IF(OR(AND($C678=LataProjekcji,$E678&gt;0),AND($C678=LataProjekcji,$E678=0,$D679&lt;=10)),$E679,IF($C678&lt;LataProjekcji,IF((SUM($K680:T680)+$C680)&lt;$C679,$C680,$C679-SUM($K680:T680)),0)),0)</f>
        <v>0</v>
      </c>
      <c r="V680" s="248">
        <f ca="1">ROUND(IF(OR(AND($C678=LataProjekcji,$E678&gt;0),AND($C678=LataProjekcji,$E678=0,$D679&lt;=10)),$E679,IF($C678&lt;LataProjekcji,IF((SUM($K680:U680)+$C680)&lt;$C679,$C680,$C679-SUM($K680:U680)),0)),0)</f>
        <v>0</v>
      </c>
      <c r="W680" s="248">
        <f ca="1">ROUND(IF(OR(AND($C678=LataProjekcji,$E678&gt;0),AND($C678=LataProjekcji,$E678=0,$D679&lt;=10)),$E679,IF($C678&lt;LataProjekcji,IF((SUM($K680:V680)+$C680)&lt;$C679,$C680,$C679-SUM($K680:V680)),0)),0)</f>
        <v>0</v>
      </c>
      <c r="X680" s="248">
        <f ca="1">ROUND(IF(OR(AND($C678=LataProjekcji,$E678&gt;0),AND($C678=LataProjekcji,$E678=0,$D679&lt;=10)),$E679,IF($C678&lt;LataProjekcji,IF((SUM($K680:W680)+$C680)&lt;$C679,$C680,$C679-SUM($K680:W680)),0)),0)</f>
        <v>0</v>
      </c>
    </row>
    <row r="681" spans="1:24" hidden="1">
      <c r="A681" s="259"/>
      <c r="B681" s="21" t="s">
        <v>416</v>
      </c>
      <c r="C681" s="22"/>
      <c r="D681" s="21"/>
      <c r="E681" s="21"/>
      <c r="F681" s="21"/>
      <c r="G681" s="21"/>
      <c r="I681" s="21"/>
      <c r="J681" s="21"/>
      <c r="K681" s="22">
        <f ca="1">ROUND(K680,0)</f>
        <v>0</v>
      </c>
      <c r="L681" s="22">
        <f t="shared" ref="L681:X681" ca="1" si="370">ROUND(K681+L680,0)</f>
        <v>0</v>
      </c>
      <c r="M681" s="22">
        <f t="shared" ca="1" si="370"/>
        <v>0</v>
      </c>
      <c r="N681" s="22">
        <f t="shared" ca="1" si="370"/>
        <v>0</v>
      </c>
      <c r="O681" s="22">
        <f t="shared" ca="1" si="370"/>
        <v>0</v>
      </c>
      <c r="P681" s="22">
        <f t="shared" ca="1" si="370"/>
        <v>0</v>
      </c>
      <c r="Q681" s="22">
        <f t="shared" ca="1" si="370"/>
        <v>0</v>
      </c>
      <c r="R681" s="22">
        <f t="shared" ca="1" si="370"/>
        <v>0</v>
      </c>
      <c r="S681" s="22">
        <f t="shared" ca="1" si="370"/>
        <v>0</v>
      </c>
      <c r="T681" s="22">
        <f t="shared" ca="1" si="370"/>
        <v>0</v>
      </c>
      <c r="U681" s="22">
        <f t="shared" ca="1" si="370"/>
        <v>0</v>
      </c>
      <c r="V681" s="22">
        <f t="shared" ca="1" si="370"/>
        <v>0</v>
      </c>
      <c r="W681" s="22">
        <f t="shared" ca="1" si="370"/>
        <v>0</v>
      </c>
      <c r="X681" s="22">
        <f t="shared" ca="1" si="370"/>
        <v>0</v>
      </c>
    </row>
    <row r="682" spans="1:24" hidden="1">
      <c r="A682" s="259"/>
      <c r="B682" s="21" t="s">
        <v>406</v>
      </c>
      <c r="C682" s="22"/>
      <c r="D682" s="21"/>
      <c r="E682" s="21"/>
      <c r="F682" s="21"/>
      <c r="G682" s="21"/>
      <c r="I682" s="21"/>
      <c r="J682" s="21"/>
      <c r="K682" s="77">
        <f t="shared" ref="K682:X682" ca="1" si="371">IF($C678=LataProjekcji,ROUND($C679-K681,0),ROUND(IF(K680=0,0,$C679-K681),0))</f>
        <v>0</v>
      </c>
      <c r="L682" s="77">
        <f t="shared" ca="1" si="371"/>
        <v>0</v>
      </c>
      <c r="M682" s="77">
        <f t="shared" ca="1" si="371"/>
        <v>0</v>
      </c>
      <c r="N682" s="77">
        <f t="shared" ca="1" si="371"/>
        <v>0</v>
      </c>
      <c r="O682" s="77">
        <f t="shared" ca="1" si="371"/>
        <v>0</v>
      </c>
      <c r="P682" s="77">
        <f t="shared" ca="1" si="371"/>
        <v>0</v>
      </c>
      <c r="Q682" s="77">
        <f t="shared" ca="1" si="371"/>
        <v>0</v>
      </c>
      <c r="R682" s="77">
        <f t="shared" ca="1" si="371"/>
        <v>0</v>
      </c>
      <c r="S682" s="77">
        <f t="shared" ca="1" si="371"/>
        <v>0</v>
      </c>
      <c r="T682" s="77">
        <f t="shared" ca="1" si="371"/>
        <v>0</v>
      </c>
      <c r="U682" s="77">
        <f t="shared" ca="1" si="371"/>
        <v>0</v>
      </c>
      <c r="V682" s="77">
        <f t="shared" ca="1" si="371"/>
        <v>0</v>
      </c>
      <c r="W682" s="77">
        <f t="shared" ca="1" si="371"/>
        <v>0</v>
      </c>
      <c r="X682" s="77">
        <f t="shared" ca="1" si="371"/>
        <v>0</v>
      </c>
    </row>
    <row r="683" spans="1:24" hidden="1">
      <c r="A683" s="259"/>
      <c r="B683" s="21"/>
      <c r="C683" s="22"/>
      <c r="D683" s="21"/>
      <c r="E683" s="21"/>
      <c r="F683" s="21"/>
      <c r="G683" s="21"/>
      <c r="I683" s="21"/>
      <c r="J683" s="21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</row>
    <row r="684" spans="1:24" hidden="1">
      <c r="A684" s="259"/>
      <c r="B684" s="20" t="str">
        <f>B104</f>
        <v/>
      </c>
      <c r="C684" s="21">
        <f>C677+1</f>
        <v>76</v>
      </c>
      <c r="D684" s="483">
        <f>D677+1</f>
        <v>168</v>
      </c>
      <c r="E684" s="21"/>
      <c r="F684" s="48"/>
      <c r="G684" s="50"/>
      <c r="H684" s="322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idden="1">
      <c r="A685" s="259"/>
      <c r="B685" s="21" t="s">
        <v>414</v>
      </c>
      <c r="C685" s="165">
        <f ca="1">IFERROR(YEAR(OFFSET($D$28,C684,0)),0)</f>
        <v>0</v>
      </c>
      <c r="D685" s="165">
        <f ca="1">IFERROR(MONTH(OFFSET($D$28,C684,0)),0)</f>
        <v>0</v>
      </c>
      <c r="E685" s="21">
        <f ca="1">12-$D685</f>
        <v>12</v>
      </c>
      <c r="F685" s="49"/>
      <c r="G685" s="51"/>
      <c r="H685" s="323"/>
      <c r="I685" s="22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idden="1">
      <c r="A686" s="259"/>
      <c r="B686" s="21" t="s">
        <v>406</v>
      </c>
      <c r="C686" s="245">
        <f ca="1">IF(OFFSET($F$28,C684,0)&lt;0,0,OFFSET($F$28,C684,0))</f>
        <v>0</v>
      </c>
      <c r="D686" s="22">
        <f ca="1">OFFSET($C$28,C684,0)</f>
        <v>0</v>
      </c>
      <c r="E686" s="22">
        <f ca="1">IF(D686&gt;10,ROUND(($C687/12)*$E685,0),$C686)</f>
        <v>0</v>
      </c>
      <c r="F686" s="21"/>
      <c r="G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</row>
    <row r="687" spans="1:24" hidden="1">
      <c r="A687" s="259"/>
      <c r="B687" s="21" t="s">
        <v>415</v>
      </c>
      <c r="C687" s="245">
        <f ca="1">IF(ISBLANK(OFFSET($D$28,C684,0)),0,IF(OFFSET($C$28,C684,0)&gt;10,ROUND(C686*am_wnip,0),IF(C686&lt;0,0,C686)))</f>
        <v>0</v>
      </c>
      <c r="D687" s="21"/>
      <c r="E687" s="21"/>
      <c r="F687" s="21"/>
      <c r="G687" s="21"/>
      <c r="I687" s="21"/>
      <c r="J687" s="483" t="str" cm="1">
        <f t="array" aca="1" ref="J687" ca="1">OFFSET('Środki trwałe'!$C$195,'Rozliczenie dotacji'!D684,,)</f>
        <v/>
      </c>
      <c r="K687" s="75">
        <f ca="1">ROUND(IF($C685=LataProjekcji,$E686,IF($C685=LataProjekcji,$C687,0)),0)</f>
        <v>0</v>
      </c>
      <c r="L687" s="248">
        <f ca="1">ROUND(IF(OR(AND($C685=LataProjekcji,$E685&gt;0),AND($C685=LataProjekcji,$E685=0,$D686&lt;=10)),$E686,IF($C685&lt;LataProjekcji,IF((SUM($K687:K687)+$C687)&lt;$C686,$C687,$C686-SUM($K687:K687)),0)),0)</f>
        <v>0</v>
      </c>
      <c r="M687" s="248">
        <f ca="1">ROUND(IF(OR(AND($C685=LataProjekcji,$E685&gt;0),AND($C685=LataProjekcji,$E685=0,$D686&lt;=10)),$E686,IF($C685&lt;LataProjekcji,IF((SUM($K687:L687)+$C687)&lt;$C686,$C687,$C686-SUM($K687:L687)),0)),0)</f>
        <v>0</v>
      </c>
      <c r="N687" s="248">
        <f ca="1">ROUND(IF(OR(AND($C685=LataProjekcji,$E685&gt;0),AND($C685=LataProjekcji,$E685=0,$D686&lt;=10)),$E686,IF($C685&lt;LataProjekcji,IF((SUM($K687:M687)+$C687)&lt;$C686,$C687,$C686-SUM($K687:M687)),0)),0)</f>
        <v>0</v>
      </c>
      <c r="O687" s="248">
        <f ca="1">ROUND(IF(OR(AND($C685=LataProjekcji,$E685&gt;0),AND($C685=LataProjekcji,$E685=0,$D686&lt;=10)),$E686,IF($C685&lt;LataProjekcji,IF((SUM($K687:N687)+$C687)&lt;$C686,$C687,$C686-SUM($K687:N687)),0)),0)</f>
        <v>0</v>
      </c>
      <c r="P687" s="248">
        <f ca="1">ROUND(IF(OR(AND($C685=LataProjekcji,$E685&gt;0),AND($C685=LataProjekcji,$E685=0,$D686&lt;=10)),$E686,IF($C685&lt;LataProjekcji,IF((SUM($K687:O687)+$C687)&lt;$C686,$C687,$C686-SUM($K687:O687)),0)),0)</f>
        <v>0</v>
      </c>
      <c r="Q687" s="248">
        <f ca="1">ROUND(IF(OR(AND($C685=LataProjekcji,$E685&gt;0),AND($C685=LataProjekcji,$E685=0,$D686&lt;=10)),$E686,IF($C685&lt;LataProjekcji,IF((SUM($K687:P687)+$C687)&lt;$C686,$C687,$C686-SUM($K687:P687)),0)),0)</f>
        <v>0</v>
      </c>
      <c r="R687" s="248">
        <f ca="1">ROUND(IF(OR(AND($C685=LataProjekcji,$E685&gt;0),AND($C685=LataProjekcji,$E685=0,$D686&lt;=10)),$E686,IF($C685&lt;LataProjekcji,IF((SUM($K687:Q687)+$C687)&lt;$C686,$C687,$C686-SUM($K687:Q687)),0)),0)</f>
        <v>0</v>
      </c>
      <c r="S687" s="248">
        <f ca="1">ROUND(IF(OR(AND($C685=LataProjekcji,$E685&gt;0),AND($C685=LataProjekcji,$E685=0,$D686&lt;=10)),$E686,IF($C685&lt;LataProjekcji,IF((SUM($K687:R687)+$C687)&lt;$C686,$C687,$C686-SUM($K687:R687)),0)),0)</f>
        <v>0</v>
      </c>
      <c r="T687" s="248">
        <f ca="1">ROUND(IF(OR(AND($C685=LataProjekcji,$E685&gt;0),AND($C685=LataProjekcji,$E685=0,$D686&lt;=10)),$E686,IF($C685&lt;LataProjekcji,IF((SUM($K687:S687)+$C687)&lt;$C686,$C687,$C686-SUM($K687:S687)),0)),0)</f>
        <v>0</v>
      </c>
      <c r="U687" s="248">
        <f ca="1">ROUND(IF(OR(AND($C685=LataProjekcji,$E685&gt;0),AND($C685=LataProjekcji,$E685=0,$D686&lt;=10)),$E686,IF($C685&lt;LataProjekcji,IF((SUM($K687:T687)+$C687)&lt;$C686,$C687,$C686-SUM($K687:T687)),0)),0)</f>
        <v>0</v>
      </c>
      <c r="V687" s="248">
        <f ca="1">ROUND(IF(OR(AND($C685=LataProjekcji,$E685&gt;0),AND($C685=LataProjekcji,$E685=0,$D686&lt;=10)),$E686,IF($C685&lt;LataProjekcji,IF((SUM($K687:U687)+$C687)&lt;$C686,$C687,$C686-SUM($K687:U687)),0)),0)</f>
        <v>0</v>
      </c>
      <c r="W687" s="248">
        <f ca="1">ROUND(IF(OR(AND($C685=LataProjekcji,$E685&gt;0),AND($C685=LataProjekcji,$E685=0,$D686&lt;=10)),$E686,IF($C685&lt;LataProjekcji,IF((SUM($K687:V687)+$C687)&lt;$C686,$C687,$C686-SUM($K687:V687)),0)),0)</f>
        <v>0</v>
      </c>
      <c r="X687" s="248">
        <f ca="1">ROUND(IF(OR(AND($C685=LataProjekcji,$E685&gt;0),AND($C685=LataProjekcji,$E685=0,$D686&lt;=10)),$E686,IF($C685&lt;LataProjekcji,IF((SUM($K687:W687)+$C687)&lt;$C686,$C687,$C686-SUM($K687:W687)),0)),0)</f>
        <v>0</v>
      </c>
    </row>
    <row r="688" spans="1:24" hidden="1">
      <c r="A688" s="259"/>
      <c r="B688" s="21" t="s">
        <v>416</v>
      </c>
      <c r="C688" s="22"/>
      <c r="D688" s="21"/>
      <c r="E688" s="21"/>
      <c r="F688" s="21"/>
      <c r="G688" s="21"/>
      <c r="I688" s="21"/>
      <c r="J688" s="21"/>
      <c r="K688" s="22">
        <f ca="1">ROUND(K687,0)</f>
        <v>0</v>
      </c>
      <c r="L688" s="22">
        <f t="shared" ref="L688:X688" ca="1" si="372">ROUND(K688+L687,0)</f>
        <v>0</v>
      </c>
      <c r="M688" s="22">
        <f t="shared" ca="1" si="372"/>
        <v>0</v>
      </c>
      <c r="N688" s="22">
        <f t="shared" ca="1" si="372"/>
        <v>0</v>
      </c>
      <c r="O688" s="22">
        <f t="shared" ca="1" si="372"/>
        <v>0</v>
      </c>
      <c r="P688" s="22">
        <f t="shared" ca="1" si="372"/>
        <v>0</v>
      </c>
      <c r="Q688" s="22">
        <f t="shared" ca="1" si="372"/>
        <v>0</v>
      </c>
      <c r="R688" s="22">
        <f t="shared" ca="1" si="372"/>
        <v>0</v>
      </c>
      <c r="S688" s="22">
        <f t="shared" ca="1" si="372"/>
        <v>0</v>
      </c>
      <c r="T688" s="22">
        <f t="shared" ca="1" si="372"/>
        <v>0</v>
      </c>
      <c r="U688" s="22">
        <f t="shared" ca="1" si="372"/>
        <v>0</v>
      </c>
      <c r="V688" s="22">
        <f t="shared" ca="1" si="372"/>
        <v>0</v>
      </c>
      <c r="W688" s="22">
        <f t="shared" ca="1" si="372"/>
        <v>0</v>
      </c>
      <c r="X688" s="22">
        <f t="shared" ca="1" si="372"/>
        <v>0</v>
      </c>
    </row>
    <row r="689" spans="1:24" hidden="1">
      <c r="A689" s="259"/>
      <c r="B689" s="21" t="s">
        <v>406</v>
      </c>
      <c r="C689" s="22"/>
      <c r="D689" s="21"/>
      <c r="E689" s="21"/>
      <c r="F689" s="21"/>
      <c r="G689" s="21"/>
      <c r="I689" s="21"/>
      <c r="J689" s="21"/>
      <c r="K689" s="77">
        <f t="shared" ref="K689:X689" ca="1" si="373">IF($C685=LataProjekcji,ROUND($C686-K688,0),ROUND(IF(K687=0,0,$C686-K688),0))</f>
        <v>0</v>
      </c>
      <c r="L689" s="77">
        <f t="shared" ca="1" si="373"/>
        <v>0</v>
      </c>
      <c r="M689" s="77">
        <f t="shared" ca="1" si="373"/>
        <v>0</v>
      </c>
      <c r="N689" s="77">
        <f t="shared" ca="1" si="373"/>
        <v>0</v>
      </c>
      <c r="O689" s="77">
        <f t="shared" ca="1" si="373"/>
        <v>0</v>
      </c>
      <c r="P689" s="77">
        <f t="shared" ca="1" si="373"/>
        <v>0</v>
      </c>
      <c r="Q689" s="77">
        <f t="shared" ca="1" si="373"/>
        <v>0</v>
      </c>
      <c r="R689" s="77">
        <f t="shared" ca="1" si="373"/>
        <v>0</v>
      </c>
      <c r="S689" s="77">
        <f t="shared" ca="1" si="373"/>
        <v>0</v>
      </c>
      <c r="T689" s="77">
        <f t="shared" ca="1" si="373"/>
        <v>0</v>
      </c>
      <c r="U689" s="77">
        <f t="shared" ca="1" si="373"/>
        <v>0</v>
      </c>
      <c r="V689" s="77">
        <f t="shared" ca="1" si="373"/>
        <v>0</v>
      </c>
      <c r="W689" s="77">
        <f t="shared" ca="1" si="373"/>
        <v>0</v>
      </c>
      <c r="X689" s="77">
        <f t="shared" ca="1" si="373"/>
        <v>0</v>
      </c>
    </row>
    <row r="690" spans="1:24" hidden="1">
      <c r="A690" s="259"/>
      <c r="B690" s="21"/>
      <c r="C690" s="22"/>
      <c r="D690" s="21"/>
      <c r="E690" s="21"/>
      <c r="F690" s="21"/>
      <c r="G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idden="1">
      <c r="A691" s="259"/>
      <c r="B691" s="20" t="str">
        <f>B105</f>
        <v/>
      </c>
      <c r="C691" s="21">
        <f>C684+1</f>
        <v>77</v>
      </c>
      <c r="D691" s="483">
        <f>D684+1</f>
        <v>169</v>
      </c>
      <c r="E691" s="21"/>
      <c r="F691" s="21"/>
      <c r="G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idden="1">
      <c r="A692" s="259"/>
      <c r="B692" s="21" t="s">
        <v>414</v>
      </c>
      <c r="C692" s="165">
        <f ca="1">IFERROR(YEAR(OFFSET($D$28,C691,0)),0)</f>
        <v>0</v>
      </c>
      <c r="D692" s="165">
        <f ca="1">IFERROR(MONTH(OFFSET($D$28,C691,0)),0)</f>
        <v>0</v>
      </c>
      <c r="E692" s="21">
        <f ca="1">12-$D692</f>
        <v>12</v>
      </c>
      <c r="F692" s="21"/>
      <c r="G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idden="1">
      <c r="A693" s="259"/>
      <c r="B693" s="21" t="s">
        <v>406</v>
      </c>
      <c r="C693" s="245">
        <f ca="1">IF(OFFSET($F$28,C691,0)&lt;0,0,OFFSET($F$28,C691,0))</f>
        <v>0</v>
      </c>
      <c r="D693" s="22">
        <f ca="1">OFFSET($C$28,C691,0)</f>
        <v>0</v>
      </c>
      <c r="E693" s="22">
        <f ca="1">IF(D693&gt;10,ROUND(($C694/12)*$E692,0),$C693)</f>
        <v>0</v>
      </c>
      <c r="F693" s="21"/>
      <c r="G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</row>
    <row r="694" spans="1:24" hidden="1">
      <c r="A694" s="259"/>
      <c r="B694" s="21" t="s">
        <v>415</v>
      </c>
      <c r="C694" s="245">
        <f ca="1">IF(ISBLANK(OFFSET($D$28,C691,0)),0,IF(OFFSET($C$28,C691,0)&gt;10,ROUND(C693*am_wnip,0),IF(C693&lt;0,0,C693)))</f>
        <v>0</v>
      </c>
      <c r="D694" s="21"/>
      <c r="E694" s="21"/>
      <c r="F694" s="21"/>
      <c r="G694" s="21"/>
      <c r="I694" s="21"/>
      <c r="J694" s="483" t="str" cm="1">
        <f t="array" aca="1" ref="J694" ca="1">OFFSET('Środki trwałe'!$C$195,'Rozliczenie dotacji'!D691,,)</f>
        <v/>
      </c>
      <c r="K694" s="75">
        <f ca="1">ROUND(IF($C692=LataProjekcji,$E693,IF($C692=LataProjekcji,$C694,0)),0)</f>
        <v>0</v>
      </c>
      <c r="L694" s="248">
        <f ca="1">ROUND(IF(OR(AND($C692=LataProjekcji,$E692&gt;0),AND($C692=LataProjekcji,$E692=0,$D693&lt;=10)),$E693,IF($C692&lt;LataProjekcji,IF((SUM($K694:K694)+$C694)&lt;$C693,$C694,$C693-SUM($K694:K694)),0)),0)</f>
        <v>0</v>
      </c>
      <c r="M694" s="248">
        <f ca="1">ROUND(IF(OR(AND($C692=LataProjekcji,$E692&gt;0),AND($C692=LataProjekcji,$E692=0,$D693&lt;=10)),$E693,IF($C692&lt;LataProjekcji,IF((SUM($K694:L694)+$C694)&lt;$C693,$C694,$C693-SUM($K694:L694)),0)),0)</f>
        <v>0</v>
      </c>
      <c r="N694" s="248">
        <f ca="1">ROUND(IF(OR(AND($C692=LataProjekcji,$E692&gt;0),AND($C692=LataProjekcji,$E692=0,$D693&lt;=10)),$E693,IF($C692&lt;LataProjekcji,IF((SUM($K694:M694)+$C694)&lt;$C693,$C694,$C693-SUM($K694:M694)),0)),0)</f>
        <v>0</v>
      </c>
      <c r="O694" s="248">
        <f ca="1">ROUND(IF(OR(AND($C692=LataProjekcji,$E692&gt;0),AND($C692=LataProjekcji,$E692=0,$D693&lt;=10)),$E693,IF($C692&lt;LataProjekcji,IF((SUM($K694:N694)+$C694)&lt;$C693,$C694,$C693-SUM($K694:N694)),0)),0)</f>
        <v>0</v>
      </c>
      <c r="P694" s="248">
        <f ca="1">ROUND(IF(OR(AND($C692=LataProjekcji,$E692&gt;0),AND($C692=LataProjekcji,$E692=0,$D693&lt;=10)),$E693,IF($C692&lt;LataProjekcji,IF((SUM($K694:O694)+$C694)&lt;$C693,$C694,$C693-SUM($K694:O694)),0)),0)</f>
        <v>0</v>
      </c>
      <c r="Q694" s="248">
        <f ca="1">ROUND(IF(OR(AND($C692=LataProjekcji,$E692&gt;0),AND($C692=LataProjekcji,$E692=0,$D693&lt;=10)),$E693,IF($C692&lt;LataProjekcji,IF((SUM($K694:P694)+$C694)&lt;$C693,$C694,$C693-SUM($K694:P694)),0)),0)</f>
        <v>0</v>
      </c>
      <c r="R694" s="248">
        <f ca="1">ROUND(IF(OR(AND($C692=LataProjekcji,$E692&gt;0),AND($C692=LataProjekcji,$E692=0,$D693&lt;=10)),$E693,IF($C692&lt;LataProjekcji,IF((SUM($K694:Q694)+$C694)&lt;$C693,$C694,$C693-SUM($K694:Q694)),0)),0)</f>
        <v>0</v>
      </c>
      <c r="S694" s="248">
        <f ca="1">ROUND(IF(OR(AND($C692=LataProjekcji,$E692&gt;0),AND($C692=LataProjekcji,$E692=0,$D693&lt;=10)),$E693,IF($C692&lt;LataProjekcji,IF((SUM($K694:R694)+$C694)&lt;$C693,$C694,$C693-SUM($K694:R694)),0)),0)</f>
        <v>0</v>
      </c>
      <c r="T694" s="248">
        <f ca="1">ROUND(IF(OR(AND($C692=LataProjekcji,$E692&gt;0),AND($C692=LataProjekcji,$E692=0,$D693&lt;=10)),$E693,IF($C692&lt;LataProjekcji,IF((SUM($K694:S694)+$C694)&lt;$C693,$C694,$C693-SUM($K694:S694)),0)),0)</f>
        <v>0</v>
      </c>
      <c r="U694" s="248">
        <f ca="1">ROUND(IF(OR(AND($C692=LataProjekcji,$E692&gt;0),AND($C692=LataProjekcji,$E692=0,$D693&lt;=10)),$E693,IF($C692&lt;LataProjekcji,IF((SUM($K694:T694)+$C694)&lt;$C693,$C694,$C693-SUM($K694:T694)),0)),0)</f>
        <v>0</v>
      </c>
      <c r="V694" s="248">
        <f ca="1">ROUND(IF(OR(AND($C692=LataProjekcji,$E692&gt;0),AND($C692=LataProjekcji,$E692=0,$D693&lt;=10)),$E693,IF($C692&lt;LataProjekcji,IF((SUM($K694:U694)+$C694)&lt;$C693,$C694,$C693-SUM($K694:U694)),0)),0)</f>
        <v>0</v>
      </c>
      <c r="W694" s="248">
        <f ca="1">ROUND(IF(OR(AND($C692=LataProjekcji,$E692&gt;0),AND($C692=LataProjekcji,$E692=0,$D693&lt;=10)),$E693,IF($C692&lt;LataProjekcji,IF((SUM($K694:V694)+$C694)&lt;$C693,$C694,$C693-SUM($K694:V694)),0)),0)</f>
        <v>0</v>
      </c>
      <c r="X694" s="248">
        <f ca="1">ROUND(IF(OR(AND($C692=LataProjekcji,$E692&gt;0),AND($C692=LataProjekcji,$E692=0,$D693&lt;=10)),$E693,IF($C692&lt;LataProjekcji,IF((SUM($K694:W694)+$C694)&lt;$C693,$C694,$C693-SUM($K694:W694)),0)),0)</f>
        <v>0</v>
      </c>
    </row>
    <row r="695" spans="1:24" hidden="1">
      <c r="A695" s="259"/>
      <c r="B695" s="21" t="s">
        <v>416</v>
      </c>
      <c r="C695" s="22"/>
      <c r="D695" s="21"/>
      <c r="E695" s="21"/>
      <c r="F695" s="21"/>
      <c r="G695" s="21"/>
      <c r="I695" s="21"/>
      <c r="J695" s="21"/>
      <c r="K695" s="22">
        <f ca="1">ROUND(K694,0)</f>
        <v>0</v>
      </c>
      <c r="L695" s="22">
        <f t="shared" ref="L695:X695" ca="1" si="374">ROUND(K695+L694,0)</f>
        <v>0</v>
      </c>
      <c r="M695" s="22">
        <f t="shared" ca="1" si="374"/>
        <v>0</v>
      </c>
      <c r="N695" s="22">
        <f t="shared" ca="1" si="374"/>
        <v>0</v>
      </c>
      <c r="O695" s="22">
        <f t="shared" ca="1" si="374"/>
        <v>0</v>
      </c>
      <c r="P695" s="22">
        <f t="shared" ca="1" si="374"/>
        <v>0</v>
      </c>
      <c r="Q695" s="22">
        <f t="shared" ca="1" si="374"/>
        <v>0</v>
      </c>
      <c r="R695" s="22">
        <f t="shared" ca="1" si="374"/>
        <v>0</v>
      </c>
      <c r="S695" s="22">
        <f t="shared" ca="1" si="374"/>
        <v>0</v>
      </c>
      <c r="T695" s="22">
        <f t="shared" ca="1" si="374"/>
        <v>0</v>
      </c>
      <c r="U695" s="22">
        <f t="shared" ca="1" si="374"/>
        <v>0</v>
      </c>
      <c r="V695" s="22">
        <f t="shared" ca="1" si="374"/>
        <v>0</v>
      </c>
      <c r="W695" s="22">
        <f t="shared" ca="1" si="374"/>
        <v>0</v>
      </c>
      <c r="X695" s="22">
        <f t="shared" ca="1" si="374"/>
        <v>0</v>
      </c>
    </row>
    <row r="696" spans="1:24" hidden="1">
      <c r="A696" s="259"/>
      <c r="B696" s="21" t="s">
        <v>406</v>
      </c>
      <c r="C696" s="22"/>
      <c r="D696" s="21"/>
      <c r="E696" s="21"/>
      <c r="F696" s="21"/>
      <c r="G696" s="21"/>
      <c r="I696" s="21"/>
      <c r="J696" s="21"/>
      <c r="K696" s="77">
        <f t="shared" ref="K696:X696" ca="1" si="375">IF($C692=LataProjekcji,ROUND($C693-K695,0),ROUND(IF(K694=0,0,$C693-K695),0))</f>
        <v>0</v>
      </c>
      <c r="L696" s="77">
        <f t="shared" ca="1" si="375"/>
        <v>0</v>
      </c>
      <c r="M696" s="77">
        <f t="shared" ca="1" si="375"/>
        <v>0</v>
      </c>
      <c r="N696" s="77">
        <f t="shared" ca="1" si="375"/>
        <v>0</v>
      </c>
      <c r="O696" s="77">
        <f t="shared" ca="1" si="375"/>
        <v>0</v>
      </c>
      <c r="P696" s="77">
        <f t="shared" ca="1" si="375"/>
        <v>0</v>
      </c>
      <c r="Q696" s="77">
        <f t="shared" ca="1" si="375"/>
        <v>0</v>
      </c>
      <c r="R696" s="77">
        <f t="shared" ca="1" si="375"/>
        <v>0</v>
      </c>
      <c r="S696" s="77">
        <f t="shared" ca="1" si="375"/>
        <v>0</v>
      </c>
      <c r="T696" s="77">
        <f t="shared" ca="1" si="375"/>
        <v>0</v>
      </c>
      <c r="U696" s="77">
        <f t="shared" ca="1" si="375"/>
        <v>0</v>
      </c>
      <c r="V696" s="77">
        <f t="shared" ca="1" si="375"/>
        <v>0</v>
      </c>
      <c r="W696" s="77">
        <f t="shared" ca="1" si="375"/>
        <v>0</v>
      </c>
      <c r="X696" s="77">
        <f t="shared" ca="1" si="375"/>
        <v>0</v>
      </c>
    </row>
    <row r="697" spans="1:24" hidden="1">
      <c r="A697" s="259"/>
      <c r="B697" s="20"/>
      <c r="C697" s="21"/>
      <c r="D697" s="21"/>
      <c r="E697" s="21"/>
      <c r="F697" s="21"/>
      <c r="G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idden="1">
      <c r="A698" s="259"/>
      <c r="B698" s="20" t="str">
        <f>B106</f>
        <v/>
      </c>
      <c r="C698" s="21">
        <f>C691+1</f>
        <v>78</v>
      </c>
      <c r="D698" s="483">
        <f>D691+1</f>
        <v>170</v>
      </c>
      <c r="E698" s="21"/>
      <c r="F698" s="21"/>
      <c r="G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idden="1">
      <c r="A699" s="259"/>
      <c r="B699" s="21" t="s">
        <v>414</v>
      </c>
      <c r="C699" s="165">
        <f ca="1">IFERROR(YEAR(OFFSET($D$28,C698,0)),0)</f>
        <v>0</v>
      </c>
      <c r="D699" s="165">
        <f ca="1">IFERROR(MONTH(OFFSET($D$28,C698,0)),0)</f>
        <v>0</v>
      </c>
      <c r="E699" s="21">
        <f ca="1">12-$D699</f>
        <v>12</v>
      </c>
      <c r="F699" s="21"/>
      <c r="G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idden="1">
      <c r="A700" s="259"/>
      <c r="B700" s="21" t="s">
        <v>406</v>
      </c>
      <c r="C700" s="245">
        <f ca="1">IF(OFFSET($F$28,C698,0)&lt;0,0,OFFSET($F$28,C698,0))</f>
        <v>0</v>
      </c>
      <c r="D700" s="22">
        <f ca="1">OFFSET($C$28,C698,0)</f>
        <v>0</v>
      </c>
      <c r="E700" s="22">
        <f ca="1">IF(D700&gt;10,ROUND(($C701/12)*$E699,0),$C700)</f>
        <v>0</v>
      </c>
      <c r="F700" s="21"/>
      <c r="G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259"/>
      <c r="B701" s="21" t="s">
        <v>415</v>
      </c>
      <c r="C701" s="245">
        <f ca="1">IF(ISBLANK(OFFSET($D$28,C698,0)),0,IF(OFFSET($C$28,C698,0)&gt;10,ROUND(C700*am_wnip,0),IF(C700&lt;0,0,C700)))</f>
        <v>0</v>
      </c>
      <c r="D701" s="21"/>
      <c r="E701" s="21"/>
      <c r="F701" s="21"/>
      <c r="G701" s="21"/>
      <c r="I701" s="21"/>
      <c r="J701" s="483" t="str" cm="1">
        <f t="array" aca="1" ref="J701" ca="1">OFFSET('Środki trwałe'!$C$195,'Rozliczenie dotacji'!D698,,)</f>
        <v/>
      </c>
      <c r="K701" s="75">
        <f ca="1">ROUND(IF($C699=LataProjekcji,$E700,IF($C699=LataProjekcji,$C701,0)),0)</f>
        <v>0</v>
      </c>
      <c r="L701" s="248">
        <f ca="1">ROUND(IF(OR(AND($C699=LataProjekcji,$E699&gt;0),AND($C699=LataProjekcji,$E699=0,$D700&lt;=10)),$E700,IF($C699&lt;LataProjekcji,IF((SUM($K701:K701)+$C701)&lt;$C700,$C701,$C700-SUM($K701:K701)),0)),0)</f>
        <v>0</v>
      </c>
      <c r="M701" s="248">
        <f ca="1">ROUND(IF(OR(AND($C699=LataProjekcji,$E699&gt;0),AND($C699=LataProjekcji,$E699=0,$D700&lt;=10)),$E700,IF($C699&lt;LataProjekcji,IF((SUM($K701:L701)+$C701)&lt;$C700,$C701,$C700-SUM($K701:L701)),0)),0)</f>
        <v>0</v>
      </c>
      <c r="N701" s="248">
        <f ca="1">ROUND(IF(OR(AND($C699=LataProjekcji,$E699&gt;0),AND($C699=LataProjekcji,$E699=0,$D700&lt;=10)),$E700,IF($C699&lt;LataProjekcji,IF((SUM($K701:M701)+$C701)&lt;$C700,$C701,$C700-SUM($K701:M701)),0)),0)</f>
        <v>0</v>
      </c>
      <c r="O701" s="248">
        <f ca="1">ROUND(IF(OR(AND($C699=LataProjekcji,$E699&gt;0),AND($C699=LataProjekcji,$E699=0,$D700&lt;=10)),$E700,IF($C699&lt;LataProjekcji,IF((SUM($K701:N701)+$C701)&lt;$C700,$C701,$C700-SUM($K701:N701)),0)),0)</f>
        <v>0</v>
      </c>
      <c r="P701" s="248">
        <f ca="1">ROUND(IF(OR(AND($C699=LataProjekcji,$E699&gt;0),AND($C699=LataProjekcji,$E699=0,$D700&lt;=10)),$E700,IF($C699&lt;LataProjekcji,IF((SUM($K701:O701)+$C701)&lt;$C700,$C701,$C700-SUM($K701:O701)),0)),0)</f>
        <v>0</v>
      </c>
      <c r="Q701" s="248">
        <f ca="1">ROUND(IF(OR(AND($C699=LataProjekcji,$E699&gt;0),AND($C699=LataProjekcji,$E699=0,$D700&lt;=10)),$E700,IF($C699&lt;LataProjekcji,IF((SUM($K701:P701)+$C701)&lt;$C700,$C701,$C700-SUM($K701:P701)),0)),0)</f>
        <v>0</v>
      </c>
      <c r="R701" s="248">
        <f ca="1">ROUND(IF(OR(AND($C699=LataProjekcji,$E699&gt;0),AND($C699=LataProjekcji,$E699=0,$D700&lt;=10)),$E700,IF($C699&lt;LataProjekcji,IF((SUM($K701:Q701)+$C701)&lt;$C700,$C701,$C700-SUM($K701:Q701)),0)),0)</f>
        <v>0</v>
      </c>
      <c r="S701" s="248">
        <f ca="1">ROUND(IF(OR(AND($C699=LataProjekcji,$E699&gt;0),AND($C699=LataProjekcji,$E699=0,$D700&lt;=10)),$E700,IF($C699&lt;LataProjekcji,IF((SUM($K701:R701)+$C701)&lt;$C700,$C701,$C700-SUM($K701:R701)),0)),0)</f>
        <v>0</v>
      </c>
      <c r="T701" s="248">
        <f ca="1">ROUND(IF(OR(AND($C699=LataProjekcji,$E699&gt;0),AND($C699=LataProjekcji,$E699=0,$D700&lt;=10)),$E700,IF($C699&lt;LataProjekcji,IF((SUM($K701:S701)+$C701)&lt;$C700,$C701,$C700-SUM($K701:S701)),0)),0)</f>
        <v>0</v>
      </c>
      <c r="U701" s="248">
        <f ca="1">ROUND(IF(OR(AND($C699=LataProjekcji,$E699&gt;0),AND($C699=LataProjekcji,$E699=0,$D700&lt;=10)),$E700,IF($C699&lt;LataProjekcji,IF((SUM($K701:T701)+$C701)&lt;$C700,$C701,$C700-SUM($K701:T701)),0)),0)</f>
        <v>0</v>
      </c>
      <c r="V701" s="248">
        <f ca="1">ROUND(IF(OR(AND($C699=LataProjekcji,$E699&gt;0),AND($C699=LataProjekcji,$E699=0,$D700&lt;=10)),$E700,IF($C699&lt;LataProjekcji,IF((SUM($K701:U701)+$C701)&lt;$C700,$C701,$C700-SUM($K701:U701)),0)),0)</f>
        <v>0</v>
      </c>
      <c r="W701" s="248">
        <f ca="1">ROUND(IF(OR(AND($C699=LataProjekcji,$E699&gt;0),AND($C699=LataProjekcji,$E699=0,$D700&lt;=10)),$E700,IF($C699&lt;LataProjekcji,IF((SUM($K701:V701)+$C701)&lt;$C700,$C701,$C700-SUM($K701:V701)),0)),0)</f>
        <v>0</v>
      </c>
      <c r="X701" s="248">
        <f ca="1">ROUND(IF(OR(AND($C699=LataProjekcji,$E699&gt;0),AND($C699=LataProjekcji,$E699=0,$D700&lt;=10)),$E700,IF($C699&lt;LataProjekcji,IF((SUM($K701:W701)+$C701)&lt;$C700,$C701,$C700-SUM($K701:W701)),0)),0)</f>
        <v>0</v>
      </c>
    </row>
    <row r="702" spans="1:24" hidden="1">
      <c r="A702" s="259"/>
      <c r="B702" s="21" t="s">
        <v>416</v>
      </c>
      <c r="C702" s="22"/>
      <c r="D702" s="21"/>
      <c r="E702" s="21"/>
      <c r="F702" s="21"/>
      <c r="G702" s="21"/>
      <c r="I702" s="21"/>
      <c r="J702" s="21"/>
      <c r="K702" s="22">
        <f ca="1">ROUND(K701,0)</f>
        <v>0</v>
      </c>
      <c r="L702" s="22">
        <f t="shared" ref="L702:X702" ca="1" si="376">ROUND(K702+L701,0)</f>
        <v>0</v>
      </c>
      <c r="M702" s="22">
        <f t="shared" ca="1" si="376"/>
        <v>0</v>
      </c>
      <c r="N702" s="22">
        <f t="shared" ca="1" si="376"/>
        <v>0</v>
      </c>
      <c r="O702" s="22">
        <f t="shared" ca="1" si="376"/>
        <v>0</v>
      </c>
      <c r="P702" s="22">
        <f t="shared" ca="1" si="376"/>
        <v>0</v>
      </c>
      <c r="Q702" s="22">
        <f t="shared" ca="1" si="376"/>
        <v>0</v>
      </c>
      <c r="R702" s="22">
        <f t="shared" ca="1" si="376"/>
        <v>0</v>
      </c>
      <c r="S702" s="22">
        <f t="shared" ca="1" si="376"/>
        <v>0</v>
      </c>
      <c r="T702" s="22">
        <f t="shared" ca="1" si="376"/>
        <v>0</v>
      </c>
      <c r="U702" s="22">
        <f t="shared" ca="1" si="376"/>
        <v>0</v>
      </c>
      <c r="V702" s="22">
        <f t="shared" ca="1" si="376"/>
        <v>0</v>
      </c>
      <c r="W702" s="22">
        <f t="shared" ca="1" si="376"/>
        <v>0</v>
      </c>
      <c r="X702" s="22">
        <f t="shared" ca="1" si="376"/>
        <v>0</v>
      </c>
    </row>
    <row r="703" spans="1:24" hidden="1">
      <c r="A703" s="259"/>
      <c r="B703" s="21" t="s">
        <v>406</v>
      </c>
      <c r="C703" s="22"/>
      <c r="D703" s="21"/>
      <c r="E703" s="21"/>
      <c r="F703" s="21"/>
      <c r="G703" s="21"/>
      <c r="I703" s="21"/>
      <c r="J703" s="21"/>
      <c r="K703" s="77">
        <f t="shared" ref="K703:X703" ca="1" si="377">IF($C699=LataProjekcji,ROUND($C700-K702,0),ROUND(IF(K701=0,0,$C700-K702),0))</f>
        <v>0</v>
      </c>
      <c r="L703" s="77">
        <f t="shared" ca="1" si="377"/>
        <v>0</v>
      </c>
      <c r="M703" s="77">
        <f t="shared" ca="1" si="377"/>
        <v>0</v>
      </c>
      <c r="N703" s="77">
        <f t="shared" ca="1" si="377"/>
        <v>0</v>
      </c>
      <c r="O703" s="77">
        <f t="shared" ca="1" si="377"/>
        <v>0</v>
      </c>
      <c r="P703" s="77">
        <f t="shared" ca="1" si="377"/>
        <v>0</v>
      </c>
      <c r="Q703" s="77">
        <f t="shared" ca="1" si="377"/>
        <v>0</v>
      </c>
      <c r="R703" s="77">
        <f t="shared" ca="1" si="377"/>
        <v>0</v>
      </c>
      <c r="S703" s="77">
        <f t="shared" ca="1" si="377"/>
        <v>0</v>
      </c>
      <c r="T703" s="77">
        <f t="shared" ca="1" si="377"/>
        <v>0</v>
      </c>
      <c r="U703" s="77">
        <f t="shared" ca="1" si="377"/>
        <v>0</v>
      </c>
      <c r="V703" s="77">
        <f t="shared" ca="1" si="377"/>
        <v>0</v>
      </c>
      <c r="W703" s="77">
        <f t="shared" ca="1" si="377"/>
        <v>0</v>
      </c>
      <c r="X703" s="77">
        <f t="shared" ca="1" si="377"/>
        <v>0</v>
      </c>
    </row>
    <row r="704" spans="1:24" hidden="1">
      <c r="A704" s="259"/>
      <c r="B704" s="21"/>
      <c r="C704" s="22"/>
      <c r="D704" s="21"/>
      <c r="E704" s="21"/>
      <c r="F704" s="21"/>
      <c r="G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idden="1">
      <c r="A705" s="259"/>
      <c r="B705" s="20" t="str">
        <f>B107</f>
        <v/>
      </c>
      <c r="C705" s="21">
        <f>C698+1</f>
        <v>79</v>
      </c>
      <c r="D705" s="483">
        <f>D698+1</f>
        <v>171</v>
      </c>
      <c r="E705" s="21"/>
      <c r="F705" s="21"/>
      <c r="G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idden="1">
      <c r="A706" s="259"/>
      <c r="B706" s="21" t="s">
        <v>414</v>
      </c>
      <c r="C706" s="165">
        <f ca="1">IFERROR(YEAR(OFFSET($D$28,C705,0)),0)</f>
        <v>0</v>
      </c>
      <c r="D706" s="165">
        <f ca="1">IFERROR(MONTH(OFFSET($D$28,C705,0)),0)</f>
        <v>0</v>
      </c>
      <c r="E706" s="21">
        <f ca="1">12-$D706</f>
        <v>12</v>
      </c>
      <c r="F706" s="21"/>
      <c r="G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idden="1">
      <c r="A707" s="259"/>
      <c r="B707" s="21" t="s">
        <v>406</v>
      </c>
      <c r="C707" s="245">
        <f ca="1">IF(OFFSET($F$28,C705,0)&lt;0,0,OFFSET($F$28,C705,0))</f>
        <v>0</v>
      </c>
      <c r="D707" s="22">
        <f ca="1">OFFSET($C$28,C705,0)</f>
        <v>0</v>
      </c>
      <c r="E707" s="22">
        <f ca="1">IF(D707&gt;10,ROUND(($C708/12)*$E706,0),$C707)</f>
        <v>0</v>
      </c>
      <c r="F707" s="21"/>
      <c r="G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</row>
    <row r="708" spans="1:24" hidden="1">
      <c r="A708" s="259"/>
      <c r="B708" s="21" t="s">
        <v>415</v>
      </c>
      <c r="C708" s="245">
        <f ca="1">IF(ISBLANK(OFFSET($D$28,C705,0)),0,IF(OFFSET($C$28,C705,0)&gt;10,ROUND(C707*am_wnip,0),IF(C707&lt;0,0,C707)))</f>
        <v>0</v>
      </c>
      <c r="D708" s="21"/>
      <c r="E708" s="21"/>
      <c r="F708" s="21"/>
      <c r="G708" s="21"/>
      <c r="I708" s="21"/>
      <c r="J708" s="483" t="str" cm="1">
        <f t="array" aca="1" ref="J708" ca="1">OFFSET('Środki trwałe'!$C$195,'Rozliczenie dotacji'!D705,,)</f>
        <v/>
      </c>
      <c r="K708" s="75">
        <f ca="1">ROUND(IF($C706=LataProjekcji,$E707,IF($C706=LataProjekcji,$C708,0)),0)</f>
        <v>0</v>
      </c>
      <c r="L708" s="248">
        <f ca="1">ROUND(IF(OR(AND($C706=LataProjekcji,$E706&gt;0),AND($C706=LataProjekcji,$E706=0,$D707&lt;=10)),$E707,IF($C706&lt;LataProjekcji,IF((SUM($K708:K708)+$C708)&lt;$C707,$C708,$C707-SUM($K708:K708)),0)),0)</f>
        <v>0</v>
      </c>
      <c r="M708" s="248">
        <f ca="1">ROUND(IF(OR(AND($C706=LataProjekcji,$E706&gt;0),AND($C706=LataProjekcji,$E706=0,$D707&lt;=10)),$E707,IF($C706&lt;LataProjekcji,IF((SUM($K708:L708)+$C708)&lt;$C707,$C708,$C707-SUM($K708:L708)),0)),0)</f>
        <v>0</v>
      </c>
      <c r="N708" s="248">
        <f ca="1">ROUND(IF(OR(AND($C706=LataProjekcji,$E706&gt;0),AND($C706=LataProjekcji,$E706=0,$D707&lt;=10)),$E707,IF($C706&lt;LataProjekcji,IF((SUM($K708:M708)+$C708)&lt;$C707,$C708,$C707-SUM($K708:M708)),0)),0)</f>
        <v>0</v>
      </c>
      <c r="O708" s="248">
        <f ca="1">ROUND(IF(OR(AND($C706=LataProjekcji,$E706&gt;0),AND($C706=LataProjekcji,$E706=0,$D707&lt;=10)),$E707,IF($C706&lt;LataProjekcji,IF((SUM($K708:N708)+$C708)&lt;$C707,$C708,$C707-SUM($K708:N708)),0)),0)</f>
        <v>0</v>
      </c>
      <c r="P708" s="248">
        <f ca="1">ROUND(IF(OR(AND($C706=LataProjekcji,$E706&gt;0),AND($C706=LataProjekcji,$E706=0,$D707&lt;=10)),$E707,IF($C706&lt;LataProjekcji,IF((SUM($K708:O708)+$C708)&lt;$C707,$C708,$C707-SUM($K708:O708)),0)),0)</f>
        <v>0</v>
      </c>
      <c r="Q708" s="248">
        <f ca="1">ROUND(IF(OR(AND($C706=LataProjekcji,$E706&gt;0),AND($C706=LataProjekcji,$E706=0,$D707&lt;=10)),$E707,IF($C706&lt;LataProjekcji,IF((SUM($K708:P708)+$C708)&lt;$C707,$C708,$C707-SUM($K708:P708)),0)),0)</f>
        <v>0</v>
      </c>
      <c r="R708" s="248">
        <f ca="1">ROUND(IF(OR(AND($C706=LataProjekcji,$E706&gt;0),AND($C706=LataProjekcji,$E706=0,$D707&lt;=10)),$E707,IF($C706&lt;LataProjekcji,IF((SUM($K708:Q708)+$C708)&lt;$C707,$C708,$C707-SUM($K708:Q708)),0)),0)</f>
        <v>0</v>
      </c>
      <c r="S708" s="248">
        <f ca="1">ROUND(IF(OR(AND($C706=LataProjekcji,$E706&gt;0),AND($C706=LataProjekcji,$E706=0,$D707&lt;=10)),$E707,IF($C706&lt;LataProjekcji,IF((SUM($K708:R708)+$C708)&lt;$C707,$C708,$C707-SUM($K708:R708)),0)),0)</f>
        <v>0</v>
      </c>
      <c r="T708" s="248">
        <f ca="1">ROUND(IF(OR(AND($C706=LataProjekcji,$E706&gt;0),AND($C706=LataProjekcji,$E706=0,$D707&lt;=10)),$E707,IF($C706&lt;LataProjekcji,IF((SUM($K708:S708)+$C708)&lt;$C707,$C708,$C707-SUM($K708:S708)),0)),0)</f>
        <v>0</v>
      </c>
      <c r="U708" s="248">
        <f ca="1">ROUND(IF(OR(AND($C706=LataProjekcji,$E706&gt;0),AND($C706=LataProjekcji,$E706=0,$D707&lt;=10)),$E707,IF($C706&lt;LataProjekcji,IF((SUM($K708:T708)+$C708)&lt;$C707,$C708,$C707-SUM($K708:T708)),0)),0)</f>
        <v>0</v>
      </c>
      <c r="V708" s="248">
        <f ca="1">ROUND(IF(OR(AND($C706=LataProjekcji,$E706&gt;0),AND($C706=LataProjekcji,$E706=0,$D707&lt;=10)),$E707,IF($C706&lt;LataProjekcji,IF((SUM($K708:U708)+$C708)&lt;$C707,$C708,$C707-SUM($K708:U708)),0)),0)</f>
        <v>0</v>
      </c>
      <c r="W708" s="248">
        <f ca="1">ROUND(IF(OR(AND($C706=LataProjekcji,$E706&gt;0),AND($C706=LataProjekcji,$E706=0,$D707&lt;=10)),$E707,IF($C706&lt;LataProjekcji,IF((SUM($K708:V708)+$C708)&lt;$C707,$C708,$C707-SUM($K708:V708)),0)),0)</f>
        <v>0</v>
      </c>
      <c r="X708" s="248">
        <f ca="1">ROUND(IF(OR(AND($C706=LataProjekcji,$E706&gt;0),AND($C706=LataProjekcji,$E706=0,$D707&lt;=10)),$E707,IF($C706&lt;LataProjekcji,IF((SUM($K708:W708)+$C708)&lt;$C707,$C708,$C707-SUM($K708:W708)),0)),0)</f>
        <v>0</v>
      </c>
    </row>
    <row r="709" spans="1:24" hidden="1">
      <c r="A709" s="259"/>
      <c r="B709" s="21" t="s">
        <v>416</v>
      </c>
      <c r="C709" s="22"/>
      <c r="D709" s="21"/>
      <c r="E709" s="21"/>
      <c r="F709" s="21"/>
      <c r="G709" s="21"/>
      <c r="I709" s="21"/>
      <c r="J709" s="21"/>
      <c r="K709" s="22">
        <f ca="1">ROUND(K708,0)</f>
        <v>0</v>
      </c>
      <c r="L709" s="22">
        <f t="shared" ref="L709:X709" ca="1" si="378">ROUND(K709+L708,0)</f>
        <v>0</v>
      </c>
      <c r="M709" s="22">
        <f t="shared" ca="1" si="378"/>
        <v>0</v>
      </c>
      <c r="N709" s="22">
        <f t="shared" ca="1" si="378"/>
        <v>0</v>
      </c>
      <c r="O709" s="22">
        <f t="shared" ca="1" si="378"/>
        <v>0</v>
      </c>
      <c r="P709" s="22">
        <f t="shared" ca="1" si="378"/>
        <v>0</v>
      </c>
      <c r="Q709" s="22">
        <f t="shared" ca="1" si="378"/>
        <v>0</v>
      </c>
      <c r="R709" s="22">
        <f t="shared" ca="1" si="378"/>
        <v>0</v>
      </c>
      <c r="S709" s="22">
        <f t="shared" ca="1" si="378"/>
        <v>0</v>
      </c>
      <c r="T709" s="22">
        <f t="shared" ca="1" si="378"/>
        <v>0</v>
      </c>
      <c r="U709" s="22">
        <f t="shared" ca="1" si="378"/>
        <v>0</v>
      </c>
      <c r="V709" s="22">
        <f t="shared" ca="1" si="378"/>
        <v>0</v>
      </c>
      <c r="W709" s="22">
        <f t="shared" ca="1" si="378"/>
        <v>0</v>
      </c>
      <c r="X709" s="22">
        <f t="shared" ca="1" si="378"/>
        <v>0</v>
      </c>
    </row>
    <row r="710" spans="1:24" hidden="1">
      <c r="A710" s="259"/>
      <c r="B710" s="21" t="s">
        <v>406</v>
      </c>
      <c r="C710" s="22"/>
      <c r="D710" s="21"/>
      <c r="E710" s="21"/>
      <c r="F710" s="21"/>
      <c r="G710" s="21"/>
      <c r="I710" s="21"/>
      <c r="J710" s="21"/>
      <c r="K710" s="77">
        <f t="shared" ref="K710:X710" ca="1" si="379">IF($C706=LataProjekcji,ROUND($C707-K709,0),ROUND(IF(K708=0,0,$C707-K709),0))</f>
        <v>0</v>
      </c>
      <c r="L710" s="77">
        <f t="shared" ca="1" si="379"/>
        <v>0</v>
      </c>
      <c r="M710" s="77">
        <f t="shared" ca="1" si="379"/>
        <v>0</v>
      </c>
      <c r="N710" s="77">
        <f t="shared" ca="1" si="379"/>
        <v>0</v>
      </c>
      <c r="O710" s="77">
        <f t="shared" ca="1" si="379"/>
        <v>0</v>
      </c>
      <c r="P710" s="77">
        <f t="shared" ca="1" si="379"/>
        <v>0</v>
      </c>
      <c r="Q710" s="77">
        <f t="shared" ca="1" si="379"/>
        <v>0</v>
      </c>
      <c r="R710" s="77">
        <f t="shared" ca="1" si="379"/>
        <v>0</v>
      </c>
      <c r="S710" s="77">
        <f t="shared" ca="1" si="379"/>
        <v>0</v>
      </c>
      <c r="T710" s="77">
        <f t="shared" ca="1" si="379"/>
        <v>0</v>
      </c>
      <c r="U710" s="77">
        <f t="shared" ca="1" si="379"/>
        <v>0</v>
      </c>
      <c r="V710" s="77">
        <f t="shared" ca="1" si="379"/>
        <v>0</v>
      </c>
      <c r="W710" s="77">
        <f t="shared" ca="1" si="379"/>
        <v>0</v>
      </c>
      <c r="X710" s="77">
        <f t="shared" ca="1" si="379"/>
        <v>0</v>
      </c>
    </row>
    <row r="711" spans="1:24" hidden="1">
      <c r="A711" s="259"/>
      <c r="B711" s="21"/>
      <c r="C711" s="21"/>
      <c r="D711" s="21"/>
      <c r="E711" s="21"/>
      <c r="F711" s="21"/>
      <c r="G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idden="1">
      <c r="A712" s="259"/>
      <c r="B712" s="20" t="str">
        <f>B108</f>
        <v/>
      </c>
      <c r="C712" s="21">
        <f>C705+1</f>
        <v>80</v>
      </c>
      <c r="D712" s="483">
        <f>D705+1</f>
        <v>172</v>
      </c>
      <c r="E712" s="21"/>
      <c r="F712" s="21"/>
      <c r="G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idden="1">
      <c r="A713" s="259"/>
      <c r="B713" s="21" t="s">
        <v>414</v>
      </c>
      <c r="C713" s="165">
        <f ca="1">IFERROR(YEAR(OFFSET($D$28,C712,0)),0)</f>
        <v>0</v>
      </c>
      <c r="D713" s="165">
        <f ca="1">IFERROR(MONTH(OFFSET($D$28,C712,0)),0)</f>
        <v>0</v>
      </c>
      <c r="E713" s="21">
        <f ca="1">12-$D713</f>
        <v>12</v>
      </c>
      <c r="F713" s="21"/>
      <c r="G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idden="1">
      <c r="A714" s="259"/>
      <c r="B714" s="21" t="s">
        <v>406</v>
      </c>
      <c r="C714" s="245">
        <f ca="1">IF(OFFSET($F$28,C712,0)&lt;0,0,OFFSET($F$28,C712,0))</f>
        <v>0</v>
      </c>
      <c r="D714" s="22">
        <f ca="1">OFFSET($C$28,C712,0)</f>
        <v>0</v>
      </c>
      <c r="E714" s="22">
        <f ca="1">IF(D714&gt;10,ROUND(($C715/12)*$E713,0),$C714)</f>
        <v>0</v>
      </c>
      <c r="F714" s="21"/>
      <c r="G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</row>
    <row r="715" spans="1:24" hidden="1">
      <c r="A715" s="259"/>
      <c r="B715" s="21" t="s">
        <v>415</v>
      </c>
      <c r="C715" s="245">
        <f ca="1">IF(ISBLANK(OFFSET($D$28,C712,0)),0,IF(OFFSET($C$28,C712,0)&gt;10,ROUND(C714*am_wnip,0),IF(C714&lt;0,0,C714)))</f>
        <v>0</v>
      </c>
      <c r="D715" s="21"/>
      <c r="E715" s="21"/>
      <c r="F715" s="21"/>
      <c r="G715" s="21"/>
      <c r="I715" s="21"/>
      <c r="J715" s="483" t="str" cm="1">
        <f t="array" aca="1" ref="J715" ca="1">OFFSET('Środki trwałe'!$C$195,'Rozliczenie dotacji'!D712,,)</f>
        <v/>
      </c>
      <c r="K715" s="75">
        <f ca="1">ROUND(IF($C713=LataProjekcji,$E714,IF($C713=LataProjekcji,$C715,0)),0)</f>
        <v>0</v>
      </c>
      <c r="L715" s="248">
        <f ca="1">ROUND(IF(OR(AND($C713=LataProjekcji,$E713&gt;0),AND($C713=LataProjekcji,$E713=0,$D714&lt;=10)),$E714,IF($C713&lt;LataProjekcji,IF((SUM($K715:K715)+$C715)&lt;$C714,$C715,$C714-SUM($K715:K715)),0)),0)</f>
        <v>0</v>
      </c>
      <c r="M715" s="248">
        <f ca="1">ROUND(IF(OR(AND($C713=LataProjekcji,$E713&gt;0),AND($C713=LataProjekcji,$E713=0,$D714&lt;=10)),$E714,IF($C713&lt;LataProjekcji,IF((SUM($K715:L715)+$C715)&lt;$C714,$C715,$C714-SUM($K715:L715)),0)),0)</f>
        <v>0</v>
      </c>
      <c r="N715" s="248">
        <f ca="1">ROUND(IF(OR(AND($C713=LataProjekcji,$E713&gt;0),AND($C713=LataProjekcji,$E713=0,$D714&lt;=10)),$E714,IF($C713&lt;LataProjekcji,IF((SUM($K715:M715)+$C715)&lt;$C714,$C715,$C714-SUM($K715:M715)),0)),0)</f>
        <v>0</v>
      </c>
      <c r="O715" s="248">
        <f ca="1">ROUND(IF(OR(AND($C713=LataProjekcji,$E713&gt;0),AND($C713=LataProjekcji,$E713=0,$D714&lt;=10)),$E714,IF($C713&lt;LataProjekcji,IF((SUM($K715:N715)+$C715)&lt;$C714,$C715,$C714-SUM($K715:N715)),0)),0)</f>
        <v>0</v>
      </c>
      <c r="P715" s="248">
        <f ca="1">ROUND(IF(OR(AND($C713=LataProjekcji,$E713&gt;0),AND($C713=LataProjekcji,$E713=0,$D714&lt;=10)),$E714,IF($C713&lt;LataProjekcji,IF((SUM($K715:O715)+$C715)&lt;$C714,$C715,$C714-SUM($K715:O715)),0)),0)</f>
        <v>0</v>
      </c>
      <c r="Q715" s="248">
        <f ca="1">ROUND(IF(OR(AND($C713=LataProjekcji,$E713&gt;0),AND($C713=LataProjekcji,$E713=0,$D714&lt;=10)),$E714,IF($C713&lt;LataProjekcji,IF((SUM($K715:P715)+$C715)&lt;$C714,$C715,$C714-SUM($K715:P715)),0)),0)</f>
        <v>0</v>
      </c>
      <c r="R715" s="248">
        <f ca="1">ROUND(IF(OR(AND($C713=LataProjekcji,$E713&gt;0),AND($C713=LataProjekcji,$E713=0,$D714&lt;=10)),$E714,IF($C713&lt;LataProjekcji,IF((SUM($K715:Q715)+$C715)&lt;$C714,$C715,$C714-SUM($K715:Q715)),0)),0)</f>
        <v>0</v>
      </c>
      <c r="S715" s="248">
        <f ca="1">ROUND(IF(OR(AND($C713=LataProjekcji,$E713&gt;0),AND($C713=LataProjekcji,$E713=0,$D714&lt;=10)),$E714,IF($C713&lt;LataProjekcji,IF((SUM($K715:R715)+$C715)&lt;$C714,$C715,$C714-SUM($K715:R715)),0)),0)</f>
        <v>0</v>
      </c>
      <c r="T715" s="248">
        <f ca="1">ROUND(IF(OR(AND($C713=LataProjekcji,$E713&gt;0),AND($C713=LataProjekcji,$E713=0,$D714&lt;=10)),$E714,IF($C713&lt;LataProjekcji,IF((SUM($K715:S715)+$C715)&lt;$C714,$C715,$C714-SUM($K715:S715)),0)),0)</f>
        <v>0</v>
      </c>
      <c r="U715" s="248">
        <f ca="1">ROUND(IF(OR(AND($C713=LataProjekcji,$E713&gt;0),AND($C713=LataProjekcji,$E713=0,$D714&lt;=10)),$E714,IF($C713&lt;LataProjekcji,IF((SUM($K715:T715)+$C715)&lt;$C714,$C715,$C714-SUM($K715:T715)),0)),0)</f>
        <v>0</v>
      </c>
      <c r="V715" s="248">
        <f ca="1">ROUND(IF(OR(AND($C713=LataProjekcji,$E713&gt;0),AND($C713=LataProjekcji,$E713=0,$D714&lt;=10)),$E714,IF($C713&lt;LataProjekcji,IF((SUM($K715:U715)+$C715)&lt;$C714,$C715,$C714-SUM($K715:U715)),0)),0)</f>
        <v>0</v>
      </c>
      <c r="W715" s="248">
        <f ca="1">ROUND(IF(OR(AND($C713=LataProjekcji,$E713&gt;0),AND($C713=LataProjekcji,$E713=0,$D714&lt;=10)),$E714,IF($C713&lt;LataProjekcji,IF((SUM($K715:V715)+$C715)&lt;$C714,$C715,$C714-SUM($K715:V715)),0)),0)</f>
        <v>0</v>
      </c>
      <c r="X715" s="248">
        <f ca="1">ROUND(IF(OR(AND($C713=LataProjekcji,$E713&gt;0),AND($C713=LataProjekcji,$E713=0,$D714&lt;=10)),$E714,IF($C713&lt;LataProjekcji,IF((SUM($K715:W715)+$C715)&lt;$C714,$C715,$C714-SUM($K715:W715)),0)),0)</f>
        <v>0</v>
      </c>
    </row>
    <row r="716" spans="1:24" hidden="1">
      <c r="A716" s="259"/>
      <c r="B716" s="21" t="s">
        <v>416</v>
      </c>
      <c r="C716" s="22"/>
      <c r="D716" s="21"/>
      <c r="E716" s="21"/>
      <c r="F716" s="21"/>
      <c r="G716" s="21"/>
      <c r="I716" s="21"/>
      <c r="J716" s="21"/>
      <c r="K716" s="22">
        <f ca="1">ROUND(K715,0)</f>
        <v>0</v>
      </c>
      <c r="L716" s="22">
        <f t="shared" ref="L716:X716" ca="1" si="380">ROUND(K716+L715,0)</f>
        <v>0</v>
      </c>
      <c r="M716" s="22">
        <f t="shared" ca="1" si="380"/>
        <v>0</v>
      </c>
      <c r="N716" s="22">
        <f t="shared" ca="1" si="380"/>
        <v>0</v>
      </c>
      <c r="O716" s="22">
        <f t="shared" ca="1" si="380"/>
        <v>0</v>
      </c>
      <c r="P716" s="22">
        <f t="shared" ca="1" si="380"/>
        <v>0</v>
      </c>
      <c r="Q716" s="22">
        <f t="shared" ca="1" si="380"/>
        <v>0</v>
      </c>
      <c r="R716" s="22">
        <f t="shared" ca="1" si="380"/>
        <v>0</v>
      </c>
      <c r="S716" s="22">
        <f t="shared" ca="1" si="380"/>
        <v>0</v>
      </c>
      <c r="T716" s="22">
        <f t="shared" ca="1" si="380"/>
        <v>0</v>
      </c>
      <c r="U716" s="22">
        <f t="shared" ca="1" si="380"/>
        <v>0</v>
      </c>
      <c r="V716" s="22">
        <f t="shared" ca="1" si="380"/>
        <v>0</v>
      </c>
      <c r="W716" s="22">
        <f t="shared" ca="1" si="380"/>
        <v>0</v>
      </c>
      <c r="X716" s="22">
        <f t="shared" ca="1" si="380"/>
        <v>0</v>
      </c>
    </row>
    <row r="717" spans="1:24" hidden="1">
      <c r="A717" s="259"/>
      <c r="B717" s="21" t="s">
        <v>406</v>
      </c>
      <c r="C717" s="22"/>
      <c r="D717" s="21"/>
      <c r="E717" s="21"/>
      <c r="F717" s="21"/>
      <c r="G717" s="21"/>
      <c r="I717" s="21"/>
      <c r="J717" s="21"/>
      <c r="K717" s="77">
        <f t="shared" ref="K717:X717" ca="1" si="381">IF($C713=LataProjekcji,ROUND($C714-K716,0),ROUND(IF(K715=0,0,$C714-K716),0))</f>
        <v>0</v>
      </c>
      <c r="L717" s="77">
        <f t="shared" ca="1" si="381"/>
        <v>0</v>
      </c>
      <c r="M717" s="77">
        <f t="shared" ca="1" si="381"/>
        <v>0</v>
      </c>
      <c r="N717" s="77">
        <f t="shared" ca="1" si="381"/>
        <v>0</v>
      </c>
      <c r="O717" s="77">
        <f t="shared" ca="1" si="381"/>
        <v>0</v>
      </c>
      <c r="P717" s="77">
        <f t="shared" ca="1" si="381"/>
        <v>0</v>
      </c>
      <c r="Q717" s="77">
        <f t="shared" ca="1" si="381"/>
        <v>0</v>
      </c>
      <c r="R717" s="77">
        <f t="shared" ca="1" si="381"/>
        <v>0</v>
      </c>
      <c r="S717" s="77">
        <f t="shared" ca="1" si="381"/>
        <v>0</v>
      </c>
      <c r="T717" s="77">
        <f t="shared" ca="1" si="381"/>
        <v>0</v>
      </c>
      <c r="U717" s="77">
        <f t="shared" ca="1" si="381"/>
        <v>0</v>
      </c>
      <c r="V717" s="77">
        <f t="shared" ca="1" si="381"/>
        <v>0</v>
      </c>
      <c r="W717" s="77">
        <f t="shared" ca="1" si="381"/>
        <v>0</v>
      </c>
      <c r="X717" s="77">
        <f t="shared" ca="1" si="381"/>
        <v>0</v>
      </c>
    </row>
    <row r="718" spans="1:24" hidden="1">
      <c r="A718" s="259"/>
      <c r="B718" s="21"/>
      <c r="C718" s="22"/>
      <c r="D718" s="21"/>
      <c r="E718" s="21"/>
      <c r="F718" s="21"/>
      <c r="G718" s="21"/>
      <c r="I718" s="21"/>
      <c r="J718" s="21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</row>
    <row r="722" spans="1:24" ht="12.6" hidden="1" thickBot="1"/>
    <row r="723" spans="1:24" ht="12.6" hidden="1" thickBot="1">
      <c r="A723" s="259"/>
      <c r="B723" s="20" t="s">
        <v>391</v>
      </c>
      <c r="C723" s="250">
        <v>89</v>
      </c>
      <c r="D723" s="482">
        <v>223</v>
      </c>
      <c r="E723" s="21" t="s">
        <v>411</v>
      </c>
      <c r="F723" s="48"/>
      <c r="G723" s="50" t="s">
        <v>412</v>
      </c>
      <c r="H723" s="322"/>
      <c r="I723" s="21" t="s">
        <v>413</v>
      </c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</row>
    <row r="724" spans="1:24" hidden="1">
      <c r="A724" s="259"/>
      <c r="B724" s="21" t="s">
        <v>414</v>
      </c>
      <c r="C724" s="165">
        <f ca="1">IFERROR(YEAR(OFFSET($D$28,C723,0)),0)</f>
        <v>0</v>
      </c>
      <c r="D724" s="165">
        <f ca="1">IFERROR(MONTH(OFFSET($D$28,C723,0)),0)</f>
        <v>0</v>
      </c>
      <c r="E724" s="21">
        <f ca="1">12-$D724</f>
        <v>12</v>
      </c>
      <c r="F724" s="49"/>
      <c r="G724" s="51">
        <f>C162-F724</f>
        <v>0</v>
      </c>
      <c r="H724" s="323"/>
      <c r="I724" s="22">
        <f>C162-F724-G724</f>
        <v>0</v>
      </c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idden="1">
      <c r="A725" s="259"/>
      <c r="B725" s="21" t="s">
        <v>406</v>
      </c>
      <c r="C725" s="245">
        <f ca="1">IF(OFFSET($F$28,C723,0)&lt;0,0,OFFSET($F$28,C723,0))</f>
        <v>0</v>
      </c>
      <c r="D725" s="22" t="str">
        <f ca="1">OFFSET($C$28,C723,0)</f>
        <v/>
      </c>
      <c r="E725" s="22">
        <f ca="1">IF(D725&gt;10,ROUND(($C726/12)*$E724,0),$C725)</f>
        <v>0</v>
      </c>
      <c r="F725" s="21" t="s">
        <v>426</v>
      </c>
      <c r="G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idden="1">
      <c r="A726" s="259"/>
      <c r="B726" s="21" t="s">
        <v>415</v>
      </c>
      <c r="C726" s="245">
        <f ca="1">IF(ISBLANK(OFFSET($D$28,C723,0)),0,IF(OFFSET($C$28,C723,0)&gt;10,ROUND(C725*am_wnip,0),IF(C725&lt;0,0,C725)))</f>
        <v>0</v>
      </c>
      <c r="D726" s="21"/>
      <c r="E726" s="21"/>
      <c r="F726" s="21"/>
      <c r="G726" s="21"/>
      <c r="I726" s="21"/>
      <c r="J726" s="483" cm="1">
        <f t="array" aca="1" ref="J726" ca="1">OFFSET('Środki trwałe'!$C$195,'Rozliczenie dotacji'!D723,,)</f>
        <v>0</v>
      </c>
      <c r="K726" s="75">
        <f ca="1">ROUND(IF($C724=LataProjekcji,$E725,IF($C724=LataProjekcji,$C726,0)),0)</f>
        <v>0</v>
      </c>
      <c r="L726" s="248">
        <f ca="1">ROUND(IF(OR(AND($C724=LataProjekcji,$E724&gt;0),AND($C724=LataProjekcji,$E724=0,$D725&lt;=10)),$E725,IF($C724&lt;LataProjekcji,IF((SUM($K726:K726)+$C726)&lt;$C725,$C726,$C725-SUM($K726:K726)),0)),0)</f>
        <v>0</v>
      </c>
      <c r="M726" s="248">
        <f ca="1">ROUND(IF(OR(AND($C724=LataProjekcji,$E724&gt;0),AND($C724=LataProjekcji,$E724=0,$D725&lt;=10)),$E725,IF($C724&lt;LataProjekcji,IF((SUM($K726:L726)+$C726)&lt;$C725,$C726,$C725-SUM($K726:L726)),0)),0)</f>
        <v>0</v>
      </c>
      <c r="N726" s="248">
        <f ca="1">ROUND(IF(OR(AND($C724=LataProjekcji,$E724&gt;0),AND($C724=LataProjekcji,$E724=0,$D725&lt;=10)),$E725,IF($C724&lt;LataProjekcji,IF((SUM($K726:M726)+$C726)&lt;$C725,$C726,$C725-SUM($K726:M726)),0)),0)</f>
        <v>0</v>
      </c>
      <c r="O726" s="248">
        <f ca="1">ROUND(IF(OR(AND($C724=LataProjekcji,$E724&gt;0),AND($C724=LataProjekcji,$E724=0,$D725&lt;=10)),$E725,IF($C724&lt;LataProjekcji,IF((SUM($K726:N726)+$C726)&lt;$C725,$C726,$C725-SUM($K726:N726)),0)),0)</f>
        <v>0</v>
      </c>
      <c r="P726" s="248">
        <f ca="1">ROUND(IF(OR(AND($C724=LataProjekcji,$E724&gt;0),AND($C724=LataProjekcji,$E724=0,$D725&lt;=10)),$E725,IF($C724&lt;LataProjekcji,IF((SUM($K726:O726)+$C726)&lt;$C725,$C726,$C725-SUM($K726:O726)),0)),0)</f>
        <v>0</v>
      </c>
      <c r="Q726" s="248">
        <f ca="1">ROUND(IF(OR(AND($C724=LataProjekcji,$E724&gt;0),AND($C724=LataProjekcji,$E724=0,$D725&lt;=10)),$E725,IF($C724&lt;LataProjekcji,IF((SUM($K726:P726)+$C726)&lt;$C725,$C726,$C725-SUM($K726:P726)),0)),0)</f>
        <v>0</v>
      </c>
      <c r="R726" s="248">
        <f ca="1">ROUND(IF(OR(AND($C724=LataProjekcji,$E724&gt;0),AND($C724=LataProjekcji,$E724=0,$D725&lt;=10)),$E725,IF($C724&lt;LataProjekcji,IF((SUM($K726:Q726)+$C726)&lt;$C725,$C726,$C725-SUM($K726:Q726)),0)),0)</f>
        <v>0</v>
      </c>
      <c r="S726" s="248">
        <f ca="1">ROUND(IF(OR(AND($C724=LataProjekcji,$E724&gt;0),AND($C724=LataProjekcji,$E724=0,$D725&lt;=10)),$E725,IF($C724&lt;LataProjekcji,IF((SUM($K726:R726)+$C726)&lt;$C725,$C726,$C725-SUM($K726:R726)),0)),0)</f>
        <v>0</v>
      </c>
      <c r="T726" s="248">
        <f ca="1">ROUND(IF(OR(AND($C724=LataProjekcji,$E724&gt;0),AND($C724=LataProjekcji,$E724=0,$D725&lt;=10)),$E725,IF($C724&lt;LataProjekcji,IF((SUM($K726:S726)+$C726)&lt;$C725,$C726,$C725-SUM($K726:S726)),0)),0)</f>
        <v>0</v>
      </c>
      <c r="U726" s="248">
        <f ca="1">ROUND(IF(OR(AND($C724=LataProjekcji,$E724&gt;0),AND($C724=LataProjekcji,$E724=0,$D725&lt;=10)),$E725,IF($C724&lt;LataProjekcji,IF((SUM($K726:T726)+$C726)&lt;$C725,$C726,$C725-SUM($K726:T726)),0)),0)</f>
        <v>0</v>
      </c>
      <c r="V726" s="248">
        <f ca="1">ROUND(IF(OR(AND($C724=LataProjekcji,$E724&gt;0),AND($C724=LataProjekcji,$E724=0,$D725&lt;=10)),$E725,IF($C724&lt;LataProjekcji,IF((SUM($K726:U726)+$C726)&lt;$C725,$C726,$C725-SUM($K726:U726)),0)),0)</f>
        <v>0</v>
      </c>
      <c r="W726" s="248">
        <f ca="1">ROUND(IF(OR(AND($C724=LataProjekcji,$E724&gt;0),AND($C724=LataProjekcji,$E724=0,$D725&lt;=10)),$E725,IF($C724&lt;LataProjekcji,IF((SUM($K726:V726)+$C726)&lt;$C725,$C726,$C725-SUM($K726:V726)),0)),0)</f>
        <v>0</v>
      </c>
      <c r="X726" s="248">
        <f ca="1">ROUND(IF(OR(AND($C724=LataProjekcji,$E724&gt;0),AND($C724=LataProjekcji,$E724=0,$D725&lt;=10)),$E725,IF($C724&lt;LataProjekcji,IF((SUM($K726:W726)+$C726)&lt;$C725,$C726,$C725-SUM($K726:W726)),0)),0)</f>
        <v>0</v>
      </c>
    </row>
    <row r="727" spans="1:24" hidden="1">
      <c r="A727" s="259"/>
      <c r="B727" s="21" t="s">
        <v>416</v>
      </c>
      <c r="C727" s="22"/>
      <c r="D727" s="21"/>
      <c r="E727" s="21"/>
      <c r="F727" s="21"/>
      <c r="G727" s="21"/>
      <c r="I727" s="21"/>
      <c r="J727" s="21"/>
      <c r="K727" s="22">
        <f ca="1">ROUND(K726,0)</f>
        <v>0</v>
      </c>
      <c r="L727" s="22">
        <f t="shared" ref="L727:X727" ca="1" si="382">ROUND(K727+L726,0)</f>
        <v>0</v>
      </c>
      <c r="M727" s="22">
        <f t="shared" ca="1" si="382"/>
        <v>0</v>
      </c>
      <c r="N727" s="22">
        <f t="shared" ca="1" si="382"/>
        <v>0</v>
      </c>
      <c r="O727" s="22">
        <f t="shared" ca="1" si="382"/>
        <v>0</v>
      </c>
      <c r="P727" s="22">
        <f t="shared" ca="1" si="382"/>
        <v>0</v>
      </c>
      <c r="Q727" s="22">
        <f t="shared" ca="1" si="382"/>
        <v>0</v>
      </c>
      <c r="R727" s="22">
        <f t="shared" ca="1" si="382"/>
        <v>0</v>
      </c>
      <c r="S727" s="22">
        <f t="shared" ca="1" si="382"/>
        <v>0</v>
      </c>
      <c r="T727" s="22">
        <f t="shared" ca="1" si="382"/>
        <v>0</v>
      </c>
      <c r="U727" s="22">
        <f t="shared" ca="1" si="382"/>
        <v>0</v>
      </c>
      <c r="V727" s="22">
        <f t="shared" ca="1" si="382"/>
        <v>0</v>
      </c>
      <c r="W727" s="22">
        <f t="shared" ca="1" si="382"/>
        <v>0</v>
      </c>
      <c r="X727" s="22">
        <f t="shared" ca="1" si="382"/>
        <v>0</v>
      </c>
    </row>
    <row r="728" spans="1:24" hidden="1">
      <c r="A728" s="259"/>
      <c r="B728" s="21" t="s">
        <v>406</v>
      </c>
      <c r="C728" s="22"/>
      <c r="D728" s="21"/>
      <c r="E728" s="21"/>
      <c r="F728" s="21"/>
      <c r="G728" s="21"/>
      <c r="I728" s="21"/>
      <c r="J728" s="21"/>
      <c r="K728" s="77">
        <f t="shared" ref="K728:X728" ca="1" si="383">IF($C724=LataProjekcji,ROUND($C725-K727,0),ROUND(IF(K726=0,0,$C725-K727),0))</f>
        <v>0</v>
      </c>
      <c r="L728" s="77">
        <f t="shared" ca="1" si="383"/>
        <v>0</v>
      </c>
      <c r="M728" s="77">
        <f t="shared" ca="1" si="383"/>
        <v>0</v>
      </c>
      <c r="N728" s="77">
        <f t="shared" ca="1" si="383"/>
        <v>0</v>
      </c>
      <c r="O728" s="77">
        <f t="shared" ca="1" si="383"/>
        <v>0</v>
      </c>
      <c r="P728" s="77">
        <f t="shared" ca="1" si="383"/>
        <v>0</v>
      </c>
      <c r="Q728" s="77">
        <f t="shared" ca="1" si="383"/>
        <v>0</v>
      </c>
      <c r="R728" s="77">
        <f t="shared" ca="1" si="383"/>
        <v>0</v>
      </c>
      <c r="S728" s="77">
        <f t="shared" ca="1" si="383"/>
        <v>0</v>
      </c>
      <c r="T728" s="77">
        <f t="shared" ca="1" si="383"/>
        <v>0</v>
      </c>
      <c r="U728" s="77">
        <f t="shared" ca="1" si="383"/>
        <v>0</v>
      </c>
      <c r="V728" s="77">
        <f t="shared" ca="1" si="383"/>
        <v>0</v>
      </c>
      <c r="W728" s="77">
        <f t="shared" ca="1" si="383"/>
        <v>0</v>
      </c>
      <c r="X728" s="77">
        <f t="shared" ca="1" si="383"/>
        <v>0</v>
      </c>
    </row>
    <row r="729" spans="1:24" hidden="1">
      <c r="A729" s="259"/>
      <c r="B729" s="21"/>
      <c r="C729" s="22"/>
      <c r="D729" s="21"/>
      <c r="E729" s="21"/>
      <c r="F729" s="21"/>
      <c r="G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</row>
    <row r="730" spans="1:24" hidden="1">
      <c r="A730" s="259"/>
      <c r="B730" s="20" t="s">
        <v>391</v>
      </c>
      <c r="C730" s="21">
        <f>C723+1</f>
        <v>90</v>
      </c>
      <c r="D730" s="483">
        <f>D723+1</f>
        <v>224</v>
      </c>
      <c r="E730" s="21"/>
      <c r="F730" s="21"/>
      <c r="G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</row>
    <row r="731" spans="1:24" hidden="1">
      <c r="A731" s="259"/>
      <c r="B731" s="21" t="s">
        <v>414</v>
      </c>
      <c r="C731" s="165">
        <f ca="1">IFERROR(YEAR(OFFSET($D$28,C730,0)),0)</f>
        <v>0</v>
      </c>
      <c r="D731" s="165">
        <f ca="1">IFERROR(MONTH(OFFSET($D$28,C730,0)),0)</f>
        <v>0</v>
      </c>
      <c r="E731" s="21">
        <f ca="1">12-$D731</f>
        <v>12</v>
      </c>
      <c r="F731" s="21"/>
      <c r="G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idden="1">
      <c r="A732" s="259"/>
      <c r="B732" s="21" t="s">
        <v>406</v>
      </c>
      <c r="C732" s="245">
        <f ca="1">IF(OFFSET($F$28,C730,0)&lt;0,0,OFFSET($F$28,C730,0))</f>
        <v>0</v>
      </c>
      <c r="D732" s="22" t="str">
        <f ca="1">OFFSET($C$28,C730,0)</f>
        <v/>
      </c>
      <c r="E732" s="22">
        <f ca="1">IF(D732&gt;10,ROUND(($C733/12)*$E731,0),$C732)</f>
        <v>0</v>
      </c>
      <c r="F732" s="21"/>
      <c r="G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idden="1">
      <c r="A733" s="259"/>
      <c r="B733" s="21" t="s">
        <v>415</v>
      </c>
      <c r="C733" s="245">
        <f ca="1">IF(ISBLANK(OFFSET($D$28,C730,0)),0,IF(OFFSET($C$28,C730,0)&gt;10,ROUND(C732*am_wnip,0),IF(C732&lt;0,0,C732)))</f>
        <v>0</v>
      </c>
      <c r="D733" s="21"/>
      <c r="E733" s="21"/>
      <c r="F733" s="21"/>
      <c r="G733" s="21"/>
      <c r="I733" s="21"/>
      <c r="J733" s="483" cm="1">
        <f t="array" aca="1" ref="J733" ca="1">OFFSET('Środki trwałe'!$C$195,'Rozliczenie dotacji'!D730,,)</f>
        <v>0</v>
      </c>
      <c r="K733" s="75">
        <f ca="1">ROUND(IF($C731=LataProjekcji,$E732,IF($C731=LataProjekcji,$C733,0)),0)</f>
        <v>0</v>
      </c>
      <c r="L733" s="248">
        <f ca="1">ROUND(IF(OR(AND($C731=LataProjekcji,$E731&gt;0),AND($C731=LataProjekcji,$E731=0,$D732&lt;=10)),$E732,IF($C731&lt;LataProjekcji,IF((SUM($K733:K733)+$C733)&lt;$C732,$C733,$C732-SUM($K733:K733)),0)),0)</f>
        <v>0</v>
      </c>
      <c r="M733" s="248">
        <f ca="1">ROUND(IF(OR(AND($C731=LataProjekcji,$E731&gt;0),AND($C731=LataProjekcji,$E731=0,$D732&lt;=10)),$E732,IF($C731&lt;LataProjekcji,IF((SUM($K733:L733)+$C733)&lt;$C732,$C733,$C732-SUM($K733:L733)),0)),0)</f>
        <v>0</v>
      </c>
      <c r="N733" s="248">
        <f ca="1">ROUND(IF(OR(AND($C731=LataProjekcji,$E731&gt;0),AND($C731=LataProjekcji,$E731=0,$D732&lt;=10)),$E732,IF($C731&lt;LataProjekcji,IF((SUM($K733:M733)+$C733)&lt;$C732,$C733,$C732-SUM($K733:M733)),0)),0)</f>
        <v>0</v>
      </c>
      <c r="O733" s="248">
        <f ca="1">ROUND(IF(OR(AND($C731=LataProjekcji,$E731&gt;0),AND($C731=LataProjekcji,$E731=0,$D732&lt;=10)),$E732,IF($C731&lt;LataProjekcji,IF((SUM($K733:N733)+$C733)&lt;$C732,$C733,$C732-SUM($K733:N733)),0)),0)</f>
        <v>0</v>
      </c>
      <c r="P733" s="248">
        <f ca="1">ROUND(IF(OR(AND($C731=LataProjekcji,$E731&gt;0),AND($C731=LataProjekcji,$E731=0,$D732&lt;=10)),$E732,IF($C731&lt;LataProjekcji,IF((SUM($K733:O733)+$C733)&lt;$C732,$C733,$C732-SUM($K733:O733)),0)),0)</f>
        <v>0</v>
      </c>
      <c r="Q733" s="248">
        <f ca="1">ROUND(IF(OR(AND($C731=LataProjekcji,$E731&gt;0),AND($C731=LataProjekcji,$E731=0,$D732&lt;=10)),$E732,IF($C731&lt;LataProjekcji,IF((SUM($K733:P733)+$C733)&lt;$C732,$C733,$C732-SUM($K733:P733)),0)),0)</f>
        <v>0</v>
      </c>
      <c r="R733" s="248">
        <f ca="1">ROUND(IF(OR(AND($C731=LataProjekcji,$E731&gt;0),AND($C731=LataProjekcji,$E731=0,$D732&lt;=10)),$E732,IF($C731&lt;LataProjekcji,IF((SUM($K733:Q733)+$C733)&lt;$C732,$C733,$C732-SUM($K733:Q733)),0)),0)</f>
        <v>0</v>
      </c>
      <c r="S733" s="248">
        <f ca="1">ROUND(IF(OR(AND($C731=LataProjekcji,$E731&gt;0),AND($C731=LataProjekcji,$E731=0,$D732&lt;=10)),$E732,IF($C731&lt;LataProjekcji,IF((SUM($K733:R733)+$C733)&lt;$C732,$C733,$C732-SUM($K733:R733)),0)),0)</f>
        <v>0</v>
      </c>
      <c r="T733" s="248">
        <f ca="1">ROUND(IF(OR(AND($C731=LataProjekcji,$E731&gt;0),AND($C731=LataProjekcji,$E731=0,$D732&lt;=10)),$E732,IF($C731&lt;LataProjekcji,IF((SUM($K733:S733)+$C733)&lt;$C732,$C733,$C732-SUM($K733:S733)),0)),0)</f>
        <v>0</v>
      </c>
      <c r="U733" s="248">
        <f ca="1">ROUND(IF(OR(AND($C731=LataProjekcji,$E731&gt;0),AND($C731=LataProjekcji,$E731=0,$D732&lt;=10)),$E732,IF($C731&lt;LataProjekcji,IF((SUM($K733:T733)+$C733)&lt;$C732,$C733,$C732-SUM($K733:T733)),0)),0)</f>
        <v>0</v>
      </c>
      <c r="V733" s="248">
        <f ca="1">ROUND(IF(OR(AND($C731=LataProjekcji,$E731&gt;0),AND($C731=LataProjekcji,$E731=0,$D732&lt;=10)),$E732,IF($C731&lt;LataProjekcji,IF((SUM($K733:U733)+$C733)&lt;$C732,$C733,$C732-SUM($K733:U733)),0)),0)</f>
        <v>0</v>
      </c>
      <c r="W733" s="248">
        <f ca="1">ROUND(IF(OR(AND($C731=LataProjekcji,$E731&gt;0),AND($C731=LataProjekcji,$E731=0,$D732&lt;=10)),$E732,IF($C731&lt;LataProjekcji,IF((SUM($K733:V733)+$C733)&lt;$C732,$C733,$C732-SUM($K733:V733)),0)),0)</f>
        <v>0</v>
      </c>
      <c r="X733" s="248">
        <f ca="1">ROUND(IF(OR(AND($C731=LataProjekcji,$E731&gt;0),AND($C731=LataProjekcji,$E731=0,$D732&lt;=10)),$E732,IF($C731&lt;LataProjekcji,IF((SUM($K733:W733)+$C733)&lt;$C732,$C733,$C732-SUM($K733:W733)),0)),0)</f>
        <v>0</v>
      </c>
    </row>
    <row r="734" spans="1:24" hidden="1">
      <c r="A734" s="259"/>
      <c r="B734" s="21" t="s">
        <v>416</v>
      </c>
      <c r="C734" s="22"/>
      <c r="D734" s="21"/>
      <c r="E734" s="21"/>
      <c r="F734" s="21"/>
      <c r="G734" s="21"/>
      <c r="I734" s="21"/>
      <c r="J734" s="21"/>
      <c r="K734" s="22">
        <f ca="1">ROUND(K733,0)</f>
        <v>0</v>
      </c>
      <c r="L734" s="22">
        <f t="shared" ref="L734:X734" ca="1" si="384">ROUND(K734+L733,0)</f>
        <v>0</v>
      </c>
      <c r="M734" s="22">
        <f t="shared" ca="1" si="384"/>
        <v>0</v>
      </c>
      <c r="N734" s="22">
        <f t="shared" ca="1" si="384"/>
        <v>0</v>
      </c>
      <c r="O734" s="22">
        <f t="shared" ca="1" si="384"/>
        <v>0</v>
      </c>
      <c r="P734" s="22">
        <f t="shared" ca="1" si="384"/>
        <v>0</v>
      </c>
      <c r="Q734" s="22">
        <f t="shared" ca="1" si="384"/>
        <v>0</v>
      </c>
      <c r="R734" s="22">
        <f t="shared" ca="1" si="384"/>
        <v>0</v>
      </c>
      <c r="S734" s="22">
        <f t="shared" ca="1" si="384"/>
        <v>0</v>
      </c>
      <c r="T734" s="22">
        <f t="shared" ca="1" si="384"/>
        <v>0</v>
      </c>
      <c r="U734" s="22">
        <f t="shared" ca="1" si="384"/>
        <v>0</v>
      </c>
      <c r="V734" s="22">
        <f t="shared" ca="1" si="384"/>
        <v>0</v>
      </c>
      <c r="W734" s="22">
        <f t="shared" ca="1" si="384"/>
        <v>0</v>
      </c>
      <c r="X734" s="22">
        <f t="shared" ca="1" si="384"/>
        <v>0</v>
      </c>
    </row>
    <row r="735" spans="1:24" hidden="1">
      <c r="A735" s="259"/>
      <c r="B735" s="21" t="s">
        <v>406</v>
      </c>
      <c r="C735" s="22"/>
      <c r="D735" s="21"/>
      <c r="E735" s="21"/>
      <c r="F735" s="21"/>
      <c r="G735" s="21"/>
      <c r="I735" s="21"/>
      <c r="J735" s="21"/>
      <c r="K735" s="77">
        <f t="shared" ref="K735:X735" ca="1" si="385">IF($C731=LataProjekcji,ROUND($C732-K734,0),ROUND(IF(K733=0,0,$C732-K734),0))</f>
        <v>0</v>
      </c>
      <c r="L735" s="77">
        <f t="shared" ca="1" si="385"/>
        <v>0</v>
      </c>
      <c r="M735" s="77">
        <f t="shared" ca="1" si="385"/>
        <v>0</v>
      </c>
      <c r="N735" s="77">
        <f t="shared" ca="1" si="385"/>
        <v>0</v>
      </c>
      <c r="O735" s="77">
        <f t="shared" ca="1" si="385"/>
        <v>0</v>
      </c>
      <c r="P735" s="77">
        <f t="shared" ca="1" si="385"/>
        <v>0</v>
      </c>
      <c r="Q735" s="77">
        <f t="shared" ca="1" si="385"/>
        <v>0</v>
      </c>
      <c r="R735" s="77">
        <f t="shared" ca="1" si="385"/>
        <v>0</v>
      </c>
      <c r="S735" s="77">
        <f t="shared" ca="1" si="385"/>
        <v>0</v>
      </c>
      <c r="T735" s="77">
        <f t="shared" ca="1" si="385"/>
        <v>0</v>
      </c>
      <c r="U735" s="77">
        <f t="shared" ca="1" si="385"/>
        <v>0</v>
      </c>
      <c r="V735" s="77">
        <f t="shared" ca="1" si="385"/>
        <v>0</v>
      </c>
      <c r="W735" s="77">
        <f t="shared" ca="1" si="385"/>
        <v>0</v>
      </c>
      <c r="X735" s="77">
        <f t="shared" ca="1" si="385"/>
        <v>0</v>
      </c>
    </row>
    <row r="736" spans="1:24" hidden="1">
      <c r="A736" s="259"/>
      <c r="B736" s="20"/>
      <c r="C736" s="21"/>
      <c r="D736" s="21"/>
      <c r="E736" s="21"/>
      <c r="F736" s="21"/>
      <c r="G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</row>
    <row r="737" spans="1:24" hidden="1">
      <c r="A737" s="259"/>
      <c r="B737" s="20" t="s">
        <v>391</v>
      </c>
      <c r="C737" s="21">
        <f>C730+1</f>
        <v>91</v>
      </c>
      <c r="D737" s="483">
        <f>D730+1</f>
        <v>225</v>
      </c>
      <c r="E737" s="21"/>
      <c r="F737" s="21"/>
      <c r="G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</row>
    <row r="738" spans="1:24" hidden="1">
      <c r="A738" s="259"/>
      <c r="B738" s="21" t="s">
        <v>414</v>
      </c>
      <c r="C738" s="165">
        <f ca="1">IFERROR(YEAR(OFFSET($D$28,C737,0)),0)</f>
        <v>0</v>
      </c>
      <c r="D738" s="165">
        <f ca="1">IFERROR(MONTH(OFFSET($D$28,C737,0)),0)</f>
        <v>0</v>
      </c>
      <c r="E738" s="21">
        <f ca="1">12-$D738</f>
        <v>12</v>
      </c>
      <c r="F738" s="21"/>
      <c r="G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idden="1">
      <c r="A739" s="259"/>
      <c r="B739" s="21" t="s">
        <v>406</v>
      </c>
      <c r="C739" s="245">
        <f ca="1">IF(OFFSET($F$28,C737,0)&lt;0,0,OFFSET($F$28,C737,0))</f>
        <v>0</v>
      </c>
      <c r="D739" s="22" t="str">
        <f ca="1">OFFSET($C$28,C737,0)</f>
        <v/>
      </c>
      <c r="E739" s="22">
        <f ca="1">IF(D739&gt;10,ROUND(($C740/12)*$E738,0),$C739)</f>
        <v>0</v>
      </c>
      <c r="F739" s="21"/>
      <c r="G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idden="1">
      <c r="A740" s="259"/>
      <c r="B740" s="21" t="s">
        <v>415</v>
      </c>
      <c r="C740" s="245">
        <f ca="1">IF(ISBLANK(OFFSET($D$28,C737,0)),0,IF(OFFSET($C$28,C737,0)&gt;10,ROUND(C739*am_wnip,0),IF(C739&lt;0,0,C739)))</f>
        <v>0</v>
      </c>
      <c r="D740" s="21"/>
      <c r="E740" s="21"/>
      <c r="F740" s="21"/>
      <c r="G740" s="21"/>
      <c r="I740" s="21"/>
      <c r="J740" s="483" cm="1">
        <f t="array" aca="1" ref="J740" ca="1">OFFSET('Środki trwałe'!$C$195,'Rozliczenie dotacji'!D737,,)</f>
        <v>0</v>
      </c>
      <c r="K740" s="75">
        <f ca="1">ROUND(IF($C738=LataProjekcji,$E739,IF($C738=LataProjekcji,$C740,0)),0)</f>
        <v>0</v>
      </c>
      <c r="L740" s="248">
        <f ca="1">ROUND(IF(OR(AND($C738=LataProjekcji,$E738&gt;0),AND($C738=LataProjekcji,$E738=0,$D739&lt;=10)),$E739,IF($C738&lt;LataProjekcji,IF((SUM($K740:K740)+$C740)&lt;$C739,$C740,$C739-SUM($K740:K740)),0)),0)</f>
        <v>0</v>
      </c>
      <c r="M740" s="248">
        <f ca="1">ROUND(IF(OR(AND($C738=LataProjekcji,$E738&gt;0),AND($C738=LataProjekcji,$E738=0,$D739&lt;=10)),$E739,IF($C738&lt;LataProjekcji,IF((SUM($K740:L740)+$C740)&lt;$C739,$C740,$C739-SUM($K740:L740)),0)),0)</f>
        <v>0</v>
      </c>
      <c r="N740" s="248">
        <f ca="1">ROUND(IF(OR(AND($C738=LataProjekcji,$E738&gt;0),AND($C738=LataProjekcji,$E738=0,$D739&lt;=10)),$E739,IF($C738&lt;LataProjekcji,IF((SUM($K740:M740)+$C740)&lt;$C739,$C740,$C739-SUM($K740:M740)),0)),0)</f>
        <v>0</v>
      </c>
      <c r="O740" s="248">
        <f ca="1">ROUND(IF(OR(AND($C738=LataProjekcji,$E738&gt;0),AND($C738=LataProjekcji,$E738=0,$D739&lt;=10)),$E739,IF($C738&lt;LataProjekcji,IF((SUM($K740:N740)+$C740)&lt;$C739,$C740,$C739-SUM($K740:N740)),0)),0)</f>
        <v>0</v>
      </c>
      <c r="P740" s="248">
        <f ca="1">ROUND(IF(OR(AND($C738=LataProjekcji,$E738&gt;0),AND($C738=LataProjekcji,$E738=0,$D739&lt;=10)),$E739,IF($C738&lt;LataProjekcji,IF((SUM($K740:O740)+$C740)&lt;$C739,$C740,$C739-SUM($K740:O740)),0)),0)</f>
        <v>0</v>
      </c>
      <c r="Q740" s="248">
        <f ca="1">ROUND(IF(OR(AND($C738=LataProjekcji,$E738&gt;0),AND($C738=LataProjekcji,$E738=0,$D739&lt;=10)),$E739,IF($C738&lt;LataProjekcji,IF((SUM($K740:P740)+$C740)&lt;$C739,$C740,$C739-SUM($K740:P740)),0)),0)</f>
        <v>0</v>
      </c>
      <c r="R740" s="248">
        <f ca="1">ROUND(IF(OR(AND($C738=LataProjekcji,$E738&gt;0),AND($C738=LataProjekcji,$E738=0,$D739&lt;=10)),$E739,IF($C738&lt;LataProjekcji,IF((SUM($K740:Q740)+$C740)&lt;$C739,$C740,$C739-SUM($K740:Q740)),0)),0)</f>
        <v>0</v>
      </c>
      <c r="S740" s="248">
        <f ca="1">ROUND(IF(OR(AND($C738=LataProjekcji,$E738&gt;0),AND($C738=LataProjekcji,$E738=0,$D739&lt;=10)),$E739,IF($C738&lt;LataProjekcji,IF((SUM($K740:R740)+$C740)&lt;$C739,$C740,$C739-SUM($K740:R740)),0)),0)</f>
        <v>0</v>
      </c>
      <c r="T740" s="248">
        <f ca="1">ROUND(IF(OR(AND($C738=LataProjekcji,$E738&gt;0),AND($C738=LataProjekcji,$E738=0,$D739&lt;=10)),$E739,IF($C738&lt;LataProjekcji,IF((SUM($K740:S740)+$C740)&lt;$C739,$C740,$C739-SUM($K740:S740)),0)),0)</f>
        <v>0</v>
      </c>
      <c r="U740" s="248">
        <f ca="1">ROUND(IF(OR(AND($C738=LataProjekcji,$E738&gt;0),AND($C738=LataProjekcji,$E738=0,$D739&lt;=10)),$E739,IF($C738&lt;LataProjekcji,IF((SUM($K740:T740)+$C740)&lt;$C739,$C740,$C739-SUM($K740:T740)),0)),0)</f>
        <v>0</v>
      </c>
      <c r="V740" s="248">
        <f ca="1">ROUND(IF(OR(AND($C738=LataProjekcji,$E738&gt;0),AND($C738=LataProjekcji,$E738=0,$D739&lt;=10)),$E739,IF($C738&lt;LataProjekcji,IF((SUM($K740:U740)+$C740)&lt;$C739,$C740,$C739-SUM($K740:U740)),0)),0)</f>
        <v>0</v>
      </c>
      <c r="W740" s="248">
        <f ca="1">ROUND(IF(OR(AND($C738=LataProjekcji,$E738&gt;0),AND($C738=LataProjekcji,$E738=0,$D739&lt;=10)),$E739,IF($C738&lt;LataProjekcji,IF((SUM($K740:V740)+$C740)&lt;$C739,$C740,$C739-SUM($K740:V740)),0)),0)</f>
        <v>0</v>
      </c>
      <c r="X740" s="248">
        <f ca="1">ROUND(IF(OR(AND($C738=LataProjekcji,$E738&gt;0),AND($C738=LataProjekcji,$E738=0,$D739&lt;=10)),$E739,IF($C738&lt;LataProjekcji,IF((SUM($K740:W740)+$C740)&lt;$C739,$C740,$C739-SUM($K740:W740)),0)),0)</f>
        <v>0</v>
      </c>
    </row>
    <row r="741" spans="1:24" hidden="1">
      <c r="A741" s="259"/>
      <c r="B741" s="21" t="s">
        <v>416</v>
      </c>
      <c r="C741" s="22"/>
      <c r="D741" s="21"/>
      <c r="E741" s="21"/>
      <c r="F741" s="21"/>
      <c r="G741" s="21"/>
      <c r="I741" s="21"/>
      <c r="J741" s="21"/>
      <c r="K741" s="22">
        <f ca="1">ROUND(K740,0)</f>
        <v>0</v>
      </c>
      <c r="L741" s="22">
        <f t="shared" ref="L741:X741" ca="1" si="386">ROUND(K741+L740,0)</f>
        <v>0</v>
      </c>
      <c r="M741" s="22">
        <f t="shared" ca="1" si="386"/>
        <v>0</v>
      </c>
      <c r="N741" s="22">
        <f t="shared" ca="1" si="386"/>
        <v>0</v>
      </c>
      <c r="O741" s="22">
        <f t="shared" ca="1" si="386"/>
        <v>0</v>
      </c>
      <c r="P741" s="22">
        <f t="shared" ca="1" si="386"/>
        <v>0</v>
      </c>
      <c r="Q741" s="22">
        <f t="shared" ca="1" si="386"/>
        <v>0</v>
      </c>
      <c r="R741" s="22">
        <f t="shared" ca="1" si="386"/>
        <v>0</v>
      </c>
      <c r="S741" s="22">
        <f t="shared" ca="1" si="386"/>
        <v>0</v>
      </c>
      <c r="T741" s="22">
        <f t="shared" ca="1" si="386"/>
        <v>0</v>
      </c>
      <c r="U741" s="22">
        <f t="shared" ca="1" si="386"/>
        <v>0</v>
      </c>
      <c r="V741" s="22">
        <f t="shared" ca="1" si="386"/>
        <v>0</v>
      </c>
      <c r="W741" s="22">
        <f t="shared" ca="1" si="386"/>
        <v>0</v>
      </c>
      <c r="X741" s="22">
        <f t="shared" ca="1" si="386"/>
        <v>0</v>
      </c>
    </row>
    <row r="742" spans="1:24" hidden="1">
      <c r="A742" s="259"/>
      <c r="B742" s="21" t="s">
        <v>406</v>
      </c>
      <c r="C742" s="22"/>
      <c r="D742" s="21"/>
      <c r="E742" s="21"/>
      <c r="F742" s="21"/>
      <c r="G742" s="21"/>
      <c r="I742" s="21"/>
      <c r="J742" s="21"/>
      <c r="K742" s="77">
        <f t="shared" ref="K742:X742" ca="1" si="387">IF($C738=LataProjekcji,ROUND($C739-K741,0),ROUND(IF(K740=0,0,$C739-K741),0))</f>
        <v>0</v>
      </c>
      <c r="L742" s="77">
        <f t="shared" ca="1" si="387"/>
        <v>0</v>
      </c>
      <c r="M742" s="77">
        <f t="shared" ca="1" si="387"/>
        <v>0</v>
      </c>
      <c r="N742" s="77">
        <f t="shared" ca="1" si="387"/>
        <v>0</v>
      </c>
      <c r="O742" s="77">
        <f t="shared" ca="1" si="387"/>
        <v>0</v>
      </c>
      <c r="P742" s="77">
        <f t="shared" ca="1" si="387"/>
        <v>0</v>
      </c>
      <c r="Q742" s="77">
        <f t="shared" ca="1" si="387"/>
        <v>0</v>
      </c>
      <c r="R742" s="77">
        <f t="shared" ca="1" si="387"/>
        <v>0</v>
      </c>
      <c r="S742" s="77">
        <f t="shared" ca="1" si="387"/>
        <v>0</v>
      </c>
      <c r="T742" s="77">
        <f t="shared" ca="1" si="387"/>
        <v>0</v>
      </c>
      <c r="U742" s="77">
        <f t="shared" ca="1" si="387"/>
        <v>0</v>
      </c>
      <c r="V742" s="77">
        <f t="shared" ca="1" si="387"/>
        <v>0</v>
      </c>
      <c r="W742" s="77">
        <f t="shared" ca="1" si="387"/>
        <v>0</v>
      </c>
      <c r="X742" s="77">
        <f t="shared" ca="1" si="387"/>
        <v>0</v>
      </c>
    </row>
    <row r="743" spans="1:24" hidden="1">
      <c r="A743" s="259"/>
      <c r="B743" s="21"/>
      <c r="C743" s="22"/>
      <c r="D743" s="21"/>
      <c r="E743" s="21"/>
      <c r="F743" s="21"/>
      <c r="G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</row>
    <row r="744" spans="1:24" hidden="1">
      <c r="A744" s="259"/>
      <c r="B744" s="20" t="s">
        <v>391</v>
      </c>
      <c r="C744" s="21">
        <f>C737+1</f>
        <v>92</v>
      </c>
      <c r="D744" s="483">
        <f>D737+1</f>
        <v>226</v>
      </c>
      <c r="E744" s="21"/>
      <c r="F744" s="21"/>
      <c r="G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</row>
    <row r="745" spans="1:24" hidden="1">
      <c r="A745" s="259"/>
      <c r="B745" s="21" t="s">
        <v>414</v>
      </c>
      <c r="C745" s="165">
        <f ca="1">IFERROR(YEAR(OFFSET($D$28,C744,0)),0)</f>
        <v>0</v>
      </c>
      <c r="D745" s="165">
        <f ca="1">IFERROR(MONTH(OFFSET($D$28,C744,0)),0)</f>
        <v>0</v>
      </c>
      <c r="E745" s="21">
        <f ca="1">12-$D745</f>
        <v>12</v>
      </c>
      <c r="F745" s="21"/>
      <c r="G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idden="1">
      <c r="A746" s="259"/>
      <c r="B746" s="21" t="s">
        <v>406</v>
      </c>
      <c r="C746" s="245">
        <f ca="1">IF(OFFSET($F$28,C744,0)&lt;0,0,OFFSET($F$28,C744,0))</f>
        <v>0</v>
      </c>
      <c r="D746" s="22" t="str">
        <f ca="1">OFFSET($C$28,C744,0)</f>
        <v/>
      </c>
      <c r="E746" s="22">
        <f ca="1">IF(D746&gt;10,ROUND(($C747/12)*$E745,0),$C746)</f>
        <v>0</v>
      </c>
      <c r="F746" s="21"/>
      <c r="G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idden="1">
      <c r="A747" s="259"/>
      <c r="B747" s="21" t="s">
        <v>415</v>
      </c>
      <c r="C747" s="245">
        <f ca="1">IF(ISBLANK(OFFSET($D$28,C744,0)),0,IF(OFFSET($C$28,C744,0)&gt;10,ROUND(C746*am_wnip,0),IF(C746&lt;0,0,C746)))</f>
        <v>0</v>
      </c>
      <c r="D747" s="21"/>
      <c r="E747" s="21"/>
      <c r="F747" s="21"/>
      <c r="G747" s="21"/>
      <c r="I747" s="21"/>
      <c r="J747" s="483" cm="1">
        <f t="array" aca="1" ref="J747" ca="1">OFFSET('Środki trwałe'!$C$195,'Rozliczenie dotacji'!D744,,)</f>
        <v>0</v>
      </c>
      <c r="K747" s="75">
        <f ca="1">ROUND(IF($C745=LataProjekcji,$E746,IF($C745=LataProjekcji,$C747,0)),0)</f>
        <v>0</v>
      </c>
      <c r="L747" s="248">
        <f ca="1">ROUND(IF(OR(AND($C745=LataProjekcji,$E745&gt;0),AND($C745=LataProjekcji,$E745=0,$D746&lt;=10)),$E746,IF($C745&lt;LataProjekcji,IF((SUM($K747:K747)+$C747)&lt;$C746,$C747,$C746-SUM($K747:K747)),0)),0)</f>
        <v>0</v>
      </c>
      <c r="M747" s="248">
        <f ca="1">ROUND(IF(OR(AND($C745=LataProjekcji,$E745&gt;0),AND($C745=LataProjekcji,$E745=0,$D746&lt;=10)),$E746,IF($C745&lt;LataProjekcji,IF((SUM($K747:L747)+$C747)&lt;$C746,$C747,$C746-SUM($K747:L747)),0)),0)</f>
        <v>0</v>
      </c>
      <c r="N747" s="248">
        <f ca="1">ROUND(IF(OR(AND($C745=LataProjekcji,$E745&gt;0),AND($C745=LataProjekcji,$E745=0,$D746&lt;=10)),$E746,IF($C745&lt;LataProjekcji,IF((SUM($K747:M747)+$C747)&lt;$C746,$C747,$C746-SUM($K747:M747)),0)),0)</f>
        <v>0</v>
      </c>
      <c r="O747" s="248">
        <f ca="1">ROUND(IF(OR(AND($C745=LataProjekcji,$E745&gt;0),AND($C745=LataProjekcji,$E745=0,$D746&lt;=10)),$E746,IF($C745&lt;LataProjekcji,IF((SUM($K747:N747)+$C747)&lt;$C746,$C747,$C746-SUM($K747:N747)),0)),0)</f>
        <v>0</v>
      </c>
      <c r="P747" s="248">
        <f ca="1">ROUND(IF(OR(AND($C745=LataProjekcji,$E745&gt;0),AND($C745=LataProjekcji,$E745=0,$D746&lt;=10)),$E746,IF($C745&lt;LataProjekcji,IF((SUM($K747:O747)+$C747)&lt;$C746,$C747,$C746-SUM($K747:O747)),0)),0)</f>
        <v>0</v>
      </c>
      <c r="Q747" s="248">
        <f ca="1">ROUND(IF(OR(AND($C745=LataProjekcji,$E745&gt;0),AND($C745=LataProjekcji,$E745=0,$D746&lt;=10)),$E746,IF($C745&lt;LataProjekcji,IF((SUM($K747:P747)+$C747)&lt;$C746,$C747,$C746-SUM($K747:P747)),0)),0)</f>
        <v>0</v>
      </c>
      <c r="R747" s="248">
        <f ca="1">ROUND(IF(OR(AND($C745=LataProjekcji,$E745&gt;0),AND($C745=LataProjekcji,$E745=0,$D746&lt;=10)),$E746,IF($C745&lt;LataProjekcji,IF((SUM($K747:Q747)+$C747)&lt;$C746,$C747,$C746-SUM($K747:Q747)),0)),0)</f>
        <v>0</v>
      </c>
      <c r="S747" s="248">
        <f ca="1">ROUND(IF(OR(AND($C745=LataProjekcji,$E745&gt;0),AND($C745=LataProjekcji,$E745=0,$D746&lt;=10)),$E746,IF($C745&lt;LataProjekcji,IF((SUM($K747:R747)+$C747)&lt;$C746,$C747,$C746-SUM($K747:R747)),0)),0)</f>
        <v>0</v>
      </c>
      <c r="T747" s="248">
        <f ca="1">ROUND(IF(OR(AND($C745=LataProjekcji,$E745&gt;0),AND($C745=LataProjekcji,$E745=0,$D746&lt;=10)),$E746,IF($C745&lt;LataProjekcji,IF((SUM($K747:S747)+$C747)&lt;$C746,$C747,$C746-SUM($K747:S747)),0)),0)</f>
        <v>0</v>
      </c>
      <c r="U747" s="248">
        <f ca="1">ROUND(IF(OR(AND($C745=LataProjekcji,$E745&gt;0),AND($C745=LataProjekcji,$E745=0,$D746&lt;=10)),$E746,IF($C745&lt;LataProjekcji,IF((SUM($K747:T747)+$C747)&lt;$C746,$C747,$C746-SUM($K747:T747)),0)),0)</f>
        <v>0</v>
      </c>
      <c r="V747" s="248">
        <f ca="1">ROUND(IF(OR(AND($C745=LataProjekcji,$E745&gt;0),AND($C745=LataProjekcji,$E745=0,$D746&lt;=10)),$E746,IF($C745&lt;LataProjekcji,IF((SUM($K747:U747)+$C747)&lt;$C746,$C747,$C746-SUM($K747:U747)),0)),0)</f>
        <v>0</v>
      </c>
      <c r="W747" s="248">
        <f ca="1">ROUND(IF(OR(AND($C745=LataProjekcji,$E745&gt;0),AND($C745=LataProjekcji,$E745=0,$D746&lt;=10)),$E746,IF($C745&lt;LataProjekcji,IF((SUM($K747:V747)+$C747)&lt;$C746,$C747,$C746-SUM($K747:V747)),0)),0)</f>
        <v>0</v>
      </c>
      <c r="X747" s="248">
        <f ca="1">ROUND(IF(OR(AND($C745=LataProjekcji,$E745&gt;0),AND($C745=LataProjekcji,$E745=0,$D746&lt;=10)),$E746,IF($C745&lt;LataProjekcji,IF((SUM($K747:W747)+$C747)&lt;$C746,$C747,$C746-SUM($K747:W747)),0)),0)</f>
        <v>0</v>
      </c>
    </row>
    <row r="748" spans="1:24" hidden="1">
      <c r="A748" s="259"/>
      <c r="B748" s="21" t="s">
        <v>416</v>
      </c>
      <c r="C748" s="22"/>
      <c r="D748" s="21"/>
      <c r="E748" s="21"/>
      <c r="F748" s="21"/>
      <c r="G748" s="21"/>
      <c r="I748" s="21"/>
      <c r="J748" s="21"/>
      <c r="K748" s="22">
        <f ca="1">ROUND(K747,0)</f>
        <v>0</v>
      </c>
      <c r="L748" s="22">
        <f t="shared" ref="L748:X748" ca="1" si="388">ROUND(K748+L747,0)</f>
        <v>0</v>
      </c>
      <c r="M748" s="22">
        <f t="shared" ca="1" si="388"/>
        <v>0</v>
      </c>
      <c r="N748" s="22">
        <f t="shared" ca="1" si="388"/>
        <v>0</v>
      </c>
      <c r="O748" s="22">
        <f t="shared" ca="1" si="388"/>
        <v>0</v>
      </c>
      <c r="P748" s="22">
        <f t="shared" ca="1" si="388"/>
        <v>0</v>
      </c>
      <c r="Q748" s="22">
        <f t="shared" ca="1" si="388"/>
        <v>0</v>
      </c>
      <c r="R748" s="22">
        <f t="shared" ca="1" si="388"/>
        <v>0</v>
      </c>
      <c r="S748" s="22">
        <f t="shared" ca="1" si="388"/>
        <v>0</v>
      </c>
      <c r="T748" s="22">
        <f t="shared" ca="1" si="388"/>
        <v>0</v>
      </c>
      <c r="U748" s="22">
        <f t="shared" ca="1" si="388"/>
        <v>0</v>
      </c>
      <c r="V748" s="22">
        <f t="shared" ca="1" si="388"/>
        <v>0</v>
      </c>
      <c r="W748" s="22">
        <f t="shared" ca="1" si="388"/>
        <v>0</v>
      </c>
      <c r="X748" s="22">
        <f t="shared" ca="1" si="388"/>
        <v>0</v>
      </c>
    </row>
    <row r="749" spans="1:24" hidden="1">
      <c r="A749" s="259"/>
      <c r="B749" s="21" t="s">
        <v>406</v>
      </c>
      <c r="C749" s="22"/>
      <c r="D749" s="21"/>
      <c r="E749" s="21"/>
      <c r="F749" s="21"/>
      <c r="G749" s="21"/>
      <c r="I749" s="21"/>
      <c r="J749" s="21"/>
      <c r="K749" s="77">
        <f t="shared" ref="K749:X749" ca="1" si="389">IF($C745=LataProjekcji,ROUND($C746-K748,0),ROUND(IF(K747=0,0,$C746-K748),0))</f>
        <v>0</v>
      </c>
      <c r="L749" s="77">
        <f t="shared" ca="1" si="389"/>
        <v>0</v>
      </c>
      <c r="M749" s="77">
        <f t="shared" ca="1" si="389"/>
        <v>0</v>
      </c>
      <c r="N749" s="77">
        <f t="shared" ca="1" si="389"/>
        <v>0</v>
      </c>
      <c r="O749" s="77">
        <f t="shared" ca="1" si="389"/>
        <v>0</v>
      </c>
      <c r="P749" s="77">
        <f t="shared" ca="1" si="389"/>
        <v>0</v>
      </c>
      <c r="Q749" s="77">
        <f t="shared" ca="1" si="389"/>
        <v>0</v>
      </c>
      <c r="R749" s="77">
        <f t="shared" ca="1" si="389"/>
        <v>0</v>
      </c>
      <c r="S749" s="77">
        <f t="shared" ca="1" si="389"/>
        <v>0</v>
      </c>
      <c r="T749" s="77">
        <f t="shared" ca="1" si="389"/>
        <v>0</v>
      </c>
      <c r="U749" s="77">
        <f t="shared" ca="1" si="389"/>
        <v>0</v>
      </c>
      <c r="V749" s="77">
        <f t="shared" ca="1" si="389"/>
        <v>0</v>
      </c>
      <c r="W749" s="77">
        <f t="shared" ca="1" si="389"/>
        <v>0</v>
      </c>
      <c r="X749" s="77">
        <f t="shared" ca="1" si="389"/>
        <v>0</v>
      </c>
    </row>
    <row r="750" spans="1:24" hidden="1">
      <c r="A750" s="259"/>
      <c r="B750" s="21"/>
      <c r="C750" s="22"/>
      <c r="D750" s="21"/>
      <c r="E750" s="21"/>
      <c r="F750" s="21"/>
      <c r="G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</row>
    <row r="751" spans="1:24" hidden="1">
      <c r="A751" s="259"/>
      <c r="B751" s="20" t="s">
        <v>391</v>
      </c>
      <c r="C751" s="21">
        <f>C744+1</f>
        <v>93</v>
      </c>
      <c r="D751" s="483">
        <f>D744+1</f>
        <v>227</v>
      </c>
      <c r="E751" s="21"/>
      <c r="F751" s="21"/>
      <c r="G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</row>
    <row r="752" spans="1:24" hidden="1">
      <c r="A752" s="259"/>
      <c r="B752" s="21" t="s">
        <v>414</v>
      </c>
      <c r="C752" s="165">
        <f ca="1">IFERROR(YEAR(OFFSET($D$28,C751,0)),0)</f>
        <v>0</v>
      </c>
      <c r="D752" s="165">
        <f ca="1">IFERROR(MONTH(OFFSET($D$28,C751,0)),0)</f>
        <v>0</v>
      </c>
      <c r="E752" s="21">
        <f ca="1">12-$D752</f>
        <v>12</v>
      </c>
      <c r="F752" s="21"/>
      <c r="G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</row>
    <row r="753" spans="1:24" hidden="1">
      <c r="A753" s="259"/>
      <c r="B753" s="21" t="s">
        <v>406</v>
      </c>
      <c r="C753" s="245">
        <f ca="1">IF(OFFSET($F$28,C751,0)&lt;0,0,OFFSET($F$28,C751,0))</f>
        <v>0</v>
      </c>
      <c r="D753" s="22" t="str">
        <f ca="1">OFFSET($C$28,C751,0)</f>
        <v/>
      </c>
      <c r="E753" s="22">
        <f ca="1">IF(D753&gt;10,ROUND(($C754/12)*$E752,0),$C753)</f>
        <v>0</v>
      </c>
      <c r="F753" s="21"/>
      <c r="G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</row>
    <row r="754" spans="1:24" hidden="1">
      <c r="A754" s="259"/>
      <c r="B754" s="21" t="s">
        <v>415</v>
      </c>
      <c r="C754" s="245">
        <f ca="1">IF(ISBLANK(OFFSET($D$28,C751,0)),0,IF(OFFSET($C$28,C751,0)&gt;10,ROUND(C753*am_wnip,0),IF(C753&lt;0,0,C753)))</f>
        <v>0</v>
      </c>
      <c r="D754" s="21"/>
      <c r="E754" s="21"/>
      <c r="F754" s="21"/>
      <c r="G754" s="21"/>
      <c r="I754" s="21"/>
      <c r="J754" s="483" cm="1">
        <f t="array" aca="1" ref="J754" ca="1">OFFSET('Środki trwałe'!$C$195,'Rozliczenie dotacji'!D751,,)</f>
        <v>0</v>
      </c>
      <c r="K754" s="75">
        <f ca="1">ROUND(IF($C752=LataProjekcji,$E753,IF($C752=LataProjekcji,$C754,0)),0)</f>
        <v>0</v>
      </c>
      <c r="L754" s="248">
        <f ca="1">ROUND(IF(OR(AND($C752=LataProjekcji,$E752&gt;0),AND($C752=LataProjekcji,$E752=0,$D753&lt;=10)),$E753,IF($C752&lt;LataProjekcji,IF((SUM($K754:K754)+$C754)&lt;$C753,$C754,$C753-SUM($K754:K754)),0)),0)</f>
        <v>0</v>
      </c>
      <c r="M754" s="248">
        <f ca="1">ROUND(IF(OR(AND($C752=LataProjekcji,$E752&gt;0),AND($C752=LataProjekcji,$E752=0,$D753&lt;=10)),$E753,IF($C752&lt;LataProjekcji,IF((SUM($K754:L754)+$C754)&lt;$C753,$C754,$C753-SUM($K754:L754)),0)),0)</f>
        <v>0</v>
      </c>
      <c r="N754" s="248">
        <f ca="1">ROUND(IF(OR(AND($C752=LataProjekcji,$E752&gt;0),AND($C752=LataProjekcji,$E752=0,$D753&lt;=10)),$E753,IF($C752&lt;LataProjekcji,IF((SUM($K754:M754)+$C754)&lt;$C753,$C754,$C753-SUM($K754:M754)),0)),0)</f>
        <v>0</v>
      </c>
      <c r="O754" s="248">
        <f ca="1">ROUND(IF(OR(AND($C752=LataProjekcji,$E752&gt;0),AND($C752=LataProjekcji,$E752=0,$D753&lt;=10)),$E753,IF($C752&lt;LataProjekcji,IF((SUM($K754:N754)+$C754)&lt;$C753,$C754,$C753-SUM($K754:N754)),0)),0)</f>
        <v>0</v>
      </c>
      <c r="P754" s="248">
        <f ca="1">ROUND(IF(OR(AND($C752=LataProjekcji,$E752&gt;0),AND($C752=LataProjekcji,$E752=0,$D753&lt;=10)),$E753,IF($C752&lt;LataProjekcji,IF((SUM($K754:O754)+$C754)&lt;$C753,$C754,$C753-SUM($K754:O754)),0)),0)</f>
        <v>0</v>
      </c>
      <c r="Q754" s="248">
        <f ca="1">ROUND(IF(OR(AND($C752=LataProjekcji,$E752&gt;0),AND($C752=LataProjekcji,$E752=0,$D753&lt;=10)),$E753,IF($C752&lt;LataProjekcji,IF((SUM($K754:P754)+$C754)&lt;$C753,$C754,$C753-SUM($K754:P754)),0)),0)</f>
        <v>0</v>
      </c>
      <c r="R754" s="248">
        <f ca="1">ROUND(IF(OR(AND($C752=LataProjekcji,$E752&gt;0),AND($C752=LataProjekcji,$E752=0,$D753&lt;=10)),$E753,IF($C752&lt;LataProjekcji,IF((SUM($K754:Q754)+$C754)&lt;$C753,$C754,$C753-SUM($K754:Q754)),0)),0)</f>
        <v>0</v>
      </c>
      <c r="S754" s="248">
        <f ca="1">ROUND(IF(OR(AND($C752=LataProjekcji,$E752&gt;0),AND($C752=LataProjekcji,$E752=0,$D753&lt;=10)),$E753,IF($C752&lt;LataProjekcji,IF((SUM($K754:R754)+$C754)&lt;$C753,$C754,$C753-SUM($K754:R754)),0)),0)</f>
        <v>0</v>
      </c>
      <c r="T754" s="248">
        <f ca="1">ROUND(IF(OR(AND($C752=LataProjekcji,$E752&gt;0),AND($C752=LataProjekcji,$E752=0,$D753&lt;=10)),$E753,IF($C752&lt;LataProjekcji,IF((SUM($K754:S754)+$C754)&lt;$C753,$C754,$C753-SUM($K754:S754)),0)),0)</f>
        <v>0</v>
      </c>
      <c r="U754" s="248">
        <f ca="1">ROUND(IF(OR(AND($C752=LataProjekcji,$E752&gt;0),AND($C752=LataProjekcji,$E752=0,$D753&lt;=10)),$E753,IF($C752&lt;LataProjekcji,IF((SUM($K754:T754)+$C754)&lt;$C753,$C754,$C753-SUM($K754:T754)),0)),0)</f>
        <v>0</v>
      </c>
      <c r="V754" s="248">
        <f ca="1">ROUND(IF(OR(AND($C752=LataProjekcji,$E752&gt;0),AND($C752=LataProjekcji,$E752=0,$D753&lt;=10)),$E753,IF($C752&lt;LataProjekcji,IF((SUM($K754:U754)+$C754)&lt;$C753,$C754,$C753-SUM($K754:U754)),0)),0)</f>
        <v>0</v>
      </c>
      <c r="W754" s="248">
        <f ca="1">ROUND(IF(OR(AND($C752=LataProjekcji,$E752&gt;0),AND($C752=LataProjekcji,$E752=0,$D753&lt;=10)),$E753,IF($C752&lt;LataProjekcji,IF((SUM($K754:V754)+$C754)&lt;$C753,$C754,$C753-SUM($K754:V754)),0)),0)</f>
        <v>0</v>
      </c>
      <c r="X754" s="248">
        <f ca="1">ROUND(IF(OR(AND($C752=LataProjekcji,$E752&gt;0),AND($C752=LataProjekcji,$E752=0,$D753&lt;=10)),$E753,IF($C752&lt;LataProjekcji,IF((SUM($K754:W754)+$C754)&lt;$C753,$C754,$C753-SUM($K754:W754)),0)),0)</f>
        <v>0</v>
      </c>
    </row>
    <row r="755" spans="1:24" hidden="1">
      <c r="A755" s="259"/>
      <c r="B755" s="21" t="s">
        <v>416</v>
      </c>
      <c r="C755" s="22"/>
      <c r="D755" s="21"/>
      <c r="E755" s="21"/>
      <c r="F755" s="21"/>
      <c r="G755" s="21"/>
      <c r="I755" s="21"/>
      <c r="J755" s="21"/>
      <c r="K755" s="22">
        <f ca="1">ROUND(K754,0)</f>
        <v>0</v>
      </c>
      <c r="L755" s="22">
        <f t="shared" ref="L755:X755" ca="1" si="390">ROUND(K755+L754,0)</f>
        <v>0</v>
      </c>
      <c r="M755" s="22">
        <f t="shared" ca="1" si="390"/>
        <v>0</v>
      </c>
      <c r="N755" s="22">
        <f t="shared" ca="1" si="390"/>
        <v>0</v>
      </c>
      <c r="O755" s="22">
        <f t="shared" ca="1" si="390"/>
        <v>0</v>
      </c>
      <c r="P755" s="22">
        <f t="shared" ca="1" si="390"/>
        <v>0</v>
      </c>
      <c r="Q755" s="22">
        <f t="shared" ca="1" si="390"/>
        <v>0</v>
      </c>
      <c r="R755" s="22">
        <f t="shared" ca="1" si="390"/>
        <v>0</v>
      </c>
      <c r="S755" s="22">
        <f t="shared" ca="1" si="390"/>
        <v>0</v>
      </c>
      <c r="T755" s="22">
        <f t="shared" ca="1" si="390"/>
        <v>0</v>
      </c>
      <c r="U755" s="22">
        <f t="shared" ca="1" si="390"/>
        <v>0</v>
      </c>
      <c r="V755" s="22">
        <f t="shared" ca="1" si="390"/>
        <v>0</v>
      </c>
      <c r="W755" s="22">
        <f t="shared" ca="1" si="390"/>
        <v>0</v>
      </c>
      <c r="X755" s="22">
        <f t="shared" ca="1" si="390"/>
        <v>0</v>
      </c>
    </row>
    <row r="756" spans="1:24" hidden="1">
      <c r="A756" s="259"/>
      <c r="B756" s="21" t="s">
        <v>406</v>
      </c>
      <c r="C756" s="22"/>
      <c r="D756" s="21"/>
      <c r="E756" s="21"/>
      <c r="F756" s="21"/>
      <c r="G756" s="21"/>
      <c r="I756" s="21"/>
      <c r="J756" s="21"/>
      <c r="K756" s="77">
        <f t="shared" ref="K756:X756" ca="1" si="391">IF($C752=LataProjekcji,ROUND($C753-K755,0),ROUND(IF(K754=0,0,$C753-K755),0))</f>
        <v>0</v>
      </c>
      <c r="L756" s="77">
        <f t="shared" ca="1" si="391"/>
        <v>0</v>
      </c>
      <c r="M756" s="77">
        <f t="shared" ca="1" si="391"/>
        <v>0</v>
      </c>
      <c r="N756" s="77">
        <f t="shared" ca="1" si="391"/>
        <v>0</v>
      </c>
      <c r="O756" s="77">
        <f t="shared" ca="1" si="391"/>
        <v>0</v>
      </c>
      <c r="P756" s="77">
        <f t="shared" ca="1" si="391"/>
        <v>0</v>
      </c>
      <c r="Q756" s="77">
        <f t="shared" ca="1" si="391"/>
        <v>0</v>
      </c>
      <c r="R756" s="77">
        <f t="shared" ca="1" si="391"/>
        <v>0</v>
      </c>
      <c r="S756" s="77">
        <f t="shared" ca="1" si="391"/>
        <v>0</v>
      </c>
      <c r="T756" s="77">
        <f t="shared" ca="1" si="391"/>
        <v>0</v>
      </c>
      <c r="U756" s="77">
        <f t="shared" ca="1" si="391"/>
        <v>0</v>
      </c>
      <c r="V756" s="77">
        <f t="shared" ca="1" si="391"/>
        <v>0</v>
      </c>
      <c r="W756" s="77">
        <f t="shared" ca="1" si="391"/>
        <v>0</v>
      </c>
      <c r="X756" s="77">
        <f t="shared" ca="1" si="391"/>
        <v>0</v>
      </c>
    </row>
    <row r="757" spans="1:24" hidden="1">
      <c r="A757" s="259"/>
      <c r="B757" s="20"/>
      <c r="C757" s="21"/>
      <c r="D757" s="21"/>
      <c r="E757" s="21"/>
      <c r="F757" s="21"/>
      <c r="G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idden="1">
      <c r="A758" s="259"/>
      <c r="B758" s="20" t="s">
        <v>391</v>
      </c>
      <c r="C758" s="21">
        <f>C751+1</f>
        <v>94</v>
      </c>
      <c r="D758" s="483">
        <f>D751+1</f>
        <v>228</v>
      </c>
      <c r="E758" s="21"/>
      <c r="F758" s="21"/>
      <c r="G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idden="1">
      <c r="A759" s="259"/>
      <c r="B759" s="21" t="s">
        <v>414</v>
      </c>
      <c r="C759" s="165">
        <f ca="1">IFERROR(YEAR(OFFSET($D$28,C758,0)),0)</f>
        <v>0</v>
      </c>
      <c r="D759" s="165">
        <f ca="1">IFERROR(MONTH(OFFSET($D$28,C758,0)),0)</f>
        <v>0</v>
      </c>
      <c r="E759" s="21">
        <f ca="1">12-$D759</f>
        <v>12</v>
      </c>
      <c r="F759" s="21"/>
      <c r="G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idden="1">
      <c r="A760" s="259"/>
      <c r="B760" s="21" t="s">
        <v>406</v>
      </c>
      <c r="C760" s="245">
        <f ca="1">IF(OFFSET($F$28,C758,0)&lt;0,0,OFFSET($F$28,C758,0))</f>
        <v>0</v>
      </c>
      <c r="D760" s="22" t="str">
        <f ca="1">OFFSET($C$28,C758,0)</f>
        <v/>
      </c>
      <c r="E760" s="22">
        <f ca="1">IF(D760&gt;10,ROUND(($C761/12)*$E759,0),$C760)</f>
        <v>0</v>
      </c>
      <c r="F760" s="21"/>
      <c r="G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</row>
    <row r="761" spans="1:24" hidden="1">
      <c r="A761" s="259"/>
      <c r="B761" s="21" t="s">
        <v>415</v>
      </c>
      <c r="C761" s="245">
        <f ca="1">IF(ISBLANK(OFFSET($D$28,C758,0)),0,IF(OFFSET($C$28,C758,0)&gt;10,ROUND(C760*am_wnip,0),IF(C760&lt;0,0,C760)))</f>
        <v>0</v>
      </c>
      <c r="D761" s="21"/>
      <c r="E761" s="21"/>
      <c r="F761" s="21"/>
      <c r="G761" s="21"/>
      <c r="I761" s="21"/>
      <c r="J761" s="483" cm="1">
        <f t="array" aca="1" ref="J761" ca="1">OFFSET('Środki trwałe'!$C$195,'Rozliczenie dotacji'!D758,,)</f>
        <v>0</v>
      </c>
      <c r="K761" s="75">
        <f ca="1">ROUND(IF($C759=LataProjekcji,$E760,IF($C759=LataProjekcji,$C761,0)),0)</f>
        <v>0</v>
      </c>
      <c r="L761" s="248">
        <f ca="1">ROUND(IF(OR(AND($C759=LataProjekcji,$E759&gt;0),AND($C759=LataProjekcji,$E759=0,$D760&lt;=10)),$E760,IF($C759&lt;LataProjekcji,IF((SUM($K761:K761)+$C761)&lt;$C760,$C761,$C760-SUM($K761:K761)),0)),0)</f>
        <v>0</v>
      </c>
      <c r="M761" s="248">
        <f ca="1">ROUND(IF(OR(AND($C759=LataProjekcji,$E759&gt;0),AND($C759=LataProjekcji,$E759=0,$D760&lt;=10)),$E760,IF($C759&lt;LataProjekcji,IF((SUM($K761:L761)+$C761)&lt;$C760,$C761,$C760-SUM($K761:L761)),0)),0)</f>
        <v>0</v>
      </c>
      <c r="N761" s="248">
        <f ca="1">ROUND(IF(OR(AND($C759=LataProjekcji,$E759&gt;0),AND($C759=LataProjekcji,$E759=0,$D760&lt;=10)),$E760,IF($C759&lt;LataProjekcji,IF((SUM($K761:M761)+$C761)&lt;$C760,$C761,$C760-SUM($K761:M761)),0)),0)</f>
        <v>0</v>
      </c>
      <c r="O761" s="248">
        <f ca="1">ROUND(IF(OR(AND($C759=LataProjekcji,$E759&gt;0),AND($C759=LataProjekcji,$E759=0,$D760&lt;=10)),$E760,IF($C759&lt;LataProjekcji,IF((SUM($K761:N761)+$C761)&lt;$C760,$C761,$C760-SUM($K761:N761)),0)),0)</f>
        <v>0</v>
      </c>
      <c r="P761" s="248">
        <f ca="1">ROUND(IF(OR(AND($C759=LataProjekcji,$E759&gt;0),AND($C759=LataProjekcji,$E759=0,$D760&lt;=10)),$E760,IF($C759&lt;LataProjekcji,IF((SUM($K761:O761)+$C761)&lt;$C760,$C761,$C760-SUM($K761:O761)),0)),0)</f>
        <v>0</v>
      </c>
      <c r="Q761" s="248">
        <f ca="1">ROUND(IF(OR(AND($C759=LataProjekcji,$E759&gt;0),AND($C759=LataProjekcji,$E759=0,$D760&lt;=10)),$E760,IF($C759&lt;LataProjekcji,IF((SUM($K761:P761)+$C761)&lt;$C760,$C761,$C760-SUM($K761:P761)),0)),0)</f>
        <v>0</v>
      </c>
      <c r="R761" s="248">
        <f ca="1">ROUND(IF(OR(AND($C759=LataProjekcji,$E759&gt;0),AND($C759=LataProjekcji,$E759=0,$D760&lt;=10)),$E760,IF($C759&lt;LataProjekcji,IF((SUM($K761:Q761)+$C761)&lt;$C760,$C761,$C760-SUM($K761:Q761)),0)),0)</f>
        <v>0</v>
      </c>
      <c r="S761" s="248">
        <f ca="1">ROUND(IF(OR(AND($C759=LataProjekcji,$E759&gt;0),AND($C759=LataProjekcji,$E759=0,$D760&lt;=10)),$E760,IF($C759&lt;LataProjekcji,IF((SUM($K761:R761)+$C761)&lt;$C760,$C761,$C760-SUM($K761:R761)),0)),0)</f>
        <v>0</v>
      </c>
      <c r="T761" s="248">
        <f ca="1">ROUND(IF(OR(AND($C759=LataProjekcji,$E759&gt;0),AND($C759=LataProjekcji,$E759=0,$D760&lt;=10)),$E760,IF($C759&lt;LataProjekcji,IF((SUM($K761:S761)+$C761)&lt;$C760,$C761,$C760-SUM($K761:S761)),0)),0)</f>
        <v>0</v>
      </c>
      <c r="U761" s="248">
        <f ca="1">ROUND(IF(OR(AND($C759=LataProjekcji,$E759&gt;0),AND($C759=LataProjekcji,$E759=0,$D760&lt;=10)),$E760,IF($C759&lt;LataProjekcji,IF((SUM($K761:T761)+$C761)&lt;$C760,$C761,$C760-SUM($K761:T761)),0)),0)</f>
        <v>0</v>
      </c>
      <c r="V761" s="248">
        <f ca="1">ROUND(IF(OR(AND($C759=LataProjekcji,$E759&gt;0),AND($C759=LataProjekcji,$E759=0,$D760&lt;=10)),$E760,IF($C759&lt;LataProjekcji,IF((SUM($K761:U761)+$C761)&lt;$C760,$C761,$C760-SUM($K761:U761)),0)),0)</f>
        <v>0</v>
      </c>
      <c r="W761" s="248">
        <f ca="1">ROUND(IF(OR(AND($C759=LataProjekcji,$E759&gt;0),AND($C759=LataProjekcji,$E759=0,$D760&lt;=10)),$E760,IF($C759&lt;LataProjekcji,IF((SUM($K761:V761)+$C761)&lt;$C760,$C761,$C760-SUM($K761:V761)),0)),0)</f>
        <v>0</v>
      </c>
      <c r="X761" s="248">
        <f ca="1">ROUND(IF(OR(AND($C759=LataProjekcji,$E759&gt;0),AND($C759=LataProjekcji,$E759=0,$D760&lt;=10)),$E760,IF($C759&lt;LataProjekcji,IF((SUM($K761:W761)+$C761)&lt;$C760,$C761,$C760-SUM($K761:W761)),0)),0)</f>
        <v>0</v>
      </c>
    </row>
    <row r="762" spans="1:24" hidden="1">
      <c r="A762" s="259"/>
      <c r="B762" s="21" t="s">
        <v>416</v>
      </c>
      <c r="C762" s="22"/>
      <c r="D762" s="21"/>
      <c r="E762" s="21"/>
      <c r="F762" s="21"/>
      <c r="G762" s="21"/>
      <c r="I762" s="21"/>
      <c r="J762" s="21"/>
      <c r="K762" s="22">
        <f ca="1">ROUND(K761,0)</f>
        <v>0</v>
      </c>
      <c r="L762" s="22">
        <f t="shared" ref="L762:X762" ca="1" si="392">ROUND(K762+L761,0)</f>
        <v>0</v>
      </c>
      <c r="M762" s="22">
        <f t="shared" ca="1" si="392"/>
        <v>0</v>
      </c>
      <c r="N762" s="22">
        <f t="shared" ca="1" si="392"/>
        <v>0</v>
      </c>
      <c r="O762" s="22">
        <f t="shared" ca="1" si="392"/>
        <v>0</v>
      </c>
      <c r="P762" s="22">
        <f t="shared" ca="1" si="392"/>
        <v>0</v>
      </c>
      <c r="Q762" s="22">
        <f t="shared" ca="1" si="392"/>
        <v>0</v>
      </c>
      <c r="R762" s="22">
        <f t="shared" ca="1" si="392"/>
        <v>0</v>
      </c>
      <c r="S762" s="22">
        <f t="shared" ca="1" si="392"/>
        <v>0</v>
      </c>
      <c r="T762" s="22">
        <f t="shared" ca="1" si="392"/>
        <v>0</v>
      </c>
      <c r="U762" s="22">
        <f t="shared" ca="1" si="392"/>
        <v>0</v>
      </c>
      <c r="V762" s="22">
        <f t="shared" ca="1" si="392"/>
        <v>0</v>
      </c>
      <c r="W762" s="22">
        <f t="shared" ca="1" si="392"/>
        <v>0</v>
      </c>
      <c r="X762" s="22">
        <f t="shared" ca="1" si="392"/>
        <v>0</v>
      </c>
    </row>
    <row r="763" spans="1:24" hidden="1">
      <c r="A763" s="259"/>
      <c r="B763" s="21" t="s">
        <v>406</v>
      </c>
      <c r="C763" s="22"/>
      <c r="D763" s="21"/>
      <c r="E763" s="21"/>
      <c r="F763" s="21"/>
      <c r="G763" s="21"/>
      <c r="I763" s="21"/>
      <c r="J763" s="21"/>
      <c r="K763" s="77">
        <f t="shared" ref="K763:X763" ca="1" si="393">IF($C759=LataProjekcji,ROUND($C760-K762,0),ROUND(IF(K761=0,0,$C760-K762),0))</f>
        <v>0</v>
      </c>
      <c r="L763" s="77">
        <f t="shared" ca="1" si="393"/>
        <v>0</v>
      </c>
      <c r="M763" s="77">
        <f t="shared" ca="1" si="393"/>
        <v>0</v>
      </c>
      <c r="N763" s="77">
        <f t="shared" ca="1" si="393"/>
        <v>0</v>
      </c>
      <c r="O763" s="77">
        <f t="shared" ca="1" si="393"/>
        <v>0</v>
      </c>
      <c r="P763" s="77">
        <f t="shared" ca="1" si="393"/>
        <v>0</v>
      </c>
      <c r="Q763" s="77">
        <f t="shared" ca="1" si="393"/>
        <v>0</v>
      </c>
      <c r="R763" s="77">
        <f t="shared" ca="1" si="393"/>
        <v>0</v>
      </c>
      <c r="S763" s="77">
        <f t="shared" ca="1" si="393"/>
        <v>0</v>
      </c>
      <c r="T763" s="77">
        <f t="shared" ca="1" si="393"/>
        <v>0</v>
      </c>
      <c r="U763" s="77">
        <f t="shared" ca="1" si="393"/>
        <v>0</v>
      </c>
      <c r="V763" s="77">
        <f t="shared" ca="1" si="393"/>
        <v>0</v>
      </c>
      <c r="W763" s="77">
        <f t="shared" ca="1" si="393"/>
        <v>0</v>
      </c>
      <c r="X763" s="77">
        <f t="shared" ca="1" si="393"/>
        <v>0</v>
      </c>
    </row>
    <row r="764" spans="1:24" hidden="1">
      <c r="A764" s="259"/>
      <c r="B764" s="21"/>
      <c r="C764" s="22"/>
      <c r="D764" s="21"/>
      <c r="E764" s="21"/>
      <c r="F764" s="21"/>
      <c r="G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idden="1">
      <c r="A765" s="259"/>
      <c r="B765" s="20" t="s">
        <v>391</v>
      </c>
      <c r="C765" s="21">
        <f>C758+1</f>
        <v>95</v>
      </c>
      <c r="D765" s="483">
        <f>D758+1</f>
        <v>229</v>
      </c>
      <c r="E765" s="21"/>
      <c r="F765" s="21"/>
      <c r="G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idden="1">
      <c r="A766" s="259"/>
      <c r="B766" s="21" t="s">
        <v>414</v>
      </c>
      <c r="C766" s="165">
        <f ca="1">IFERROR(YEAR(OFFSET($D$28,C765,0)),0)</f>
        <v>0</v>
      </c>
      <c r="D766" s="165">
        <f ca="1">IFERROR(MONTH(OFFSET($D$28,C765,0)),0)</f>
        <v>0</v>
      </c>
      <c r="E766" s="21">
        <f ca="1">12-$D766</f>
        <v>12</v>
      </c>
      <c r="F766" s="21"/>
      <c r="G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idden="1">
      <c r="A767" s="259"/>
      <c r="B767" s="21" t="s">
        <v>406</v>
      </c>
      <c r="C767" s="245">
        <f ca="1">IF(OFFSET($F$28,C765,0)&lt;0,0,OFFSET($F$28,C765,0))</f>
        <v>0</v>
      </c>
      <c r="D767" s="22" t="str">
        <f ca="1">OFFSET($C$28,C765,0)</f>
        <v/>
      </c>
      <c r="E767" s="22">
        <f ca="1">IF(D767&gt;10,ROUND(($C768/12)*$E766,0),$C767)</f>
        <v>0</v>
      </c>
      <c r="F767" s="21"/>
      <c r="G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</row>
    <row r="768" spans="1:24" hidden="1">
      <c r="A768" s="259"/>
      <c r="B768" s="21" t="s">
        <v>415</v>
      </c>
      <c r="C768" s="245">
        <f ca="1">IF(ISBLANK(OFFSET($D$28,C765,0)),0,IF(OFFSET($C$28,C765,0)&gt;10,ROUND(C767*am_wnip,0),IF(C767&lt;0,0,C767)))</f>
        <v>0</v>
      </c>
      <c r="D768" s="21"/>
      <c r="E768" s="21"/>
      <c r="F768" s="21"/>
      <c r="G768" s="21"/>
      <c r="I768" s="21"/>
      <c r="J768" s="483" cm="1">
        <f t="array" aca="1" ref="J768" ca="1">OFFSET('Środki trwałe'!$C$195,'Rozliczenie dotacji'!D765,,)</f>
        <v>0</v>
      </c>
      <c r="K768" s="75">
        <f ca="1">ROUND(IF($C766=LataProjekcji,$E767,IF($C766=LataProjekcji,$C768,0)),0)</f>
        <v>0</v>
      </c>
      <c r="L768" s="248">
        <f ca="1">ROUND(IF(OR(AND($C766=LataProjekcji,$E766&gt;0),AND($C766=LataProjekcji,$E766=0,$D767&lt;=10)),$E767,IF($C766&lt;LataProjekcji,IF((SUM($K768:K768)+$C768)&lt;$C767,$C768,$C767-SUM($K768:K768)),0)),0)</f>
        <v>0</v>
      </c>
      <c r="M768" s="248">
        <f ca="1">ROUND(IF(OR(AND($C766=LataProjekcji,$E766&gt;0),AND($C766=LataProjekcji,$E766=0,$D767&lt;=10)),$E767,IF($C766&lt;LataProjekcji,IF((SUM($K768:L768)+$C768)&lt;$C767,$C768,$C767-SUM($K768:L768)),0)),0)</f>
        <v>0</v>
      </c>
      <c r="N768" s="248">
        <f ca="1">ROUND(IF(OR(AND($C766=LataProjekcji,$E766&gt;0),AND($C766=LataProjekcji,$E766=0,$D767&lt;=10)),$E767,IF($C766&lt;LataProjekcji,IF((SUM($K768:M768)+$C768)&lt;$C767,$C768,$C767-SUM($K768:M768)),0)),0)</f>
        <v>0</v>
      </c>
      <c r="O768" s="248">
        <f ca="1">ROUND(IF(OR(AND($C766=LataProjekcji,$E766&gt;0),AND($C766=LataProjekcji,$E766=0,$D767&lt;=10)),$E767,IF($C766&lt;LataProjekcji,IF((SUM($K768:N768)+$C768)&lt;$C767,$C768,$C767-SUM($K768:N768)),0)),0)</f>
        <v>0</v>
      </c>
      <c r="P768" s="248">
        <f ca="1">ROUND(IF(OR(AND($C766=LataProjekcji,$E766&gt;0),AND($C766=LataProjekcji,$E766=0,$D767&lt;=10)),$E767,IF($C766&lt;LataProjekcji,IF((SUM($K768:O768)+$C768)&lt;$C767,$C768,$C767-SUM($K768:O768)),0)),0)</f>
        <v>0</v>
      </c>
      <c r="Q768" s="248">
        <f ca="1">ROUND(IF(OR(AND($C766=LataProjekcji,$E766&gt;0),AND($C766=LataProjekcji,$E766=0,$D767&lt;=10)),$E767,IF($C766&lt;LataProjekcji,IF((SUM($K768:P768)+$C768)&lt;$C767,$C768,$C767-SUM($K768:P768)),0)),0)</f>
        <v>0</v>
      </c>
      <c r="R768" s="248">
        <f ca="1">ROUND(IF(OR(AND($C766=LataProjekcji,$E766&gt;0),AND($C766=LataProjekcji,$E766=0,$D767&lt;=10)),$E767,IF($C766&lt;LataProjekcji,IF((SUM($K768:Q768)+$C768)&lt;$C767,$C768,$C767-SUM($K768:Q768)),0)),0)</f>
        <v>0</v>
      </c>
      <c r="S768" s="248">
        <f ca="1">ROUND(IF(OR(AND($C766=LataProjekcji,$E766&gt;0),AND($C766=LataProjekcji,$E766=0,$D767&lt;=10)),$E767,IF($C766&lt;LataProjekcji,IF((SUM($K768:R768)+$C768)&lt;$C767,$C768,$C767-SUM($K768:R768)),0)),0)</f>
        <v>0</v>
      </c>
      <c r="T768" s="248">
        <f ca="1">ROUND(IF(OR(AND($C766=LataProjekcji,$E766&gt;0),AND($C766=LataProjekcji,$E766=0,$D767&lt;=10)),$E767,IF($C766&lt;LataProjekcji,IF((SUM($K768:S768)+$C768)&lt;$C767,$C768,$C767-SUM($K768:S768)),0)),0)</f>
        <v>0</v>
      </c>
      <c r="U768" s="248">
        <f ca="1">ROUND(IF(OR(AND($C766=LataProjekcji,$E766&gt;0),AND($C766=LataProjekcji,$E766=0,$D767&lt;=10)),$E767,IF($C766&lt;LataProjekcji,IF((SUM($K768:T768)+$C768)&lt;$C767,$C768,$C767-SUM($K768:T768)),0)),0)</f>
        <v>0</v>
      </c>
      <c r="V768" s="248">
        <f ca="1">ROUND(IF(OR(AND($C766=LataProjekcji,$E766&gt;0),AND($C766=LataProjekcji,$E766=0,$D767&lt;=10)),$E767,IF($C766&lt;LataProjekcji,IF((SUM($K768:U768)+$C768)&lt;$C767,$C768,$C767-SUM($K768:U768)),0)),0)</f>
        <v>0</v>
      </c>
      <c r="W768" s="248">
        <f ca="1">ROUND(IF(OR(AND($C766=LataProjekcji,$E766&gt;0),AND($C766=LataProjekcji,$E766=0,$D767&lt;=10)),$E767,IF($C766&lt;LataProjekcji,IF((SUM($K768:V768)+$C768)&lt;$C767,$C768,$C767-SUM($K768:V768)),0)),0)</f>
        <v>0</v>
      </c>
      <c r="X768" s="248">
        <f ca="1">ROUND(IF(OR(AND($C766=LataProjekcji,$E766&gt;0),AND($C766=LataProjekcji,$E766=0,$D767&lt;=10)),$E767,IF($C766&lt;LataProjekcji,IF((SUM($K768:W768)+$C768)&lt;$C767,$C768,$C767-SUM($K768:W768)),0)),0)</f>
        <v>0</v>
      </c>
    </row>
    <row r="769" spans="1:24" hidden="1">
      <c r="A769" s="259"/>
      <c r="B769" s="21" t="s">
        <v>416</v>
      </c>
      <c r="C769" s="22"/>
      <c r="D769" s="21"/>
      <c r="E769" s="21"/>
      <c r="F769" s="21"/>
      <c r="G769" s="21"/>
      <c r="I769" s="21"/>
      <c r="J769" s="21"/>
      <c r="K769" s="22">
        <f ca="1">ROUND(K768,0)</f>
        <v>0</v>
      </c>
      <c r="L769" s="22">
        <f t="shared" ref="L769:X769" ca="1" si="394">ROUND(K769+L768,0)</f>
        <v>0</v>
      </c>
      <c r="M769" s="22">
        <f t="shared" ca="1" si="394"/>
        <v>0</v>
      </c>
      <c r="N769" s="22">
        <f t="shared" ca="1" si="394"/>
        <v>0</v>
      </c>
      <c r="O769" s="22">
        <f t="shared" ca="1" si="394"/>
        <v>0</v>
      </c>
      <c r="P769" s="22">
        <f t="shared" ca="1" si="394"/>
        <v>0</v>
      </c>
      <c r="Q769" s="22">
        <f t="shared" ca="1" si="394"/>
        <v>0</v>
      </c>
      <c r="R769" s="22">
        <f t="shared" ca="1" si="394"/>
        <v>0</v>
      </c>
      <c r="S769" s="22">
        <f t="shared" ca="1" si="394"/>
        <v>0</v>
      </c>
      <c r="T769" s="22">
        <f t="shared" ca="1" si="394"/>
        <v>0</v>
      </c>
      <c r="U769" s="22">
        <f t="shared" ca="1" si="394"/>
        <v>0</v>
      </c>
      <c r="V769" s="22">
        <f t="shared" ca="1" si="394"/>
        <v>0</v>
      </c>
      <c r="W769" s="22">
        <f t="shared" ca="1" si="394"/>
        <v>0</v>
      </c>
      <c r="X769" s="22">
        <f t="shared" ca="1" si="394"/>
        <v>0</v>
      </c>
    </row>
    <row r="770" spans="1:24" hidden="1">
      <c r="A770" s="259"/>
      <c r="B770" s="21" t="s">
        <v>406</v>
      </c>
      <c r="C770" s="22"/>
      <c r="D770" s="21"/>
      <c r="E770" s="21"/>
      <c r="F770" s="21"/>
      <c r="G770" s="21"/>
      <c r="I770" s="21"/>
      <c r="J770" s="21"/>
      <c r="K770" s="77">
        <f t="shared" ref="K770:X770" ca="1" si="395">IF($C766=LataProjekcji,ROUND($C767-K769,0),ROUND(IF(K768=0,0,$C767-K769),0))</f>
        <v>0</v>
      </c>
      <c r="L770" s="77">
        <f t="shared" ca="1" si="395"/>
        <v>0</v>
      </c>
      <c r="M770" s="77">
        <f t="shared" ca="1" si="395"/>
        <v>0</v>
      </c>
      <c r="N770" s="77">
        <f t="shared" ca="1" si="395"/>
        <v>0</v>
      </c>
      <c r="O770" s="77">
        <f t="shared" ca="1" si="395"/>
        <v>0</v>
      </c>
      <c r="P770" s="77">
        <f t="shared" ca="1" si="395"/>
        <v>0</v>
      </c>
      <c r="Q770" s="77">
        <f t="shared" ca="1" si="395"/>
        <v>0</v>
      </c>
      <c r="R770" s="77">
        <f t="shared" ca="1" si="395"/>
        <v>0</v>
      </c>
      <c r="S770" s="77">
        <f t="shared" ca="1" si="395"/>
        <v>0</v>
      </c>
      <c r="T770" s="77">
        <f t="shared" ca="1" si="395"/>
        <v>0</v>
      </c>
      <c r="U770" s="77">
        <f t="shared" ca="1" si="395"/>
        <v>0</v>
      </c>
      <c r="V770" s="77">
        <f t="shared" ca="1" si="395"/>
        <v>0</v>
      </c>
      <c r="W770" s="77">
        <f t="shared" ca="1" si="395"/>
        <v>0</v>
      </c>
      <c r="X770" s="77">
        <f t="shared" ca="1" si="395"/>
        <v>0</v>
      </c>
    </row>
    <row r="771" spans="1:24" hidden="1">
      <c r="A771" s="259"/>
      <c r="B771" s="21"/>
      <c r="C771" s="22"/>
      <c r="D771" s="21"/>
      <c r="E771" s="21"/>
      <c r="F771" s="21"/>
      <c r="G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idden="1">
      <c r="A772" s="259"/>
      <c r="B772" s="20" t="s">
        <v>391</v>
      </c>
      <c r="C772" s="21">
        <f>C765+1</f>
        <v>96</v>
      </c>
      <c r="D772" s="483">
        <f>D765+1</f>
        <v>230</v>
      </c>
      <c r="E772" s="21"/>
      <c r="F772" s="21"/>
      <c r="G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idden="1">
      <c r="A773" s="259"/>
      <c r="B773" s="21" t="s">
        <v>414</v>
      </c>
      <c r="C773" s="165">
        <f ca="1">IFERROR(YEAR(OFFSET($D$28,C772,0)),0)</f>
        <v>0</v>
      </c>
      <c r="D773" s="165">
        <f ca="1">IFERROR(MONTH(OFFSET($D$28,C772,0)),0)</f>
        <v>0</v>
      </c>
      <c r="E773" s="21">
        <f ca="1">12-$D773</f>
        <v>12</v>
      </c>
      <c r="F773" s="21"/>
      <c r="G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idden="1">
      <c r="A774" s="259"/>
      <c r="B774" s="21" t="s">
        <v>406</v>
      </c>
      <c r="C774" s="245">
        <f ca="1">IF(OFFSET($F$28,C772,0)&lt;0,0,OFFSET($F$28,C772,0))</f>
        <v>0</v>
      </c>
      <c r="D774" s="22" t="str">
        <f ca="1">OFFSET($C$28,C772,0)</f>
        <v/>
      </c>
      <c r="E774" s="22">
        <f ca="1">IF(D774&gt;10,ROUND(($C775/12)*$E773,0),$C774)</f>
        <v>0</v>
      </c>
      <c r="F774" s="21"/>
      <c r="G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</row>
    <row r="775" spans="1:24" hidden="1">
      <c r="A775" s="259"/>
      <c r="B775" s="21" t="s">
        <v>415</v>
      </c>
      <c r="C775" s="245">
        <f ca="1">IF(ISBLANK(OFFSET($D$28,C772,0)),0,IF(OFFSET($C$28,C772,0)&gt;10,ROUND(C774*am_wnip,0),IF(C774&lt;0,0,C774)))</f>
        <v>0</v>
      </c>
      <c r="D775" s="21"/>
      <c r="E775" s="21"/>
      <c r="F775" s="21"/>
      <c r="G775" s="21"/>
      <c r="I775" s="21"/>
      <c r="J775" s="483" cm="1">
        <f t="array" aca="1" ref="J775" ca="1">OFFSET('Środki trwałe'!$C$195,'Rozliczenie dotacji'!D772,,)</f>
        <v>0</v>
      </c>
      <c r="K775" s="75">
        <f ca="1">ROUND(IF($C773=LataProjekcji,$E774,IF($C773=LataProjekcji,$C775,0)),0)</f>
        <v>0</v>
      </c>
      <c r="L775" s="248">
        <f ca="1">ROUND(IF(OR(AND($C773=LataProjekcji,$E773&gt;0),AND($C773=LataProjekcji,$E773=0,$D774&lt;=10)),$E774,IF($C773&lt;LataProjekcji,IF((SUM($K775:K775)+$C775)&lt;$C774,$C775,$C774-SUM($K775:K775)),0)),0)</f>
        <v>0</v>
      </c>
      <c r="M775" s="248">
        <f ca="1">ROUND(IF(OR(AND($C773=LataProjekcji,$E773&gt;0),AND($C773=LataProjekcji,$E773=0,$D774&lt;=10)),$E774,IF($C773&lt;LataProjekcji,IF((SUM($K775:L775)+$C775)&lt;$C774,$C775,$C774-SUM($K775:L775)),0)),0)</f>
        <v>0</v>
      </c>
      <c r="N775" s="248">
        <f ca="1">ROUND(IF(OR(AND($C773=LataProjekcji,$E773&gt;0),AND($C773=LataProjekcji,$E773=0,$D774&lt;=10)),$E774,IF($C773&lt;LataProjekcji,IF((SUM($K775:M775)+$C775)&lt;$C774,$C775,$C774-SUM($K775:M775)),0)),0)</f>
        <v>0</v>
      </c>
      <c r="O775" s="248">
        <f ca="1">ROUND(IF(OR(AND($C773=LataProjekcji,$E773&gt;0),AND($C773=LataProjekcji,$E773=0,$D774&lt;=10)),$E774,IF($C773&lt;LataProjekcji,IF((SUM($K775:N775)+$C775)&lt;$C774,$C775,$C774-SUM($K775:N775)),0)),0)</f>
        <v>0</v>
      </c>
      <c r="P775" s="248">
        <f ca="1">ROUND(IF(OR(AND($C773=LataProjekcji,$E773&gt;0),AND($C773=LataProjekcji,$E773=0,$D774&lt;=10)),$E774,IF($C773&lt;LataProjekcji,IF((SUM($K775:O775)+$C775)&lt;$C774,$C775,$C774-SUM($K775:O775)),0)),0)</f>
        <v>0</v>
      </c>
      <c r="Q775" s="248">
        <f ca="1">ROUND(IF(OR(AND($C773=LataProjekcji,$E773&gt;0),AND($C773=LataProjekcji,$E773=0,$D774&lt;=10)),$E774,IF($C773&lt;LataProjekcji,IF((SUM($K775:P775)+$C775)&lt;$C774,$C775,$C774-SUM($K775:P775)),0)),0)</f>
        <v>0</v>
      </c>
      <c r="R775" s="248">
        <f ca="1">ROUND(IF(OR(AND($C773=LataProjekcji,$E773&gt;0),AND($C773=LataProjekcji,$E773=0,$D774&lt;=10)),$E774,IF($C773&lt;LataProjekcji,IF((SUM($K775:Q775)+$C775)&lt;$C774,$C775,$C774-SUM($K775:Q775)),0)),0)</f>
        <v>0</v>
      </c>
      <c r="S775" s="248">
        <f ca="1">ROUND(IF(OR(AND($C773=LataProjekcji,$E773&gt;0),AND($C773=LataProjekcji,$E773=0,$D774&lt;=10)),$E774,IF($C773&lt;LataProjekcji,IF((SUM($K775:R775)+$C775)&lt;$C774,$C775,$C774-SUM($K775:R775)),0)),0)</f>
        <v>0</v>
      </c>
      <c r="T775" s="248">
        <f ca="1">ROUND(IF(OR(AND($C773=LataProjekcji,$E773&gt;0),AND($C773=LataProjekcji,$E773=0,$D774&lt;=10)),$E774,IF($C773&lt;LataProjekcji,IF((SUM($K775:S775)+$C775)&lt;$C774,$C775,$C774-SUM($K775:S775)),0)),0)</f>
        <v>0</v>
      </c>
      <c r="U775" s="248">
        <f ca="1">ROUND(IF(OR(AND($C773=LataProjekcji,$E773&gt;0),AND($C773=LataProjekcji,$E773=0,$D774&lt;=10)),$E774,IF($C773&lt;LataProjekcji,IF((SUM($K775:T775)+$C775)&lt;$C774,$C775,$C774-SUM($K775:T775)),0)),0)</f>
        <v>0</v>
      </c>
      <c r="V775" s="248">
        <f ca="1">ROUND(IF(OR(AND($C773=LataProjekcji,$E773&gt;0),AND($C773=LataProjekcji,$E773=0,$D774&lt;=10)),$E774,IF($C773&lt;LataProjekcji,IF((SUM($K775:U775)+$C775)&lt;$C774,$C775,$C774-SUM($K775:U775)),0)),0)</f>
        <v>0</v>
      </c>
      <c r="W775" s="248">
        <f ca="1">ROUND(IF(OR(AND($C773=LataProjekcji,$E773&gt;0),AND($C773=LataProjekcji,$E773=0,$D774&lt;=10)),$E774,IF($C773&lt;LataProjekcji,IF((SUM($K775:V775)+$C775)&lt;$C774,$C775,$C774-SUM($K775:V775)),0)),0)</f>
        <v>0</v>
      </c>
      <c r="X775" s="248">
        <f ca="1">ROUND(IF(OR(AND($C773=LataProjekcji,$E773&gt;0),AND($C773=LataProjekcji,$E773=0,$D774&lt;=10)),$E774,IF($C773&lt;LataProjekcji,IF((SUM($K775:W775)+$C775)&lt;$C774,$C775,$C774-SUM($K775:W775)),0)),0)</f>
        <v>0</v>
      </c>
    </row>
    <row r="776" spans="1:24" hidden="1">
      <c r="A776" s="259"/>
      <c r="B776" s="21" t="s">
        <v>416</v>
      </c>
      <c r="C776" s="22"/>
      <c r="D776" s="21"/>
      <c r="E776" s="21"/>
      <c r="F776" s="21"/>
      <c r="G776" s="21"/>
      <c r="I776" s="21"/>
      <c r="J776" s="21"/>
      <c r="K776" s="22">
        <f ca="1">ROUND(K775,0)</f>
        <v>0</v>
      </c>
      <c r="L776" s="22">
        <f t="shared" ref="L776:X776" ca="1" si="396">ROUND(K776+L775,0)</f>
        <v>0</v>
      </c>
      <c r="M776" s="22">
        <f t="shared" ca="1" si="396"/>
        <v>0</v>
      </c>
      <c r="N776" s="22">
        <f t="shared" ca="1" si="396"/>
        <v>0</v>
      </c>
      <c r="O776" s="22">
        <f t="shared" ca="1" si="396"/>
        <v>0</v>
      </c>
      <c r="P776" s="22">
        <f t="shared" ca="1" si="396"/>
        <v>0</v>
      </c>
      <c r="Q776" s="22">
        <f t="shared" ca="1" si="396"/>
        <v>0</v>
      </c>
      <c r="R776" s="22">
        <f t="shared" ca="1" si="396"/>
        <v>0</v>
      </c>
      <c r="S776" s="22">
        <f t="shared" ca="1" si="396"/>
        <v>0</v>
      </c>
      <c r="T776" s="22">
        <f t="shared" ca="1" si="396"/>
        <v>0</v>
      </c>
      <c r="U776" s="22">
        <f t="shared" ca="1" si="396"/>
        <v>0</v>
      </c>
      <c r="V776" s="22">
        <f t="shared" ca="1" si="396"/>
        <v>0</v>
      </c>
      <c r="W776" s="22">
        <f t="shared" ca="1" si="396"/>
        <v>0</v>
      </c>
      <c r="X776" s="22">
        <f t="shared" ca="1" si="396"/>
        <v>0</v>
      </c>
    </row>
    <row r="777" spans="1:24" hidden="1">
      <c r="A777" s="259"/>
      <c r="B777" s="21" t="s">
        <v>406</v>
      </c>
      <c r="C777" s="22"/>
      <c r="D777" s="21"/>
      <c r="E777" s="21"/>
      <c r="F777" s="21"/>
      <c r="G777" s="21"/>
      <c r="I777" s="21"/>
      <c r="J777" s="21"/>
      <c r="K777" s="77">
        <f t="shared" ref="K777:X777" ca="1" si="397">IF($C773=LataProjekcji,ROUND($C774-K776,0),ROUND(IF(K775=0,0,$C774-K776),0))</f>
        <v>0</v>
      </c>
      <c r="L777" s="77">
        <f t="shared" ca="1" si="397"/>
        <v>0</v>
      </c>
      <c r="M777" s="77">
        <f t="shared" ca="1" si="397"/>
        <v>0</v>
      </c>
      <c r="N777" s="77">
        <f t="shared" ca="1" si="397"/>
        <v>0</v>
      </c>
      <c r="O777" s="77">
        <f t="shared" ca="1" si="397"/>
        <v>0</v>
      </c>
      <c r="P777" s="77">
        <f t="shared" ca="1" si="397"/>
        <v>0</v>
      </c>
      <c r="Q777" s="77">
        <f t="shared" ca="1" si="397"/>
        <v>0</v>
      </c>
      <c r="R777" s="77">
        <f t="shared" ca="1" si="397"/>
        <v>0</v>
      </c>
      <c r="S777" s="77">
        <f t="shared" ca="1" si="397"/>
        <v>0</v>
      </c>
      <c r="T777" s="77">
        <f t="shared" ca="1" si="397"/>
        <v>0</v>
      </c>
      <c r="U777" s="77">
        <f t="shared" ca="1" si="397"/>
        <v>0</v>
      </c>
      <c r="V777" s="77">
        <f t="shared" ca="1" si="397"/>
        <v>0</v>
      </c>
      <c r="W777" s="77">
        <f t="shared" ca="1" si="397"/>
        <v>0</v>
      </c>
      <c r="X777" s="77">
        <f t="shared" ca="1" si="397"/>
        <v>0</v>
      </c>
    </row>
    <row r="778" spans="1:24" hidden="1">
      <c r="A778" s="259"/>
      <c r="B778" s="20"/>
      <c r="C778" s="21"/>
      <c r="D778" s="21"/>
      <c r="E778" s="21"/>
      <c r="F778" s="21"/>
      <c r="G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idden="1">
      <c r="A779" s="259"/>
      <c r="B779" s="20" t="s">
        <v>391</v>
      </c>
      <c r="C779" s="21">
        <f>C772+1</f>
        <v>97</v>
      </c>
      <c r="D779" s="483">
        <f>D772+1</f>
        <v>231</v>
      </c>
      <c r="E779" s="21"/>
      <c r="F779" s="21"/>
      <c r="G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idden="1">
      <c r="A780" s="259"/>
      <c r="B780" s="21" t="s">
        <v>414</v>
      </c>
      <c r="C780" s="165">
        <f ca="1">IFERROR(YEAR(OFFSET($D$28,C779,0)),0)</f>
        <v>0</v>
      </c>
      <c r="D780" s="165">
        <f ca="1">IFERROR(MONTH(OFFSET($D$28,C779,0)),0)</f>
        <v>0</v>
      </c>
      <c r="E780" s="21">
        <f ca="1">12-$D780</f>
        <v>12</v>
      </c>
      <c r="F780" s="21"/>
      <c r="G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idden="1">
      <c r="A781" s="259"/>
      <c r="B781" s="21" t="s">
        <v>406</v>
      </c>
      <c r="C781" s="245">
        <f ca="1">IF(OFFSET($F$28,C779,0)&lt;0,0,OFFSET($F$28,C779,0))</f>
        <v>0</v>
      </c>
      <c r="D781" s="22" t="str">
        <f ca="1">OFFSET($C$28,C779,0)</f>
        <v/>
      </c>
      <c r="E781" s="22">
        <f ca="1">IF(D781&gt;10,ROUND(($C782/12)*$E780,0),$C781)</f>
        <v>0</v>
      </c>
      <c r="F781" s="21"/>
      <c r="G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</row>
    <row r="782" spans="1:24" hidden="1">
      <c r="A782" s="259"/>
      <c r="B782" s="21" t="s">
        <v>415</v>
      </c>
      <c r="C782" s="245">
        <f ca="1">IF(ISBLANK(OFFSET($D$28,C779,0)),0,IF(OFFSET($C$28,C779,0)&gt;10,ROUND(C781*am_wnip,0),IF(C781&lt;0,0,C781)))</f>
        <v>0</v>
      </c>
      <c r="D782" s="21"/>
      <c r="E782" s="21"/>
      <c r="F782" s="21"/>
      <c r="G782" s="21"/>
      <c r="I782" s="21"/>
      <c r="J782" s="483" cm="1">
        <f t="array" aca="1" ref="J782" ca="1">OFFSET('Środki trwałe'!$C$195,'Rozliczenie dotacji'!D779,,)</f>
        <v>0</v>
      </c>
      <c r="K782" s="75">
        <f ca="1">ROUND(IF($C780=LataProjekcji,$E781,IF($C780=LataProjekcji,$C782,0)),0)</f>
        <v>0</v>
      </c>
      <c r="L782" s="248">
        <f ca="1">ROUND(IF(OR(AND($C780=LataProjekcji,$E780&gt;0),AND($C780=LataProjekcji,$E780=0,$D781&lt;=10)),$E781,IF($C780&lt;LataProjekcji,IF((SUM($K782:K782)+$C782)&lt;$C781,$C782,$C781-SUM($K782:K782)),0)),0)</f>
        <v>0</v>
      </c>
      <c r="M782" s="248">
        <f ca="1">ROUND(IF(OR(AND($C780=LataProjekcji,$E780&gt;0),AND($C780=LataProjekcji,$E780=0,$D781&lt;=10)),$E781,IF($C780&lt;LataProjekcji,IF((SUM($K782:L782)+$C782)&lt;$C781,$C782,$C781-SUM($K782:L782)),0)),0)</f>
        <v>0</v>
      </c>
      <c r="N782" s="248">
        <f ca="1">ROUND(IF(OR(AND($C780=LataProjekcji,$E780&gt;0),AND($C780=LataProjekcji,$E780=0,$D781&lt;=10)),$E781,IF($C780&lt;LataProjekcji,IF((SUM($K782:M782)+$C782)&lt;$C781,$C782,$C781-SUM($K782:M782)),0)),0)</f>
        <v>0</v>
      </c>
      <c r="O782" s="248">
        <f ca="1">ROUND(IF(OR(AND($C780=LataProjekcji,$E780&gt;0),AND($C780=LataProjekcji,$E780=0,$D781&lt;=10)),$E781,IF($C780&lt;LataProjekcji,IF((SUM($K782:N782)+$C782)&lt;$C781,$C782,$C781-SUM($K782:N782)),0)),0)</f>
        <v>0</v>
      </c>
      <c r="P782" s="248">
        <f ca="1">ROUND(IF(OR(AND($C780=LataProjekcji,$E780&gt;0),AND($C780=LataProjekcji,$E780=0,$D781&lt;=10)),$E781,IF($C780&lt;LataProjekcji,IF((SUM($K782:O782)+$C782)&lt;$C781,$C782,$C781-SUM($K782:O782)),0)),0)</f>
        <v>0</v>
      </c>
      <c r="Q782" s="248">
        <f ca="1">ROUND(IF(OR(AND($C780=LataProjekcji,$E780&gt;0),AND($C780=LataProjekcji,$E780=0,$D781&lt;=10)),$E781,IF($C780&lt;LataProjekcji,IF((SUM($K782:P782)+$C782)&lt;$C781,$C782,$C781-SUM($K782:P782)),0)),0)</f>
        <v>0</v>
      </c>
      <c r="R782" s="248">
        <f ca="1">ROUND(IF(OR(AND($C780=LataProjekcji,$E780&gt;0),AND($C780=LataProjekcji,$E780=0,$D781&lt;=10)),$E781,IF($C780&lt;LataProjekcji,IF((SUM($K782:Q782)+$C782)&lt;$C781,$C782,$C781-SUM($K782:Q782)),0)),0)</f>
        <v>0</v>
      </c>
      <c r="S782" s="248">
        <f ca="1">ROUND(IF(OR(AND($C780=LataProjekcji,$E780&gt;0),AND($C780=LataProjekcji,$E780=0,$D781&lt;=10)),$E781,IF($C780&lt;LataProjekcji,IF((SUM($K782:R782)+$C782)&lt;$C781,$C782,$C781-SUM($K782:R782)),0)),0)</f>
        <v>0</v>
      </c>
      <c r="T782" s="248">
        <f ca="1">ROUND(IF(OR(AND($C780=LataProjekcji,$E780&gt;0),AND($C780=LataProjekcji,$E780=0,$D781&lt;=10)),$E781,IF($C780&lt;LataProjekcji,IF((SUM($K782:S782)+$C782)&lt;$C781,$C782,$C781-SUM($K782:S782)),0)),0)</f>
        <v>0</v>
      </c>
      <c r="U782" s="248">
        <f ca="1">ROUND(IF(OR(AND($C780=LataProjekcji,$E780&gt;0),AND($C780=LataProjekcji,$E780=0,$D781&lt;=10)),$E781,IF($C780&lt;LataProjekcji,IF((SUM($K782:T782)+$C782)&lt;$C781,$C782,$C781-SUM($K782:T782)),0)),0)</f>
        <v>0</v>
      </c>
      <c r="V782" s="248">
        <f ca="1">ROUND(IF(OR(AND($C780=LataProjekcji,$E780&gt;0),AND($C780=LataProjekcji,$E780=0,$D781&lt;=10)),$E781,IF($C780&lt;LataProjekcji,IF((SUM($K782:U782)+$C782)&lt;$C781,$C782,$C781-SUM($K782:U782)),0)),0)</f>
        <v>0</v>
      </c>
      <c r="W782" s="248">
        <f ca="1">ROUND(IF(OR(AND($C780=LataProjekcji,$E780&gt;0),AND($C780=LataProjekcji,$E780=0,$D781&lt;=10)),$E781,IF($C780&lt;LataProjekcji,IF((SUM($K782:V782)+$C782)&lt;$C781,$C782,$C781-SUM($K782:V782)),0)),0)</f>
        <v>0</v>
      </c>
      <c r="X782" s="248">
        <f ca="1">ROUND(IF(OR(AND($C780=LataProjekcji,$E780&gt;0),AND($C780=LataProjekcji,$E780=0,$D781&lt;=10)),$E781,IF($C780&lt;LataProjekcji,IF((SUM($K782:W782)+$C782)&lt;$C781,$C782,$C781-SUM($K782:W782)),0)),0)</f>
        <v>0</v>
      </c>
    </row>
    <row r="783" spans="1:24" hidden="1">
      <c r="A783" s="259"/>
      <c r="B783" s="21" t="s">
        <v>416</v>
      </c>
      <c r="C783" s="22"/>
      <c r="D783" s="21"/>
      <c r="E783" s="21"/>
      <c r="F783" s="21"/>
      <c r="G783" s="21"/>
      <c r="I783" s="21"/>
      <c r="J783" s="21"/>
      <c r="K783" s="22">
        <f ca="1">ROUND(K782,0)</f>
        <v>0</v>
      </c>
      <c r="L783" s="22">
        <f t="shared" ref="L783:X783" ca="1" si="398">ROUND(K783+L782,0)</f>
        <v>0</v>
      </c>
      <c r="M783" s="22">
        <f t="shared" ca="1" si="398"/>
        <v>0</v>
      </c>
      <c r="N783" s="22">
        <f t="shared" ca="1" si="398"/>
        <v>0</v>
      </c>
      <c r="O783" s="22">
        <f t="shared" ca="1" si="398"/>
        <v>0</v>
      </c>
      <c r="P783" s="22">
        <f t="shared" ca="1" si="398"/>
        <v>0</v>
      </c>
      <c r="Q783" s="22">
        <f t="shared" ca="1" si="398"/>
        <v>0</v>
      </c>
      <c r="R783" s="22">
        <f t="shared" ca="1" si="398"/>
        <v>0</v>
      </c>
      <c r="S783" s="22">
        <f t="shared" ca="1" si="398"/>
        <v>0</v>
      </c>
      <c r="T783" s="22">
        <f t="shared" ca="1" si="398"/>
        <v>0</v>
      </c>
      <c r="U783" s="22">
        <f t="shared" ca="1" si="398"/>
        <v>0</v>
      </c>
      <c r="V783" s="22">
        <f t="shared" ca="1" si="398"/>
        <v>0</v>
      </c>
      <c r="W783" s="22">
        <f t="shared" ca="1" si="398"/>
        <v>0</v>
      </c>
      <c r="X783" s="22">
        <f t="shared" ca="1" si="398"/>
        <v>0</v>
      </c>
    </row>
    <row r="784" spans="1:24" hidden="1">
      <c r="A784" s="259"/>
      <c r="B784" s="21" t="s">
        <v>406</v>
      </c>
      <c r="C784" s="22"/>
      <c r="D784" s="21"/>
      <c r="E784" s="21"/>
      <c r="F784" s="21"/>
      <c r="G784" s="21"/>
      <c r="I784" s="21"/>
      <c r="J784" s="21"/>
      <c r="K784" s="77">
        <f t="shared" ref="K784:X784" ca="1" si="399">IF($C780=LataProjekcji,ROUND($C781-K783,0),ROUND(IF(K782=0,0,$C781-K783),0))</f>
        <v>0</v>
      </c>
      <c r="L784" s="77">
        <f t="shared" ca="1" si="399"/>
        <v>0</v>
      </c>
      <c r="M784" s="77">
        <f t="shared" ca="1" si="399"/>
        <v>0</v>
      </c>
      <c r="N784" s="77">
        <f t="shared" ca="1" si="399"/>
        <v>0</v>
      </c>
      <c r="O784" s="77">
        <f t="shared" ca="1" si="399"/>
        <v>0</v>
      </c>
      <c r="P784" s="77">
        <f t="shared" ca="1" si="399"/>
        <v>0</v>
      </c>
      <c r="Q784" s="77">
        <f t="shared" ca="1" si="399"/>
        <v>0</v>
      </c>
      <c r="R784" s="77">
        <f t="shared" ca="1" si="399"/>
        <v>0</v>
      </c>
      <c r="S784" s="77">
        <f t="shared" ca="1" si="399"/>
        <v>0</v>
      </c>
      <c r="T784" s="77">
        <f t="shared" ca="1" si="399"/>
        <v>0</v>
      </c>
      <c r="U784" s="77">
        <f t="shared" ca="1" si="399"/>
        <v>0</v>
      </c>
      <c r="V784" s="77">
        <f t="shared" ca="1" si="399"/>
        <v>0</v>
      </c>
      <c r="W784" s="77">
        <f t="shared" ca="1" si="399"/>
        <v>0</v>
      </c>
      <c r="X784" s="77">
        <f t="shared" ca="1" si="399"/>
        <v>0</v>
      </c>
    </row>
    <row r="785" spans="1:24" hidden="1">
      <c r="A785" s="259"/>
      <c r="B785" s="21"/>
      <c r="C785" s="22"/>
      <c r="D785" s="21"/>
      <c r="E785" s="21"/>
      <c r="F785" s="21"/>
      <c r="G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idden="1">
      <c r="A786" s="259"/>
      <c r="B786" s="20" t="s">
        <v>391</v>
      </c>
      <c r="C786" s="21">
        <f>C779+1</f>
        <v>98</v>
      </c>
      <c r="D786" s="483">
        <f>D779+1</f>
        <v>232</v>
      </c>
      <c r="E786" s="21"/>
      <c r="F786" s="21"/>
      <c r="G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idden="1">
      <c r="A787" s="259"/>
      <c r="B787" s="21" t="s">
        <v>414</v>
      </c>
      <c r="C787" s="165">
        <f ca="1">IFERROR(YEAR(OFFSET($D$28,C786,0)),0)</f>
        <v>0</v>
      </c>
      <c r="D787" s="165">
        <f ca="1">IFERROR(MONTH(OFFSET($D$28,C786,0)),0)</f>
        <v>0</v>
      </c>
      <c r="E787" s="21">
        <f ca="1">12-$D787</f>
        <v>12</v>
      </c>
      <c r="F787" s="21"/>
      <c r="G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idden="1">
      <c r="A788" s="259"/>
      <c r="B788" s="21" t="s">
        <v>406</v>
      </c>
      <c r="C788" s="245">
        <f ca="1">IF(OFFSET($F$28,C786,0)&lt;0,0,OFFSET($F$28,C786,0))</f>
        <v>0</v>
      </c>
      <c r="D788" s="22" t="str">
        <f ca="1">OFFSET($C$28,C786,0)</f>
        <v/>
      </c>
      <c r="E788" s="22">
        <f ca="1">IF(D788&gt;10,ROUND(($C789/12)*$E787,0),$C788)</f>
        <v>0</v>
      </c>
      <c r="F788" s="21"/>
      <c r="G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</row>
    <row r="789" spans="1:24" hidden="1">
      <c r="A789" s="259"/>
      <c r="B789" s="21" t="s">
        <v>415</v>
      </c>
      <c r="C789" s="245">
        <f ca="1">IF(ISBLANK(OFFSET($D$28,C786,0)),0,IF(OFFSET($C$28,C786,0)&gt;10,ROUND(C788*am_wnip,0),IF(C788&lt;0,0,C788)))</f>
        <v>0</v>
      </c>
      <c r="D789" s="21"/>
      <c r="E789" s="21"/>
      <c r="F789" s="21"/>
      <c r="G789" s="21"/>
      <c r="I789" s="21"/>
      <c r="J789" s="483" cm="1">
        <f t="array" aca="1" ref="J789" ca="1">OFFSET('Środki trwałe'!$C$195,'Rozliczenie dotacji'!D786,,)</f>
        <v>0</v>
      </c>
      <c r="K789" s="75">
        <f ca="1">ROUND(IF($C787=LataProjekcji,$E788,IF($C787=LataProjekcji,$C789,0)),0)</f>
        <v>0</v>
      </c>
      <c r="L789" s="248">
        <f ca="1">ROUND(IF(OR(AND($C787=LataProjekcji,$E787&gt;0),AND($C787=LataProjekcji,$E787=0,$D788&lt;=10)),$E788,IF($C787&lt;LataProjekcji,IF((SUM($K789:K789)+$C789)&lt;$C788,$C789,$C788-SUM($K789:K789)),0)),0)</f>
        <v>0</v>
      </c>
      <c r="M789" s="248">
        <f ca="1">ROUND(IF(OR(AND($C787=LataProjekcji,$E787&gt;0),AND($C787=LataProjekcji,$E787=0,$D788&lt;=10)),$E788,IF($C787&lt;LataProjekcji,IF((SUM($K789:L789)+$C789)&lt;$C788,$C789,$C788-SUM($K789:L789)),0)),0)</f>
        <v>0</v>
      </c>
      <c r="N789" s="248">
        <f ca="1">ROUND(IF(OR(AND($C787=LataProjekcji,$E787&gt;0),AND($C787=LataProjekcji,$E787=0,$D788&lt;=10)),$E788,IF($C787&lt;LataProjekcji,IF((SUM($K789:M789)+$C789)&lt;$C788,$C789,$C788-SUM($K789:M789)),0)),0)</f>
        <v>0</v>
      </c>
      <c r="O789" s="248">
        <f ca="1">ROUND(IF(OR(AND($C787=LataProjekcji,$E787&gt;0),AND($C787=LataProjekcji,$E787=0,$D788&lt;=10)),$E788,IF($C787&lt;LataProjekcji,IF((SUM($K789:N789)+$C789)&lt;$C788,$C789,$C788-SUM($K789:N789)),0)),0)</f>
        <v>0</v>
      </c>
      <c r="P789" s="248">
        <f ca="1">ROUND(IF(OR(AND($C787=LataProjekcji,$E787&gt;0),AND($C787=LataProjekcji,$E787=0,$D788&lt;=10)),$E788,IF($C787&lt;LataProjekcji,IF((SUM($K789:O789)+$C789)&lt;$C788,$C789,$C788-SUM($K789:O789)),0)),0)</f>
        <v>0</v>
      </c>
      <c r="Q789" s="248">
        <f ca="1">ROUND(IF(OR(AND($C787=LataProjekcji,$E787&gt;0),AND($C787=LataProjekcji,$E787=0,$D788&lt;=10)),$E788,IF($C787&lt;LataProjekcji,IF((SUM($K789:P789)+$C789)&lt;$C788,$C789,$C788-SUM($K789:P789)),0)),0)</f>
        <v>0</v>
      </c>
      <c r="R789" s="248">
        <f ca="1">ROUND(IF(OR(AND($C787=LataProjekcji,$E787&gt;0),AND($C787=LataProjekcji,$E787=0,$D788&lt;=10)),$E788,IF($C787&lt;LataProjekcji,IF((SUM($K789:Q789)+$C789)&lt;$C788,$C789,$C788-SUM($K789:Q789)),0)),0)</f>
        <v>0</v>
      </c>
      <c r="S789" s="248">
        <f ca="1">ROUND(IF(OR(AND($C787=LataProjekcji,$E787&gt;0),AND($C787=LataProjekcji,$E787=0,$D788&lt;=10)),$E788,IF($C787&lt;LataProjekcji,IF((SUM($K789:R789)+$C789)&lt;$C788,$C789,$C788-SUM($K789:R789)),0)),0)</f>
        <v>0</v>
      </c>
      <c r="T789" s="248">
        <f ca="1">ROUND(IF(OR(AND($C787=LataProjekcji,$E787&gt;0),AND($C787=LataProjekcji,$E787=0,$D788&lt;=10)),$E788,IF($C787&lt;LataProjekcji,IF((SUM($K789:S789)+$C789)&lt;$C788,$C789,$C788-SUM($K789:S789)),0)),0)</f>
        <v>0</v>
      </c>
      <c r="U789" s="248">
        <f ca="1">ROUND(IF(OR(AND($C787=LataProjekcji,$E787&gt;0),AND($C787=LataProjekcji,$E787=0,$D788&lt;=10)),$E788,IF($C787&lt;LataProjekcji,IF((SUM($K789:T789)+$C789)&lt;$C788,$C789,$C788-SUM($K789:T789)),0)),0)</f>
        <v>0</v>
      </c>
      <c r="V789" s="248">
        <f ca="1">ROUND(IF(OR(AND($C787=LataProjekcji,$E787&gt;0),AND($C787=LataProjekcji,$E787=0,$D788&lt;=10)),$E788,IF($C787&lt;LataProjekcji,IF((SUM($K789:U789)+$C789)&lt;$C788,$C789,$C788-SUM($K789:U789)),0)),0)</f>
        <v>0</v>
      </c>
      <c r="W789" s="248">
        <f ca="1">ROUND(IF(OR(AND($C787=LataProjekcji,$E787&gt;0),AND($C787=LataProjekcji,$E787=0,$D788&lt;=10)),$E788,IF($C787&lt;LataProjekcji,IF((SUM($K789:V789)+$C789)&lt;$C788,$C789,$C788-SUM($K789:V789)),0)),0)</f>
        <v>0</v>
      </c>
      <c r="X789" s="248">
        <f ca="1">ROUND(IF(OR(AND($C787=LataProjekcji,$E787&gt;0),AND($C787=LataProjekcji,$E787=0,$D788&lt;=10)),$E788,IF($C787&lt;LataProjekcji,IF((SUM($K789:W789)+$C789)&lt;$C788,$C789,$C788-SUM($K789:W789)),0)),0)</f>
        <v>0</v>
      </c>
    </row>
    <row r="790" spans="1:24" hidden="1">
      <c r="A790" s="259"/>
      <c r="B790" s="21" t="s">
        <v>416</v>
      </c>
      <c r="C790" s="22"/>
      <c r="D790" s="21"/>
      <c r="E790" s="21"/>
      <c r="F790" s="21"/>
      <c r="G790" s="21"/>
      <c r="I790" s="21"/>
      <c r="J790" s="21"/>
      <c r="K790" s="22">
        <f ca="1">ROUND(K789,0)</f>
        <v>0</v>
      </c>
      <c r="L790" s="22">
        <f t="shared" ref="L790:X790" ca="1" si="400">ROUND(K790+L789,0)</f>
        <v>0</v>
      </c>
      <c r="M790" s="22">
        <f t="shared" ca="1" si="400"/>
        <v>0</v>
      </c>
      <c r="N790" s="22">
        <f t="shared" ca="1" si="400"/>
        <v>0</v>
      </c>
      <c r="O790" s="22">
        <f t="shared" ca="1" si="400"/>
        <v>0</v>
      </c>
      <c r="P790" s="22">
        <f t="shared" ca="1" si="400"/>
        <v>0</v>
      </c>
      <c r="Q790" s="22">
        <f t="shared" ca="1" si="400"/>
        <v>0</v>
      </c>
      <c r="R790" s="22">
        <f t="shared" ca="1" si="400"/>
        <v>0</v>
      </c>
      <c r="S790" s="22">
        <f t="shared" ca="1" si="400"/>
        <v>0</v>
      </c>
      <c r="T790" s="22">
        <f t="shared" ca="1" si="400"/>
        <v>0</v>
      </c>
      <c r="U790" s="22">
        <f t="shared" ca="1" si="400"/>
        <v>0</v>
      </c>
      <c r="V790" s="22">
        <f t="shared" ca="1" si="400"/>
        <v>0</v>
      </c>
      <c r="W790" s="22">
        <f t="shared" ca="1" si="400"/>
        <v>0</v>
      </c>
      <c r="X790" s="22">
        <f t="shared" ca="1" si="400"/>
        <v>0</v>
      </c>
    </row>
    <row r="791" spans="1:24" hidden="1">
      <c r="A791" s="259"/>
      <c r="B791" s="21" t="s">
        <v>406</v>
      </c>
      <c r="C791" s="22"/>
      <c r="D791" s="21"/>
      <c r="E791" s="21"/>
      <c r="F791" s="21"/>
      <c r="G791" s="21"/>
      <c r="I791" s="21"/>
      <c r="J791" s="21"/>
      <c r="K791" s="77">
        <f t="shared" ref="K791:X791" ca="1" si="401">IF($C787=LataProjekcji,ROUND($C788-K790,0),ROUND(IF(K789=0,0,$C788-K790),0))</f>
        <v>0</v>
      </c>
      <c r="L791" s="77">
        <f t="shared" ca="1" si="401"/>
        <v>0</v>
      </c>
      <c r="M791" s="77">
        <f t="shared" ca="1" si="401"/>
        <v>0</v>
      </c>
      <c r="N791" s="77">
        <f t="shared" ca="1" si="401"/>
        <v>0</v>
      </c>
      <c r="O791" s="77">
        <f t="shared" ca="1" si="401"/>
        <v>0</v>
      </c>
      <c r="P791" s="77">
        <f t="shared" ca="1" si="401"/>
        <v>0</v>
      </c>
      <c r="Q791" s="77">
        <f t="shared" ca="1" si="401"/>
        <v>0</v>
      </c>
      <c r="R791" s="77">
        <f t="shared" ca="1" si="401"/>
        <v>0</v>
      </c>
      <c r="S791" s="77">
        <f t="shared" ca="1" si="401"/>
        <v>0</v>
      </c>
      <c r="T791" s="77">
        <f t="shared" ca="1" si="401"/>
        <v>0</v>
      </c>
      <c r="U791" s="77">
        <f t="shared" ca="1" si="401"/>
        <v>0</v>
      </c>
      <c r="V791" s="77">
        <f t="shared" ca="1" si="401"/>
        <v>0</v>
      </c>
      <c r="W791" s="77">
        <f t="shared" ca="1" si="401"/>
        <v>0</v>
      </c>
      <c r="X791" s="77">
        <f t="shared" ca="1" si="401"/>
        <v>0</v>
      </c>
    </row>
    <row r="792" spans="1:24" hidden="1">
      <c r="A792" s="259"/>
      <c r="B792" s="21"/>
      <c r="C792" s="22"/>
      <c r="D792" s="21"/>
      <c r="E792" s="21"/>
      <c r="F792" s="21"/>
      <c r="G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idden="1">
      <c r="A793" s="259"/>
      <c r="B793" s="20" t="s">
        <v>391</v>
      </c>
      <c r="C793" s="21">
        <f>C786+1</f>
        <v>99</v>
      </c>
      <c r="D793" s="483">
        <f>D786+1</f>
        <v>233</v>
      </c>
      <c r="E793" s="21"/>
      <c r="F793" s="21"/>
      <c r="G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idden="1">
      <c r="A794" s="259"/>
      <c r="B794" s="21" t="s">
        <v>414</v>
      </c>
      <c r="C794" s="165">
        <f ca="1">IFERROR(YEAR(OFFSET($D$28,C793,0)),0)</f>
        <v>0</v>
      </c>
      <c r="D794" s="165">
        <f ca="1">IFERROR(MONTH(OFFSET($D$28,C793,0)),0)</f>
        <v>0</v>
      </c>
      <c r="E794" s="21">
        <f ca="1">12-$D794</f>
        <v>12</v>
      </c>
      <c r="F794" s="21"/>
      <c r="G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idden="1">
      <c r="A795" s="259"/>
      <c r="B795" s="21" t="s">
        <v>406</v>
      </c>
      <c r="C795" s="245">
        <f ca="1">IF(OFFSET($F$28,C793,0)&lt;0,0,OFFSET($F$28,C793,0))</f>
        <v>0</v>
      </c>
      <c r="D795" s="22" t="str">
        <f ca="1">OFFSET($C$28,C793,0)</f>
        <v/>
      </c>
      <c r="E795" s="22">
        <f ca="1">IF(D795&gt;10,ROUND(($C796/12)*$E794,0),$C795)</f>
        <v>0</v>
      </c>
      <c r="F795" s="21"/>
      <c r="G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</row>
    <row r="796" spans="1:24" hidden="1">
      <c r="A796" s="259"/>
      <c r="B796" s="21" t="s">
        <v>415</v>
      </c>
      <c r="C796" s="245">
        <f ca="1">IF(ISBLANK(OFFSET($D$28,C793,0)),0,IF(OFFSET($C$28,C793,0)&gt;10,ROUND(C795*am_wnip,0),IF(C795&lt;0,0,C795)))</f>
        <v>0</v>
      </c>
      <c r="D796" s="21"/>
      <c r="E796" s="21"/>
      <c r="F796" s="21"/>
      <c r="G796" s="21"/>
      <c r="I796" s="21"/>
      <c r="J796" s="483" cm="1">
        <f t="array" aca="1" ref="J796" ca="1">OFFSET('Środki trwałe'!$C$195,'Rozliczenie dotacji'!D793,,)</f>
        <v>0</v>
      </c>
      <c r="K796" s="75">
        <f ca="1">ROUND(IF($C794=LataProjekcji,$E795,IF($C794=LataProjekcji,$C796,0)),0)</f>
        <v>0</v>
      </c>
      <c r="L796" s="248">
        <f ca="1">ROUND(IF(OR(AND($C794=LataProjekcji,$E794&gt;0),AND($C794=LataProjekcji,$E794=0,$D795&lt;=10)),$E795,IF($C794&lt;LataProjekcji,IF((SUM($K796:K796)+$C796)&lt;$C795,$C796,$C795-SUM($K796:K796)),0)),0)</f>
        <v>0</v>
      </c>
      <c r="M796" s="248">
        <f ca="1">ROUND(IF(OR(AND($C794=LataProjekcji,$E794&gt;0),AND($C794=LataProjekcji,$E794=0,$D795&lt;=10)),$E795,IF($C794&lt;LataProjekcji,IF((SUM($K796:L796)+$C796)&lt;$C795,$C796,$C795-SUM($K796:L796)),0)),0)</f>
        <v>0</v>
      </c>
      <c r="N796" s="248">
        <f ca="1">ROUND(IF(OR(AND($C794=LataProjekcji,$E794&gt;0),AND($C794=LataProjekcji,$E794=0,$D795&lt;=10)),$E795,IF($C794&lt;LataProjekcji,IF((SUM($K796:M796)+$C796)&lt;$C795,$C796,$C795-SUM($K796:M796)),0)),0)</f>
        <v>0</v>
      </c>
      <c r="O796" s="248">
        <f ca="1">ROUND(IF(OR(AND($C794=LataProjekcji,$E794&gt;0),AND($C794=LataProjekcji,$E794=0,$D795&lt;=10)),$E795,IF($C794&lt;LataProjekcji,IF((SUM($K796:N796)+$C796)&lt;$C795,$C796,$C795-SUM($K796:N796)),0)),0)</f>
        <v>0</v>
      </c>
      <c r="P796" s="248">
        <f ca="1">ROUND(IF(OR(AND($C794=LataProjekcji,$E794&gt;0),AND($C794=LataProjekcji,$E794=0,$D795&lt;=10)),$E795,IF($C794&lt;LataProjekcji,IF((SUM($K796:O796)+$C796)&lt;$C795,$C796,$C795-SUM($K796:O796)),0)),0)</f>
        <v>0</v>
      </c>
      <c r="Q796" s="248">
        <f ca="1">ROUND(IF(OR(AND($C794=LataProjekcji,$E794&gt;0),AND($C794=LataProjekcji,$E794=0,$D795&lt;=10)),$E795,IF($C794&lt;LataProjekcji,IF((SUM($K796:P796)+$C796)&lt;$C795,$C796,$C795-SUM($K796:P796)),0)),0)</f>
        <v>0</v>
      </c>
      <c r="R796" s="248">
        <f ca="1">ROUND(IF(OR(AND($C794=LataProjekcji,$E794&gt;0),AND($C794=LataProjekcji,$E794=0,$D795&lt;=10)),$E795,IF($C794&lt;LataProjekcji,IF((SUM($K796:Q796)+$C796)&lt;$C795,$C796,$C795-SUM($K796:Q796)),0)),0)</f>
        <v>0</v>
      </c>
      <c r="S796" s="248">
        <f ca="1">ROUND(IF(OR(AND($C794=LataProjekcji,$E794&gt;0),AND($C794=LataProjekcji,$E794=0,$D795&lt;=10)),$E795,IF($C794&lt;LataProjekcji,IF((SUM($K796:R796)+$C796)&lt;$C795,$C796,$C795-SUM($K796:R796)),0)),0)</f>
        <v>0</v>
      </c>
      <c r="T796" s="248">
        <f ca="1">ROUND(IF(OR(AND($C794=LataProjekcji,$E794&gt;0),AND($C794=LataProjekcji,$E794=0,$D795&lt;=10)),$E795,IF($C794&lt;LataProjekcji,IF((SUM($K796:S796)+$C796)&lt;$C795,$C796,$C795-SUM($K796:S796)),0)),0)</f>
        <v>0</v>
      </c>
      <c r="U796" s="248">
        <f ca="1">ROUND(IF(OR(AND($C794=LataProjekcji,$E794&gt;0),AND($C794=LataProjekcji,$E794=0,$D795&lt;=10)),$E795,IF($C794&lt;LataProjekcji,IF((SUM($K796:T796)+$C796)&lt;$C795,$C796,$C795-SUM($K796:T796)),0)),0)</f>
        <v>0</v>
      </c>
      <c r="V796" s="248">
        <f ca="1">ROUND(IF(OR(AND($C794=LataProjekcji,$E794&gt;0),AND($C794=LataProjekcji,$E794=0,$D795&lt;=10)),$E795,IF($C794&lt;LataProjekcji,IF((SUM($K796:U796)+$C796)&lt;$C795,$C796,$C795-SUM($K796:U796)),0)),0)</f>
        <v>0</v>
      </c>
      <c r="W796" s="248">
        <f ca="1">ROUND(IF(OR(AND($C794=LataProjekcji,$E794&gt;0),AND($C794=LataProjekcji,$E794=0,$D795&lt;=10)),$E795,IF($C794&lt;LataProjekcji,IF((SUM($K796:V796)+$C796)&lt;$C795,$C796,$C795-SUM($K796:V796)),0)),0)</f>
        <v>0</v>
      </c>
      <c r="X796" s="248">
        <f ca="1">ROUND(IF(OR(AND($C794=LataProjekcji,$E794&gt;0),AND($C794=LataProjekcji,$E794=0,$D795&lt;=10)),$E795,IF($C794&lt;LataProjekcji,IF((SUM($K796:W796)+$C796)&lt;$C795,$C796,$C795-SUM($K796:W796)),0)),0)</f>
        <v>0</v>
      </c>
    </row>
    <row r="797" spans="1:24" hidden="1">
      <c r="A797" s="259"/>
      <c r="B797" s="21" t="s">
        <v>416</v>
      </c>
      <c r="C797" s="22"/>
      <c r="D797" s="21"/>
      <c r="E797" s="21"/>
      <c r="F797" s="21"/>
      <c r="G797" s="21"/>
      <c r="I797" s="21"/>
      <c r="J797" s="21"/>
      <c r="K797" s="22">
        <f ca="1">ROUND(K796,0)</f>
        <v>0</v>
      </c>
      <c r="L797" s="22">
        <f t="shared" ref="L797:X797" ca="1" si="402">ROUND(K797+L796,0)</f>
        <v>0</v>
      </c>
      <c r="M797" s="22">
        <f t="shared" ca="1" si="402"/>
        <v>0</v>
      </c>
      <c r="N797" s="22">
        <f t="shared" ca="1" si="402"/>
        <v>0</v>
      </c>
      <c r="O797" s="22">
        <f t="shared" ca="1" si="402"/>
        <v>0</v>
      </c>
      <c r="P797" s="22">
        <f t="shared" ca="1" si="402"/>
        <v>0</v>
      </c>
      <c r="Q797" s="22">
        <f t="shared" ca="1" si="402"/>
        <v>0</v>
      </c>
      <c r="R797" s="22">
        <f t="shared" ca="1" si="402"/>
        <v>0</v>
      </c>
      <c r="S797" s="22">
        <f t="shared" ca="1" si="402"/>
        <v>0</v>
      </c>
      <c r="T797" s="22">
        <f t="shared" ca="1" si="402"/>
        <v>0</v>
      </c>
      <c r="U797" s="22">
        <f t="shared" ca="1" si="402"/>
        <v>0</v>
      </c>
      <c r="V797" s="22">
        <f t="shared" ca="1" si="402"/>
        <v>0</v>
      </c>
      <c r="W797" s="22">
        <f t="shared" ca="1" si="402"/>
        <v>0</v>
      </c>
      <c r="X797" s="22">
        <f t="shared" ca="1" si="402"/>
        <v>0</v>
      </c>
    </row>
    <row r="798" spans="1:24" hidden="1">
      <c r="A798" s="259"/>
      <c r="B798" s="21" t="s">
        <v>406</v>
      </c>
      <c r="C798" s="22"/>
      <c r="D798" s="21"/>
      <c r="E798" s="21"/>
      <c r="F798" s="21"/>
      <c r="G798" s="21"/>
      <c r="I798" s="21"/>
      <c r="J798" s="21"/>
      <c r="K798" s="77">
        <f t="shared" ref="K798:X798" ca="1" si="403">IF($C794=LataProjekcji,ROUND($C795-K797,0),ROUND(IF(K796=0,0,$C795-K797),0))</f>
        <v>0</v>
      </c>
      <c r="L798" s="77">
        <f t="shared" ca="1" si="403"/>
        <v>0</v>
      </c>
      <c r="M798" s="77">
        <f t="shared" ca="1" si="403"/>
        <v>0</v>
      </c>
      <c r="N798" s="77">
        <f t="shared" ca="1" si="403"/>
        <v>0</v>
      </c>
      <c r="O798" s="77">
        <f t="shared" ca="1" si="403"/>
        <v>0</v>
      </c>
      <c r="P798" s="77">
        <f t="shared" ca="1" si="403"/>
        <v>0</v>
      </c>
      <c r="Q798" s="77">
        <f t="shared" ca="1" si="403"/>
        <v>0</v>
      </c>
      <c r="R798" s="77">
        <f t="shared" ca="1" si="403"/>
        <v>0</v>
      </c>
      <c r="S798" s="77">
        <f t="shared" ca="1" si="403"/>
        <v>0</v>
      </c>
      <c r="T798" s="77">
        <f t="shared" ca="1" si="403"/>
        <v>0</v>
      </c>
      <c r="U798" s="77">
        <f t="shared" ca="1" si="403"/>
        <v>0</v>
      </c>
      <c r="V798" s="77">
        <f t="shared" ca="1" si="403"/>
        <v>0</v>
      </c>
      <c r="W798" s="77">
        <f t="shared" ca="1" si="403"/>
        <v>0</v>
      </c>
      <c r="X798" s="77">
        <f t="shared" ca="1" si="403"/>
        <v>0</v>
      </c>
    </row>
    <row r="799" spans="1:24" hidden="1">
      <c r="A799" s="259"/>
      <c r="B799" s="20"/>
      <c r="C799" s="21"/>
      <c r="D799" s="21"/>
      <c r="E799" s="21"/>
      <c r="F799" s="21"/>
      <c r="G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idden="1">
      <c r="A800" s="259"/>
      <c r="B800" s="20" t="s">
        <v>391</v>
      </c>
      <c r="C800" s="21">
        <f>C793+1</f>
        <v>100</v>
      </c>
      <c r="D800" s="483">
        <f>D793+1</f>
        <v>234</v>
      </c>
      <c r="E800" s="21"/>
      <c r="F800" s="21"/>
      <c r="G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idden="1">
      <c r="A801" s="259"/>
      <c r="B801" s="21" t="s">
        <v>414</v>
      </c>
      <c r="C801" s="165">
        <f ca="1">IFERROR(YEAR(OFFSET($D$28,C800,0)),0)</f>
        <v>0</v>
      </c>
      <c r="D801" s="165">
        <f ca="1">IFERROR(MONTH(OFFSET($D$28,C800,0)),0)</f>
        <v>0</v>
      </c>
      <c r="E801" s="21">
        <f ca="1">12-$D801</f>
        <v>12</v>
      </c>
      <c r="F801" s="21"/>
      <c r="G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idden="1">
      <c r="A802" s="259"/>
      <c r="B802" s="21" t="s">
        <v>406</v>
      </c>
      <c r="C802" s="245">
        <f ca="1">IF(OFFSET($F$28,C800,0)&lt;0,0,OFFSET($F$28,C800,0))</f>
        <v>0</v>
      </c>
      <c r="D802" s="22" t="str">
        <f ca="1">OFFSET($C$28,C800,0)</f>
        <v/>
      </c>
      <c r="E802" s="22">
        <f ca="1">IF(D802&gt;10,ROUND(($C803/12)*$E801,0),$C802)</f>
        <v>0</v>
      </c>
      <c r="F802" s="21"/>
      <c r="G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</row>
    <row r="803" spans="1:24" hidden="1">
      <c r="A803" s="259"/>
      <c r="B803" s="21" t="s">
        <v>415</v>
      </c>
      <c r="C803" s="245">
        <f ca="1">IF(ISBLANK(OFFSET($D$28,C800,0)),0,IF(OFFSET($C$28,C800,0)&gt;10,ROUND(C802*am_wnip,0),IF(C802&lt;0,0,C802)))</f>
        <v>0</v>
      </c>
      <c r="D803" s="21"/>
      <c r="E803" s="21"/>
      <c r="F803" s="21"/>
      <c r="G803" s="21"/>
      <c r="I803" s="21"/>
      <c r="J803" s="483" cm="1">
        <f t="array" aca="1" ref="J803" ca="1">OFFSET('Środki trwałe'!$C$195,'Rozliczenie dotacji'!D800,,)</f>
        <v>0</v>
      </c>
      <c r="K803" s="75">
        <f ca="1">ROUND(IF($C801=LataProjekcji,$E802,IF($C801=LataProjekcji,$C803,0)),0)</f>
        <v>0</v>
      </c>
      <c r="L803" s="248">
        <f ca="1">ROUND(IF(OR(AND($C801=LataProjekcji,$E801&gt;0),AND($C801=LataProjekcji,$E801=0,$D802&lt;=10)),$E802,IF($C801&lt;LataProjekcji,IF((SUM($K803:K803)+$C803)&lt;$C802,$C803,$C802-SUM($K803:K803)),0)),0)</f>
        <v>0</v>
      </c>
      <c r="M803" s="248">
        <f ca="1">ROUND(IF(OR(AND($C801=LataProjekcji,$E801&gt;0),AND($C801=LataProjekcji,$E801=0,$D802&lt;=10)),$E802,IF($C801&lt;LataProjekcji,IF((SUM($K803:L803)+$C803)&lt;$C802,$C803,$C802-SUM($K803:L803)),0)),0)</f>
        <v>0</v>
      </c>
      <c r="N803" s="248">
        <f ca="1">ROUND(IF(OR(AND($C801=LataProjekcji,$E801&gt;0),AND($C801=LataProjekcji,$E801=0,$D802&lt;=10)),$E802,IF($C801&lt;LataProjekcji,IF((SUM($K803:M803)+$C803)&lt;$C802,$C803,$C802-SUM($K803:M803)),0)),0)</f>
        <v>0</v>
      </c>
      <c r="O803" s="248">
        <f ca="1">ROUND(IF(OR(AND($C801=LataProjekcji,$E801&gt;0),AND($C801=LataProjekcji,$E801=0,$D802&lt;=10)),$E802,IF($C801&lt;LataProjekcji,IF((SUM($K803:N803)+$C803)&lt;$C802,$C803,$C802-SUM($K803:N803)),0)),0)</f>
        <v>0</v>
      </c>
      <c r="P803" s="248">
        <f ca="1">ROUND(IF(OR(AND($C801=LataProjekcji,$E801&gt;0),AND($C801=LataProjekcji,$E801=0,$D802&lt;=10)),$E802,IF($C801&lt;LataProjekcji,IF((SUM($K803:O803)+$C803)&lt;$C802,$C803,$C802-SUM($K803:O803)),0)),0)</f>
        <v>0</v>
      </c>
      <c r="Q803" s="248">
        <f ca="1">ROUND(IF(OR(AND($C801=LataProjekcji,$E801&gt;0),AND($C801=LataProjekcji,$E801=0,$D802&lt;=10)),$E802,IF($C801&lt;LataProjekcji,IF((SUM($K803:P803)+$C803)&lt;$C802,$C803,$C802-SUM($K803:P803)),0)),0)</f>
        <v>0</v>
      </c>
      <c r="R803" s="248">
        <f ca="1">ROUND(IF(OR(AND($C801=LataProjekcji,$E801&gt;0),AND($C801=LataProjekcji,$E801=0,$D802&lt;=10)),$E802,IF($C801&lt;LataProjekcji,IF((SUM($K803:Q803)+$C803)&lt;$C802,$C803,$C802-SUM($K803:Q803)),0)),0)</f>
        <v>0</v>
      </c>
      <c r="S803" s="248">
        <f ca="1">ROUND(IF(OR(AND($C801=LataProjekcji,$E801&gt;0),AND($C801=LataProjekcji,$E801=0,$D802&lt;=10)),$E802,IF($C801&lt;LataProjekcji,IF((SUM($K803:R803)+$C803)&lt;$C802,$C803,$C802-SUM($K803:R803)),0)),0)</f>
        <v>0</v>
      </c>
      <c r="T803" s="248">
        <f ca="1">ROUND(IF(OR(AND($C801=LataProjekcji,$E801&gt;0),AND($C801=LataProjekcji,$E801=0,$D802&lt;=10)),$E802,IF($C801&lt;LataProjekcji,IF((SUM($K803:S803)+$C803)&lt;$C802,$C803,$C802-SUM($K803:S803)),0)),0)</f>
        <v>0</v>
      </c>
      <c r="U803" s="248">
        <f ca="1">ROUND(IF(OR(AND($C801=LataProjekcji,$E801&gt;0),AND($C801=LataProjekcji,$E801=0,$D802&lt;=10)),$E802,IF($C801&lt;LataProjekcji,IF((SUM($K803:T803)+$C803)&lt;$C802,$C803,$C802-SUM($K803:T803)),0)),0)</f>
        <v>0</v>
      </c>
      <c r="V803" s="248">
        <f ca="1">ROUND(IF(OR(AND($C801=LataProjekcji,$E801&gt;0),AND($C801=LataProjekcji,$E801=0,$D802&lt;=10)),$E802,IF($C801&lt;LataProjekcji,IF((SUM($K803:U803)+$C803)&lt;$C802,$C803,$C802-SUM($K803:U803)),0)),0)</f>
        <v>0</v>
      </c>
      <c r="W803" s="248">
        <f ca="1">ROUND(IF(OR(AND($C801=LataProjekcji,$E801&gt;0),AND($C801=LataProjekcji,$E801=0,$D802&lt;=10)),$E802,IF($C801&lt;LataProjekcji,IF((SUM($K803:V803)+$C803)&lt;$C802,$C803,$C802-SUM($K803:V803)),0)),0)</f>
        <v>0</v>
      </c>
      <c r="X803" s="248">
        <f ca="1">ROUND(IF(OR(AND($C801=LataProjekcji,$E801&gt;0),AND($C801=LataProjekcji,$E801=0,$D802&lt;=10)),$E802,IF($C801&lt;LataProjekcji,IF((SUM($K803:W803)+$C803)&lt;$C802,$C803,$C802-SUM($K803:W803)),0)),0)</f>
        <v>0</v>
      </c>
    </row>
    <row r="804" spans="1:24" hidden="1">
      <c r="A804" s="259"/>
      <c r="B804" s="21" t="s">
        <v>416</v>
      </c>
      <c r="C804" s="22"/>
      <c r="D804" s="21"/>
      <c r="E804" s="21"/>
      <c r="F804" s="21"/>
      <c r="G804" s="21"/>
      <c r="I804" s="21"/>
      <c r="J804" s="21"/>
      <c r="K804" s="22">
        <f ca="1">ROUND(K803,0)</f>
        <v>0</v>
      </c>
      <c r="L804" s="22">
        <f t="shared" ref="L804:X804" ca="1" si="404">ROUND(K804+L803,0)</f>
        <v>0</v>
      </c>
      <c r="M804" s="22">
        <f t="shared" ca="1" si="404"/>
        <v>0</v>
      </c>
      <c r="N804" s="22">
        <f t="shared" ca="1" si="404"/>
        <v>0</v>
      </c>
      <c r="O804" s="22">
        <f t="shared" ca="1" si="404"/>
        <v>0</v>
      </c>
      <c r="P804" s="22">
        <f t="shared" ca="1" si="404"/>
        <v>0</v>
      </c>
      <c r="Q804" s="22">
        <f t="shared" ca="1" si="404"/>
        <v>0</v>
      </c>
      <c r="R804" s="22">
        <f t="shared" ca="1" si="404"/>
        <v>0</v>
      </c>
      <c r="S804" s="22">
        <f t="shared" ca="1" si="404"/>
        <v>0</v>
      </c>
      <c r="T804" s="22">
        <f t="shared" ca="1" si="404"/>
        <v>0</v>
      </c>
      <c r="U804" s="22">
        <f t="shared" ca="1" si="404"/>
        <v>0</v>
      </c>
      <c r="V804" s="22">
        <f t="shared" ca="1" si="404"/>
        <v>0</v>
      </c>
      <c r="W804" s="22">
        <f t="shared" ca="1" si="404"/>
        <v>0</v>
      </c>
      <c r="X804" s="22">
        <f t="shared" ca="1" si="404"/>
        <v>0</v>
      </c>
    </row>
    <row r="805" spans="1:24" hidden="1">
      <c r="A805" s="259"/>
      <c r="B805" s="21" t="s">
        <v>406</v>
      </c>
      <c r="C805" s="22"/>
      <c r="D805" s="21"/>
      <c r="E805" s="21"/>
      <c r="F805" s="21"/>
      <c r="G805" s="21"/>
      <c r="I805" s="21"/>
      <c r="J805" s="21"/>
      <c r="K805" s="77">
        <f t="shared" ref="K805:X805" ca="1" si="405">IF($C801=LataProjekcji,ROUND($C802-K804,0),ROUND(IF(K803=0,0,$C802-K804),0))</f>
        <v>0</v>
      </c>
      <c r="L805" s="77">
        <f t="shared" ca="1" si="405"/>
        <v>0</v>
      </c>
      <c r="M805" s="77">
        <f t="shared" ca="1" si="405"/>
        <v>0</v>
      </c>
      <c r="N805" s="77">
        <f t="shared" ca="1" si="405"/>
        <v>0</v>
      </c>
      <c r="O805" s="77">
        <f t="shared" ca="1" si="405"/>
        <v>0</v>
      </c>
      <c r="P805" s="77">
        <f t="shared" ca="1" si="405"/>
        <v>0</v>
      </c>
      <c r="Q805" s="77">
        <f t="shared" ca="1" si="405"/>
        <v>0</v>
      </c>
      <c r="R805" s="77">
        <f t="shared" ca="1" si="405"/>
        <v>0</v>
      </c>
      <c r="S805" s="77">
        <f t="shared" ca="1" si="405"/>
        <v>0</v>
      </c>
      <c r="T805" s="77">
        <f t="shared" ca="1" si="405"/>
        <v>0</v>
      </c>
      <c r="U805" s="77">
        <f t="shared" ca="1" si="405"/>
        <v>0</v>
      </c>
      <c r="V805" s="77">
        <f t="shared" ca="1" si="405"/>
        <v>0</v>
      </c>
      <c r="W805" s="77">
        <f t="shared" ca="1" si="405"/>
        <v>0</v>
      </c>
      <c r="X805" s="77">
        <f t="shared" ca="1" si="405"/>
        <v>0</v>
      </c>
    </row>
    <row r="806" spans="1:24" hidden="1">
      <c r="A806" s="259"/>
      <c r="B806" s="21"/>
      <c r="C806" s="22"/>
      <c r="D806" s="21"/>
      <c r="E806" s="21"/>
      <c r="F806" s="21"/>
      <c r="G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idden="1">
      <c r="A807" s="259"/>
      <c r="B807" s="20" t="s">
        <v>391</v>
      </c>
      <c r="C807" s="21">
        <f>C800+1</f>
        <v>101</v>
      </c>
      <c r="D807" s="483">
        <f>D800+1</f>
        <v>235</v>
      </c>
      <c r="E807" s="21"/>
      <c r="F807" s="21"/>
      <c r="G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idden="1">
      <c r="A808" s="259"/>
      <c r="B808" s="21" t="s">
        <v>414</v>
      </c>
      <c r="C808" s="165">
        <f ca="1">IFERROR(YEAR(OFFSET($D$28,C807,0)),0)</f>
        <v>0</v>
      </c>
      <c r="D808" s="165">
        <f ca="1">IFERROR(MONTH(OFFSET($D$28,C807,0)),0)</f>
        <v>0</v>
      </c>
      <c r="E808" s="21">
        <f ca="1">12-$D808</f>
        <v>12</v>
      </c>
      <c r="F808" s="21"/>
      <c r="G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idden="1">
      <c r="A809" s="259"/>
      <c r="B809" s="21" t="s">
        <v>406</v>
      </c>
      <c r="C809" s="245">
        <f ca="1">IF(OFFSET($F$28,C807,0)&lt;0,0,OFFSET($F$28,C807,0))</f>
        <v>0</v>
      </c>
      <c r="D809" s="22" t="str">
        <f ca="1">OFFSET($C$28,C807,0)</f>
        <v/>
      </c>
      <c r="E809" s="22">
        <f ca="1">IF(D809&gt;10,ROUND(($C810/12)*$E808,0),$C809)</f>
        <v>0</v>
      </c>
      <c r="F809" s="21"/>
      <c r="G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</row>
    <row r="810" spans="1:24" hidden="1">
      <c r="A810" s="259"/>
      <c r="B810" s="21" t="s">
        <v>415</v>
      </c>
      <c r="C810" s="245">
        <f ca="1">IF(ISBLANK(OFFSET($D$28,C807,0)),0,IF(OFFSET($C$28,C807,0)&gt;10,ROUND(C809*am_wnip,0),IF(C809&lt;0,0,C809)))</f>
        <v>0</v>
      </c>
      <c r="D810" s="21"/>
      <c r="E810" s="21"/>
      <c r="F810" s="21"/>
      <c r="G810" s="21"/>
      <c r="I810" s="21"/>
      <c r="J810" s="483" cm="1">
        <f t="array" aca="1" ref="J810" ca="1">OFFSET('Środki trwałe'!$C$195,'Rozliczenie dotacji'!D807,,)</f>
        <v>0</v>
      </c>
      <c r="K810" s="75">
        <f ca="1">ROUND(IF($C808=LataProjekcji,$E809,IF($C808=LataProjekcji,$C810,0)),0)</f>
        <v>0</v>
      </c>
      <c r="L810" s="248">
        <f ca="1">ROUND(IF(OR(AND($C808=LataProjekcji,$E808&gt;0),AND($C808=LataProjekcji,$E808=0,$D809&lt;=10)),$E809,IF($C808&lt;LataProjekcji,IF((SUM($K810:K810)+$C810)&lt;$C809,$C810,$C809-SUM($K810:K810)),0)),0)</f>
        <v>0</v>
      </c>
      <c r="M810" s="248">
        <f ca="1">ROUND(IF(OR(AND($C808=LataProjekcji,$E808&gt;0),AND($C808=LataProjekcji,$E808=0,$D809&lt;=10)),$E809,IF($C808&lt;LataProjekcji,IF((SUM($K810:L810)+$C810)&lt;$C809,$C810,$C809-SUM($K810:L810)),0)),0)</f>
        <v>0</v>
      </c>
      <c r="N810" s="248">
        <f ca="1">ROUND(IF(OR(AND($C808=LataProjekcji,$E808&gt;0),AND($C808=LataProjekcji,$E808=0,$D809&lt;=10)),$E809,IF($C808&lt;LataProjekcji,IF((SUM($K810:M810)+$C810)&lt;$C809,$C810,$C809-SUM($K810:M810)),0)),0)</f>
        <v>0</v>
      </c>
      <c r="O810" s="248">
        <f ca="1">ROUND(IF(OR(AND($C808=LataProjekcji,$E808&gt;0),AND($C808=LataProjekcji,$E808=0,$D809&lt;=10)),$E809,IF($C808&lt;LataProjekcji,IF((SUM($K810:N810)+$C810)&lt;$C809,$C810,$C809-SUM($K810:N810)),0)),0)</f>
        <v>0</v>
      </c>
      <c r="P810" s="248">
        <f ca="1">ROUND(IF(OR(AND($C808=LataProjekcji,$E808&gt;0),AND($C808=LataProjekcji,$E808=0,$D809&lt;=10)),$E809,IF($C808&lt;LataProjekcji,IF((SUM($K810:O810)+$C810)&lt;$C809,$C810,$C809-SUM($K810:O810)),0)),0)</f>
        <v>0</v>
      </c>
      <c r="Q810" s="248">
        <f ca="1">ROUND(IF(OR(AND($C808=LataProjekcji,$E808&gt;0),AND($C808=LataProjekcji,$E808=0,$D809&lt;=10)),$E809,IF($C808&lt;LataProjekcji,IF((SUM($K810:P810)+$C810)&lt;$C809,$C810,$C809-SUM($K810:P810)),0)),0)</f>
        <v>0</v>
      </c>
      <c r="R810" s="248">
        <f ca="1">ROUND(IF(OR(AND($C808=LataProjekcji,$E808&gt;0),AND($C808=LataProjekcji,$E808=0,$D809&lt;=10)),$E809,IF($C808&lt;LataProjekcji,IF((SUM($K810:Q810)+$C810)&lt;$C809,$C810,$C809-SUM($K810:Q810)),0)),0)</f>
        <v>0</v>
      </c>
      <c r="S810" s="248">
        <f ca="1">ROUND(IF(OR(AND($C808=LataProjekcji,$E808&gt;0),AND($C808=LataProjekcji,$E808=0,$D809&lt;=10)),$E809,IF($C808&lt;LataProjekcji,IF((SUM($K810:R810)+$C810)&lt;$C809,$C810,$C809-SUM($K810:R810)),0)),0)</f>
        <v>0</v>
      </c>
      <c r="T810" s="248">
        <f ca="1">ROUND(IF(OR(AND($C808=LataProjekcji,$E808&gt;0),AND($C808=LataProjekcji,$E808=0,$D809&lt;=10)),$E809,IF($C808&lt;LataProjekcji,IF((SUM($K810:S810)+$C810)&lt;$C809,$C810,$C809-SUM($K810:S810)),0)),0)</f>
        <v>0</v>
      </c>
      <c r="U810" s="248">
        <f ca="1">ROUND(IF(OR(AND($C808=LataProjekcji,$E808&gt;0),AND($C808=LataProjekcji,$E808=0,$D809&lt;=10)),$E809,IF($C808&lt;LataProjekcji,IF((SUM($K810:T810)+$C810)&lt;$C809,$C810,$C809-SUM($K810:T810)),0)),0)</f>
        <v>0</v>
      </c>
      <c r="V810" s="248">
        <f ca="1">ROUND(IF(OR(AND($C808=LataProjekcji,$E808&gt;0),AND($C808=LataProjekcji,$E808=0,$D809&lt;=10)),$E809,IF($C808&lt;LataProjekcji,IF((SUM($K810:U810)+$C810)&lt;$C809,$C810,$C809-SUM($K810:U810)),0)),0)</f>
        <v>0</v>
      </c>
      <c r="W810" s="248">
        <f ca="1">ROUND(IF(OR(AND($C808=LataProjekcji,$E808&gt;0),AND($C808=LataProjekcji,$E808=0,$D809&lt;=10)),$E809,IF($C808&lt;LataProjekcji,IF((SUM($K810:V810)+$C810)&lt;$C809,$C810,$C809-SUM($K810:V810)),0)),0)</f>
        <v>0</v>
      </c>
      <c r="X810" s="248">
        <f ca="1">ROUND(IF(OR(AND($C808=LataProjekcji,$E808&gt;0),AND($C808=LataProjekcji,$E808=0,$D809&lt;=10)),$E809,IF($C808&lt;LataProjekcji,IF((SUM($K810:W810)+$C810)&lt;$C809,$C810,$C809-SUM($K810:W810)),0)),0)</f>
        <v>0</v>
      </c>
    </row>
    <row r="811" spans="1:24" hidden="1">
      <c r="A811" s="259"/>
      <c r="B811" s="21" t="s">
        <v>416</v>
      </c>
      <c r="C811" s="22"/>
      <c r="D811" s="21"/>
      <c r="E811" s="21"/>
      <c r="F811" s="21"/>
      <c r="G811" s="21"/>
      <c r="I811" s="21"/>
      <c r="J811" s="21"/>
      <c r="K811" s="22">
        <f ca="1">ROUND(K810,0)</f>
        <v>0</v>
      </c>
      <c r="L811" s="22">
        <f t="shared" ref="L811:X811" ca="1" si="406">ROUND(K811+L810,0)</f>
        <v>0</v>
      </c>
      <c r="M811" s="22">
        <f t="shared" ca="1" si="406"/>
        <v>0</v>
      </c>
      <c r="N811" s="22">
        <f t="shared" ca="1" si="406"/>
        <v>0</v>
      </c>
      <c r="O811" s="22">
        <f t="shared" ca="1" si="406"/>
        <v>0</v>
      </c>
      <c r="P811" s="22">
        <f t="shared" ca="1" si="406"/>
        <v>0</v>
      </c>
      <c r="Q811" s="22">
        <f t="shared" ca="1" si="406"/>
        <v>0</v>
      </c>
      <c r="R811" s="22">
        <f t="shared" ca="1" si="406"/>
        <v>0</v>
      </c>
      <c r="S811" s="22">
        <f t="shared" ca="1" si="406"/>
        <v>0</v>
      </c>
      <c r="T811" s="22">
        <f t="shared" ca="1" si="406"/>
        <v>0</v>
      </c>
      <c r="U811" s="22">
        <f t="shared" ca="1" si="406"/>
        <v>0</v>
      </c>
      <c r="V811" s="22">
        <f t="shared" ca="1" si="406"/>
        <v>0</v>
      </c>
      <c r="W811" s="22">
        <f t="shared" ca="1" si="406"/>
        <v>0</v>
      </c>
      <c r="X811" s="22">
        <f t="shared" ca="1" si="406"/>
        <v>0</v>
      </c>
    </row>
    <row r="812" spans="1:24" hidden="1">
      <c r="A812" s="259"/>
      <c r="B812" s="21" t="s">
        <v>406</v>
      </c>
      <c r="C812" s="22"/>
      <c r="D812" s="21"/>
      <c r="E812" s="21"/>
      <c r="F812" s="21"/>
      <c r="G812" s="21"/>
      <c r="I812" s="21"/>
      <c r="J812" s="21"/>
      <c r="K812" s="77">
        <f t="shared" ref="K812:X812" ca="1" si="407">IF($C808=LataProjekcji,ROUND($C809-K811,0),ROUND(IF(K810=0,0,$C809-K811),0))</f>
        <v>0</v>
      </c>
      <c r="L812" s="77">
        <f t="shared" ca="1" si="407"/>
        <v>0</v>
      </c>
      <c r="M812" s="77">
        <f t="shared" ca="1" si="407"/>
        <v>0</v>
      </c>
      <c r="N812" s="77">
        <f t="shared" ca="1" si="407"/>
        <v>0</v>
      </c>
      <c r="O812" s="77">
        <f t="shared" ca="1" si="407"/>
        <v>0</v>
      </c>
      <c r="P812" s="77">
        <f t="shared" ca="1" si="407"/>
        <v>0</v>
      </c>
      <c r="Q812" s="77">
        <f t="shared" ca="1" si="407"/>
        <v>0</v>
      </c>
      <c r="R812" s="77">
        <f t="shared" ca="1" si="407"/>
        <v>0</v>
      </c>
      <c r="S812" s="77">
        <f t="shared" ca="1" si="407"/>
        <v>0</v>
      </c>
      <c r="T812" s="77">
        <f t="shared" ca="1" si="407"/>
        <v>0</v>
      </c>
      <c r="U812" s="77">
        <f t="shared" ca="1" si="407"/>
        <v>0</v>
      </c>
      <c r="V812" s="77">
        <f t="shared" ca="1" si="407"/>
        <v>0</v>
      </c>
      <c r="W812" s="77">
        <f t="shared" ca="1" si="407"/>
        <v>0</v>
      </c>
      <c r="X812" s="77">
        <f t="shared" ca="1" si="407"/>
        <v>0</v>
      </c>
    </row>
    <row r="813" spans="1:24" hidden="1">
      <c r="A813" s="259"/>
      <c r="B813" s="21"/>
      <c r="C813" s="22"/>
      <c r="D813" s="21"/>
      <c r="E813" s="21"/>
      <c r="F813" s="21"/>
      <c r="G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idden="1">
      <c r="A814" s="259"/>
      <c r="B814" s="20" t="s">
        <v>391</v>
      </c>
      <c r="C814" s="21">
        <f>C807+1</f>
        <v>102</v>
      </c>
      <c r="D814" s="483">
        <f>D807+1</f>
        <v>236</v>
      </c>
      <c r="E814" s="21"/>
      <c r="F814" s="21"/>
      <c r="G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idden="1">
      <c r="A815" s="259"/>
      <c r="B815" s="21" t="s">
        <v>414</v>
      </c>
      <c r="C815" s="165">
        <f ca="1">IFERROR(YEAR(OFFSET($D$28,C814,0)),0)</f>
        <v>0</v>
      </c>
      <c r="D815" s="165">
        <f ca="1">IFERROR(MONTH(OFFSET($D$28,C814,0)),0)</f>
        <v>0</v>
      </c>
      <c r="E815" s="21">
        <f ca="1">12-$D815</f>
        <v>12</v>
      </c>
      <c r="F815" s="21"/>
      <c r="G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idden="1">
      <c r="A816" s="259"/>
      <c r="B816" s="21" t="s">
        <v>406</v>
      </c>
      <c r="C816" s="245">
        <f ca="1">IF(OFFSET($F$28,C814,0)&lt;0,0,OFFSET($F$28,C814,0))</f>
        <v>0</v>
      </c>
      <c r="D816" s="22" t="str">
        <f ca="1">OFFSET($C$28,C814,0)</f>
        <v/>
      </c>
      <c r="E816" s="22">
        <f ca="1">IF(D816&gt;10,ROUND(($C817/12)*$E815,0),$C816)</f>
        <v>0</v>
      </c>
      <c r="F816" s="21"/>
      <c r="G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</row>
    <row r="817" spans="1:24" hidden="1">
      <c r="A817" s="259"/>
      <c r="B817" s="21" t="s">
        <v>415</v>
      </c>
      <c r="C817" s="245">
        <f ca="1">IF(ISBLANK(OFFSET($D$28,C814,0)),0,IF(OFFSET($C$28,C814,0)&gt;10,ROUND(C816*am_wnip,0),IF(C816&lt;0,0,C816)))</f>
        <v>0</v>
      </c>
      <c r="D817" s="21"/>
      <c r="E817" s="21"/>
      <c r="F817" s="21"/>
      <c r="G817" s="21"/>
      <c r="I817" s="21"/>
      <c r="J817" s="483" cm="1">
        <f t="array" aca="1" ref="J817" ca="1">OFFSET('Środki trwałe'!$C$195,'Rozliczenie dotacji'!D814,,)</f>
        <v>0</v>
      </c>
      <c r="K817" s="75">
        <f ca="1">ROUND(IF($C815=LataProjekcji,$E816,IF($C815=LataProjekcji,$C817,0)),0)</f>
        <v>0</v>
      </c>
      <c r="L817" s="248">
        <f ca="1">ROUND(IF(OR(AND($C815=LataProjekcji,$E815&gt;0),AND($C815=LataProjekcji,$E815=0,$D816&lt;=10)),$E816,IF($C815&lt;LataProjekcji,IF((SUM($K817:K817)+$C817)&lt;$C816,$C817,$C816-SUM($K817:K817)),0)),0)</f>
        <v>0</v>
      </c>
      <c r="M817" s="248">
        <f ca="1">ROUND(IF(OR(AND($C815=LataProjekcji,$E815&gt;0),AND($C815=LataProjekcji,$E815=0,$D816&lt;=10)),$E816,IF($C815&lt;LataProjekcji,IF((SUM($K817:L817)+$C817)&lt;$C816,$C817,$C816-SUM($K817:L817)),0)),0)</f>
        <v>0</v>
      </c>
      <c r="N817" s="248">
        <f ca="1">ROUND(IF(OR(AND($C815=LataProjekcji,$E815&gt;0),AND($C815=LataProjekcji,$E815=0,$D816&lt;=10)),$E816,IF($C815&lt;LataProjekcji,IF((SUM($K817:M817)+$C817)&lt;$C816,$C817,$C816-SUM($K817:M817)),0)),0)</f>
        <v>0</v>
      </c>
      <c r="O817" s="248">
        <f ca="1">ROUND(IF(OR(AND($C815=LataProjekcji,$E815&gt;0),AND($C815=LataProjekcji,$E815=0,$D816&lt;=10)),$E816,IF($C815&lt;LataProjekcji,IF((SUM($K817:N817)+$C817)&lt;$C816,$C817,$C816-SUM($K817:N817)),0)),0)</f>
        <v>0</v>
      </c>
      <c r="P817" s="248">
        <f ca="1">ROUND(IF(OR(AND($C815=LataProjekcji,$E815&gt;0),AND($C815=LataProjekcji,$E815=0,$D816&lt;=10)),$E816,IF($C815&lt;LataProjekcji,IF((SUM($K817:O817)+$C817)&lt;$C816,$C817,$C816-SUM($K817:O817)),0)),0)</f>
        <v>0</v>
      </c>
      <c r="Q817" s="248">
        <f ca="1">ROUND(IF(OR(AND($C815=LataProjekcji,$E815&gt;0),AND($C815=LataProjekcji,$E815=0,$D816&lt;=10)),$E816,IF($C815&lt;LataProjekcji,IF((SUM($K817:P817)+$C817)&lt;$C816,$C817,$C816-SUM($K817:P817)),0)),0)</f>
        <v>0</v>
      </c>
      <c r="R817" s="248">
        <f ca="1">ROUND(IF(OR(AND($C815=LataProjekcji,$E815&gt;0),AND($C815=LataProjekcji,$E815=0,$D816&lt;=10)),$E816,IF($C815&lt;LataProjekcji,IF((SUM($K817:Q817)+$C817)&lt;$C816,$C817,$C816-SUM($K817:Q817)),0)),0)</f>
        <v>0</v>
      </c>
      <c r="S817" s="248">
        <f ca="1">ROUND(IF(OR(AND($C815=LataProjekcji,$E815&gt;0),AND($C815=LataProjekcji,$E815=0,$D816&lt;=10)),$E816,IF($C815&lt;LataProjekcji,IF((SUM($K817:R817)+$C817)&lt;$C816,$C817,$C816-SUM($K817:R817)),0)),0)</f>
        <v>0</v>
      </c>
      <c r="T817" s="248">
        <f ca="1">ROUND(IF(OR(AND($C815=LataProjekcji,$E815&gt;0),AND($C815=LataProjekcji,$E815=0,$D816&lt;=10)),$E816,IF($C815&lt;LataProjekcji,IF((SUM($K817:S817)+$C817)&lt;$C816,$C817,$C816-SUM($K817:S817)),0)),0)</f>
        <v>0</v>
      </c>
      <c r="U817" s="248">
        <f ca="1">ROUND(IF(OR(AND($C815=LataProjekcji,$E815&gt;0),AND($C815=LataProjekcji,$E815=0,$D816&lt;=10)),$E816,IF($C815&lt;LataProjekcji,IF((SUM($K817:T817)+$C817)&lt;$C816,$C817,$C816-SUM($K817:T817)),0)),0)</f>
        <v>0</v>
      </c>
      <c r="V817" s="248">
        <f ca="1">ROUND(IF(OR(AND($C815=LataProjekcji,$E815&gt;0),AND($C815=LataProjekcji,$E815=0,$D816&lt;=10)),$E816,IF($C815&lt;LataProjekcji,IF((SUM($K817:U817)+$C817)&lt;$C816,$C817,$C816-SUM($K817:U817)),0)),0)</f>
        <v>0</v>
      </c>
      <c r="W817" s="248">
        <f ca="1">ROUND(IF(OR(AND($C815=LataProjekcji,$E815&gt;0),AND($C815=LataProjekcji,$E815=0,$D816&lt;=10)),$E816,IF($C815&lt;LataProjekcji,IF((SUM($K817:V817)+$C817)&lt;$C816,$C817,$C816-SUM($K817:V817)),0)),0)</f>
        <v>0</v>
      </c>
      <c r="X817" s="248">
        <f ca="1">ROUND(IF(OR(AND($C815=LataProjekcji,$E815&gt;0),AND($C815=LataProjekcji,$E815=0,$D816&lt;=10)),$E816,IF($C815&lt;LataProjekcji,IF((SUM($K817:W817)+$C817)&lt;$C816,$C817,$C816-SUM($K817:W817)),0)),0)</f>
        <v>0</v>
      </c>
    </row>
    <row r="818" spans="1:24" hidden="1">
      <c r="A818" s="259"/>
      <c r="B818" s="21" t="s">
        <v>416</v>
      </c>
      <c r="C818" s="22"/>
      <c r="D818" s="21"/>
      <c r="E818" s="21"/>
      <c r="F818" s="21"/>
      <c r="G818" s="21"/>
      <c r="I818" s="21"/>
      <c r="J818" s="21"/>
      <c r="K818" s="22">
        <f ca="1">ROUND(K817,0)</f>
        <v>0</v>
      </c>
      <c r="L818" s="22">
        <f t="shared" ref="L818:X818" ca="1" si="408">ROUND(K818+L817,0)</f>
        <v>0</v>
      </c>
      <c r="M818" s="22">
        <f t="shared" ca="1" si="408"/>
        <v>0</v>
      </c>
      <c r="N818" s="22">
        <f t="shared" ca="1" si="408"/>
        <v>0</v>
      </c>
      <c r="O818" s="22">
        <f t="shared" ca="1" si="408"/>
        <v>0</v>
      </c>
      <c r="P818" s="22">
        <f t="shared" ca="1" si="408"/>
        <v>0</v>
      </c>
      <c r="Q818" s="22">
        <f t="shared" ca="1" si="408"/>
        <v>0</v>
      </c>
      <c r="R818" s="22">
        <f t="shared" ca="1" si="408"/>
        <v>0</v>
      </c>
      <c r="S818" s="22">
        <f t="shared" ca="1" si="408"/>
        <v>0</v>
      </c>
      <c r="T818" s="22">
        <f t="shared" ca="1" si="408"/>
        <v>0</v>
      </c>
      <c r="U818" s="22">
        <f t="shared" ca="1" si="408"/>
        <v>0</v>
      </c>
      <c r="V818" s="22">
        <f t="shared" ca="1" si="408"/>
        <v>0</v>
      </c>
      <c r="W818" s="22">
        <f t="shared" ca="1" si="408"/>
        <v>0</v>
      </c>
      <c r="X818" s="22">
        <f t="shared" ca="1" si="408"/>
        <v>0</v>
      </c>
    </row>
    <row r="819" spans="1:24" hidden="1">
      <c r="A819" s="259"/>
      <c r="B819" s="21" t="s">
        <v>406</v>
      </c>
      <c r="C819" s="22"/>
      <c r="D819" s="21"/>
      <c r="E819" s="21"/>
      <c r="F819" s="21"/>
      <c r="G819" s="21"/>
      <c r="I819" s="21"/>
      <c r="J819" s="21"/>
      <c r="K819" s="77">
        <f t="shared" ref="K819:X819" ca="1" si="409">IF($C815=LataProjekcji,ROUND($C816-K818,0),ROUND(IF(K817=0,0,$C816-K818),0))</f>
        <v>0</v>
      </c>
      <c r="L819" s="77">
        <f t="shared" ca="1" si="409"/>
        <v>0</v>
      </c>
      <c r="M819" s="77">
        <f t="shared" ca="1" si="409"/>
        <v>0</v>
      </c>
      <c r="N819" s="77">
        <f t="shared" ca="1" si="409"/>
        <v>0</v>
      </c>
      <c r="O819" s="77">
        <f t="shared" ca="1" si="409"/>
        <v>0</v>
      </c>
      <c r="P819" s="77">
        <f t="shared" ca="1" si="409"/>
        <v>0</v>
      </c>
      <c r="Q819" s="77">
        <f t="shared" ca="1" si="409"/>
        <v>0</v>
      </c>
      <c r="R819" s="77">
        <f t="shared" ca="1" si="409"/>
        <v>0</v>
      </c>
      <c r="S819" s="77">
        <f t="shared" ca="1" si="409"/>
        <v>0</v>
      </c>
      <c r="T819" s="77">
        <f t="shared" ca="1" si="409"/>
        <v>0</v>
      </c>
      <c r="U819" s="77">
        <f t="shared" ca="1" si="409"/>
        <v>0</v>
      </c>
      <c r="V819" s="77">
        <f t="shared" ca="1" si="409"/>
        <v>0</v>
      </c>
      <c r="W819" s="77">
        <f t="shared" ca="1" si="409"/>
        <v>0</v>
      </c>
      <c r="X819" s="77">
        <f t="shared" ca="1" si="409"/>
        <v>0</v>
      </c>
    </row>
    <row r="820" spans="1:24" hidden="1">
      <c r="A820" s="259"/>
      <c r="B820" s="20"/>
      <c r="C820" s="21"/>
      <c r="D820" s="21"/>
      <c r="E820" s="21"/>
      <c r="F820" s="21"/>
      <c r="G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idden="1">
      <c r="A821" s="259"/>
      <c r="B821" s="20" t="s">
        <v>391</v>
      </c>
      <c r="C821" s="21">
        <f>C814+1</f>
        <v>103</v>
      </c>
      <c r="D821" s="483">
        <f>D814+1</f>
        <v>237</v>
      </c>
      <c r="E821" s="21"/>
      <c r="F821" s="21"/>
      <c r="G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idden="1">
      <c r="A822" s="259"/>
      <c r="B822" s="21" t="s">
        <v>414</v>
      </c>
      <c r="C822" s="165">
        <f ca="1">IFERROR(YEAR(OFFSET($D$28,C821,0)),0)</f>
        <v>0</v>
      </c>
      <c r="D822" s="165">
        <f ca="1">IFERROR(MONTH(OFFSET($D$28,C821,0)),0)</f>
        <v>0</v>
      </c>
      <c r="E822" s="21">
        <f ca="1">12-$D822</f>
        <v>12</v>
      </c>
      <c r="F822" s="21"/>
      <c r="G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idden="1">
      <c r="A823" s="259"/>
      <c r="B823" s="21" t="s">
        <v>406</v>
      </c>
      <c r="C823" s="245">
        <f ca="1">IF(OFFSET($F$28,C821,0)&lt;0,0,OFFSET($F$28,C821,0))</f>
        <v>0</v>
      </c>
      <c r="D823" s="22" t="str">
        <f ca="1">OFFSET($C$28,C821,0)</f>
        <v/>
      </c>
      <c r="E823" s="22">
        <f ca="1">IF(D823&gt;10,ROUND(($C824/12)*$E822,0),$C823)</f>
        <v>0</v>
      </c>
      <c r="F823" s="21"/>
      <c r="G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</row>
    <row r="824" spans="1:24" hidden="1">
      <c r="A824" s="259"/>
      <c r="B824" s="21" t="s">
        <v>415</v>
      </c>
      <c r="C824" s="245">
        <f ca="1">IF(ISBLANK(OFFSET($D$28,C821,0)),0,IF(OFFSET($C$28,C821,0)&gt;10,ROUND(C823*am_wnip,0),IF(C823&lt;0,0,C823)))</f>
        <v>0</v>
      </c>
      <c r="D824" s="21"/>
      <c r="E824" s="21"/>
      <c r="F824" s="21"/>
      <c r="G824" s="21"/>
      <c r="I824" s="21"/>
      <c r="J824" s="483" cm="1">
        <f t="array" aca="1" ref="J824" ca="1">OFFSET('Środki trwałe'!$C$195,'Rozliczenie dotacji'!D821,,)</f>
        <v>0</v>
      </c>
      <c r="K824" s="75">
        <f ca="1">ROUND(IF($C822=LataProjekcji,$E823,IF($C822=LataProjekcji,$C824,0)),0)</f>
        <v>0</v>
      </c>
      <c r="L824" s="248">
        <f ca="1">ROUND(IF(OR(AND($C822=LataProjekcji,$E822&gt;0),AND($C822=LataProjekcji,$E822=0,$D823&lt;=10)),$E823,IF($C822&lt;LataProjekcji,IF((SUM($K824:K824)+$C824)&lt;$C823,$C824,$C823-SUM($K824:K824)),0)),0)</f>
        <v>0</v>
      </c>
      <c r="M824" s="248">
        <f ca="1">ROUND(IF(OR(AND($C822=LataProjekcji,$E822&gt;0),AND($C822=LataProjekcji,$E822=0,$D823&lt;=10)),$E823,IF($C822&lt;LataProjekcji,IF((SUM($K824:L824)+$C824)&lt;$C823,$C824,$C823-SUM($K824:L824)),0)),0)</f>
        <v>0</v>
      </c>
      <c r="N824" s="248">
        <f ca="1">ROUND(IF(OR(AND($C822=LataProjekcji,$E822&gt;0),AND($C822=LataProjekcji,$E822=0,$D823&lt;=10)),$E823,IF($C822&lt;LataProjekcji,IF((SUM($K824:M824)+$C824)&lt;$C823,$C824,$C823-SUM($K824:M824)),0)),0)</f>
        <v>0</v>
      </c>
      <c r="O824" s="248">
        <f ca="1">ROUND(IF(OR(AND($C822=LataProjekcji,$E822&gt;0),AND($C822=LataProjekcji,$E822=0,$D823&lt;=10)),$E823,IF($C822&lt;LataProjekcji,IF((SUM($K824:N824)+$C824)&lt;$C823,$C824,$C823-SUM($K824:N824)),0)),0)</f>
        <v>0</v>
      </c>
      <c r="P824" s="248">
        <f ca="1">ROUND(IF(OR(AND($C822=LataProjekcji,$E822&gt;0),AND($C822=LataProjekcji,$E822=0,$D823&lt;=10)),$E823,IF($C822&lt;LataProjekcji,IF((SUM($K824:O824)+$C824)&lt;$C823,$C824,$C823-SUM($K824:O824)),0)),0)</f>
        <v>0</v>
      </c>
      <c r="Q824" s="248">
        <f ca="1">ROUND(IF(OR(AND($C822=LataProjekcji,$E822&gt;0),AND($C822=LataProjekcji,$E822=0,$D823&lt;=10)),$E823,IF($C822&lt;LataProjekcji,IF((SUM($K824:P824)+$C824)&lt;$C823,$C824,$C823-SUM($K824:P824)),0)),0)</f>
        <v>0</v>
      </c>
      <c r="R824" s="248">
        <f ca="1">ROUND(IF(OR(AND($C822=LataProjekcji,$E822&gt;0),AND($C822=LataProjekcji,$E822=0,$D823&lt;=10)),$E823,IF($C822&lt;LataProjekcji,IF((SUM($K824:Q824)+$C824)&lt;$C823,$C824,$C823-SUM($K824:Q824)),0)),0)</f>
        <v>0</v>
      </c>
      <c r="S824" s="248">
        <f ca="1">ROUND(IF(OR(AND($C822=LataProjekcji,$E822&gt;0),AND($C822=LataProjekcji,$E822=0,$D823&lt;=10)),$E823,IF($C822&lt;LataProjekcji,IF((SUM($K824:R824)+$C824)&lt;$C823,$C824,$C823-SUM($K824:R824)),0)),0)</f>
        <v>0</v>
      </c>
      <c r="T824" s="248">
        <f ca="1">ROUND(IF(OR(AND($C822=LataProjekcji,$E822&gt;0),AND($C822=LataProjekcji,$E822=0,$D823&lt;=10)),$E823,IF($C822&lt;LataProjekcji,IF((SUM($K824:S824)+$C824)&lt;$C823,$C824,$C823-SUM($K824:S824)),0)),0)</f>
        <v>0</v>
      </c>
      <c r="U824" s="248">
        <f ca="1">ROUND(IF(OR(AND($C822=LataProjekcji,$E822&gt;0),AND($C822=LataProjekcji,$E822=0,$D823&lt;=10)),$E823,IF($C822&lt;LataProjekcji,IF((SUM($K824:T824)+$C824)&lt;$C823,$C824,$C823-SUM($K824:T824)),0)),0)</f>
        <v>0</v>
      </c>
      <c r="V824" s="248">
        <f ca="1">ROUND(IF(OR(AND($C822=LataProjekcji,$E822&gt;0),AND($C822=LataProjekcji,$E822=0,$D823&lt;=10)),$E823,IF($C822&lt;LataProjekcji,IF((SUM($K824:U824)+$C824)&lt;$C823,$C824,$C823-SUM($K824:U824)),0)),0)</f>
        <v>0</v>
      </c>
      <c r="W824" s="248">
        <f ca="1">ROUND(IF(OR(AND($C822=LataProjekcji,$E822&gt;0),AND($C822=LataProjekcji,$E822=0,$D823&lt;=10)),$E823,IF($C822&lt;LataProjekcji,IF((SUM($K824:V824)+$C824)&lt;$C823,$C824,$C823-SUM($K824:V824)),0)),0)</f>
        <v>0</v>
      </c>
      <c r="X824" s="248">
        <f ca="1">ROUND(IF(OR(AND($C822=LataProjekcji,$E822&gt;0),AND($C822=LataProjekcji,$E822=0,$D823&lt;=10)),$E823,IF($C822&lt;LataProjekcji,IF((SUM($K824:W824)+$C824)&lt;$C823,$C824,$C823-SUM($K824:W824)),0)),0)</f>
        <v>0</v>
      </c>
    </row>
    <row r="825" spans="1:24" hidden="1">
      <c r="A825" s="259"/>
      <c r="B825" s="21" t="s">
        <v>416</v>
      </c>
      <c r="C825" s="22"/>
      <c r="D825" s="21"/>
      <c r="E825" s="21"/>
      <c r="F825" s="21"/>
      <c r="G825" s="21"/>
      <c r="I825" s="21"/>
      <c r="J825" s="21"/>
      <c r="K825" s="22">
        <f ca="1">ROUND(K824,0)</f>
        <v>0</v>
      </c>
      <c r="L825" s="22">
        <f t="shared" ref="L825:X825" ca="1" si="410">ROUND(K825+L824,0)</f>
        <v>0</v>
      </c>
      <c r="M825" s="22">
        <f t="shared" ca="1" si="410"/>
        <v>0</v>
      </c>
      <c r="N825" s="22">
        <f t="shared" ca="1" si="410"/>
        <v>0</v>
      </c>
      <c r="O825" s="22">
        <f t="shared" ca="1" si="410"/>
        <v>0</v>
      </c>
      <c r="P825" s="22">
        <f t="shared" ca="1" si="410"/>
        <v>0</v>
      </c>
      <c r="Q825" s="22">
        <f t="shared" ca="1" si="410"/>
        <v>0</v>
      </c>
      <c r="R825" s="22">
        <f t="shared" ca="1" si="410"/>
        <v>0</v>
      </c>
      <c r="S825" s="22">
        <f t="shared" ca="1" si="410"/>
        <v>0</v>
      </c>
      <c r="T825" s="22">
        <f t="shared" ca="1" si="410"/>
        <v>0</v>
      </c>
      <c r="U825" s="22">
        <f t="shared" ca="1" si="410"/>
        <v>0</v>
      </c>
      <c r="V825" s="22">
        <f t="shared" ca="1" si="410"/>
        <v>0</v>
      </c>
      <c r="W825" s="22">
        <f t="shared" ca="1" si="410"/>
        <v>0</v>
      </c>
      <c r="X825" s="22">
        <f t="shared" ca="1" si="410"/>
        <v>0</v>
      </c>
    </row>
    <row r="826" spans="1:24" hidden="1">
      <c r="A826" s="259"/>
      <c r="B826" s="21" t="s">
        <v>406</v>
      </c>
      <c r="C826" s="22"/>
      <c r="D826" s="21"/>
      <c r="E826" s="21"/>
      <c r="F826" s="21"/>
      <c r="G826" s="21"/>
      <c r="I826" s="21"/>
      <c r="J826" s="21"/>
      <c r="K826" s="77">
        <f t="shared" ref="K826:X826" ca="1" si="411">IF($C822=LataProjekcji,ROUND($C823-K825,0),ROUND(IF(K824=0,0,$C823-K825),0))</f>
        <v>0</v>
      </c>
      <c r="L826" s="77">
        <f t="shared" ca="1" si="411"/>
        <v>0</v>
      </c>
      <c r="M826" s="77">
        <f t="shared" ca="1" si="411"/>
        <v>0</v>
      </c>
      <c r="N826" s="77">
        <f t="shared" ca="1" si="411"/>
        <v>0</v>
      </c>
      <c r="O826" s="77">
        <f t="shared" ca="1" si="411"/>
        <v>0</v>
      </c>
      <c r="P826" s="77">
        <f t="shared" ca="1" si="411"/>
        <v>0</v>
      </c>
      <c r="Q826" s="77">
        <f t="shared" ca="1" si="411"/>
        <v>0</v>
      </c>
      <c r="R826" s="77">
        <f t="shared" ca="1" si="411"/>
        <v>0</v>
      </c>
      <c r="S826" s="77">
        <f t="shared" ca="1" si="411"/>
        <v>0</v>
      </c>
      <c r="T826" s="77">
        <f t="shared" ca="1" si="411"/>
        <v>0</v>
      </c>
      <c r="U826" s="77">
        <f t="shared" ca="1" si="411"/>
        <v>0</v>
      </c>
      <c r="V826" s="77">
        <f t="shared" ca="1" si="411"/>
        <v>0</v>
      </c>
      <c r="W826" s="77">
        <f t="shared" ca="1" si="411"/>
        <v>0</v>
      </c>
      <c r="X826" s="77">
        <f t="shared" ca="1" si="411"/>
        <v>0</v>
      </c>
    </row>
    <row r="827" spans="1:24" hidden="1">
      <c r="A827" s="259"/>
      <c r="B827" s="21"/>
      <c r="C827" s="22"/>
      <c r="D827" s="21"/>
      <c r="E827" s="21"/>
      <c r="F827" s="21"/>
      <c r="G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idden="1">
      <c r="A828" s="259"/>
      <c r="B828" s="20" t="s">
        <v>391</v>
      </c>
      <c r="C828" s="21">
        <f>C821+1</f>
        <v>104</v>
      </c>
      <c r="D828" s="483">
        <f>D821+1</f>
        <v>238</v>
      </c>
      <c r="E828" s="21"/>
      <c r="F828" s="21"/>
      <c r="G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idden="1">
      <c r="A829" s="259"/>
      <c r="B829" s="21" t="s">
        <v>414</v>
      </c>
      <c r="C829" s="165">
        <f ca="1">IFERROR(YEAR(OFFSET($D$28,C828,0)),0)</f>
        <v>0</v>
      </c>
      <c r="D829" s="165">
        <f ca="1">IFERROR(MONTH(OFFSET($D$28,C828,0)),0)</f>
        <v>0</v>
      </c>
      <c r="E829" s="21">
        <f ca="1">12-$D829</f>
        <v>12</v>
      </c>
      <c r="F829" s="21"/>
      <c r="G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idden="1">
      <c r="A830" s="259"/>
      <c r="B830" s="21" t="s">
        <v>406</v>
      </c>
      <c r="C830" s="245">
        <f ca="1">IF(OFFSET($F$28,C828,0)&lt;0,0,OFFSET($F$28,C828,0))</f>
        <v>0</v>
      </c>
      <c r="D830" s="22" t="str">
        <f ca="1">OFFSET($C$28,C828,0)</f>
        <v/>
      </c>
      <c r="E830" s="22">
        <f ca="1">IF(D830&gt;10,ROUND(($C831/12)*$E829,0),$C830)</f>
        <v>0</v>
      </c>
      <c r="F830" s="21"/>
      <c r="G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</row>
    <row r="831" spans="1:24" hidden="1">
      <c r="A831" s="259"/>
      <c r="B831" s="21" t="s">
        <v>415</v>
      </c>
      <c r="C831" s="245">
        <f ca="1">IF(ISBLANK(OFFSET($D$28,C828,0)),0,IF(OFFSET($C$28,C828,0)&gt;10,ROUND(C830*am_wnip,0),IF(C830&lt;0,0,C830)))</f>
        <v>0</v>
      </c>
      <c r="D831" s="21"/>
      <c r="E831" s="21"/>
      <c r="F831" s="21"/>
      <c r="G831" s="21"/>
      <c r="I831" s="21"/>
      <c r="J831" s="483" cm="1">
        <f t="array" aca="1" ref="J831" ca="1">OFFSET('Środki trwałe'!$C$195,'Rozliczenie dotacji'!D828,,)</f>
        <v>0</v>
      </c>
      <c r="K831" s="75">
        <f ca="1">ROUND(IF($C829=LataProjekcji,$E830,IF($C829=LataProjekcji,$C831,0)),0)</f>
        <v>0</v>
      </c>
      <c r="L831" s="248">
        <f ca="1">ROUND(IF(OR(AND($C829=LataProjekcji,$E829&gt;0),AND($C829=LataProjekcji,$E829=0,$D830&lt;=10)),$E830,IF($C829&lt;LataProjekcji,IF((SUM($K831:K831)+$C831)&lt;$C830,$C831,$C830-SUM($K831:K831)),0)),0)</f>
        <v>0</v>
      </c>
      <c r="M831" s="248">
        <f ca="1">ROUND(IF(OR(AND($C829=LataProjekcji,$E829&gt;0),AND($C829=LataProjekcji,$E829=0,$D830&lt;=10)),$E830,IF($C829&lt;LataProjekcji,IF((SUM($K831:L831)+$C831)&lt;$C830,$C831,$C830-SUM($K831:L831)),0)),0)</f>
        <v>0</v>
      </c>
      <c r="N831" s="248">
        <f ca="1">ROUND(IF(OR(AND($C829=LataProjekcji,$E829&gt;0),AND($C829=LataProjekcji,$E829=0,$D830&lt;=10)),$E830,IF($C829&lt;LataProjekcji,IF((SUM($K831:M831)+$C831)&lt;$C830,$C831,$C830-SUM($K831:M831)),0)),0)</f>
        <v>0</v>
      </c>
      <c r="O831" s="248">
        <f ca="1">ROUND(IF(OR(AND($C829=LataProjekcji,$E829&gt;0),AND($C829=LataProjekcji,$E829=0,$D830&lt;=10)),$E830,IF($C829&lt;LataProjekcji,IF((SUM($K831:N831)+$C831)&lt;$C830,$C831,$C830-SUM($K831:N831)),0)),0)</f>
        <v>0</v>
      </c>
      <c r="P831" s="248">
        <f ca="1">ROUND(IF(OR(AND($C829=LataProjekcji,$E829&gt;0),AND($C829=LataProjekcji,$E829=0,$D830&lt;=10)),$E830,IF($C829&lt;LataProjekcji,IF((SUM($K831:O831)+$C831)&lt;$C830,$C831,$C830-SUM($K831:O831)),0)),0)</f>
        <v>0</v>
      </c>
      <c r="Q831" s="248">
        <f ca="1">ROUND(IF(OR(AND($C829=LataProjekcji,$E829&gt;0),AND($C829=LataProjekcji,$E829=0,$D830&lt;=10)),$E830,IF($C829&lt;LataProjekcji,IF((SUM($K831:P831)+$C831)&lt;$C830,$C831,$C830-SUM($K831:P831)),0)),0)</f>
        <v>0</v>
      </c>
      <c r="R831" s="248">
        <f ca="1">ROUND(IF(OR(AND($C829=LataProjekcji,$E829&gt;0),AND($C829=LataProjekcji,$E829=0,$D830&lt;=10)),$E830,IF($C829&lt;LataProjekcji,IF((SUM($K831:Q831)+$C831)&lt;$C830,$C831,$C830-SUM($K831:Q831)),0)),0)</f>
        <v>0</v>
      </c>
      <c r="S831" s="248">
        <f ca="1">ROUND(IF(OR(AND($C829=LataProjekcji,$E829&gt;0),AND($C829=LataProjekcji,$E829=0,$D830&lt;=10)),$E830,IF($C829&lt;LataProjekcji,IF((SUM($K831:R831)+$C831)&lt;$C830,$C831,$C830-SUM($K831:R831)),0)),0)</f>
        <v>0</v>
      </c>
      <c r="T831" s="248">
        <f ca="1">ROUND(IF(OR(AND($C829=LataProjekcji,$E829&gt;0),AND($C829=LataProjekcji,$E829=0,$D830&lt;=10)),$E830,IF($C829&lt;LataProjekcji,IF((SUM($K831:S831)+$C831)&lt;$C830,$C831,$C830-SUM($K831:S831)),0)),0)</f>
        <v>0</v>
      </c>
      <c r="U831" s="248">
        <f ca="1">ROUND(IF(OR(AND($C829=LataProjekcji,$E829&gt;0),AND($C829=LataProjekcji,$E829=0,$D830&lt;=10)),$E830,IF($C829&lt;LataProjekcji,IF((SUM($K831:T831)+$C831)&lt;$C830,$C831,$C830-SUM($K831:T831)),0)),0)</f>
        <v>0</v>
      </c>
      <c r="V831" s="248">
        <f ca="1">ROUND(IF(OR(AND($C829=LataProjekcji,$E829&gt;0),AND($C829=LataProjekcji,$E829=0,$D830&lt;=10)),$E830,IF($C829&lt;LataProjekcji,IF((SUM($K831:U831)+$C831)&lt;$C830,$C831,$C830-SUM($K831:U831)),0)),0)</f>
        <v>0</v>
      </c>
      <c r="W831" s="248">
        <f ca="1">ROUND(IF(OR(AND($C829=LataProjekcji,$E829&gt;0),AND($C829=LataProjekcji,$E829=0,$D830&lt;=10)),$E830,IF($C829&lt;LataProjekcji,IF((SUM($K831:V831)+$C831)&lt;$C830,$C831,$C830-SUM($K831:V831)),0)),0)</f>
        <v>0</v>
      </c>
      <c r="X831" s="248">
        <f ca="1">ROUND(IF(OR(AND($C829=LataProjekcji,$E829&gt;0),AND($C829=LataProjekcji,$E829=0,$D830&lt;=10)),$E830,IF($C829&lt;LataProjekcji,IF((SUM($K831:W831)+$C831)&lt;$C830,$C831,$C830-SUM($K831:W831)),0)),0)</f>
        <v>0</v>
      </c>
    </row>
    <row r="832" spans="1:24" hidden="1">
      <c r="A832" s="259"/>
      <c r="B832" s="21" t="s">
        <v>416</v>
      </c>
      <c r="C832" s="22"/>
      <c r="D832" s="21"/>
      <c r="E832" s="21"/>
      <c r="F832" s="21"/>
      <c r="G832" s="21"/>
      <c r="I832" s="21"/>
      <c r="J832" s="21"/>
      <c r="K832" s="22">
        <f ca="1">ROUND(K831,0)</f>
        <v>0</v>
      </c>
      <c r="L832" s="22">
        <f t="shared" ref="L832:X832" ca="1" si="412">ROUND(K832+L831,0)</f>
        <v>0</v>
      </c>
      <c r="M832" s="22">
        <f t="shared" ca="1" si="412"/>
        <v>0</v>
      </c>
      <c r="N832" s="22">
        <f t="shared" ca="1" si="412"/>
        <v>0</v>
      </c>
      <c r="O832" s="22">
        <f t="shared" ca="1" si="412"/>
        <v>0</v>
      </c>
      <c r="P832" s="22">
        <f t="shared" ca="1" si="412"/>
        <v>0</v>
      </c>
      <c r="Q832" s="22">
        <f t="shared" ca="1" si="412"/>
        <v>0</v>
      </c>
      <c r="R832" s="22">
        <f t="shared" ca="1" si="412"/>
        <v>0</v>
      </c>
      <c r="S832" s="22">
        <f t="shared" ca="1" si="412"/>
        <v>0</v>
      </c>
      <c r="T832" s="22">
        <f t="shared" ca="1" si="412"/>
        <v>0</v>
      </c>
      <c r="U832" s="22">
        <f t="shared" ca="1" si="412"/>
        <v>0</v>
      </c>
      <c r="V832" s="22">
        <f t="shared" ca="1" si="412"/>
        <v>0</v>
      </c>
      <c r="W832" s="22">
        <f t="shared" ca="1" si="412"/>
        <v>0</v>
      </c>
      <c r="X832" s="22">
        <f t="shared" ca="1" si="412"/>
        <v>0</v>
      </c>
    </row>
    <row r="833" spans="1:24" hidden="1">
      <c r="A833" s="259"/>
      <c r="B833" s="21" t="s">
        <v>406</v>
      </c>
      <c r="C833" s="22"/>
      <c r="D833" s="21"/>
      <c r="E833" s="21"/>
      <c r="F833" s="21"/>
      <c r="G833" s="21"/>
      <c r="I833" s="21"/>
      <c r="J833" s="21"/>
      <c r="K833" s="77">
        <f t="shared" ref="K833:X833" ca="1" si="413">IF($C829=LataProjekcji,ROUND($C830-K832,0),ROUND(IF(K831=0,0,$C830-K832),0))</f>
        <v>0</v>
      </c>
      <c r="L833" s="77">
        <f t="shared" ca="1" si="413"/>
        <v>0</v>
      </c>
      <c r="M833" s="77">
        <f t="shared" ca="1" si="413"/>
        <v>0</v>
      </c>
      <c r="N833" s="77">
        <f t="shared" ca="1" si="413"/>
        <v>0</v>
      </c>
      <c r="O833" s="77">
        <f t="shared" ca="1" si="413"/>
        <v>0</v>
      </c>
      <c r="P833" s="77">
        <f t="shared" ca="1" si="413"/>
        <v>0</v>
      </c>
      <c r="Q833" s="77">
        <f t="shared" ca="1" si="413"/>
        <v>0</v>
      </c>
      <c r="R833" s="77">
        <f t="shared" ca="1" si="413"/>
        <v>0</v>
      </c>
      <c r="S833" s="77">
        <f t="shared" ca="1" si="413"/>
        <v>0</v>
      </c>
      <c r="T833" s="77">
        <f t="shared" ca="1" si="413"/>
        <v>0</v>
      </c>
      <c r="U833" s="77">
        <f t="shared" ca="1" si="413"/>
        <v>0</v>
      </c>
      <c r="V833" s="77">
        <f t="shared" ca="1" si="413"/>
        <v>0</v>
      </c>
      <c r="W833" s="77">
        <f t="shared" ca="1" si="413"/>
        <v>0</v>
      </c>
      <c r="X833" s="77">
        <f t="shared" ca="1" si="413"/>
        <v>0</v>
      </c>
    </row>
    <row r="834" spans="1:24" hidden="1">
      <c r="A834" s="259"/>
      <c r="B834" s="21"/>
      <c r="C834" s="22"/>
      <c r="D834" s="21"/>
      <c r="E834" s="21"/>
      <c r="F834" s="21"/>
      <c r="G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idden="1">
      <c r="A835" s="259"/>
      <c r="B835" s="20" t="s">
        <v>391</v>
      </c>
      <c r="C835" s="21">
        <f>C828+1</f>
        <v>105</v>
      </c>
      <c r="D835" s="483">
        <f>D828+1</f>
        <v>239</v>
      </c>
      <c r="E835" s="21"/>
      <c r="F835" s="21"/>
      <c r="G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idden="1">
      <c r="A836" s="259"/>
      <c r="B836" s="21" t="s">
        <v>414</v>
      </c>
      <c r="C836" s="165">
        <f ca="1">IFERROR(YEAR(OFFSET($D$28,C835,0)),0)</f>
        <v>0</v>
      </c>
      <c r="D836" s="165">
        <f ca="1">IFERROR(MONTH(OFFSET($D$28,C835,0)),0)</f>
        <v>0</v>
      </c>
      <c r="E836" s="21">
        <f ca="1">12-$D836</f>
        <v>12</v>
      </c>
      <c r="F836" s="21"/>
      <c r="G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idden="1">
      <c r="A837" s="259"/>
      <c r="B837" s="21" t="s">
        <v>406</v>
      </c>
      <c r="C837" s="245">
        <f ca="1">IF(OFFSET($F$28,C835,0)&lt;0,0,OFFSET($F$28,C835,0))</f>
        <v>0</v>
      </c>
      <c r="D837" s="22" t="str">
        <f ca="1">OFFSET($C$28,C835,0)</f>
        <v/>
      </c>
      <c r="E837" s="22">
        <f ca="1">IF(D837&gt;10,ROUND(($C838/12)*$E836,0),$C837)</f>
        <v>0</v>
      </c>
      <c r="F837" s="21"/>
      <c r="G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</row>
    <row r="838" spans="1:24" hidden="1">
      <c r="A838" s="259"/>
      <c r="B838" s="21" t="s">
        <v>415</v>
      </c>
      <c r="C838" s="245">
        <f ca="1">IF(ISBLANK(OFFSET($D$28,C835,0)),0,IF(OFFSET($C$28,C835,0)&gt;10,ROUND(C837*am_wnip,0),IF(C837&lt;0,0,C837)))</f>
        <v>0</v>
      </c>
      <c r="D838" s="21"/>
      <c r="E838" s="21"/>
      <c r="F838" s="21"/>
      <c r="G838" s="21"/>
      <c r="I838" s="21"/>
      <c r="J838" s="483" cm="1">
        <f t="array" aca="1" ref="J838" ca="1">OFFSET('Środki trwałe'!$C$195,'Rozliczenie dotacji'!D835,,)</f>
        <v>0</v>
      </c>
      <c r="K838" s="75">
        <f ca="1">ROUND(IF($C836=LataProjekcji,$E837,IF($C836=LataProjekcji,$C838,0)),0)</f>
        <v>0</v>
      </c>
      <c r="L838" s="248">
        <f ca="1">ROUND(IF(OR(AND($C836=LataProjekcji,$E836&gt;0),AND($C836=LataProjekcji,$E836=0,$D837&lt;=10)),$E837,IF($C836&lt;LataProjekcji,IF((SUM($K838:K838)+$C838)&lt;$C837,$C838,$C837-SUM($K838:K838)),0)),0)</f>
        <v>0</v>
      </c>
      <c r="M838" s="248">
        <f ca="1">ROUND(IF(OR(AND($C836=LataProjekcji,$E836&gt;0),AND($C836=LataProjekcji,$E836=0,$D837&lt;=10)),$E837,IF($C836&lt;LataProjekcji,IF((SUM($K838:L838)+$C838)&lt;$C837,$C838,$C837-SUM($K838:L838)),0)),0)</f>
        <v>0</v>
      </c>
      <c r="N838" s="248">
        <f ca="1">ROUND(IF(OR(AND($C836=LataProjekcji,$E836&gt;0),AND($C836=LataProjekcji,$E836=0,$D837&lt;=10)),$E837,IF($C836&lt;LataProjekcji,IF((SUM($K838:M838)+$C838)&lt;$C837,$C838,$C837-SUM($K838:M838)),0)),0)</f>
        <v>0</v>
      </c>
      <c r="O838" s="248">
        <f ca="1">ROUND(IF(OR(AND($C836=LataProjekcji,$E836&gt;0),AND($C836=LataProjekcji,$E836=0,$D837&lt;=10)),$E837,IF($C836&lt;LataProjekcji,IF((SUM($K838:N838)+$C838)&lt;$C837,$C838,$C837-SUM($K838:N838)),0)),0)</f>
        <v>0</v>
      </c>
      <c r="P838" s="248">
        <f ca="1">ROUND(IF(OR(AND($C836=LataProjekcji,$E836&gt;0),AND($C836=LataProjekcji,$E836=0,$D837&lt;=10)),$E837,IF($C836&lt;LataProjekcji,IF((SUM($K838:O838)+$C838)&lt;$C837,$C838,$C837-SUM($K838:O838)),0)),0)</f>
        <v>0</v>
      </c>
      <c r="Q838" s="248">
        <f ca="1">ROUND(IF(OR(AND($C836=LataProjekcji,$E836&gt;0),AND($C836=LataProjekcji,$E836=0,$D837&lt;=10)),$E837,IF($C836&lt;LataProjekcji,IF((SUM($K838:P838)+$C838)&lt;$C837,$C838,$C837-SUM($K838:P838)),0)),0)</f>
        <v>0</v>
      </c>
      <c r="R838" s="248">
        <f ca="1">ROUND(IF(OR(AND($C836=LataProjekcji,$E836&gt;0),AND($C836=LataProjekcji,$E836=0,$D837&lt;=10)),$E837,IF($C836&lt;LataProjekcji,IF((SUM($K838:Q838)+$C838)&lt;$C837,$C838,$C837-SUM($K838:Q838)),0)),0)</f>
        <v>0</v>
      </c>
      <c r="S838" s="248">
        <f ca="1">ROUND(IF(OR(AND($C836=LataProjekcji,$E836&gt;0),AND($C836=LataProjekcji,$E836=0,$D837&lt;=10)),$E837,IF($C836&lt;LataProjekcji,IF((SUM($K838:R838)+$C838)&lt;$C837,$C838,$C837-SUM($K838:R838)),0)),0)</f>
        <v>0</v>
      </c>
      <c r="T838" s="248">
        <f ca="1">ROUND(IF(OR(AND($C836=LataProjekcji,$E836&gt;0),AND($C836=LataProjekcji,$E836=0,$D837&lt;=10)),$E837,IF($C836&lt;LataProjekcji,IF((SUM($K838:S838)+$C838)&lt;$C837,$C838,$C837-SUM($K838:S838)),0)),0)</f>
        <v>0</v>
      </c>
      <c r="U838" s="248">
        <f ca="1">ROUND(IF(OR(AND($C836=LataProjekcji,$E836&gt;0),AND($C836=LataProjekcji,$E836=0,$D837&lt;=10)),$E837,IF($C836&lt;LataProjekcji,IF((SUM($K838:T838)+$C838)&lt;$C837,$C838,$C837-SUM($K838:T838)),0)),0)</f>
        <v>0</v>
      </c>
      <c r="V838" s="248">
        <f ca="1">ROUND(IF(OR(AND($C836=LataProjekcji,$E836&gt;0),AND($C836=LataProjekcji,$E836=0,$D837&lt;=10)),$E837,IF($C836&lt;LataProjekcji,IF((SUM($K838:U838)+$C838)&lt;$C837,$C838,$C837-SUM($K838:U838)),0)),0)</f>
        <v>0</v>
      </c>
      <c r="W838" s="248">
        <f ca="1">ROUND(IF(OR(AND($C836=LataProjekcji,$E836&gt;0),AND($C836=LataProjekcji,$E836=0,$D837&lt;=10)),$E837,IF($C836&lt;LataProjekcji,IF((SUM($K838:V838)+$C838)&lt;$C837,$C838,$C837-SUM($K838:V838)),0)),0)</f>
        <v>0</v>
      </c>
      <c r="X838" s="248">
        <f ca="1">ROUND(IF(OR(AND($C836=LataProjekcji,$E836&gt;0),AND($C836=LataProjekcji,$E836=0,$D837&lt;=10)),$E837,IF($C836&lt;LataProjekcji,IF((SUM($K838:W838)+$C838)&lt;$C837,$C838,$C837-SUM($K838:W838)),0)),0)</f>
        <v>0</v>
      </c>
    </row>
    <row r="839" spans="1:24" hidden="1">
      <c r="A839" s="259"/>
      <c r="B839" s="21" t="s">
        <v>416</v>
      </c>
      <c r="C839" s="22"/>
      <c r="D839" s="21"/>
      <c r="E839" s="21"/>
      <c r="F839" s="21"/>
      <c r="G839" s="21"/>
      <c r="I839" s="21"/>
      <c r="J839" s="21"/>
      <c r="K839" s="22">
        <f ca="1">ROUND(K838,0)</f>
        <v>0</v>
      </c>
      <c r="L839" s="22">
        <f t="shared" ref="L839:X839" ca="1" si="414">ROUND(K839+L838,0)</f>
        <v>0</v>
      </c>
      <c r="M839" s="22">
        <f t="shared" ca="1" si="414"/>
        <v>0</v>
      </c>
      <c r="N839" s="22">
        <f t="shared" ca="1" si="414"/>
        <v>0</v>
      </c>
      <c r="O839" s="22">
        <f t="shared" ca="1" si="414"/>
        <v>0</v>
      </c>
      <c r="P839" s="22">
        <f t="shared" ca="1" si="414"/>
        <v>0</v>
      </c>
      <c r="Q839" s="22">
        <f t="shared" ca="1" si="414"/>
        <v>0</v>
      </c>
      <c r="R839" s="22">
        <f t="shared" ca="1" si="414"/>
        <v>0</v>
      </c>
      <c r="S839" s="22">
        <f t="shared" ca="1" si="414"/>
        <v>0</v>
      </c>
      <c r="T839" s="22">
        <f t="shared" ca="1" si="414"/>
        <v>0</v>
      </c>
      <c r="U839" s="22">
        <f t="shared" ca="1" si="414"/>
        <v>0</v>
      </c>
      <c r="V839" s="22">
        <f t="shared" ca="1" si="414"/>
        <v>0</v>
      </c>
      <c r="W839" s="22">
        <f t="shared" ca="1" si="414"/>
        <v>0</v>
      </c>
      <c r="X839" s="22">
        <f t="shared" ca="1" si="414"/>
        <v>0</v>
      </c>
    </row>
    <row r="840" spans="1:24" hidden="1">
      <c r="A840" s="259"/>
      <c r="B840" s="21" t="s">
        <v>406</v>
      </c>
      <c r="C840" s="22"/>
      <c r="D840" s="21"/>
      <c r="E840" s="21"/>
      <c r="F840" s="21"/>
      <c r="G840" s="21"/>
      <c r="I840" s="21"/>
      <c r="J840" s="21"/>
      <c r="K840" s="77">
        <f t="shared" ref="K840:X840" ca="1" si="415">IF($C836=LataProjekcji,ROUND($C837-K839,0),ROUND(IF(K838=0,0,$C837-K839),0))</f>
        <v>0</v>
      </c>
      <c r="L840" s="77">
        <f t="shared" ca="1" si="415"/>
        <v>0</v>
      </c>
      <c r="M840" s="77">
        <f t="shared" ca="1" si="415"/>
        <v>0</v>
      </c>
      <c r="N840" s="77">
        <f t="shared" ca="1" si="415"/>
        <v>0</v>
      </c>
      <c r="O840" s="77">
        <f t="shared" ca="1" si="415"/>
        <v>0</v>
      </c>
      <c r="P840" s="77">
        <f t="shared" ca="1" si="415"/>
        <v>0</v>
      </c>
      <c r="Q840" s="77">
        <f t="shared" ca="1" si="415"/>
        <v>0</v>
      </c>
      <c r="R840" s="77">
        <f t="shared" ca="1" si="415"/>
        <v>0</v>
      </c>
      <c r="S840" s="77">
        <f t="shared" ca="1" si="415"/>
        <v>0</v>
      </c>
      <c r="T840" s="77">
        <f t="shared" ca="1" si="415"/>
        <v>0</v>
      </c>
      <c r="U840" s="77">
        <f t="shared" ca="1" si="415"/>
        <v>0</v>
      </c>
      <c r="V840" s="77">
        <f t="shared" ca="1" si="415"/>
        <v>0</v>
      </c>
      <c r="W840" s="77">
        <f t="shared" ca="1" si="415"/>
        <v>0</v>
      </c>
      <c r="X840" s="77">
        <f t="shared" ca="1" si="415"/>
        <v>0</v>
      </c>
    </row>
    <row r="841" spans="1:24" hidden="1">
      <c r="A841" s="259"/>
      <c r="B841" s="20"/>
      <c r="C841" s="21"/>
      <c r="D841" s="21"/>
      <c r="E841" s="21"/>
      <c r="F841" s="21"/>
      <c r="G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 spans="1:24" hidden="1">
      <c r="A842" s="259"/>
      <c r="B842" s="20" t="s">
        <v>391</v>
      </c>
      <c r="C842" s="21">
        <f>C835+1</f>
        <v>106</v>
      </c>
      <c r="D842" s="483">
        <f>D835+1</f>
        <v>240</v>
      </c>
      <c r="E842" s="21"/>
      <c r="F842" s="21"/>
      <c r="G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 spans="1:24" hidden="1">
      <c r="A843" s="259"/>
      <c r="B843" s="21" t="s">
        <v>414</v>
      </c>
      <c r="C843" s="165">
        <f ca="1">IFERROR(YEAR(OFFSET($D$28,C842,0)),0)</f>
        <v>0</v>
      </c>
      <c r="D843" s="165">
        <f ca="1">IFERROR(MONTH(OFFSET($D$28,C842,0)),0)</f>
        <v>0</v>
      </c>
      <c r="E843" s="21">
        <f ca="1">12-$D843</f>
        <v>12</v>
      </c>
      <c r="F843" s="21"/>
      <c r="G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 spans="1:24" hidden="1">
      <c r="A844" s="259"/>
      <c r="B844" s="21" t="s">
        <v>406</v>
      </c>
      <c r="C844" s="245">
        <f ca="1">IF(OFFSET($F$28,C842,0)&lt;0,0,OFFSET($F$28,C842,0))</f>
        <v>0</v>
      </c>
      <c r="D844" s="22" t="str">
        <f ca="1">OFFSET($C$28,C842,0)</f>
        <v/>
      </c>
      <c r="E844" s="22">
        <f ca="1">IF(D844&gt;10,ROUND(($C845/12)*$E843,0),$C844)</f>
        <v>0</v>
      </c>
      <c r="F844" s="21"/>
      <c r="G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</row>
    <row r="845" spans="1:24" hidden="1">
      <c r="A845" s="259"/>
      <c r="B845" s="21" t="s">
        <v>415</v>
      </c>
      <c r="C845" s="245">
        <f ca="1">IF(ISBLANK(OFFSET($D$28,C842,0)),0,IF(OFFSET($C$28,C842,0)&gt;10,ROUND(C844*am_wnip,0),IF(C844&lt;0,0,C844)))</f>
        <v>0</v>
      </c>
      <c r="D845" s="21"/>
      <c r="E845" s="21"/>
      <c r="F845" s="21"/>
      <c r="G845" s="21"/>
      <c r="I845" s="21"/>
      <c r="J845" s="483" cm="1">
        <f t="array" aca="1" ref="J845" ca="1">OFFSET('Środki trwałe'!$C$195,'Rozliczenie dotacji'!D842,,)</f>
        <v>0</v>
      </c>
      <c r="K845" s="75">
        <f ca="1">ROUND(IF($C843=LataProjekcji,$E844,IF($C843=LataProjekcji,$C845,0)),0)</f>
        <v>0</v>
      </c>
      <c r="L845" s="248">
        <f ca="1">ROUND(IF(OR(AND($C843=LataProjekcji,$E843&gt;0),AND($C843=LataProjekcji,$E843=0,$D844&lt;=10)),$E844,IF($C843&lt;LataProjekcji,IF((SUM($K845:K845)+$C845)&lt;$C844,$C845,$C844-SUM($K845:K845)),0)),0)</f>
        <v>0</v>
      </c>
      <c r="M845" s="248">
        <f ca="1">ROUND(IF(OR(AND($C843=LataProjekcji,$E843&gt;0),AND($C843=LataProjekcji,$E843=0,$D844&lt;=10)),$E844,IF($C843&lt;LataProjekcji,IF((SUM($K845:L845)+$C845)&lt;$C844,$C845,$C844-SUM($K845:L845)),0)),0)</f>
        <v>0</v>
      </c>
      <c r="N845" s="248">
        <f ca="1">ROUND(IF(OR(AND($C843=LataProjekcji,$E843&gt;0),AND($C843=LataProjekcji,$E843=0,$D844&lt;=10)),$E844,IF($C843&lt;LataProjekcji,IF((SUM($K845:M845)+$C845)&lt;$C844,$C845,$C844-SUM($K845:M845)),0)),0)</f>
        <v>0</v>
      </c>
      <c r="O845" s="248">
        <f ca="1">ROUND(IF(OR(AND($C843=LataProjekcji,$E843&gt;0),AND($C843=LataProjekcji,$E843=0,$D844&lt;=10)),$E844,IF($C843&lt;LataProjekcji,IF((SUM($K845:N845)+$C845)&lt;$C844,$C845,$C844-SUM($K845:N845)),0)),0)</f>
        <v>0</v>
      </c>
      <c r="P845" s="248">
        <f ca="1">ROUND(IF(OR(AND($C843=LataProjekcji,$E843&gt;0),AND($C843=LataProjekcji,$E843=0,$D844&lt;=10)),$E844,IF($C843&lt;LataProjekcji,IF((SUM($K845:O845)+$C845)&lt;$C844,$C845,$C844-SUM($K845:O845)),0)),0)</f>
        <v>0</v>
      </c>
      <c r="Q845" s="248">
        <f ca="1">ROUND(IF(OR(AND($C843=LataProjekcji,$E843&gt;0),AND($C843=LataProjekcji,$E843=0,$D844&lt;=10)),$E844,IF($C843&lt;LataProjekcji,IF((SUM($K845:P845)+$C845)&lt;$C844,$C845,$C844-SUM($K845:P845)),0)),0)</f>
        <v>0</v>
      </c>
      <c r="R845" s="248">
        <f ca="1">ROUND(IF(OR(AND($C843=LataProjekcji,$E843&gt;0),AND($C843=LataProjekcji,$E843=0,$D844&lt;=10)),$E844,IF($C843&lt;LataProjekcji,IF((SUM($K845:Q845)+$C845)&lt;$C844,$C845,$C844-SUM($K845:Q845)),0)),0)</f>
        <v>0</v>
      </c>
      <c r="S845" s="248">
        <f ca="1">ROUND(IF(OR(AND($C843=LataProjekcji,$E843&gt;0),AND($C843=LataProjekcji,$E843=0,$D844&lt;=10)),$E844,IF($C843&lt;LataProjekcji,IF((SUM($K845:R845)+$C845)&lt;$C844,$C845,$C844-SUM($K845:R845)),0)),0)</f>
        <v>0</v>
      </c>
      <c r="T845" s="248">
        <f ca="1">ROUND(IF(OR(AND($C843=LataProjekcji,$E843&gt;0),AND($C843=LataProjekcji,$E843=0,$D844&lt;=10)),$E844,IF($C843&lt;LataProjekcji,IF((SUM($K845:S845)+$C845)&lt;$C844,$C845,$C844-SUM($K845:S845)),0)),0)</f>
        <v>0</v>
      </c>
      <c r="U845" s="248">
        <f ca="1">ROUND(IF(OR(AND($C843=LataProjekcji,$E843&gt;0),AND($C843=LataProjekcji,$E843=0,$D844&lt;=10)),$E844,IF($C843&lt;LataProjekcji,IF((SUM($K845:T845)+$C845)&lt;$C844,$C845,$C844-SUM($K845:T845)),0)),0)</f>
        <v>0</v>
      </c>
      <c r="V845" s="248">
        <f ca="1">ROUND(IF(OR(AND($C843=LataProjekcji,$E843&gt;0),AND($C843=LataProjekcji,$E843=0,$D844&lt;=10)),$E844,IF($C843&lt;LataProjekcji,IF((SUM($K845:U845)+$C845)&lt;$C844,$C845,$C844-SUM($K845:U845)),0)),0)</f>
        <v>0</v>
      </c>
      <c r="W845" s="248">
        <f ca="1">ROUND(IF(OR(AND($C843=LataProjekcji,$E843&gt;0),AND($C843=LataProjekcji,$E843=0,$D844&lt;=10)),$E844,IF($C843&lt;LataProjekcji,IF((SUM($K845:V845)+$C845)&lt;$C844,$C845,$C844-SUM($K845:V845)),0)),0)</f>
        <v>0</v>
      </c>
      <c r="X845" s="248">
        <f ca="1">ROUND(IF(OR(AND($C843=LataProjekcji,$E843&gt;0),AND($C843=LataProjekcji,$E843=0,$D844&lt;=10)),$E844,IF($C843&lt;LataProjekcji,IF((SUM($K845:W845)+$C845)&lt;$C844,$C845,$C844-SUM($K845:W845)),0)),0)</f>
        <v>0</v>
      </c>
    </row>
    <row r="846" spans="1:24" hidden="1">
      <c r="A846" s="259"/>
      <c r="B846" s="21" t="s">
        <v>416</v>
      </c>
      <c r="C846" s="22"/>
      <c r="D846" s="21"/>
      <c r="E846" s="21"/>
      <c r="F846" s="21"/>
      <c r="G846" s="21"/>
      <c r="I846" s="21"/>
      <c r="J846" s="21"/>
      <c r="K846" s="22">
        <f ca="1">ROUND(K845,0)</f>
        <v>0</v>
      </c>
      <c r="L846" s="22">
        <f t="shared" ref="L846:X846" ca="1" si="416">ROUND(K846+L845,0)</f>
        <v>0</v>
      </c>
      <c r="M846" s="22">
        <f t="shared" ca="1" si="416"/>
        <v>0</v>
      </c>
      <c r="N846" s="22">
        <f t="shared" ca="1" si="416"/>
        <v>0</v>
      </c>
      <c r="O846" s="22">
        <f t="shared" ca="1" si="416"/>
        <v>0</v>
      </c>
      <c r="P846" s="22">
        <f t="shared" ca="1" si="416"/>
        <v>0</v>
      </c>
      <c r="Q846" s="22">
        <f t="shared" ca="1" si="416"/>
        <v>0</v>
      </c>
      <c r="R846" s="22">
        <f t="shared" ca="1" si="416"/>
        <v>0</v>
      </c>
      <c r="S846" s="22">
        <f t="shared" ca="1" si="416"/>
        <v>0</v>
      </c>
      <c r="T846" s="22">
        <f t="shared" ca="1" si="416"/>
        <v>0</v>
      </c>
      <c r="U846" s="22">
        <f t="shared" ca="1" si="416"/>
        <v>0</v>
      </c>
      <c r="V846" s="22">
        <f t="shared" ca="1" si="416"/>
        <v>0</v>
      </c>
      <c r="W846" s="22">
        <f t="shared" ca="1" si="416"/>
        <v>0</v>
      </c>
      <c r="X846" s="22">
        <f t="shared" ca="1" si="416"/>
        <v>0</v>
      </c>
    </row>
    <row r="847" spans="1:24" hidden="1">
      <c r="A847" s="259"/>
      <c r="B847" s="21" t="s">
        <v>406</v>
      </c>
      <c r="C847" s="22"/>
      <c r="D847" s="21"/>
      <c r="E847" s="21"/>
      <c r="F847" s="21"/>
      <c r="G847" s="21"/>
      <c r="I847" s="21"/>
      <c r="J847" s="21"/>
      <c r="K847" s="77">
        <f t="shared" ref="K847:X847" ca="1" si="417">IF($C843=LataProjekcji,ROUND($C844-K846,0),ROUND(IF(K845=0,0,$C844-K846),0))</f>
        <v>0</v>
      </c>
      <c r="L847" s="77">
        <f t="shared" ca="1" si="417"/>
        <v>0</v>
      </c>
      <c r="M847" s="77">
        <f t="shared" ca="1" si="417"/>
        <v>0</v>
      </c>
      <c r="N847" s="77">
        <f t="shared" ca="1" si="417"/>
        <v>0</v>
      </c>
      <c r="O847" s="77">
        <f t="shared" ca="1" si="417"/>
        <v>0</v>
      </c>
      <c r="P847" s="77">
        <f t="shared" ca="1" si="417"/>
        <v>0</v>
      </c>
      <c r="Q847" s="77">
        <f t="shared" ca="1" si="417"/>
        <v>0</v>
      </c>
      <c r="R847" s="77">
        <f t="shared" ca="1" si="417"/>
        <v>0</v>
      </c>
      <c r="S847" s="77">
        <f t="shared" ca="1" si="417"/>
        <v>0</v>
      </c>
      <c r="T847" s="77">
        <f t="shared" ca="1" si="417"/>
        <v>0</v>
      </c>
      <c r="U847" s="77">
        <f t="shared" ca="1" si="417"/>
        <v>0</v>
      </c>
      <c r="V847" s="77">
        <f t="shared" ca="1" si="417"/>
        <v>0</v>
      </c>
      <c r="W847" s="77">
        <f t="shared" ca="1" si="417"/>
        <v>0</v>
      </c>
      <c r="X847" s="77">
        <f t="shared" ca="1" si="417"/>
        <v>0</v>
      </c>
    </row>
    <row r="848" spans="1:24" hidden="1">
      <c r="A848" s="259"/>
      <c r="B848" s="21"/>
      <c r="C848" s="22"/>
      <c r="D848" s="21"/>
      <c r="E848" s="21"/>
      <c r="F848" s="21"/>
      <c r="G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 spans="1:24" hidden="1">
      <c r="A849" s="259"/>
      <c r="B849" s="20" t="s">
        <v>391</v>
      </c>
      <c r="C849" s="21">
        <f>C842+1</f>
        <v>107</v>
      </c>
      <c r="D849" s="483">
        <f>D842+1</f>
        <v>241</v>
      </c>
      <c r="E849" s="21"/>
      <c r="F849" s="21"/>
      <c r="G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 spans="1:24" hidden="1">
      <c r="A850" s="259"/>
      <c r="B850" s="21" t="s">
        <v>414</v>
      </c>
      <c r="C850" s="165">
        <f ca="1">IFERROR(YEAR(OFFSET($D$28,C849,0)),0)</f>
        <v>0</v>
      </c>
      <c r="D850" s="165">
        <f ca="1">IFERROR(MONTH(OFFSET($D$28,C849,0)),0)</f>
        <v>0</v>
      </c>
      <c r="E850" s="21">
        <f ca="1">12-$D850</f>
        <v>12</v>
      </c>
      <c r="F850" s="21"/>
      <c r="G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 spans="1:24" hidden="1">
      <c r="A851" s="259"/>
      <c r="B851" s="21" t="s">
        <v>406</v>
      </c>
      <c r="C851" s="245">
        <f ca="1">IF(OFFSET($F$28,C849,0)&lt;0,0,OFFSET($F$28,C849,0))</f>
        <v>0</v>
      </c>
      <c r="D851" s="22" t="str">
        <f ca="1">OFFSET($C$28,C849,0)</f>
        <v/>
      </c>
      <c r="E851" s="22">
        <f ca="1">IF(D851&gt;10,ROUND(($C852/12)*$E850,0),$C851)</f>
        <v>0</v>
      </c>
      <c r="F851" s="21"/>
      <c r="G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</row>
    <row r="852" spans="1:24" hidden="1">
      <c r="A852" s="259"/>
      <c r="B852" s="21" t="s">
        <v>415</v>
      </c>
      <c r="C852" s="245">
        <f ca="1">IF(ISBLANK(OFFSET($D$28,C849,0)),0,IF(OFFSET($C$28,C849,0)&gt;10,ROUND(C851*am_wnip,0),IF(C851&lt;0,0,C851)))</f>
        <v>0</v>
      </c>
      <c r="D852" s="21"/>
      <c r="E852" s="21"/>
      <c r="F852" s="21"/>
      <c r="G852" s="21"/>
      <c r="I852" s="21"/>
      <c r="J852" s="483" cm="1">
        <f t="array" aca="1" ref="J852" ca="1">OFFSET('Środki trwałe'!$C$195,'Rozliczenie dotacji'!D849,,)</f>
        <v>0</v>
      </c>
      <c r="K852" s="75">
        <f ca="1">ROUND(IF($C850=LataProjekcji,$E851,IF($C850=LataProjekcji,$C852,0)),0)</f>
        <v>0</v>
      </c>
      <c r="L852" s="248">
        <f ca="1">ROUND(IF(OR(AND($C850=LataProjekcji,$E850&gt;0),AND($C850=LataProjekcji,$E850=0,$D851&lt;=10)),$E851,IF($C850&lt;LataProjekcji,IF((SUM($K852:K852)+$C852)&lt;$C851,$C852,$C851-SUM($K852:K852)),0)),0)</f>
        <v>0</v>
      </c>
      <c r="M852" s="248">
        <f ca="1">ROUND(IF(OR(AND($C850=LataProjekcji,$E850&gt;0),AND($C850=LataProjekcji,$E850=0,$D851&lt;=10)),$E851,IF($C850&lt;LataProjekcji,IF((SUM($K852:L852)+$C852)&lt;$C851,$C852,$C851-SUM($K852:L852)),0)),0)</f>
        <v>0</v>
      </c>
      <c r="N852" s="248">
        <f ca="1">ROUND(IF(OR(AND($C850=LataProjekcji,$E850&gt;0),AND($C850=LataProjekcji,$E850=0,$D851&lt;=10)),$E851,IF($C850&lt;LataProjekcji,IF((SUM($K852:M852)+$C852)&lt;$C851,$C852,$C851-SUM($K852:M852)),0)),0)</f>
        <v>0</v>
      </c>
      <c r="O852" s="248">
        <f ca="1">ROUND(IF(OR(AND($C850=LataProjekcji,$E850&gt;0),AND($C850=LataProjekcji,$E850=0,$D851&lt;=10)),$E851,IF($C850&lt;LataProjekcji,IF((SUM($K852:N852)+$C852)&lt;$C851,$C852,$C851-SUM($K852:N852)),0)),0)</f>
        <v>0</v>
      </c>
      <c r="P852" s="248">
        <f ca="1">ROUND(IF(OR(AND($C850=LataProjekcji,$E850&gt;0),AND($C850=LataProjekcji,$E850=0,$D851&lt;=10)),$E851,IF($C850&lt;LataProjekcji,IF((SUM($K852:O852)+$C852)&lt;$C851,$C852,$C851-SUM($K852:O852)),0)),0)</f>
        <v>0</v>
      </c>
      <c r="Q852" s="248">
        <f ca="1">ROUND(IF(OR(AND($C850=LataProjekcji,$E850&gt;0),AND($C850=LataProjekcji,$E850=0,$D851&lt;=10)),$E851,IF($C850&lt;LataProjekcji,IF((SUM($K852:P852)+$C852)&lt;$C851,$C852,$C851-SUM($K852:P852)),0)),0)</f>
        <v>0</v>
      </c>
      <c r="R852" s="248">
        <f ca="1">ROUND(IF(OR(AND($C850=LataProjekcji,$E850&gt;0),AND($C850=LataProjekcji,$E850=0,$D851&lt;=10)),$E851,IF($C850&lt;LataProjekcji,IF((SUM($K852:Q852)+$C852)&lt;$C851,$C852,$C851-SUM($K852:Q852)),0)),0)</f>
        <v>0</v>
      </c>
      <c r="S852" s="248">
        <f ca="1">ROUND(IF(OR(AND($C850=LataProjekcji,$E850&gt;0),AND($C850=LataProjekcji,$E850=0,$D851&lt;=10)),$E851,IF($C850&lt;LataProjekcji,IF((SUM($K852:R852)+$C852)&lt;$C851,$C852,$C851-SUM($K852:R852)),0)),0)</f>
        <v>0</v>
      </c>
      <c r="T852" s="248">
        <f ca="1">ROUND(IF(OR(AND($C850=LataProjekcji,$E850&gt;0),AND($C850=LataProjekcji,$E850=0,$D851&lt;=10)),$E851,IF($C850&lt;LataProjekcji,IF((SUM($K852:S852)+$C852)&lt;$C851,$C852,$C851-SUM($K852:S852)),0)),0)</f>
        <v>0</v>
      </c>
      <c r="U852" s="248">
        <f ca="1">ROUND(IF(OR(AND($C850=LataProjekcji,$E850&gt;0),AND($C850=LataProjekcji,$E850=0,$D851&lt;=10)),$E851,IF($C850&lt;LataProjekcji,IF((SUM($K852:T852)+$C852)&lt;$C851,$C852,$C851-SUM($K852:T852)),0)),0)</f>
        <v>0</v>
      </c>
      <c r="V852" s="248">
        <f ca="1">ROUND(IF(OR(AND($C850=LataProjekcji,$E850&gt;0),AND($C850=LataProjekcji,$E850=0,$D851&lt;=10)),$E851,IF($C850&lt;LataProjekcji,IF((SUM($K852:U852)+$C852)&lt;$C851,$C852,$C851-SUM($K852:U852)),0)),0)</f>
        <v>0</v>
      </c>
      <c r="W852" s="248">
        <f ca="1">ROUND(IF(OR(AND($C850=LataProjekcji,$E850&gt;0),AND($C850=LataProjekcji,$E850=0,$D851&lt;=10)),$E851,IF($C850&lt;LataProjekcji,IF((SUM($K852:V852)+$C852)&lt;$C851,$C852,$C851-SUM($K852:V852)),0)),0)</f>
        <v>0</v>
      </c>
      <c r="X852" s="248">
        <f ca="1">ROUND(IF(OR(AND($C850=LataProjekcji,$E850&gt;0),AND($C850=LataProjekcji,$E850=0,$D851&lt;=10)),$E851,IF($C850&lt;LataProjekcji,IF((SUM($K852:W852)+$C852)&lt;$C851,$C852,$C851-SUM($K852:W852)),0)),0)</f>
        <v>0</v>
      </c>
    </row>
    <row r="853" spans="1:24" hidden="1">
      <c r="A853" s="259"/>
      <c r="B853" s="21" t="s">
        <v>416</v>
      </c>
      <c r="C853" s="22"/>
      <c r="D853" s="21"/>
      <c r="E853" s="21"/>
      <c r="F853" s="21"/>
      <c r="G853" s="21"/>
      <c r="I853" s="21"/>
      <c r="J853" s="21"/>
      <c r="K853" s="22">
        <f ca="1">ROUND(K852,0)</f>
        <v>0</v>
      </c>
      <c r="L853" s="22">
        <f t="shared" ref="L853:X853" ca="1" si="418">ROUND(K853+L852,0)</f>
        <v>0</v>
      </c>
      <c r="M853" s="22">
        <f t="shared" ca="1" si="418"/>
        <v>0</v>
      </c>
      <c r="N853" s="22">
        <f t="shared" ca="1" si="418"/>
        <v>0</v>
      </c>
      <c r="O853" s="22">
        <f t="shared" ca="1" si="418"/>
        <v>0</v>
      </c>
      <c r="P853" s="22">
        <f t="shared" ca="1" si="418"/>
        <v>0</v>
      </c>
      <c r="Q853" s="22">
        <f t="shared" ca="1" si="418"/>
        <v>0</v>
      </c>
      <c r="R853" s="22">
        <f t="shared" ca="1" si="418"/>
        <v>0</v>
      </c>
      <c r="S853" s="22">
        <f t="shared" ca="1" si="418"/>
        <v>0</v>
      </c>
      <c r="T853" s="22">
        <f t="shared" ca="1" si="418"/>
        <v>0</v>
      </c>
      <c r="U853" s="22">
        <f t="shared" ca="1" si="418"/>
        <v>0</v>
      </c>
      <c r="V853" s="22">
        <f t="shared" ca="1" si="418"/>
        <v>0</v>
      </c>
      <c r="W853" s="22">
        <f t="shared" ca="1" si="418"/>
        <v>0</v>
      </c>
      <c r="X853" s="22">
        <f t="shared" ca="1" si="418"/>
        <v>0</v>
      </c>
    </row>
    <row r="854" spans="1:24" hidden="1">
      <c r="A854" s="259"/>
      <c r="B854" s="21" t="s">
        <v>406</v>
      </c>
      <c r="C854" s="22"/>
      <c r="D854" s="21"/>
      <c r="E854" s="21"/>
      <c r="F854" s="21"/>
      <c r="G854" s="21"/>
      <c r="I854" s="21"/>
      <c r="J854" s="21"/>
      <c r="K854" s="77">
        <f t="shared" ref="K854:X854" ca="1" si="419">IF($C850=LataProjekcji,ROUND($C851-K853,0),ROUND(IF(K852=0,0,$C851-K853),0))</f>
        <v>0</v>
      </c>
      <c r="L854" s="77">
        <f t="shared" ca="1" si="419"/>
        <v>0</v>
      </c>
      <c r="M854" s="77">
        <f t="shared" ca="1" si="419"/>
        <v>0</v>
      </c>
      <c r="N854" s="77">
        <f t="shared" ca="1" si="419"/>
        <v>0</v>
      </c>
      <c r="O854" s="77">
        <f t="shared" ca="1" si="419"/>
        <v>0</v>
      </c>
      <c r="P854" s="77">
        <f t="shared" ca="1" si="419"/>
        <v>0</v>
      </c>
      <c r="Q854" s="77">
        <f t="shared" ca="1" si="419"/>
        <v>0</v>
      </c>
      <c r="R854" s="77">
        <f t="shared" ca="1" si="419"/>
        <v>0</v>
      </c>
      <c r="S854" s="77">
        <f t="shared" ca="1" si="419"/>
        <v>0</v>
      </c>
      <c r="T854" s="77">
        <f t="shared" ca="1" si="419"/>
        <v>0</v>
      </c>
      <c r="U854" s="77">
        <f t="shared" ca="1" si="419"/>
        <v>0</v>
      </c>
      <c r="V854" s="77">
        <f t="shared" ca="1" si="419"/>
        <v>0</v>
      </c>
      <c r="W854" s="77">
        <f t="shared" ca="1" si="419"/>
        <v>0</v>
      </c>
      <c r="X854" s="77">
        <f t="shared" ca="1" si="419"/>
        <v>0</v>
      </c>
    </row>
    <row r="855" spans="1:24" hidden="1">
      <c r="A855" s="259"/>
      <c r="B855" s="21"/>
      <c r="C855" s="22"/>
      <c r="D855" s="21"/>
      <c r="E855" s="21"/>
      <c r="F855" s="21"/>
      <c r="G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 spans="1:24" hidden="1">
      <c r="A856" s="259"/>
      <c r="B856" s="20" t="s">
        <v>391</v>
      </c>
      <c r="C856" s="21">
        <f>C849+1</f>
        <v>108</v>
      </c>
      <c r="D856" s="483">
        <f>D849+1</f>
        <v>242</v>
      </c>
      <c r="E856" s="21"/>
      <c r="F856" s="21"/>
      <c r="G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 spans="1:24" hidden="1">
      <c r="A857" s="259"/>
      <c r="B857" s="21" t="s">
        <v>414</v>
      </c>
      <c r="C857" s="165">
        <f ca="1">IFERROR(YEAR(OFFSET($D$28,C856,0)),0)</f>
        <v>0</v>
      </c>
      <c r="D857" s="165">
        <f ca="1">IFERROR(MONTH(OFFSET($D$28,C856,0)),0)</f>
        <v>0</v>
      </c>
      <c r="E857" s="21">
        <f ca="1">12-$D857</f>
        <v>12</v>
      </c>
      <c r="F857" s="21"/>
      <c r="G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 spans="1:24" hidden="1">
      <c r="A858" s="259"/>
      <c r="B858" s="21" t="s">
        <v>406</v>
      </c>
      <c r="C858" s="245">
        <f ca="1">IF(OFFSET($F$28,C856,0)&lt;0,0,OFFSET($F$28,C856,0))</f>
        <v>0</v>
      </c>
      <c r="D858" s="22" t="str">
        <f ca="1">OFFSET($C$28,C856,0)</f>
        <v/>
      </c>
      <c r="E858" s="22">
        <f ca="1">IF(D858&gt;10,ROUND(($C859/12)*$E857,0),$C858)</f>
        <v>0</v>
      </c>
      <c r="F858" s="21"/>
      <c r="G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</row>
    <row r="859" spans="1:24" hidden="1">
      <c r="A859" s="259"/>
      <c r="B859" s="21" t="s">
        <v>415</v>
      </c>
      <c r="C859" s="245">
        <f ca="1">IF(ISBLANK(OFFSET($D$28,C856,0)),0,IF(OFFSET($C$28,C856,0)&gt;10,ROUND(C858*am_wnip,0),IF(C858&lt;0,0,C858)))</f>
        <v>0</v>
      </c>
      <c r="D859" s="21"/>
      <c r="E859" s="21"/>
      <c r="F859" s="21"/>
      <c r="G859" s="21"/>
      <c r="I859" s="21"/>
      <c r="J859" s="483" cm="1">
        <f t="array" aca="1" ref="J859" ca="1">OFFSET('Środki trwałe'!$C$195,'Rozliczenie dotacji'!D856,,)</f>
        <v>0</v>
      </c>
      <c r="K859" s="75">
        <f ca="1">ROUND(IF($C857=LataProjekcji,$E858,IF($C857=LataProjekcji,$C859,0)),0)</f>
        <v>0</v>
      </c>
      <c r="L859" s="248">
        <f ca="1">ROUND(IF(OR(AND($C857=LataProjekcji,$E857&gt;0),AND($C857=LataProjekcji,$E857=0,$D858&lt;=10)),$E858,IF($C857&lt;LataProjekcji,IF((SUM($K859:K859)+$C859)&lt;$C858,$C859,$C858-SUM($K859:K859)),0)),0)</f>
        <v>0</v>
      </c>
      <c r="M859" s="248">
        <f ca="1">ROUND(IF(OR(AND($C857=LataProjekcji,$E857&gt;0),AND($C857=LataProjekcji,$E857=0,$D858&lt;=10)),$E858,IF($C857&lt;LataProjekcji,IF((SUM($K859:L859)+$C859)&lt;$C858,$C859,$C858-SUM($K859:L859)),0)),0)</f>
        <v>0</v>
      </c>
      <c r="N859" s="248">
        <f ca="1">ROUND(IF(OR(AND($C857=LataProjekcji,$E857&gt;0),AND($C857=LataProjekcji,$E857=0,$D858&lt;=10)),$E858,IF($C857&lt;LataProjekcji,IF((SUM($K859:M859)+$C859)&lt;$C858,$C859,$C858-SUM($K859:M859)),0)),0)</f>
        <v>0</v>
      </c>
      <c r="O859" s="248">
        <f ca="1">ROUND(IF(OR(AND($C857=LataProjekcji,$E857&gt;0),AND($C857=LataProjekcji,$E857=0,$D858&lt;=10)),$E858,IF($C857&lt;LataProjekcji,IF((SUM($K859:N859)+$C859)&lt;$C858,$C859,$C858-SUM($K859:N859)),0)),0)</f>
        <v>0</v>
      </c>
      <c r="P859" s="248">
        <f ca="1">ROUND(IF(OR(AND($C857=LataProjekcji,$E857&gt;0),AND($C857=LataProjekcji,$E857=0,$D858&lt;=10)),$E858,IF($C857&lt;LataProjekcji,IF((SUM($K859:O859)+$C859)&lt;$C858,$C859,$C858-SUM($K859:O859)),0)),0)</f>
        <v>0</v>
      </c>
      <c r="Q859" s="248">
        <f ca="1">ROUND(IF(OR(AND($C857=LataProjekcji,$E857&gt;0),AND($C857=LataProjekcji,$E857=0,$D858&lt;=10)),$E858,IF($C857&lt;LataProjekcji,IF((SUM($K859:P859)+$C859)&lt;$C858,$C859,$C858-SUM($K859:P859)),0)),0)</f>
        <v>0</v>
      </c>
      <c r="R859" s="248">
        <f ca="1">ROUND(IF(OR(AND($C857=LataProjekcji,$E857&gt;0),AND($C857=LataProjekcji,$E857=0,$D858&lt;=10)),$E858,IF($C857&lt;LataProjekcji,IF((SUM($K859:Q859)+$C859)&lt;$C858,$C859,$C858-SUM($K859:Q859)),0)),0)</f>
        <v>0</v>
      </c>
      <c r="S859" s="248">
        <f ca="1">ROUND(IF(OR(AND($C857=LataProjekcji,$E857&gt;0),AND($C857=LataProjekcji,$E857=0,$D858&lt;=10)),$E858,IF($C857&lt;LataProjekcji,IF((SUM($K859:R859)+$C859)&lt;$C858,$C859,$C858-SUM($K859:R859)),0)),0)</f>
        <v>0</v>
      </c>
      <c r="T859" s="248">
        <f ca="1">ROUND(IF(OR(AND($C857=LataProjekcji,$E857&gt;0),AND($C857=LataProjekcji,$E857=0,$D858&lt;=10)),$E858,IF($C857&lt;LataProjekcji,IF((SUM($K859:S859)+$C859)&lt;$C858,$C859,$C858-SUM($K859:S859)),0)),0)</f>
        <v>0</v>
      </c>
      <c r="U859" s="248">
        <f ca="1">ROUND(IF(OR(AND($C857=LataProjekcji,$E857&gt;0),AND($C857=LataProjekcji,$E857=0,$D858&lt;=10)),$E858,IF($C857&lt;LataProjekcji,IF((SUM($K859:T859)+$C859)&lt;$C858,$C859,$C858-SUM($K859:T859)),0)),0)</f>
        <v>0</v>
      </c>
      <c r="V859" s="248">
        <f ca="1">ROUND(IF(OR(AND($C857=LataProjekcji,$E857&gt;0),AND($C857=LataProjekcji,$E857=0,$D858&lt;=10)),$E858,IF($C857&lt;LataProjekcji,IF((SUM($K859:U859)+$C859)&lt;$C858,$C859,$C858-SUM($K859:U859)),0)),0)</f>
        <v>0</v>
      </c>
      <c r="W859" s="248">
        <f ca="1">ROUND(IF(OR(AND($C857=LataProjekcji,$E857&gt;0),AND($C857=LataProjekcji,$E857=0,$D858&lt;=10)),$E858,IF($C857&lt;LataProjekcji,IF((SUM($K859:V859)+$C859)&lt;$C858,$C859,$C858-SUM($K859:V859)),0)),0)</f>
        <v>0</v>
      </c>
      <c r="X859" s="248">
        <f ca="1">ROUND(IF(OR(AND($C857=LataProjekcji,$E857&gt;0),AND($C857=LataProjekcji,$E857=0,$D858&lt;=10)),$E858,IF($C857&lt;LataProjekcji,IF((SUM($K859:W859)+$C859)&lt;$C858,$C859,$C858-SUM($K859:W859)),0)),0)</f>
        <v>0</v>
      </c>
    </row>
    <row r="860" spans="1:24" hidden="1">
      <c r="A860" s="259"/>
      <c r="B860" s="21" t="s">
        <v>416</v>
      </c>
      <c r="C860" s="22"/>
      <c r="D860" s="21"/>
      <c r="E860" s="21"/>
      <c r="F860" s="21"/>
      <c r="G860" s="21"/>
      <c r="I860" s="21"/>
      <c r="J860" s="21"/>
      <c r="K860" s="22">
        <f ca="1">ROUND(K859,0)</f>
        <v>0</v>
      </c>
      <c r="L860" s="22">
        <f t="shared" ref="L860:X860" ca="1" si="420">ROUND(K860+L859,0)</f>
        <v>0</v>
      </c>
      <c r="M860" s="22">
        <f t="shared" ca="1" si="420"/>
        <v>0</v>
      </c>
      <c r="N860" s="22">
        <f t="shared" ca="1" si="420"/>
        <v>0</v>
      </c>
      <c r="O860" s="22">
        <f t="shared" ca="1" si="420"/>
        <v>0</v>
      </c>
      <c r="P860" s="22">
        <f t="shared" ca="1" si="420"/>
        <v>0</v>
      </c>
      <c r="Q860" s="22">
        <f t="shared" ca="1" si="420"/>
        <v>0</v>
      </c>
      <c r="R860" s="22">
        <f t="shared" ca="1" si="420"/>
        <v>0</v>
      </c>
      <c r="S860" s="22">
        <f t="shared" ca="1" si="420"/>
        <v>0</v>
      </c>
      <c r="T860" s="22">
        <f t="shared" ca="1" si="420"/>
        <v>0</v>
      </c>
      <c r="U860" s="22">
        <f t="shared" ca="1" si="420"/>
        <v>0</v>
      </c>
      <c r="V860" s="22">
        <f t="shared" ca="1" si="420"/>
        <v>0</v>
      </c>
      <c r="W860" s="22">
        <f t="shared" ca="1" si="420"/>
        <v>0</v>
      </c>
      <c r="X860" s="22">
        <f t="shared" ca="1" si="420"/>
        <v>0</v>
      </c>
    </row>
    <row r="861" spans="1:24" hidden="1">
      <c r="A861" s="259"/>
      <c r="B861" s="21" t="s">
        <v>406</v>
      </c>
      <c r="C861" s="22"/>
      <c r="D861" s="21"/>
      <c r="E861" s="21"/>
      <c r="F861" s="21"/>
      <c r="G861" s="21"/>
      <c r="I861" s="21"/>
      <c r="J861" s="21"/>
      <c r="K861" s="77">
        <f t="shared" ref="K861:X861" ca="1" si="421">IF($C857=LataProjekcji,ROUND($C858-K860,0),ROUND(IF(K859=0,0,$C858-K860),0))</f>
        <v>0</v>
      </c>
      <c r="L861" s="77">
        <f t="shared" ca="1" si="421"/>
        <v>0</v>
      </c>
      <c r="M861" s="77">
        <f t="shared" ca="1" si="421"/>
        <v>0</v>
      </c>
      <c r="N861" s="77">
        <f t="shared" ca="1" si="421"/>
        <v>0</v>
      </c>
      <c r="O861" s="77">
        <f t="shared" ca="1" si="421"/>
        <v>0</v>
      </c>
      <c r="P861" s="77">
        <f t="shared" ca="1" si="421"/>
        <v>0</v>
      </c>
      <c r="Q861" s="77">
        <f t="shared" ca="1" si="421"/>
        <v>0</v>
      </c>
      <c r="R861" s="77">
        <f t="shared" ca="1" si="421"/>
        <v>0</v>
      </c>
      <c r="S861" s="77">
        <f t="shared" ca="1" si="421"/>
        <v>0</v>
      </c>
      <c r="T861" s="77">
        <f t="shared" ca="1" si="421"/>
        <v>0</v>
      </c>
      <c r="U861" s="77">
        <f t="shared" ca="1" si="421"/>
        <v>0</v>
      </c>
      <c r="V861" s="77">
        <f t="shared" ca="1" si="421"/>
        <v>0</v>
      </c>
      <c r="W861" s="77">
        <f t="shared" ca="1" si="421"/>
        <v>0</v>
      </c>
      <c r="X861" s="77">
        <f t="shared" ca="1" si="421"/>
        <v>0</v>
      </c>
    </row>
    <row r="862" spans="1:24" hidden="1">
      <c r="A862" s="259"/>
      <c r="B862" s="20"/>
      <c r="C862" s="21"/>
      <c r="D862" s="21"/>
      <c r="E862" s="21"/>
      <c r="F862" s="21"/>
      <c r="G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 spans="1:24" hidden="1">
      <c r="A863" s="259"/>
      <c r="B863" s="20" t="s">
        <v>391</v>
      </c>
      <c r="C863" s="21">
        <f>C856+1</f>
        <v>109</v>
      </c>
      <c r="D863" s="483">
        <f>D856+1</f>
        <v>243</v>
      </c>
      <c r="E863" s="21"/>
      <c r="F863" s="21"/>
      <c r="G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 spans="1:24" hidden="1">
      <c r="A864" s="259"/>
      <c r="B864" s="21" t="s">
        <v>414</v>
      </c>
      <c r="C864" s="165">
        <f ca="1">IFERROR(YEAR(OFFSET($D$28,C863,0)),0)</f>
        <v>0</v>
      </c>
      <c r="D864" s="165">
        <f ca="1">IFERROR(MONTH(OFFSET($D$28,C863,0)),0)</f>
        <v>0</v>
      </c>
      <c r="E864" s="21">
        <f ca="1">12-$D864</f>
        <v>12</v>
      </c>
      <c r="F864" s="21"/>
      <c r="G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 spans="1:24" hidden="1">
      <c r="A865" s="259"/>
      <c r="B865" s="21" t="s">
        <v>406</v>
      </c>
      <c r="C865" s="245">
        <f ca="1">IF(OFFSET($F$28,C863,0)&lt;0,0,OFFSET($F$28,C863,0))</f>
        <v>0</v>
      </c>
      <c r="D865" s="22" t="str">
        <f ca="1">OFFSET($C$28,C863,0)</f>
        <v/>
      </c>
      <c r="E865" s="22">
        <f ca="1">IF(D865&gt;10,ROUND(($C866/12)*$E864,0),$C865)</f>
        <v>0</v>
      </c>
      <c r="F865" s="21"/>
      <c r="G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</row>
    <row r="866" spans="1:24" hidden="1">
      <c r="A866" s="259"/>
      <c r="B866" s="21" t="s">
        <v>415</v>
      </c>
      <c r="C866" s="245">
        <f ca="1">IF(ISBLANK(OFFSET($D$28,C863,0)),0,IF(OFFSET($C$28,C863,0)&gt;10,ROUND(C865*am_wnip,0),IF(C865&lt;0,0,C865)))</f>
        <v>0</v>
      </c>
      <c r="D866" s="21"/>
      <c r="E866" s="21"/>
      <c r="F866" s="21"/>
      <c r="G866" s="21"/>
      <c r="I866" s="21"/>
      <c r="J866" s="483" cm="1">
        <f t="array" aca="1" ref="J866" ca="1">OFFSET('Środki trwałe'!$C$195,'Rozliczenie dotacji'!D863,,)</f>
        <v>0</v>
      </c>
      <c r="K866" s="75">
        <f ca="1">ROUND(IF($C864=LataProjekcji,$E865,IF($C864=LataProjekcji,$C866,0)),0)</f>
        <v>0</v>
      </c>
      <c r="L866" s="248">
        <f ca="1">ROUND(IF(OR(AND($C864=LataProjekcji,$E864&gt;0),AND($C864=LataProjekcji,$E864=0,$D865&lt;=10)),$E865,IF($C864&lt;LataProjekcji,IF((SUM($K866:K866)+$C866)&lt;$C865,$C866,$C865-SUM($K866:K866)),0)),0)</f>
        <v>0</v>
      </c>
      <c r="M866" s="248">
        <f ca="1">ROUND(IF(OR(AND($C864=LataProjekcji,$E864&gt;0),AND($C864=LataProjekcji,$E864=0,$D865&lt;=10)),$E865,IF($C864&lt;LataProjekcji,IF((SUM($K866:L866)+$C866)&lt;$C865,$C866,$C865-SUM($K866:L866)),0)),0)</f>
        <v>0</v>
      </c>
      <c r="N866" s="248">
        <f ca="1">ROUND(IF(OR(AND($C864=LataProjekcji,$E864&gt;0),AND($C864=LataProjekcji,$E864=0,$D865&lt;=10)),$E865,IF($C864&lt;LataProjekcji,IF((SUM($K866:M866)+$C866)&lt;$C865,$C866,$C865-SUM($K866:M866)),0)),0)</f>
        <v>0</v>
      </c>
      <c r="O866" s="248">
        <f ca="1">ROUND(IF(OR(AND($C864=LataProjekcji,$E864&gt;0),AND($C864=LataProjekcji,$E864=0,$D865&lt;=10)),$E865,IF($C864&lt;LataProjekcji,IF((SUM($K866:N866)+$C866)&lt;$C865,$C866,$C865-SUM($K866:N866)),0)),0)</f>
        <v>0</v>
      </c>
      <c r="P866" s="248">
        <f ca="1">ROUND(IF(OR(AND($C864=LataProjekcji,$E864&gt;0),AND($C864=LataProjekcji,$E864=0,$D865&lt;=10)),$E865,IF($C864&lt;LataProjekcji,IF((SUM($K866:O866)+$C866)&lt;$C865,$C866,$C865-SUM($K866:O866)),0)),0)</f>
        <v>0</v>
      </c>
      <c r="Q866" s="248">
        <f ca="1">ROUND(IF(OR(AND($C864=LataProjekcji,$E864&gt;0),AND($C864=LataProjekcji,$E864=0,$D865&lt;=10)),$E865,IF($C864&lt;LataProjekcji,IF((SUM($K866:P866)+$C866)&lt;$C865,$C866,$C865-SUM($K866:P866)),0)),0)</f>
        <v>0</v>
      </c>
      <c r="R866" s="248">
        <f ca="1">ROUND(IF(OR(AND($C864=LataProjekcji,$E864&gt;0),AND($C864=LataProjekcji,$E864=0,$D865&lt;=10)),$E865,IF($C864&lt;LataProjekcji,IF((SUM($K866:Q866)+$C866)&lt;$C865,$C866,$C865-SUM($K866:Q866)),0)),0)</f>
        <v>0</v>
      </c>
      <c r="S866" s="248">
        <f ca="1">ROUND(IF(OR(AND($C864=LataProjekcji,$E864&gt;0),AND($C864=LataProjekcji,$E864=0,$D865&lt;=10)),$E865,IF($C864&lt;LataProjekcji,IF((SUM($K866:R866)+$C866)&lt;$C865,$C866,$C865-SUM($K866:R866)),0)),0)</f>
        <v>0</v>
      </c>
      <c r="T866" s="248">
        <f ca="1">ROUND(IF(OR(AND($C864=LataProjekcji,$E864&gt;0),AND($C864=LataProjekcji,$E864=0,$D865&lt;=10)),$E865,IF($C864&lt;LataProjekcji,IF((SUM($K866:S866)+$C866)&lt;$C865,$C866,$C865-SUM($K866:S866)),0)),0)</f>
        <v>0</v>
      </c>
      <c r="U866" s="248">
        <f ca="1">ROUND(IF(OR(AND($C864=LataProjekcji,$E864&gt;0),AND($C864=LataProjekcji,$E864=0,$D865&lt;=10)),$E865,IF($C864&lt;LataProjekcji,IF((SUM($K866:T866)+$C866)&lt;$C865,$C866,$C865-SUM($K866:T866)),0)),0)</f>
        <v>0</v>
      </c>
      <c r="V866" s="248">
        <f ca="1">ROUND(IF(OR(AND($C864=LataProjekcji,$E864&gt;0),AND($C864=LataProjekcji,$E864=0,$D865&lt;=10)),$E865,IF($C864&lt;LataProjekcji,IF((SUM($K866:U866)+$C866)&lt;$C865,$C866,$C865-SUM($K866:U866)),0)),0)</f>
        <v>0</v>
      </c>
      <c r="W866" s="248">
        <f ca="1">ROUND(IF(OR(AND($C864=LataProjekcji,$E864&gt;0),AND($C864=LataProjekcji,$E864=0,$D865&lt;=10)),$E865,IF($C864&lt;LataProjekcji,IF((SUM($K866:V866)+$C866)&lt;$C865,$C866,$C865-SUM($K866:V866)),0)),0)</f>
        <v>0</v>
      </c>
      <c r="X866" s="248">
        <f ca="1">ROUND(IF(OR(AND($C864=LataProjekcji,$E864&gt;0),AND($C864=LataProjekcji,$E864=0,$D865&lt;=10)),$E865,IF($C864&lt;LataProjekcji,IF((SUM($K866:W866)+$C866)&lt;$C865,$C866,$C865-SUM($K866:W866)),0)),0)</f>
        <v>0</v>
      </c>
    </row>
    <row r="867" spans="1:24" hidden="1">
      <c r="A867" s="259"/>
      <c r="B867" s="21" t="s">
        <v>416</v>
      </c>
      <c r="C867" s="22"/>
      <c r="D867" s="21"/>
      <c r="E867" s="21"/>
      <c r="F867" s="21"/>
      <c r="G867" s="21"/>
      <c r="I867" s="21"/>
      <c r="J867" s="21"/>
      <c r="K867" s="22">
        <f ca="1">ROUND(K866,0)</f>
        <v>0</v>
      </c>
      <c r="L867" s="22">
        <f t="shared" ref="L867:X867" ca="1" si="422">ROUND(K867+L866,0)</f>
        <v>0</v>
      </c>
      <c r="M867" s="22">
        <f t="shared" ca="1" si="422"/>
        <v>0</v>
      </c>
      <c r="N867" s="22">
        <f t="shared" ca="1" si="422"/>
        <v>0</v>
      </c>
      <c r="O867" s="22">
        <f t="shared" ca="1" si="422"/>
        <v>0</v>
      </c>
      <c r="P867" s="22">
        <f t="shared" ca="1" si="422"/>
        <v>0</v>
      </c>
      <c r="Q867" s="22">
        <f t="shared" ca="1" si="422"/>
        <v>0</v>
      </c>
      <c r="R867" s="22">
        <f t="shared" ca="1" si="422"/>
        <v>0</v>
      </c>
      <c r="S867" s="22">
        <f t="shared" ca="1" si="422"/>
        <v>0</v>
      </c>
      <c r="T867" s="22">
        <f t="shared" ca="1" si="422"/>
        <v>0</v>
      </c>
      <c r="U867" s="22">
        <f t="shared" ca="1" si="422"/>
        <v>0</v>
      </c>
      <c r="V867" s="22">
        <f t="shared" ca="1" si="422"/>
        <v>0</v>
      </c>
      <c r="W867" s="22">
        <f t="shared" ca="1" si="422"/>
        <v>0</v>
      </c>
      <c r="X867" s="22">
        <f t="shared" ca="1" si="422"/>
        <v>0</v>
      </c>
    </row>
    <row r="868" spans="1:24" hidden="1">
      <c r="A868" s="259"/>
      <c r="B868" s="21" t="s">
        <v>406</v>
      </c>
      <c r="C868" s="22"/>
      <c r="D868" s="21"/>
      <c r="E868" s="21"/>
      <c r="F868" s="21"/>
      <c r="G868" s="21"/>
      <c r="I868" s="21"/>
      <c r="J868" s="21"/>
      <c r="K868" s="77">
        <f t="shared" ref="K868:X868" ca="1" si="423">IF($C864=LataProjekcji,ROUND($C865-K867,0),ROUND(IF(K866=0,0,$C865-K867),0))</f>
        <v>0</v>
      </c>
      <c r="L868" s="77">
        <f t="shared" ca="1" si="423"/>
        <v>0</v>
      </c>
      <c r="M868" s="77">
        <f t="shared" ca="1" si="423"/>
        <v>0</v>
      </c>
      <c r="N868" s="77">
        <f t="shared" ca="1" si="423"/>
        <v>0</v>
      </c>
      <c r="O868" s="77">
        <f t="shared" ca="1" si="423"/>
        <v>0</v>
      </c>
      <c r="P868" s="77">
        <f t="shared" ca="1" si="423"/>
        <v>0</v>
      </c>
      <c r="Q868" s="77">
        <f t="shared" ca="1" si="423"/>
        <v>0</v>
      </c>
      <c r="R868" s="77">
        <f t="shared" ca="1" si="423"/>
        <v>0</v>
      </c>
      <c r="S868" s="77">
        <f t="shared" ca="1" si="423"/>
        <v>0</v>
      </c>
      <c r="T868" s="77">
        <f t="shared" ca="1" si="423"/>
        <v>0</v>
      </c>
      <c r="U868" s="77">
        <f t="shared" ca="1" si="423"/>
        <v>0</v>
      </c>
      <c r="V868" s="77">
        <f t="shared" ca="1" si="423"/>
        <v>0</v>
      </c>
      <c r="W868" s="77">
        <f t="shared" ca="1" si="423"/>
        <v>0</v>
      </c>
      <c r="X868" s="77">
        <f t="shared" ca="1" si="423"/>
        <v>0</v>
      </c>
    </row>
    <row r="869" spans="1:24" hidden="1">
      <c r="A869" s="259"/>
      <c r="B869" s="21"/>
      <c r="C869" s="22"/>
      <c r="D869" s="21"/>
      <c r="E869" s="21"/>
      <c r="F869" s="21"/>
      <c r="G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 spans="1:24" hidden="1">
      <c r="A870" s="259"/>
      <c r="B870" s="20" t="s">
        <v>391</v>
      </c>
      <c r="C870" s="21">
        <f>C863+1</f>
        <v>110</v>
      </c>
      <c r="D870" s="483">
        <f>D863+1</f>
        <v>244</v>
      </c>
      <c r="E870" s="21"/>
      <c r="F870" s="21"/>
      <c r="G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 spans="1:24" hidden="1">
      <c r="A871" s="259"/>
      <c r="B871" s="21" t="s">
        <v>414</v>
      </c>
      <c r="C871" s="165">
        <f ca="1">IFERROR(YEAR(OFFSET($D$28,C870,0)),0)</f>
        <v>0</v>
      </c>
      <c r="D871" s="165">
        <f ca="1">IFERROR(MONTH(OFFSET($D$28,C870,0)),0)</f>
        <v>0</v>
      </c>
      <c r="E871" s="21">
        <f ca="1">12-$D871</f>
        <v>12</v>
      </c>
      <c r="F871" s="21"/>
      <c r="G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259"/>
      <c r="B872" s="21" t="s">
        <v>406</v>
      </c>
      <c r="C872" s="245">
        <f ca="1">IF(OFFSET($F$28,C870,0)&lt;0,0,OFFSET($F$28,C870,0))</f>
        <v>0</v>
      </c>
      <c r="D872" s="22" t="str">
        <f ca="1">OFFSET($C$28,C870,0)</f>
        <v/>
      </c>
      <c r="E872" s="22">
        <f ca="1">IF(D872&gt;10,ROUND(($C873/12)*$E871,0),$C872)</f>
        <v>0</v>
      </c>
      <c r="F872" s="21"/>
      <c r="G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259"/>
      <c r="B873" s="21" t="s">
        <v>415</v>
      </c>
      <c r="C873" s="245">
        <f ca="1">IF(ISBLANK(OFFSET($D$28,C870,0)),0,IF(OFFSET($C$28,C870,0)&gt;10,ROUND(C872*am_wnip,0),IF(C872&lt;0,0,C872)))</f>
        <v>0</v>
      </c>
      <c r="D873" s="21"/>
      <c r="E873" s="21"/>
      <c r="F873" s="21"/>
      <c r="G873" s="21"/>
      <c r="I873" s="21"/>
      <c r="J873" s="483" cm="1">
        <f t="array" aca="1" ref="J873" ca="1">OFFSET('Środki trwałe'!$C$195,'Rozliczenie dotacji'!D870,,)</f>
        <v>0</v>
      </c>
      <c r="K873" s="75">
        <f ca="1">ROUND(IF($C871=LataProjekcji,$E872,IF($C871=LataProjekcji,$C873,0)),0)</f>
        <v>0</v>
      </c>
      <c r="L873" s="248">
        <f ca="1">ROUND(IF(OR(AND($C871=LataProjekcji,$E871&gt;0),AND($C871=LataProjekcji,$E871=0,$D872&lt;=10)),$E872,IF($C871&lt;LataProjekcji,IF((SUM($K873:K873)+$C873)&lt;$C872,$C873,$C872-SUM($K873:K873)),0)),0)</f>
        <v>0</v>
      </c>
      <c r="M873" s="248">
        <f ca="1">ROUND(IF(OR(AND($C871=LataProjekcji,$E871&gt;0),AND($C871=LataProjekcji,$E871=0,$D872&lt;=10)),$E872,IF($C871&lt;LataProjekcji,IF((SUM($K873:L873)+$C873)&lt;$C872,$C873,$C872-SUM($K873:L873)),0)),0)</f>
        <v>0</v>
      </c>
      <c r="N873" s="248">
        <f ca="1">ROUND(IF(OR(AND($C871=LataProjekcji,$E871&gt;0),AND($C871=LataProjekcji,$E871=0,$D872&lt;=10)),$E872,IF($C871&lt;LataProjekcji,IF((SUM($K873:M873)+$C873)&lt;$C872,$C873,$C872-SUM($K873:M873)),0)),0)</f>
        <v>0</v>
      </c>
      <c r="O873" s="248">
        <f ca="1">ROUND(IF(OR(AND($C871=LataProjekcji,$E871&gt;0),AND($C871=LataProjekcji,$E871=0,$D872&lt;=10)),$E872,IF($C871&lt;LataProjekcji,IF((SUM($K873:N873)+$C873)&lt;$C872,$C873,$C872-SUM($K873:N873)),0)),0)</f>
        <v>0</v>
      </c>
      <c r="P873" s="248">
        <f ca="1">ROUND(IF(OR(AND($C871=LataProjekcji,$E871&gt;0),AND($C871=LataProjekcji,$E871=0,$D872&lt;=10)),$E872,IF($C871&lt;LataProjekcji,IF((SUM($K873:O873)+$C873)&lt;$C872,$C873,$C872-SUM($K873:O873)),0)),0)</f>
        <v>0</v>
      </c>
      <c r="Q873" s="248">
        <f ca="1">ROUND(IF(OR(AND($C871=LataProjekcji,$E871&gt;0),AND($C871=LataProjekcji,$E871=0,$D872&lt;=10)),$E872,IF($C871&lt;LataProjekcji,IF((SUM($K873:P873)+$C873)&lt;$C872,$C873,$C872-SUM($K873:P873)),0)),0)</f>
        <v>0</v>
      </c>
      <c r="R873" s="248">
        <f ca="1">ROUND(IF(OR(AND($C871=LataProjekcji,$E871&gt;0),AND($C871=LataProjekcji,$E871=0,$D872&lt;=10)),$E872,IF($C871&lt;LataProjekcji,IF((SUM($K873:Q873)+$C873)&lt;$C872,$C873,$C872-SUM($K873:Q873)),0)),0)</f>
        <v>0</v>
      </c>
      <c r="S873" s="248">
        <f ca="1">ROUND(IF(OR(AND($C871=LataProjekcji,$E871&gt;0),AND($C871=LataProjekcji,$E871=0,$D872&lt;=10)),$E872,IF($C871&lt;LataProjekcji,IF((SUM($K873:R873)+$C873)&lt;$C872,$C873,$C872-SUM($K873:R873)),0)),0)</f>
        <v>0</v>
      </c>
      <c r="T873" s="248">
        <f ca="1">ROUND(IF(OR(AND($C871=LataProjekcji,$E871&gt;0),AND($C871=LataProjekcji,$E871=0,$D872&lt;=10)),$E872,IF($C871&lt;LataProjekcji,IF((SUM($K873:S873)+$C873)&lt;$C872,$C873,$C872-SUM($K873:S873)),0)),0)</f>
        <v>0</v>
      </c>
      <c r="U873" s="248">
        <f ca="1">ROUND(IF(OR(AND($C871=LataProjekcji,$E871&gt;0),AND($C871=LataProjekcji,$E871=0,$D872&lt;=10)),$E872,IF($C871&lt;LataProjekcji,IF((SUM($K873:T873)+$C873)&lt;$C872,$C873,$C872-SUM($K873:T873)),0)),0)</f>
        <v>0</v>
      </c>
      <c r="V873" s="248">
        <f ca="1">ROUND(IF(OR(AND($C871=LataProjekcji,$E871&gt;0),AND($C871=LataProjekcji,$E871=0,$D872&lt;=10)),$E872,IF($C871&lt;LataProjekcji,IF((SUM($K873:U873)+$C873)&lt;$C872,$C873,$C872-SUM($K873:U873)),0)),0)</f>
        <v>0</v>
      </c>
      <c r="W873" s="248">
        <f ca="1">ROUND(IF(OR(AND($C871=LataProjekcji,$E871&gt;0),AND($C871=LataProjekcji,$E871=0,$D872&lt;=10)),$E872,IF($C871&lt;LataProjekcji,IF((SUM($K873:V873)+$C873)&lt;$C872,$C873,$C872-SUM($K873:V873)),0)),0)</f>
        <v>0</v>
      </c>
      <c r="X873" s="248">
        <f ca="1">ROUND(IF(OR(AND($C871=LataProjekcji,$E871&gt;0),AND($C871=LataProjekcji,$E871=0,$D872&lt;=10)),$E872,IF($C871&lt;LataProjekcji,IF((SUM($K873:W873)+$C873)&lt;$C872,$C873,$C872-SUM($K873:W873)),0)),0)</f>
        <v>0</v>
      </c>
    </row>
    <row r="874" spans="1:24" hidden="1">
      <c r="A874" s="259"/>
      <c r="B874" s="21" t="s">
        <v>416</v>
      </c>
      <c r="C874" s="22"/>
      <c r="D874" s="21"/>
      <c r="E874" s="21"/>
      <c r="F874" s="21"/>
      <c r="G874" s="21"/>
      <c r="I874" s="21"/>
      <c r="J874" s="21"/>
      <c r="K874" s="22">
        <f ca="1">ROUND(K873,0)</f>
        <v>0</v>
      </c>
      <c r="L874" s="22">
        <f t="shared" ref="L874:X874" ca="1" si="424">ROUND(K874+L873,0)</f>
        <v>0</v>
      </c>
      <c r="M874" s="22">
        <f t="shared" ca="1" si="424"/>
        <v>0</v>
      </c>
      <c r="N874" s="22">
        <f t="shared" ca="1" si="424"/>
        <v>0</v>
      </c>
      <c r="O874" s="22">
        <f t="shared" ca="1" si="424"/>
        <v>0</v>
      </c>
      <c r="P874" s="22">
        <f t="shared" ca="1" si="424"/>
        <v>0</v>
      </c>
      <c r="Q874" s="22">
        <f t="shared" ca="1" si="424"/>
        <v>0</v>
      </c>
      <c r="R874" s="22">
        <f t="shared" ca="1" si="424"/>
        <v>0</v>
      </c>
      <c r="S874" s="22">
        <f t="shared" ca="1" si="424"/>
        <v>0</v>
      </c>
      <c r="T874" s="22">
        <f t="shared" ca="1" si="424"/>
        <v>0</v>
      </c>
      <c r="U874" s="22">
        <f t="shared" ca="1" si="424"/>
        <v>0</v>
      </c>
      <c r="V874" s="22">
        <f t="shared" ca="1" si="424"/>
        <v>0</v>
      </c>
      <c r="W874" s="22">
        <f t="shared" ca="1" si="424"/>
        <v>0</v>
      </c>
      <c r="X874" s="22">
        <f t="shared" ca="1" si="424"/>
        <v>0</v>
      </c>
    </row>
    <row r="875" spans="1:24" hidden="1">
      <c r="A875" s="259"/>
      <c r="B875" s="21" t="s">
        <v>406</v>
      </c>
      <c r="C875" s="22"/>
      <c r="D875" s="21"/>
      <c r="E875" s="21"/>
      <c r="F875" s="21"/>
      <c r="G875" s="21"/>
      <c r="I875" s="21"/>
      <c r="J875" s="21"/>
      <c r="K875" s="77">
        <f t="shared" ref="K875:X875" ca="1" si="425">IF($C871=LataProjekcji,ROUND($C872-K874,0),ROUND(IF(K873=0,0,$C872-K874),0))</f>
        <v>0</v>
      </c>
      <c r="L875" s="77">
        <f t="shared" ca="1" si="425"/>
        <v>0</v>
      </c>
      <c r="M875" s="77">
        <f t="shared" ca="1" si="425"/>
        <v>0</v>
      </c>
      <c r="N875" s="77">
        <f t="shared" ca="1" si="425"/>
        <v>0</v>
      </c>
      <c r="O875" s="77">
        <f t="shared" ca="1" si="425"/>
        <v>0</v>
      </c>
      <c r="P875" s="77">
        <f t="shared" ca="1" si="425"/>
        <v>0</v>
      </c>
      <c r="Q875" s="77">
        <f t="shared" ca="1" si="425"/>
        <v>0</v>
      </c>
      <c r="R875" s="77">
        <f t="shared" ca="1" si="425"/>
        <v>0</v>
      </c>
      <c r="S875" s="77">
        <f t="shared" ca="1" si="425"/>
        <v>0</v>
      </c>
      <c r="T875" s="77">
        <f t="shared" ca="1" si="425"/>
        <v>0</v>
      </c>
      <c r="U875" s="77">
        <f t="shared" ca="1" si="425"/>
        <v>0</v>
      </c>
      <c r="V875" s="77">
        <f t="shared" ca="1" si="425"/>
        <v>0</v>
      </c>
      <c r="W875" s="77">
        <f t="shared" ca="1" si="425"/>
        <v>0</v>
      </c>
      <c r="X875" s="77">
        <f t="shared" ca="1" si="425"/>
        <v>0</v>
      </c>
    </row>
    <row r="876" spans="1:24" hidden="1">
      <c r="A876" s="259"/>
      <c r="B876" s="21"/>
      <c r="C876" s="22"/>
      <c r="D876" s="21"/>
      <c r="E876" s="21"/>
      <c r="F876" s="21"/>
      <c r="G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 spans="1:24" hidden="1">
      <c r="A877" s="259"/>
      <c r="B877" s="20" t="s">
        <v>391</v>
      </c>
      <c r="C877" s="21">
        <f>C870+1</f>
        <v>111</v>
      </c>
      <c r="D877" s="483">
        <f>D870+1</f>
        <v>245</v>
      </c>
      <c r="E877" s="21"/>
      <c r="F877" s="21"/>
      <c r="G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259"/>
      <c r="B878" s="21" t="s">
        <v>414</v>
      </c>
      <c r="C878" s="165">
        <f ca="1">IFERROR(YEAR(OFFSET($D$28,C877,0)),0)</f>
        <v>0</v>
      </c>
      <c r="D878" s="165">
        <f ca="1">IFERROR(MONTH(OFFSET($D$28,C877,0)),0)</f>
        <v>0</v>
      </c>
      <c r="E878" s="21">
        <f ca="1">12-$D878</f>
        <v>12</v>
      </c>
      <c r="F878" s="21"/>
      <c r="G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259"/>
      <c r="B879" s="21" t="s">
        <v>406</v>
      </c>
      <c r="C879" s="245">
        <f ca="1">IF(OFFSET($F$28,C877,0)&lt;0,0,OFFSET($F$28,C877,0))</f>
        <v>0</v>
      </c>
      <c r="D879" s="22" t="str">
        <f ca="1">OFFSET($C$28,C877,0)</f>
        <v/>
      </c>
      <c r="E879" s="22">
        <f ca="1">IF(D879&gt;10,ROUND(($C880/12)*$E878,0),$C879)</f>
        <v>0</v>
      </c>
      <c r="F879" s="21"/>
      <c r="G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259"/>
      <c r="B880" s="21" t="s">
        <v>415</v>
      </c>
      <c r="C880" s="245">
        <f ca="1">IF(ISBLANK(OFFSET($D$28,C877,0)),0,IF(OFFSET($C$28,C877,0)&gt;10,ROUND(C879*am_wnip,0),IF(C879&lt;0,0,C879)))</f>
        <v>0</v>
      </c>
      <c r="D880" s="21"/>
      <c r="E880" s="21"/>
      <c r="F880" s="21"/>
      <c r="G880" s="21"/>
      <c r="I880" s="21"/>
      <c r="J880" s="483" cm="1">
        <f t="array" aca="1" ref="J880" ca="1">OFFSET('Środki trwałe'!$C$195,'Rozliczenie dotacji'!D877,,)</f>
        <v>0</v>
      </c>
      <c r="K880" s="75">
        <f ca="1">ROUND(IF($C878=LataProjekcji,$E879,IF($C878=LataProjekcji,$C880,0)),0)</f>
        <v>0</v>
      </c>
      <c r="L880" s="248">
        <f ca="1">ROUND(IF(OR(AND($C878=LataProjekcji,$E878&gt;0),AND($C878=LataProjekcji,$E878=0,$D879&lt;=10)),$E879,IF($C878&lt;LataProjekcji,IF((SUM($K880:K880)+$C880)&lt;$C879,$C880,$C879-SUM($K880:K880)),0)),0)</f>
        <v>0</v>
      </c>
      <c r="M880" s="248">
        <f ca="1">ROUND(IF(OR(AND($C878=LataProjekcji,$E878&gt;0),AND($C878=LataProjekcji,$E878=0,$D879&lt;=10)),$E879,IF($C878&lt;LataProjekcji,IF((SUM($K880:L880)+$C880)&lt;$C879,$C880,$C879-SUM($K880:L880)),0)),0)</f>
        <v>0</v>
      </c>
      <c r="N880" s="248">
        <f ca="1">ROUND(IF(OR(AND($C878=LataProjekcji,$E878&gt;0),AND($C878=LataProjekcji,$E878=0,$D879&lt;=10)),$E879,IF($C878&lt;LataProjekcji,IF((SUM($K880:M880)+$C880)&lt;$C879,$C880,$C879-SUM($K880:M880)),0)),0)</f>
        <v>0</v>
      </c>
      <c r="O880" s="248">
        <f ca="1">ROUND(IF(OR(AND($C878=LataProjekcji,$E878&gt;0),AND($C878=LataProjekcji,$E878=0,$D879&lt;=10)),$E879,IF($C878&lt;LataProjekcji,IF((SUM($K880:N880)+$C880)&lt;$C879,$C880,$C879-SUM($K880:N880)),0)),0)</f>
        <v>0</v>
      </c>
      <c r="P880" s="248">
        <f ca="1">ROUND(IF(OR(AND($C878=LataProjekcji,$E878&gt;0),AND($C878=LataProjekcji,$E878=0,$D879&lt;=10)),$E879,IF($C878&lt;LataProjekcji,IF((SUM($K880:O880)+$C880)&lt;$C879,$C880,$C879-SUM($K880:O880)),0)),0)</f>
        <v>0</v>
      </c>
      <c r="Q880" s="248">
        <f ca="1">ROUND(IF(OR(AND($C878=LataProjekcji,$E878&gt;0),AND($C878=LataProjekcji,$E878=0,$D879&lt;=10)),$E879,IF($C878&lt;LataProjekcji,IF((SUM($K880:P880)+$C880)&lt;$C879,$C880,$C879-SUM($K880:P880)),0)),0)</f>
        <v>0</v>
      </c>
      <c r="R880" s="248">
        <f ca="1">ROUND(IF(OR(AND($C878=LataProjekcji,$E878&gt;0),AND($C878=LataProjekcji,$E878=0,$D879&lt;=10)),$E879,IF($C878&lt;LataProjekcji,IF((SUM($K880:Q880)+$C880)&lt;$C879,$C880,$C879-SUM($K880:Q880)),0)),0)</f>
        <v>0</v>
      </c>
      <c r="S880" s="248">
        <f ca="1">ROUND(IF(OR(AND($C878=LataProjekcji,$E878&gt;0),AND($C878=LataProjekcji,$E878=0,$D879&lt;=10)),$E879,IF($C878&lt;LataProjekcji,IF((SUM($K880:R880)+$C880)&lt;$C879,$C880,$C879-SUM($K880:R880)),0)),0)</f>
        <v>0</v>
      </c>
      <c r="T880" s="248">
        <f ca="1">ROUND(IF(OR(AND($C878=LataProjekcji,$E878&gt;0),AND($C878=LataProjekcji,$E878=0,$D879&lt;=10)),$E879,IF($C878&lt;LataProjekcji,IF((SUM($K880:S880)+$C880)&lt;$C879,$C880,$C879-SUM($K880:S880)),0)),0)</f>
        <v>0</v>
      </c>
      <c r="U880" s="248">
        <f ca="1">ROUND(IF(OR(AND($C878=LataProjekcji,$E878&gt;0),AND($C878=LataProjekcji,$E878=0,$D879&lt;=10)),$E879,IF($C878&lt;LataProjekcji,IF((SUM($K880:T880)+$C880)&lt;$C879,$C880,$C879-SUM($K880:T880)),0)),0)</f>
        <v>0</v>
      </c>
      <c r="V880" s="248">
        <f ca="1">ROUND(IF(OR(AND($C878=LataProjekcji,$E878&gt;0),AND($C878=LataProjekcji,$E878=0,$D879&lt;=10)),$E879,IF($C878&lt;LataProjekcji,IF((SUM($K880:U880)+$C880)&lt;$C879,$C880,$C879-SUM($K880:U880)),0)),0)</f>
        <v>0</v>
      </c>
      <c r="W880" s="248">
        <f ca="1">ROUND(IF(OR(AND($C878=LataProjekcji,$E878&gt;0),AND($C878=LataProjekcji,$E878=0,$D879&lt;=10)),$E879,IF($C878&lt;LataProjekcji,IF((SUM($K880:V880)+$C880)&lt;$C879,$C880,$C879-SUM($K880:V880)),0)),0)</f>
        <v>0</v>
      </c>
      <c r="X880" s="248">
        <f ca="1">ROUND(IF(OR(AND($C878=LataProjekcji,$E878&gt;0),AND($C878=LataProjekcji,$E878=0,$D879&lt;=10)),$E879,IF($C878&lt;LataProjekcji,IF((SUM($K880:W880)+$C880)&lt;$C879,$C880,$C879-SUM($K880:W880)),0)),0)</f>
        <v>0</v>
      </c>
    </row>
    <row r="881" spans="1:24" hidden="1">
      <c r="A881" s="259"/>
      <c r="B881" s="21" t="s">
        <v>416</v>
      </c>
      <c r="C881" s="22"/>
      <c r="D881" s="21"/>
      <c r="E881" s="21"/>
      <c r="F881" s="21"/>
      <c r="G881" s="21"/>
      <c r="I881" s="21"/>
      <c r="J881" s="21"/>
      <c r="K881" s="22">
        <f ca="1">ROUND(K880,0)</f>
        <v>0</v>
      </c>
      <c r="L881" s="22">
        <f t="shared" ref="L881:X881" ca="1" si="426">ROUND(K881+L880,0)</f>
        <v>0</v>
      </c>
      <c r="M881" s="22">
        <f t="shared" ca="1" si="426"/>
        <v>0</v>
      </c>
      <c r="N881" s="22">
        <f t="shared" ca="1" si="426"/>
        <v>0</v>
      </c>
      <c r="O881" s="22">
        <f t="shared" ca="1" si="426"/>
        <v>0</v>
      </c>
      <c r="P881" s="22">
        <f t="shared" ca="1" si="426"/>
        <v>0</v>
      </c>
      <c r="Q881" s="22">
        <f t="shared" ca="1" si="426"/>
        <v>0</v>
      </c>
      <c r="R881" s="22">
        <f t="shared" ca="1" si="426"/>
        <v>0</v>
      </c>
      <c r="S881" s="22">
        <f t="shared" ca="1" si="426"/>
        <v>0</v>
      </c>
      <c r="T881" s="22">
        <f t="shared" ca="1" si="426"/>
        <v>0</v>
      </c>
      <c r="U881" s="22">
        <f t="shared" ca="1" si="426"/>
        <v>0</v>
      </c>
      <c r="V881" s="22">
        <f t="shared" ca="1" si="426"/>
        <v>0</v>
      </c>
      <c r="W881" s="22">
        <f t="shared" ca="1" si="426"/>
        <v>0</v>
      </c>
      <c r="X881" s="22">
        <f t="shared" ca="1" si="426"/>
        <v>0</v>
      </c>
    </row>
    <row r="882" spans="1:24" hidden="1">
      <c r="A882" s="259"/>
      <c r="B882" s="21" t="s">
        <v>406</v>
      </c>
      <c r="C882" s="22"/>
      <c r="D882" s="21"/>
      <c r="E882" s="21"/>
      <c r="F882" s="21"/>
      <c r="G882" s="21"/>
      <c r="I882" s="21"/>
      <c r="J882" s="21"/>
      <c r="K882" s="77">
        <f t="shared" ref="K882:X882" ca="1" si="427">IF($C878=LataProjekcji,ROUND($C879-K881,0),ROUND(IF(K880=0,0,$C879-K881),0))</f>
        <v>0</v>
      </c>
      <c r="L882" s="77">
        <f t="shared" ca="1" si="427"/>
        <v>0</v>
      </c>
      <c r="M882" s="77">
        <f t="shared" ca="1" si="427"/>
        <v>0</v>
      </c>
      <c r="N882" s="77">
        <f t="shared" ca="1" si="427"/>
        <v>0</v>
      </c>
      <c r="O882" s="77">
        <f t="shared" ca="1" si="427"/>
        <v>0</v>
      </c>
      <c r="P882" s="77">
        <f t="shared" ca="1" si="427"/>
        <v>0</v>
      </c>
      <c r="Q882" s="77">
        <f t="shared" ca="1" si="427"/>
        <v>0</v>
      </c>
      <c r="R882" s="77">
        <f t="shared" ca="1" si="427"/>
        <v>0</v>
      </c>
      <c r="S882" s="77">
        <f t="shared" ca="1" si="427"/>
        <v>0</v>
      </c>
      <c r="T882" s="77">
        <f t="shared" ca="1" si="427"/>
        <v>0</v>
      </c>
      <c r="U882" s="77">
        <f t="shared" ca="1" si="427"/>
        <v>0</v>
      </c>
      <c r="V882" s="77">
        <f t="shared" ca="1" si="427"/>
        <v>0</v>
      </c>
      <c r="W882" s="77">
        <f t="shared" ca="1" si="427"/>
        <v>0</v>
      </c>
      <c r="X882" s="77">
        <f t="shared" ca="1" si="427"/>
        <v>0</v>
      </c>
    </row>
    <row r="883" spans="1:24" hidden="1">
      <c r="A883" s="259"/>
      <c r="B883" s="20"/>
      <c r="C883" s="21"/>
      <c r="D883" s="21"/>
      <c r="E883" s="21"/>
      <c r="F883" s="21"/>
      <c r="G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259"/>
      <c r="B884" s="20" t="s">
        <v>391</v>
      </c>
      <c r="C884" s="21">
        <f>C877+1</f>
        <v>112</v>
      </c>
      <c r="D884" s="483">
        <f>D877+1</f>
        <v>246</v>
      </c>
      <c r="E884" s="21"/>
      <c r="F884" s="21"/>
      <c r="G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259"/>
      <c r="B885" s="21" t="s">
        <v>414</v>
      </c>
      <c r="C885" s="165">
        <f ca="1">IFERROR(YEAR(OFFSET($D$28,C884,0)),0)</f>
        <v>0</v>
      </c>
      <c r="D885" s="165">
        <f ca="1">IFERROR(MONTH(OFFSET($D$28,C884,0)),0)</f>
        <v>0</v>
      </c>
      <c r="E885" s="21">
        <f ca="1">12-$D885</f>
        <v>12</v>
      </c>
      <c r="F885" s="21"/>
      <c r="G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259"/>
      <c r="B886" s="21" t="s">
        <v>406</v>
      </c>
      <c r="C886" s="245">
        <f ca="1">IF(OFFSET($F$28,C884,0)&lt;0,0,OFFSET($F$28,C884,0))</f>
        <v>0</v>
      </c>
      <c r="D886" s="22" t="str">
        <f ca="1">OFFSET($C$28,C884,0)</f>
        <v/>
      </c>
      <c r="E886" s="22">
        <f ca="1">IF(D886&gt;10,ROUND(($C887/12)*$E885,0),$C886)</f>
        <v>0</v>
      </c>
      <c r="F886" s="21"/>
      <c r="G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</row>
    <row r="887" spans="1:24" hidden="1">
      <c r="A887" s="259"/>
      <c r="B887" s="21" t="s">
        <v>415</v>
      </c>
      <c r="C887" s="245">
        <f ca="1">IF(ISBLANK(OFFSET($D$28,C884,0)),0,IF(OFFSET($C$28,C884,0)&gt;10,ROUND(C886*am_wnip,0),IF(C886&lt;0,0,C886)))</f>
        <v>0</v>
      </c>
      <c r="D887" s="21"/>
      <c r="E887" s="21"/>
      <c r="F887" s="21"/>
      <c r="G887" s="21"/>
      <c r="I887" s="21"/>
      <c r="J887" s="483" cm="1">
        <f t="array" aca="1" ref="J887" ca="1">OFFSET('Środki trwałe'!$C$195,'Rozliczenie dotacji'!D884,,)</f>
        <v>0</v>
      </c>
      <c r="K887" s="75">
        <f ca="1">ROUND(IF($C885=LataProjekcji,$E886,IF($C885=LataProjekcji,$C887,0)),0)</f>
        <v>0</v>
      </c>
      <c r="L887" s="248">
        <f ca="1">ROUND(IF(OR(AND($C885=LataProjekcji,$E885&gt;0),AND($C885=LataProjekcji,$E885=0,$D886&lt;=10)),$E886,IF($C885&lt;LataProjekcji,IF((SUM($K887:K887)+$C887)&lt;$C886,$C887,$C886-SUM($K887:K887)),0)),0)</f>
        <v>0</v>
      </c>
      <c r="M887" s="248">
        <f ca="1">ROUND(IF(OR(AND($C885=LataProjekcji,$E885&gt;0),AND($C885=LataProjekcji,$E885=0,$D886&lt;=10)),$E886,IF($C885&lt;LataProjekcji,IF((SUM($K887:L887)+$C887)&lt;$C886,$C887,$C886-SUM($K887:L887)),0)),0)</f>
        <v>0</v>
      </c>
      <c r="N887" s="248">
        <f ca="1">ROUND(IF(OR(AND($C885=LataProjekcji,$E885&gt;0),AND($C885=LataProjekcji,$E885=0,$D886&lt;=10)),$E886,IF($C885&lt;LataProjekcji,IF((SUM($K887:M887)+$C887)&lt;$C886,$C887,$C886-SUM($K887:M887)),0)),0)</f>
        <v>0</v>
      </c>
      <c r="O887" s="248">
        <f ca="1">ROUND(IF(OR(AND($C885=LataProjekcji,$E885&gt;0),AND($C885=LataProjekcji,$E885=0,$D886&lt;=10)),$E886,IF($C885&lt;LataProjekcji,IF((SUM($K887:N887)+$C887)&lt;$C886,$C887,$C886-SUM($K887:N887)),0)),0)</f>
        <v>0</v>
      </c>
      <c r="P887" s="248">
        <f ca="1">ROUND(IF(OR(AND($C885=LataProjekcji,$E885&gt;0),AND($C885=LataProjekcji,$E885=0,$D886&lt;=10)),$E886,IF($C885&lt;LataProjekcji,IF((SUM($K887:O887)+$C887)&lt;$C886,$C887,$C886-SUM($K887:O887)),0)),0)</f>
        <v>0</v>
      </c>
      <c r="Q887" s="248">
        <f ca="1">ROUND(IF(OR(AND($C885=LataProjekcji,$E885&gt;0),AND($C885=LataProjekcji,$E885=0,$D886&lt;=10)),$E886,IF($C885&lt;LataProjekcji,IF((SUM($K887:P887)+$C887)&lt;$C886,$C887,$C886-SUM($K887:P887)),0)),0)</f>
        <v>0</v>
      </c>
      <c r="R887" s="248">
        <f ca="1">ROUND(IF(OR(AND($C885=LataProjekcji,$E885&gt;0),AND($C885=LataProjekcji,$E885=0,$D886&lt;=10)),$E886,IF($C885&lt;LataProjekcji,IF((SUM($K887:Q887)+$C887)&lt;$C886,$C887,$C886-SUM($K887:Q887)),0)),0)</f>
        <v>0</v>
      </c>
      <c r="S887" s="248">
        <f ca="1">ROUND(IF(OR(AND($C885=LataProjekcji,$E885&gt;0),AND($C885=LataProjekcji,$E885=0,$D886&lt;=10)),$E886,IF($C885&lt;LataProjekcji,IF((SUM($K887:R887)+$C887)&lt;$C886,$C887,$C886-SUM($K887:R887)),0)),0)</f>
        <v>0</v>
      </c>
      <c r="T887" s="248">
        <f ca="1">ROUND(IF(OR(AND($C885=LataProjekcji,$E885&gt;0),AND($C885=LataProjekcji,$E885=0,$D886&lt;=10)),$E886,IF($C885&lt;LataProjekcji,IF((SUM($K887:S887)+$C887)&lt;$C886,$C887,$C886-SUM($K887:S887)),0)),0)</f>
        <v>0</v>
      </c>
      <c r="U887" s="248">
        <f ca="1">ROUND(IF(OR(AND($C885=LataProjekcji,$E885&gt;0),AND($C885=LataProjekcji,$E885=0,$D886&lt;=10)),$E886,IF($C885&lt;LataProjekcji,IF((SUM($K887:T887)+$C887)&lt;$C886,$C887,$C886-SUM($K887:T887)),0)),0)</f>
        <v>0</v>
      </c>
      <c r="V887" s="248">
        <f ca="1">ROUND(IF(OR(AND($C885=LataProjekcji,$E885&gt;0),AND($C885=LataProjekcji,$E885=0,$D886&lt;=10)),$E886,IF($C885&lt;LataProjekcji,IF((SUM($K887:U887)+$C887)&lt;$C886,$C887,$C886-SUM($K887:U887)),0)),0)</f>
        <v>0</v>
      </c>
      <c r="W887" s="248">
        <f ca="1">ROUND(IF(OR(AND($C885=LataProjekcji,$E885&gt;0),AND($C885=LataProjekcji,$E885=0,$D886&lt;=10)),$E886,IF($C885&lt;LataProjekcji,IF((SUM($K887:V887)+$C887)&lt;$C886,$C887,$C886-SUM($K887:V887)),0)),0)</f>
        <v>0</v>
      </c>
      <c r="X887" s="248">
        <f ca="1">ROUND(IF(OR(AND($C885=LataProjekcji,$E885&gt;0),AND($C885=LataProjekcji,$E885=0,$D886&lt;=10)),$E886,IF($C885&lt;LataProjekcji,IF((SUM($K887:W887)+$C887)&lt;$C886,$C887,$C886-SUM($K887:W887)),0)),0)</f>
        <v>0</v>
      </c>
    </row>
    <row r="888" spans="1:24" hidden="1">
      <c r="A888" s="259"/>
      <c r="B888" s="21" t="s">
        <v>416</v>
      </c>
      <c r="C888" s="22"/>
      <c r="D888" s="21"/>
      <c r="E888" s="21"/>
      <c r="F888" s="21"/>
      <c r="G888" s="21"/>
      <c r="I888" s="21"/>
      <c r="J888" s="21"/>
      <c r="K888" s="22">
        <f ca="1">ROUND(K887,0)</f>
        <v>0</v>
      </c>
      <c r="L888" s="22">
        <f t="shared" ref="L888:X888" ca="1" si="428">ROUND(K888+L887,0)</f>
        <v>0</v>
      </c>
      <c r="M888" s="22">
        <f t="shared" ca="1" si="428"/>
        <v>0</v>
      </c>
      <c r="N888" s="22">
        <f t="shared" ca="1" si="428"/>
        <v>0</v>
      </c>
      <c r="O888" s="22">
        <f t="shared" ca="1" si="428"/>
        <v>0</v>
      </c>
      <c r="P888" s="22">
        <f t="shared" ca="1" si="428"/>
        <v>0</v>
      </c>
      <c r="Q888" s="22">
        <f t="shared" ca="1" si="428"/>
        <v>0</v>
      </c>
      <c r="R888" s="22">
        <f t="shared" ca="1" si="428"/>
        <v>0</v>
      </c>
      <c r="S888" s="22">
        <f t="shared" ca="1" si="428"/>
        <v>0</v>
      </c>
      <c r="T888" s="22">
        <f t="shared" ca="1" si="428"/>
        <v>0</v>
      </c>
      <c r="U888" s="22">
        <f t="shared" ca="1" si="428"/>
        <v>0</v>
      </c>
      <c r="V888" s="22">
        <f t="shared" ca="1" si="428"/>
        <v>0</v>
      </c>
      <c r="W888" s="22">
        <f t="shared" ca="1" si="428"/>
        <v>0</v>
      </c>
      <c r="X888" s="22">
        <f t="shared" ca="1" si="428"/>
        <v>0</v>
      </c>
    </row>
    <row r="889" spans="1:24" hidden="1">
      <c r="A889" s="259"/>
      <c r="B889" s="21" t="s">
        <v>406</v>
      </c>
      <c r="C889" s="22"/>
      <c r="D889" s="21"/>
      <c r="E889" s="21"/>
      <c r="F889" s="21"/>
      <c r="G889" s="21"/>
      <c r="I889" s="21"/>
      <c r="J889" s="21"/>
      <c r="K889" s="77">
        <f t="shared" ref="K889:X889" ca="1" si="429">IF($C885=LataProjekcji,ROUND($C886-K888,0),ROUND(IF(K887=0,0,$C886-K888),0))</f>
        <v>0</v>
      </c>
      <c r="L889" s="77">
        <f t="shared" ca="1" si="429"/>
        <v>0</v>
      </c>
      <c r="M889" s="77">
        <f t="shared" ca="1" si="429"/>
        <v>0</v>
      </c>
      <c r="N889" s="77">
        <f t="shared" ca="1" si="429"/>
        <v>0</v>
      </c>
      <c r="O889" s="77">
        <f t="shared" ca="1" si="429"/>
        <v>0</v>
      </c>
      <c r="P889" s="77">
        <f t="shared" ca="1" si="429"/>
        <v>0</v>
      </c>
      <c r="Q889" s="77">
        <f t="shared" ca="1" si="429"/>
        <v>0</v>
      </c>
      <c r="R889" s="77">
        <f t="shared" ca="1" si="429"/>
        <v>0</v>
      </c>
      <c r="S889" s="77">
        <f t="shared" ca="1" si="429"/>
        <v>0</v>
      </c>
      <c r="T889" s="77">
        <f t="shared" ca="1" si="429"/>
        <v>0</v>
      </c>
      <c r="U889" s="77">
        <f t="shared" ca="1" si="429"/>
        <v>0</v>
      </c>
      <c r="V889" s="77">
        <f t="shared" ca="1" si="429"/>
        <v>0</v>
      </c>
      <c r="W889" s="77">
        <f t="shared" ca="1" si="429"/>
        <v>0</v>
      </c>
      <c r="X889" s="77">
        <f t="shared" ca="1" si="429"/>
        <v>0</v>
      </c>
    </row>
    <row r="890" spans="1:24" hidden="1">
      <c r="A890" s="259"/>
      <c r="B890" s="21"/>
      <c r="C890" s="22"/>
      <c r="D890" s="21"/>
      <c r="E890" s="21"/>
      <c r="F890" s="21"/>
      <c r="G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259"/>
      <c r="B891" s="20" t="s">
        <v>391</v>
      </c>
      <c r="C891" s="21">
        <f>C884+1</f>
        <v>113</v>
      </c>
      <c r="D891" s="483">
        <f>D884+1</f>
        <v>247</v>
      </c>
      <c r="E891" s="21"/>
      <c r="F891" s="21"/>
      <c r="G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259"/>
      <c r="B892" s="21" t="s">
        <v>414</v>
      </c>
      <c r="C892" s="165">
        <f ca="1">IFERROR(YEAR(OFFSET($D$28,C891,0)),0)</f>
        <v>0</v>
      </c>
      <c r="D892" s="165">
        <f ca="1">IFERROR(MONTH(OFFSET($D$28,C891,0)),0)</f>
        <v>0</v>
      </c>
      <c r="E892" s="21">
        <f ca="1">12-$D892</f>
        <v>12</v>
      </c>
      <c r="F892" s="21"/>
      <c r="G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 spans="1:24" hidden="1">
      <c r="A893" s="259"/>
      <c r="B893" s="21" t="s">
        <v>406</v>
      </c>
      <c r="C893" s="245">
        <f ca="1">IF(OFFSET($F$28,C891,0)&lt;0,0,OFFSET($F$28,C891,0))</f>
        <v>0</v>
      </c>
      <c r="D893" s="22" t="str">
        <f ca="1">OFFSET($C$28,C891,0)</f>
        <v/>
      </c>
      <c r="E893" s="22">
        <f ca="1">IF(D893&gt;10,ROUND(($C894/12)*$E892,0),$C893)</f>
        <v>0</v>
      </c>
      <c r="F893" s="21"/>
      <c r="G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</row>
    <row r="894" spans="1:24" hidden="1">
      <c r="A894" s="259"/>
      <c r="B894" s="21" t="s">
        <v>415</v>
      </c>
      <c r="C894" s="245">
        <f ca="1">IF(ISBLANK(OFFSET($D$28,C891,0)),0,IF(OFFSET($C$28,C891,0)&gt;10,ROUND(C893*am_wnip,0),IF(C893&lt;0,0,C893)))</f>
        <v>0</v>
      </c>
      <c r="D894" s="21"/>
      <c r="E894" s="21"/>
      <c r="F894" s="21"/>
      <c r="G894" s="21"/>
      <c r="I894" s="21"/>
      <c r="J894" s="483" cm="1">
        <f t="array" aca="1" ref="J894" ca="1">OFFSET('Środki trwałe'!$C$195,'Rozliczenie dotacji'!D891,,)</f>
        <v>0</v>
      </c>
      <c r="K894" s="75">
        <f ca="1">ROUND(IF($C892=LataProjekcji,$E893,IF($C892=LataProjekcji,$C894,0)),0)</f>
        <v>0</v>
      </c>
      <c r="L894" s="248">
        <f ca="1">ROUND(IF(OR(AND($C892=LataProjekcji,$E892&gt;0),AND($C892=LataProjekcji,$E892=0,$D893&lt;=10)),$E893,IF($C892&lt;LataProjekcji,IF((SUM($K894:K894)+$C894)&lt;$C893,$C894,$C893-SUM($K894:K894)),0)),0)</f>
        <v>0</v>
      </c>
      <c r="M894" s="248">
        <f ca="1">ROUND(IF(OR(AND($C892=LataProjekcji,$E892&gt;0),AND($C892=LataProjekcji,$E892=0,$D893&lt;=10)),$E893,IF($C892&lt;LataProjekcji,IF((SUM($K894:L894)+$C894)&lt;$C893,$C894,$C893-SUM($K894:L894)),0)),0)</f>
        <v>0</v>
      </c>
      <c r="N894" s="248">
        <f ca="1">ROUND(IF(OR(AND($C892=LataProjekcji,$E892&gt;0),AND($C892=LataProjekcji,$E892=0,$D893&lt;=10)),$E893,IF($C892&lt;LataProjekcji,IF((SUM($K894:M894)+$C894)&lt;$C893,$C894,$C893-SUM($K894:M894)),0)),0)</f>
        <v>0</v>
      </c>
      <c r="O894" s="248">
        <f ca="1">ROUND(IF(OR(AND($C892=LataProjekcji,$E892&gt;0),AND($C892=LataProjekcji,$E892=0,$D893&lt;=10)),$E893,IF($C892&lt;LataProjekcji,IF((SUM($K894:N894)+$C894)&lt;$C893,$C894,$C893-SUM($K894:N894)),0)),0)</f>
        <v>0</v>
      </c>
      <c r="P894" s="248">
        <f ca="1">ROUND(IF(OR(AND($C892=LataProjekcji,$E892&gt;0),AND($C892=LataProjekcji,$E892=0,$D893&lt;=10)),$E893,IF($C892&lt;LataProjekcji,IF((SUM($K894:O894)+$C894)&lt;$C893,$C894,$C893-SUM($K894:O894)),0)),0)</f>
        <v>0</v>
      </c>
      <c r="Q894" s="248">
        <f ca="1">ROUND(IF(OR(AND($C892=LataProjekcji,$E892&gt;0),AND($C892=LataProjekcji,$E892=0,$D893&lt;=10)),$E893,IF($C892&lt;LataProjekcji,IF((SUM($K894:P894)+$C894)&lt;$C893,$C894,$C893-SUM($K894:P894)),0)),0)</f>
        <v>0</v>
      </c>
      <c r="R894" s="248">
        <f ca="1">ROUND(IF(OR(AND($C892=LataProjekcji,$E892&gt;0),AND($C892=LataProjekcji,$E892=0,$D893&lt;=10)),$E893,IF($C892&lt;LataProjekcji,IF((SUM($K894:Q894)+$C894)&lt;$C893,$C894,$C893-SUM($K894:Q894)),0)),0)</f>
        <v>0</v>
      </c>
      <c r="S894" s="248">
        <f ca="1">ROUND(IF(OR(AND($C892=LataProjekcji,$E892&gt;0),AND($C892=LataProjekcji,$E892=0,$D893&lt;=10)),$E893,IF($C892&lt;LataProjekcji,IF((SUM($K894:R894)+$C894)&lt;$C893,$C894,$C893-SUM($K894:R894)),0)),0)</f>
        <v>0</v>
      </c>
      <c r="T894" s="248">
        <f ca="1">ROUND(IF(OR(AND($C892=LataProjekcji,$E892&gt;0),AND($C892=LataProjekcji,$E892=0,$D893&lt;=10)),$E893,IF($C892&lt;LataProjekcji,IF((SUM($K894:S894)+$C894)&lt;$C893,$C894,$C893-SUM($K894:S894)),0)),0)</f>
        <v>0</v>
      </c>
      <c r="U894" s="248">
        <f ca="1">ROUND(IF(OR(AND($C892=LataProjekcji,$E892&gt;0),AND($C892=LataProjekcji,$E892=0,$D893&lt;=10)),$E893,IF($C892&lt;LataProjekcji,IF((SUM($K894:T894)+$C894)&lt;$C893,$C894,$C893-SUM($K894:T894)),0)),0)</f>
        <v>0</v>
      </c>
      <c r="V894" s="248">
        <f ca="1">ROUND(IF(OR(AND($C892=LataProjekcji,$E892&gt;0),AND($C892=LataProjekcji,$E892=0,$D893&lt;=10)),$E893,IF($C892&lt;LataProjekcji,IF((SUM($K894:U894)+$C894)&lt;$C893,$C894,$C893-SUM($K894:U894)),0)),0)</f>
        <v>0</v>
      </c>
      <c r="W894" s="248">
        <f ca="1">ROUND(IF(OR(AND($C892=LataProjekcji,$E892&gt;0),AND($C892=LataProjekcji,$E892=0,$D893&lt;=10)),$E893,IF($C892&lt;LataProjekcji,IF((SUM($K894:V894)+$C894)&lt;$C893,$C894,$C893-SUM($K894:V894)),0)),0)</f>
        <v>0</v>
      </c>
      <c r="X894" s="248">
        <f ca="1">ROUND(IF(OR(AND($C892=LataProjekcji,$E892&gt;0),AND($C892=LataProjekcji,$E892=0,$D893&lt;=10)),$E893,IF($C892&lt;LataProjekcji,IF((SUM($K894:W894)+$C894)&lt;$C893,$C894,$C893-SUM($K894:W894)),0)),0)</f>
        <v>0</v>
      </c>
    </row>
    <row r="895" spans="1:24" hidden="1">
      <c r="A895" s="259"/>
      <c r="B895" s="21" t="s">
        <v>416</v>
      </c>
      <c r="C895" s="22"/>
      <c r="D895" s="21"/>
      <c r="E895" s="21"/>
      <c r="F895" s="21"/>
      <c r="G895" s="21"/>
      <c r="I895" s="21"/>
      <c r="J895" s="21"/>
      <c r="K895" s="22">
        <f ca="1">ROUND(K894,0)</f>
        <v>0</v>
      </c>
      <c r="L895" s="22">
        <f t="shared" ref="L895:X895" ca="1" si="430">ROUND(K895+L894,0)</f>
        <v>0</v>
      </c>
      <c r="M895" s="22">
        <f t="shared" ca="1" si="430"/>
        <v>0</v>
      </c>
      <c r="N895" s="22">
        <f t="shared" ca="1" si="430"/>
        <v>0</v>
      </c>
      <c r="O895" s="22">
        <f t="shared" ca="1" si="430"/>
        <v>0</v>
      </c>
      <c r="P895" s="22">
        <f t="shared" ca="1" si="430"/>
        <v>0</v>
      </c>
      <c r="Q895" s="22">
        <f t="shared" ca="1" si="430"/>
        <v>0</v>
      </c>
      <c r="R895" s="22">
        <f t="shared" ca="1" si="430"/>
        <v>0</v>
      </c>
      <c r="S895" s="22">
        <f t="shared" ca="1" si="430"/>
        <v>0</v>
      </c>
      <c r="T895" s="22">
        <f t="shared" ca="1" si="430"/>
        <v>0</v>
      </c>
      <c r="U895" s="22">
        <f t="shared" ca="1" si="430"/>
        <v>0</v>
      </c>
      <c r="V895" s="22">
        <f t="shared" ca="1" si="430"/>
        <v>0</v>
      </c>
      <c r="W895" s="22">
        <f t="shared" ca="1" si="430"/>
        <v>0</v>
      </c>
      <c r="X895" s="22">
        <f t="shared" ca="1" si="430"/>
        <v>0</v>
      </c>
    </row>
    <row r="896" spans="1:24" hidden="1">
      <c r="A896" s="259"/>
      <c r="B896" s="21" t="s">
        <v>406</v>
      </c>
      <c r="C896" s="22"/>
      <c r="D896" s="21"/>
      <c r="E896" s="21"/>
      <c r="F896" s="21"/>
      <c r="G896" s="21"/>
      <c r="I896" s="21"/>
      <c r="J896" s="21"/>
      <c r="K896" s="77">
        <f t="shared" ref="K896:X896" ca="1" si="431">IF($C892=LataProjekcji,ROUND($C893-K895,0),ROUND(IF(K894=0,0,$C893-K895),0))</f>
        <v>0</v>
      </c>
      <c r="L896" s="77">
        <f t="shared" ca="1" si="431"/>
        <v>0</v>
      </c>
      <c r="M896" s="77">
        <f t="shared" ca="1" si="431"/>
        <v>0</v>
      </c>
      <c r="N896" s="77">
        <f t="shared" ca="1" si="431"/>
        <v>0</v>
      </c>
      <c r="O896" s="77">
        <f t="shared" ca="1" si="431"/>
        <v>0</v>
      </c>
      <c r="P896" s="77">
        <f t="shared" ca="1" si="431"/>
        <v>0</v>
      </c>
      <c r="Q896" s="77">
        <f t="shared" ca="1" si="431"/>
        <v>0</v>
      </c>
      <c r="R896" s="77">
        <f t="shared" ca="1" si="431"/>
        <v>0</v>
      </c>
      <c r="S896" s="77">
        <f t="shared" ca="1" si="431"/>
        <v>0</v>
      </c>
      <c r="T896" s="77">
        <f t="shared" ca="1" si="431"/>
        <v>0</v>
      </c>
      <c r="U896" s="77">
        <f t="shared" ca="1" si="431"/>
        <v>0</v>
      </c>
      <c r="V896" s="77">
        <f t="shared" ca="1" si="431"/>
        <v>0</v>
      </c>
      <c r="W896" s="77">
        <f t="shared" ca="1" si="431"/>
        <v>0</v>
      </c>
      <c r="X896" s="77">
        <f t="shared" ca="1" si="431"/>
        <v>0</v>
      </c>
    </row>
    <row r="897" spans="1:24" hidden="1">
      <c r="A897" s="259"/>
      <c r="B897" s="21"/>
      <c r="C897" s="22"/>
      <c r="D897" s="21"/>
      <c r="E897" s="21"/>
      <c r="F897" s="21"/>
      <c r="G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259"/>
      <c r="B898" s="20" t="s">
        <v>391</v>
      </c>
      <c r="C898" s="21">
        <f>C891+1</f>
        <v>114</v>
      </c>
      <c r="D898" s="483">
        <f>D891+1</f>
        <v>248</v>
      </c>
      <c r="E898" s="21"/>
      <c r="F898" s="21"/>
      <c r="G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 spans="1:24" hidden="1">
      <c r="A899" s="259"/>
      <c r="B899" s="21" t="s">
        <v>414</v>
      </c>
      <c r="C899" s="165">
        <f ca="1">IFERROR(YEAR(OFFSET($D$28,C898,0)),0)</f>
        <v>0</v>
      </c>
      <c r="D899" s="165">
        <f ca="1">IFERROR(MONTH(OFFSET($D$28,C898,0)),0)</f>
        <v>0</v>
      </c>
      <c r="E899" s="21">
        <f ca="1">12-$D899</f>
        <v>12</v>
      </c>
      <c r="F899" s="21"/>
      <c r="G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 spans="1:24" hidden="1">
      <c r="A900" s="259"/>
      <c r="B900" s="21" t="s">
        <v>406</v>
      </c>
      <c r="C900" s="245">
        <f ca="1">IF(OFFSET($F$28,C898,0)&lt;0,0,OFFSET($F$28,C898,0))</f>
        <v>0</v>
      </c>
      <c r="D900" s="22" t="str">
        <f ca="1">OFFSET($C$28,C898,0)</f>
        <v/>
      </c>
      <c r="E900" s="22">
        <f ca="1">IF(D900&gt;10,ROUND(($C901/12)*$E899,0),$C900)</f>
        <v>0</v>
      </c>
      <c r="F900" s="21"/>
      <c r="G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</row>
    <row r="901" spans="1:24" hidden="1">
      <c r="A901" s="259"/>
      <c r="B901" s="21" t="s">
        <v>415</v>
      </c>
      <c r="C901" s="245">
        <f ca="1">IF(ISBLANK(OFFSET($D$28,C898,0)),0,IF(OFFSET($C$28,C898,0)&gt;10,ROUND(C900*am_wnip,0),IF(C900&lt;0,0,C900)))</f>
        <v>0</v>
      </c>
      <c r="D901" s="21"/>
      <c r="E901" s="21"/>
      <c r="F901" s="21"/>
      <c r="G901" s="21"/>
      <c r="I901" s="21"/>
      <c r="J901" s="483" cm="1">
        <f t="array" aca="1" ref="J901" ca="1">OFFSET('Środki trwałe'!$C$195,'Rozliczenie dotacji'!D898,,)</f>
        <v>0</v>
      </c>
      <c r="K901" s="75">
        <f ca="1">ROUND(IF($C899=LataProjekcji,$E900,IF($C899=LataProjekcji,$C901,0)),0)</f>
        <v>0</v>
      </c>
      <c r="L901" s="248">
        <f ca="1">ROUND(IF(OR(AND($C899=LataProjekcji,$E899&gt;0),AND($C899=LataProjekcji,$E899=0,$D900&lt;=10)),$E900,IF($C899&lt;LataProjekcji,IF((SUM($K901:K901)+$C901)&lt;$C900,$C901,$C900-SUM($K901:K901)),0)),0)</f>
        <v>0</v>
      </c>
      <c r="M901" s="248">
        <f ca="1">ROUND(IF(OR(AND($C899=LataProjekcji,$E899&gt;0),AND($C899=LataProjekcji,$E899=0,$D900&lt;=10)),$E900,IF($C899&lt;LataProjekcji,IF((SUM($K901:L901)+$C901)&lt;$C900,$C901,$C900-SUM($K901:L901)),0)),0)</f>
        <v>0</v>
      </c>
      <c r="N901" s="248">
        <f ca="1">ROUND(IF(OR(AND($C899=LataProjekcji,$E899&gt;0),AND($C899=LataProjekcji,$E899=0,$D900&lt;=10)),$E900,IF($C899&lt;LataProjekcji,IF((SUM($K901:M901)+$C901)&lt;$C900,$C901,$C900-SUM($K901:M901)),0)),0)</f>
        <v>0</v>
      </c>
      <c r="O901" s="248">
        <f ca="1">ROUND(IF(OR(AND($C899=LataProjekcji,$E899&gt;0),AND($C899=LataProjekcji,$E899=0,$D900&lt;=10)),$E900,IF($C899&lt;LataProjekcji,IF((SUM($K901:N901)+$C901)&lt;$C900,$C901,$C900-SUM($K901:N901)),0)),0)</f>
        <v>0</v>
      </c>
      <c r="P901" s="248">
        <f ca="1">ROUND(IF(OR(AND($C899=LataProjekcji,$E899&gt;0),AND($C899=LataProjekcji,$E899=0,$D900&lt;=10)),$E900,IF($C899&lt;LataProjekcji,IF((SUM($K901:O901)+$C901)&lt;$C900,$C901,$C900-SUM($K901:O901)),0)),0)</f>
        <v>0</v>
      </c>
      <c r="Q901" s="248">
        <f ca="1">ROUND(IF(OR(AND($C899=LataProjekcji,$E899&gt;0),AND($C899=LataProjekcji,$E899=0,$D900&lt;=10)),$E900,IF($C899&lt;LataProjekcji,IF((SUM($K901:P901)+$C901)&lt;$C900,$C901,$C900-SUM($K901:P901)),0)),0)</f>
        <v>0</v>
      </c>
      <c r="R901" s="248">
        <f ca="1">ROUND(IF(OR(AND($C899=LataProjekcji,$E899&gt;0),AND($C899=LataProjekcji,$E899=0,$D900&lt;=10)),$E900,IF($C899&lt;LataProjekcji,IF((SUM($K901:Q901)+$C901)&lt;$C900,$C901,$C900-SUM($K901:Q901)),0)),0)</f>
        <v>0</v>
      </c>
      <c r="S901" s="248">
        <f ca="1">ROUND(IF(OR(AND($C899=LataProjekcji,$E899&gt;0),AND($C899=LataProjekcji,$E899=0,$D900&lt;=10)),$E900,IF($C899&lt;LataProjekcji,IF((SUM($K901:R901)+$C901)&lt;$C900,$C901,$C900-SUM($K901:R901)),0)),0)</f>
        <v>0</v>
      </c>
      <c r="T901" s="248">
        <f ca="1">ROUND(IF(OR(AND($C899=LataProjekcji,$E899&gt;0),AND($C899=LataProjekcji,$E899=0,$D900&lt;=10)),$E900,IF($C899&lt;LataProjekcji,IF((SUM($K901:S901)+$C901)&lt;$C900,$C901,$C900-SUM($K901:S901)),0)),0)</f>
        <v>0</v>
      </c>
      <c r="U901" s="248">
        <f ca="1">ROUND(IF(OR(AND($C899=LataProjekcji,$E899&gt;0),AND($C899=LataProjekcji,$E899=0,$D900&lt;=10)),$E900,IF($C899&lt;LataProjekcji,IF((SUM($K901:T901)+$C901)&lt;$C900,$C901,$C900-SUM($K901:T901)),0)),0)</f>
        <v>0</v>
      </c>
      <c r="V901" s="248">
        <f ca="1">ROUND(IF(OR(AND($C899=LataProjekcji,$E899&gt;0),AND($C899=LataProjekcji,$E899=0,$D900&lt;=10)),$E900,IF($C899&lt;LataProjekcji,IF((SUM($K901:U901)+$C901)&lt;$C900,$C901,$C900-SUM($K901:U901)),0)),0)</f>
        <v>0</v>
      </c>
      <c r="W901" s="248">
        <f ca="1">ROUND(IF(OR(AND($C899=LataProjekcji,$E899&gt;0),AND($C899=LataProjekcji,$E899=0,$D900&lt;=10)),$E900,IF($C899&lt;LataProjekcji,IF((SUM($K901:V901)+$C901)&lt;$C900,$C901,$C900-SUM($K901:V901)),0)),0)</f>
        <v>0</v>
      </c>
      <c r="X901" s="248">
        <f ca="1">ROUND(IF(OR(AND($C899=LataProjekcji,$E899&gt;0),AND($C899=LataProjekcji,$E899=0,$D900&lt;=10)),$E900,IF($C899&lt;LataProjekcji,IF((SUM($K901:W901)+$C901)&lt;$C900,$C901,$C900-SUM($K901:W901)),0)),0)</f>
        <v>0</v>
      </c>
    </row>
    <row r="902" spans="1:24" hidden="1">
      <c r="A902" s="259"/>
      <c r="B902" s="21" t="s">
        <v>416</v>
      </c>
      <c r="C902" s="22"/>
      <c r="D902" s="21"/>
      <c r="E902" s="21"/>
      <c r="F902" s="21"/>
      <c r="G902" s="21"/>
      <c r="I902" s="21"/>
      <c r="J902" s="21"/>
      <c r="K902" s="22">
        <f ca="1">ROUND(K901,0)</f>
        <v>0</v>
      </c>
      <c r="L902" s="22">
        <f t="shared" ref="L902:X902" ca="1" si="432">ROUND(K902+L901,0)</f>
        <v>0</v>
      </c>
      <c r="M902" s="22">
        <f t="shared" ca="1" si="432"/>
        <v>0</v>
      </c>
      <c r="N902" s="22">
        <f t="shared" ca="1" si="432"/>
        <v>0</v>
      </c>
      <c r="O902" s="22">
        <f t="shared" ca="1" si="432"/>
        <v>0</v>
      </c>
      <c r="P902" s="22">
        <f t="shared" ca="1" si="432"/>
        <v>0</v>
      </c>
      <c r="Q902" s="22">
        <f t="shared" ca="1" si="432"/>
        <v>0</v>
      </c>
      <c r="R902" s="22">
        <f t="shared" ca="1" si="432"/>
        <v>0</v>
      </c>
      <c r="S902" s="22">
        <f t="shared" ca="1" si="432"/>
        <v>0</v>
      </c>
      <c r="T902" s="22">
        <f t="shared" ca="1" si="432"/>
        <v>0</v>
      </c>
      <c r="U902" s="22">
        <f t="shared" ca="1" si="432"/>
        <v>0</v>
      </c>
      <c r="V902" s="22">
        <f t="shared" ca="1" si="432"/>
        <v>0</v>
      </c>
      <c r="W902" s="22">
        <f t="shared" ca="1" si="432"/>
        <v>0</v>
      </c>
      <c r="X902" s="22">
        <f t="shared" ca="1" si="432"/>
        <v>0</v>
      </c>
    </row>
    <row r="903" spans="1:24" hidden="1">
      <c r="A903" s="259"/>
      <c r="B903" s="21" t="s">
        <v>406</v>
      </c>
      <c r="C903" s="22"/>
      <c r="D903" s="21"/>
      <c r="E903" s="21"/>
      <c r="F903" s="21"/>
      <c r="G903" s="21"/>
      <c r="I903" s="21"/>
      <c r="J903" s="21"/>
      <c r="K903" s="77">
        <f t="shared" ref="K903:X903" ca="1" si="433">IF($C899=LataProjekcji,ROUND($C900-K902,0),ROUND(IF(K901=0,0,$C900-K902),0))</f>
        <v>0</v>
      </c>
      <c r="L903" s="77">
        <f t="shared" ca="1" si="433"/>
        <v>0</v>
      </c>
      <c r="M903" s="77">
        <f t="shared" ca="1" si="433"/>
        <v>0</v>
      </c>
      <c r="N903" s="77">
        <f t="shared" ca="1" si="433"/>
        <v>0</v>
      </c>
      <c r="O903" s="77">
        <f t="shared" ca="1" si="433"/>
        <v>0</v>
      </c>
      <c r="P903" s="77">
        <f t="shared" ca="1" si="433"/>
        <v>0</v>
      </c>
      <c r="Q903" s="77">
        <f t="shared" ca="1" si="433"/>
        <v>0</v>
      </c>
      <c r="R903" s="77">
        <f t="shared" ca="1" si="433"/>
        <v>0</v>
      </c>
      <c r="S903" s="77">
        <f t="shared" ca="1" si="433"/>
        <v>0</v>
      </c>
      <c r="T903" s="77">
        <f t="shared" ca="1" si="433"/>
        <v>0</v>
      </c>
      <c r="U903" s="77">
        <f t="shared" ca="1" si="433"/>
        <v>0</v>
      </c>
      <c r="V903" s="77">
        <f t="shared" ca="1" si="433"/>
        <v>0</v>
      </c>
      <c r="W903" s="77">
        <f t="shared" ca="1" si="433"/>
        <v>0</v>
      </c>
      <c r="X903" s="77">
        <f t="shared" ca="1" si="433"/>
        <v>0</v>
      </c>
    </row>
    <row r="904" spans="1:24" hidden="1">
      <c r="A904" s="259"/>
      <c r="B904" s="20"/>
      <c r="C904" s="21"/>
      <c r="D904" s="21"/>
      <c r="E904" s="21"/>
      <c r="F904" s="21"/>
      <c r="G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 spans="1:24" hidden="1">
      <c r="A905" s="259"/>
      <c r="B905" s="20" t="s">
        <v>391</v>
      </c>
      <c r="C905" s="21">
        <f>C898+1</f>
        <v>115</v>
      </c>
      <c r="D905" s="483">
        <f>D898+1</f>
        <v>249</v>
      </c>
      <c r="E905" s="21"/>
      <c r="F905" s="21"/>
      <c r="G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 spans="1:24" hidden="1">
      <c r="A906" s="259"/>
      <c r="B906" s="21" t="s">
        <v>414</v>
      </c>
      <c r="C906" s="165">
        <f ca="1">IFERROR(YEAR(OFFSET($D$28,C905,0)),0)</f>
        <v>0</v>
      </c>
      <c r="D906" s="165">
        <f ca="1">IFERROR(MONTH(OFFSET($D$28,C905,0)),0)</f>
        <v>0</v>
      </c>
      <c r="E906" s="21">
        <f ca="1">12-$D906</f>
        <v>12</v>
      </c>
      <c r="F906" s="21"/>
      <c r="G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 spans="1:24" hidden="1">
      <c r="A907" s="259"/>
      <c r="B907" s="21" t="s">
        <v>406</v>
      </c>
      <c r="C907" s="245">
        <f ca="1">IF(OFFSET($F$28,C905,0)&lt;0,0,OFFSET($F$28,C905,0))</f>
        <v>0</v>
      </c>
      <c r="D907" s="22" t="str">
        <f ca="1">OFFSET($C$28,C905,0)</f>
        <v/>
      </c>
      <c r="E907" s="22">
        <f ca="1">IF(D907&gt;10,ROUND(($C908/12)*$E906,0),$C907)</f>
        <v>0</v>
      </c>
      <c r="F907" s="21"/>
      <c r="G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259"/>
      <c r="B908" s="21" t="s">
        <v>415</v>
      </c>
      <c r="C908" s="245">
        <f ca="1">IF(ISBLANK(OFFSET($D$28,C905,0)),0,IF(OFFSET($C$28,C905,0)&gt;10,ROUND(C907*am_wnip,0),IF(C907&lt;0,0,C907)))</f>
        <v>0</v>
      </c>
      <c r="D908" s="21"/>
      <c r="E908" s="21"/>
      <c r="F908" s="21"/>
      <c r="G908" s="21"/>
      <c r="I908" s="21"/>
      <c r="J908" s="483" cm="1">
        <f t="array" aca="1" ref="J908" ca="1">OFFSET('Środki trwałe'!$C$195,'Rozliczenie dotacji'!D905,,)</f>
        <v>0</v>
      </c>
      <c r="K908" s="75">
        <f ca="1">ROUND(IF($C906=LataProjekcji,$E907,IF($C906=LataProjekcji,$C908,0)),0)</f>
        <v>0</v>
      </c>
      <c r="L908" s="248">
        <f ca="1">ROUND(IF(OR(AND($C906=LataProjekcji,$E906&gt;0),AND($C906=LataProjekcji,$E906=0,$D907&lt;=10)),$E907,IF($C906&lt;LataProjekcji,IF((SUM($K908:K908)+$C908)&lt;$C907,$C908,$C907-SUM($K908:K908)),0)),0)</f>
        <v>0</v>
      </c>
      <c r="M908" s="248">
        <f ca="1">ROUND(IF(OR(AND($C906=LataProjekcji,$E906&gt;0),AND($C906=LataProjekcji,$E906=0,$D907&lt;=10)),$E907,IF($C906&lt;LataProjekcji,IF((SUM($K908:L908)+$C908)&lt;$C907,$C908,$C907-SUM($K908:L908)),0)),0)</f>
        <v>0</v>
      </c>
      <c r="N908" s="248">
        <f ca="1">ROUND(IF(OR(AND($C906=LataProjekcji,$E906&gt;0),AND($C906=LataProjekcji,$E906=0,$D907&lt;=10)),$E907,IF($C906&lt;LataProjekcji,IF((SUM($K908:M908)+$C908)&lt;$C907,$C908,$C907-SUM($K908:M908)),0)),0)</f>
        <v>0</v>
      </c>
      <c r="O908" s="248">
        <f ca="1">ROUND(IF(OR(AND($C906=LataProjekcji,$E906&gt;0),AND($C906=LataProjekcji,$E906=0,$D907&lt;=10)),$E907,IF($C906&lt;LataProjekcji,IF((SUM($K908:N908)+$C908)&lt;$C907,$C908,$C907-SUM($K908:N908)),0)),0)</f>
        <v>0</v>
      </c>
      <c r="P908" s="248">
        <f ca="1">ROUND(IF(OR(AND($C906=LataProjekcji,$E906&gt;0),AND($C906=LataProjekcji,$E906=0,$D907&lt;=10)),$E907,IF($C906&lt;LataProjekcji,IF((SUM($K908:O908)+$C908)&lt;$C907,$C908,$C907-SUM($K908:O908)),0)),0)</f>
        <v>0</v>
      </c>
      <c r="Q908" s="248">
        <f ca="1">ROUND(IF(OR(AND($C906=LataProjekcji,$E906&gt;0),AND($C906=LataProjekcji,$E906=0,$D907&lt;=10)),$E907,IF($C906&lt;LataProjekcji,IF((SUM($K908:P908)+$C908)&lt;$C907,$C908,$C907-SUM($K908:P908)),0)),0)</f>
        <v>0</v>
      </c>
      <c r="R908" s="248">
        <f ca="1">ROUND(IF(OR(AND($C906=LataProjekcji,$E906&gt;0),AND($C906=LataProjekcji,$E906=0,$D907&lt;=10)),$E907,IF($C906&lt;LataProjekcji,IF((SUM($K908:Q908)+$C908)&lt;$C907,$C908,$C907-SUM($K908:Q908)),0)),0)</f>
        <v>0</v>
      </c>
      <c r="S908" s="248">
        <f ca="1">ROUND(IF(OR(AND($C906=LataProjekcji,$E906&gt;0),AND($C906=LataProjekcji,$E906=0,$D907&lt;=10)),$E907,IF($C906&lt;LataProjekcji,IF((SUM($K908:R908)+$C908)&lt;$C907,$C908,$C907-SUM($K908:R908)),0)),0)</f>
        <v>0</v>
      </c>
      <c r="T908" s="248">
        <f ca="1">ROUND(IF(OR(AND($C906=LataProjekcji,$E906&gt;0),AND($C906=LataProjekcji,$E906=0,$D907&lt;=10)),$E907,IF($C906&lt;LataProjekcji,IF((SUM($K908:S908)+$C908)&lt;$C907,$C908,$C907-SUM($K908:S908)),0)),0)</f>
        <v>0</v>
      </c>
      <c r="U908" s="248">
        <f ca="1">ROUND(IF(OR(AND($C906=LataProjekcji,$E906&gt;0),AND($C906=LataProjekcji,$E906=0,$D907&lt;=10)),$E907,IF($C906&lt;LataProjekcji,IF((SUM($K908:T908)+$C908)&lt;$C907,$C908,$C907-SUM($K908:T908)),0)),0)</f>
        <v>0</v>
      </c>
      <c r="V908" s="248">
        <f ca="1">ROUND(IF(OR(AND($C906=LataProjekcji,$E906&gt;0),AND($C906=LataProjekcji,$E906=0,$D907&lt;=10)),$E907,IF($C906&lt;LataProjekcji,IF((SUM($K908:U908)+$C908)&lt;$C907,$C908,$C907-SUM($K908:U908)),0)),0)</f>
        <v>0</v>
      </c>
      <c r="W908" s="248">
        <f ca="1">ROUND(IF(OR(AND($C906=LataProjekcji,$E906&gt;0),AND($C906=LataProjekcji,$E906=0,$D907&lt;=10)),$E907,IF($C906&lt;LataProjekcji,IF((SUM($K908:V908)+$C908)&lt;$C907,$C908,$C907-SUM($K908:V908)),0)),0)</f>
        <v>0</v>
      </c>
      <c r="X908" s="248">
        <f ca="1">ROUND(IF(OR(AND($C906=LataProjekcji,$E906&gt;0),AND($C906=LataProjekcji,$E906=0,$D907&lt;=10)),$E907,IF($C906&lt;LataProjekcji,IF((SUM($K908:W908)+$C908)&lt;$C907,$C908,$C907-SUM($K908:W908)),0)),0)</f>
        <v>0</v>
      </c>
    </row>
    <row r="909" spans="1:24" hidden="1">
      <c r="A909" s="259"/>
      <c r="B909" s="21" t="s">
        <v>416</v>
      </c>
      <c r="C909" s="22"/>
      <c r="D909" s="21"/>
      <c r="E909" s="21"/>
      <c r="F909" s="21"/>
      <c r="G909" s="21"/>
      <c r="I909" s="21"/>
      <c r="J909" s="21"/>
      <c r="K909" s="22">
        <f ca="1">ROUND(K908,0)</f>
        <v>0</v>
      </c>
      <c r="L909" s="22">
        <f t="shared" ref="L909:X909" ca="1" si="434">ROUND(K909+L908,0)</f>
        <v>0</v>
      </c>
      <c r="M909" s="22">
        <f t="shared" ca="1" si="434"/>
        <v>0</v>
      </c>
      <c r="N909" s="22">
        <f t="shared" ca="1" si="434"/>
        <v>0</v>
      </c>
      <c r="O909" s="22">
        <f t="shared" ca="1" si="434"/>
        <v>0</v>
      </c>
      <c r="P909" s="22">
        <f t="shared" ca="1" si="434"/>
        <v>0</v>
      </c>
      <c r="Q909" s="22">
        <f t="shared" ca="1" si="434"/>
        <v>0</v>
      </c>
      <c r="R909" s="22">
        <f t="shared" ca="1" si="434"/>
        <v>0</v>
      </c>
      <c r="S909" s="22">
        <f t="shared" ca="1" si="434"/>
        <v>0</v>
      </c>
      <c r="T909" s="22">
        <f t="shared" ca="1" si="434"/>
        <v>0</v>
      </c>
      <c r="U909" s="22">
        <f t="shared" ca="1" si="434"/>
        <v>0</v>
      </c>
      <c r="V909" s="22">
        <f t="shared" ca="1" si="434"/>
        <v>0</v>
      </c>
      <c r="W909" s="22">
        <f t="shared" ca="1" si="434"/>
        <v>0</v>
      </c>
      <c r="X909" s="22">
        <f t="shared" ca="1" si="434"/>
        <v>0</v>
      </c>
    </row>
    <row r="910" spans="1:24" hidden="1">
      <c r="A910" s="259"/>
      <c r="B910" s="21" t="s">
        <v>406</v>
      </c>
      <c r="C910" s="22"/>
      <c r="D910" s="21"/>
      <c r="E910" s="21"/>
      <c r="F910" s="21"/>
      <c r="G910" s="21"/>
      <c r="I910" s="21"/>
      <c r="J910" s="21"/>
      <c r="K910" s="77">
        <f t="shared" ref="K910:X910" ca="1" si="435">IF($C906=LataProjekcji,ROUND($C907-K909,0),ROUND(IF(K908=0,0,$C907-K909),0))</f>
        <v>0</v>
      </c>
      <c r="L910" s="77">
        <f t="shared" ca="1" si="435"/>
        <v>0</v>
      </c>
      <c r="M910" s="77">
        <f t="shared" ca="1" si="435"/>
        <v>0</v>
      </c>
      <c r="N910" s="77">
        <f t="shared" ca="1" si="435"/>
        <v>0</v>
      </c>
      <c r="O910" s="77">
        <f t="shared" ca="1" si="435"/>
        <v>0</v>
      </c>
      <c r="P910" s="77">
        <f t="shared" ca="1" si="435"/>
        <v>0</v>
      </c>
      <c r="Q910" s="77">
        <f t="shared" ca="1" si="435"/>
        <v>0</v>
      </c>
      <c r="R910" s="77">
        <f t="shared" ca="1" si="435"/>
        <v>0</v>
      </c>
      <c r="S910" s="77">
        <f t="shared" ca="1" si="435"/>
        <v>0</v>
      </c>
      <c r="T910" s="77">
        <f t="shared" ca="1" si="435"/>
        <v>0</v>
      </c>
      <c r="U910" s="77">
        <f t="shared" ca="1" si="435"/>
        <v>0</v>
      </c>
      <c r="V910" s="77">
        <f t="shared" ca="1" si="435"/>
        <v>0</v>
      </c>
      <c r="W910" s="77">
        <f t="shared" ca="1" si="435"/>
        <v>0</v>
      </c>
      <c r="X910" s="77">
        <f t="shared" ca="1" si="435"/>
        <v>0</v>
      </c>
    </row>
    <row r="911" spans="1:24" hidden="1">
      <c r="A911" s="259"/>
      <c r="B911" s="21"/>
      <c r="C911" s="22"/>
      <c r="D911" s="21"/>
      <c r="E911" s="21"/>
      <c r="F911" s="21"/>
      <c r="G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 spans="1:24" hidden="1">
      <c r="A912" s="259"/>
      <c r="B912" s="20" t="s">
        <v>391</v>
      </c>
      <c r="C912" s="21">
        <f>C905+1</f>
        <v>116</v>
      </c>
      <c r="D912" s="483">
        <f>D905+1</f>
        <v>250</v>
      </c>
      <c r="E912" s="21"/>
      <c r="F912" s="21"/>
      <c r="G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 spans="1:24" hidden="1">
      <c r="A913" s="259"/>
      <c r="B913" s="21" t="s">
        <v>414</v>
      </c>
      <c r="C913" s="165">
        <f ca="1">IFERROR(YEAR(OFFSET($D$28,C912,0)),0)</f>
        <v>0</v>
      </c>
      <c r="D913" s="165">
        <f ca="1">IFERROR(MONTH(OFFSET($D$28,C912,0)),0)</f>
        <v>0</v>
      </c>
      <c r="E913" s="21">
        <f ca="1">12-$D913</f>
        <v>12</v>
      </c>
      <c r="F913" s="21"/>
      <c r="G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259"/>
      <c r="B914" s="21" t="s">
        <v>406</v>
      </c>
      <c r="C914" s="245">
        <f ca="1">IF(OFFSET($F$28,C912,0)&lt;0,0,OFFSET($F$28,C912,0))</f>
        <v>0</v>
      </c>
      <c r="D914" s="22" t="str">
        <f ca="1">OFFSET($C$28,C912,0)</f>
        <v/>
      </c>
      <c r="E914" s="22">
        <f ca="1">IF(D914&gt;10,ROUND(($C915/12)*$E913,0),$C914)</f>
        <v>0</v>
      </c>
      <c r="F914" s="21"/>
      <c r="G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259"/>
      <c r="B915" s="21" t="s">
        <v>415</v>
      </c>
      <c r="C915" s="245">
        <f ca="1">IF(ISBLANK(OFFSET($D$28,C912,0)),0,IF(OFFSET($C$28,C912,0)&gt;10,ROUND(C914*am_wnip,0),IF(C914&lt;0,0,C914)))</f>
        <v>0</v>
      </c>
      <c r="D915" s="21"/>
      <c r="E915" s="21"/>
      <c r="F915" s="21"/>
      <c r="G915" s="21"/>
      <c r="I915" s="21"/>
      <c r="J915" s="483" cm="1">
        <f t="array" aca="1" ref="J915" ca="1">OFFSET('Środki trwałe'!$C$195,'Rozliczenie dotacji'!D912,,)</f>
        <v>0</v>
      </c>
      <c r="K915" s="75">
        <f ca="1">ROUND(IF($C913=LataProjekcji,$E914,IF($C913=LataProjekcji,$C915,0)),0)</f>
        <v>0</v>
      </c>
      <c r="L915" s="248">
        <f ca="1">ROUND(IF(OR(AND($C913=LataProjekcji,$E913&gt;0),AND($C913=LataProjekcji,$E913=0,$D914&lt;=10)),$E914,IF($C913&lt;LataProjekcji,IF((SUM($K915:K915)+$C915)&lt;$C914,$C915,$C914-SUM($K915:K915)),0)),0)</f>
        <v>0</v>
      </c>
      <c r="M915" s="248">
        <f ca="1">ROUND(IF(OR(AND($C913=LataProjekcji,$E913&gt;0),AND($C913=LataProjekcji,$E913=0,$D914&lt;=10)),$E914,IF($C913&lt;LataProjekcji,IF((SUM($K915:L915)+$C915)&lt;$C914,$C915,$C914-SUM($K915:L915)),0)),0)</f>
        <v>0</v>
      </c>
      <c r="N915" s="248">
        <f ca="1">ROUND(IF(OR(AND($C913=LataProjekcji,$E913&gt;0),AND($C913=LataProjekcji,$E913=0,$D914&lt;=10)),$E914,IF($C913&lt;LataProjekcji,IF((SUM($K915:M915)+$C915)&lt;$C914,$C915,$C914-SUM($K915:M915)),0)),0)</f>
        <v>0</v>
      </c>
      <c r="O915" s="248">
        <f ca="1">ROUND(IF(OR(AND($C913=LataProjekcji,$E913&gt;0),AND($C913=LataProjekcji,$E913=0,$D914&lt;=10)),$E914,IF($C913&lt;LataProjekcji,IF((SUM($K915:N915)+$C915)&lt;$C914,$C915,$C914-SUM($K915:N915)),0)),0)</f>
        <v>0</v>
      </c>
      <c r="P915" s="248">
        <f ca="1">ROUND(IF(OR(AND($C913=LataProjekcji,$E913&gt;0),AND($C913=LataProjekcji,$E913=0,$D914&lt;=10)),$E914,IF($C913&lt;LataProjekcji,IF((SUM($K915:O915)+$C915)&lt;$C914,$C915,$C914-SUM($K915:O915)),0)),0)</f>
        <v>0</v>
      </c>
      <c r="Q915" s="248">
        <f ca="1">ROUND(IF(OR(AND($C913=LataProjekcji,$E913&gt;0),AND($C913=LataProjekcji,$E913=0,$D914&lt;=10)),$E914,IF($C913&lt;LataProjekcji,IF((SUM($K915:P915)+$C915)&lt;$C914,$C915,$C914-SUM($K915:P915)),0)),0)</f>
        <v>0</v>
      </c>
      <c r="R915" s="248">
        <f ca="1">ROUND(IF(OR(AND($C913=LataProjekcji,$E913&gt;0),AND($C913=LataProjekcji,$E913=0,$D914&lt;=10)),$E914,IF($C913&lt;LataProjekcji,IF((SUM($K915:Q915)+$C915)&lt;$C914,$C915,$C914-SUM($K915:Q915)),0)),0)</f>
        <v>0</v>
      </c>
      <c r="S915" s="248">
        <f ca="1">ROUND(IF(OR(AND($C913=LataProjekcji,$E913&gt;0),AND($C913=LataProjekcji,$E913=0,$D914&lt;=10)),$E914,IF($C913&lt;LataProjekcji,IF((SUM($K915:R915)+$C915)&lt;$C914,$C915,$C914-SUM($K915:R915)),0)),0)</f>
        <v>0</v>
      </c>
      <c r="T915" s="248">
        <f ca="1">ROUND(IF(OR(AND($C913=LataProjekcji,$E913&gt;0),AND($C913=LataProjekcji,$E913=0,$D914&lt;=10)),$E914,IF($C913&lt;LataProjekcji,IF((SUM($K915:S915)+$C915)&lt;$C914,$C915,$C914-SUM($K915:S915)),0)),0)</f>
        <v>0</v>
      </c>
      <c r="U915" s="248">
        <f ca="1">ROUND(IF(OR(AND($C913=LataProjekcji,$E913&gt;0),AND($C913=LataProjekcji,$E913=0,$D914&lt;=10)),$E914,IF($C913&lt;LataProjekcji,IF((SUM($K915:T915)+$C915)&lt;$C914,$C915,$C914-SUM($K915:T915)),0)),0)</f>
        <v>0</v>
      </c>
      <c r="V915" s="248">
        <f ca="1">ROUND(IF(OR(AND($C913=LataProjekcji,$E913&gt;0),AND($C913=LataProjekcji,$E913=0,$D914&lt;=10)),$E914,IF($C913&lt;LataProjekcji,IF((SUM($K915:U915)+$C915)&lt;$C914,$C915,$C914-SUM($K915:U915)),0)),0)</f>
        <v>0</v>
      </c>
      <c r="W915" s="248">
        <f ca="1">ROUND(IF(OR(AND($C913=LataProjekcji,$E913&gt;0),AND($C913=LataProjekcji,$E913=0,$D914&lt;=10)),$E914,IF($C913&lt;LataProjekcji,IF((SUM($K915:V915)+$C915)&lt;$C914,$C915,$C914-SUM($K915:V915)),0)),0)</f>
        <v>0</v>
      </c>
      <c r="X915" s="248">
        <f ca="1">ROUND(IF(OR(AND($C913=LataProjekcji,$E913&gt;0),AND($C913=LataProjekcji,$E913=0,$D914&lt;=10)),$E914,IF($C913&lt;LataProjekcji,IF((SUM($K915:W915)+$C915)&lt;$C914,$C915,$C914-SUM($K915:W915)),0)),0)</f>
        <v>0</v>
      </c>
    </row>
    <row r="916" spans="1:24" hidden="1">
      <c r="A916" s="259"/>
      <c r="B916" s="21" t="s">
        <v>416</v>
      </c>
      <c r="C916" s="22"/>
      <c r="D916" s="21"/>
      <c r="E916" s="21"/>
      <c r="F916" s="21"/>
      <c r="G916" s="21"/>
      <c r="I916" s="21"/>
      <c r="J916" s="21"/>
      <c r="K916" s="22">
        <f ca="1">ROUND(K915,0)</f>
        <v>0</v>
      </c>
      <c r="L916" s="22">
        <f t="shared" ref="L916:X916" ca="1" si="436">ROUND(K916+L915,0)</f>
        <v>0</v>
      </c>
      <c r="M916" s="22">
        <f t="shared" ca="1" si="436"/>
        <v>0</v>
      </c>
      <c r="N916" s="22">
        <f t="shared" ca="1" si="436"/>
        <v>0</v>
      </c>
      <c r="O916" s="22">
        <f t="shared" ca="1" si="436"/>
        <v>0</v>
      </c>
      <c r="P916" s="22">
        <f t="shared" ca="1" si="436"/>
        <v>0</v>
      </c>
      <c r="Q916" s="22">
        <f t="shared" ca="1" si="436"/>
        <v>0</v>
      </c>
      <c r="R916" s="22">
        <f t="shared" ca="1" si="436"/>
        <v>0</v>
      </c>
      <c r="S916" s="22">
        <f t="shared" ca="1" si="436"/>
        <v>0</v>
      </c>
      <c r="T916" s="22">
        <f t="shared" ca="1" si="436"/>
        <v>0</v>
      </c>
      <c r="U916" s="22">
        <f t="shared" ca="1" si="436"/>
        <v>0</v>
      </c>
      <c r="V916" s="22">
        <f t="shared" ca="1" si="436"/>
        <v>0</v>
      </c>
      <c r="W916" s="22">
        <f t="shared" ca="1" si="436"/>
        <v>0</v>
      </c>
      <c r="X916" s="22">
        <f t="shared" ca="1" si="436"/>
        <v>0</v>
      </c>
    </row>
    <row r="917" spans="1:24" hidden="1">
      <c r="A917" s="259"/>
      <c r="B917" s="21" t="s">
        <v>406</v>
      </c>
      <c r="C917" s="22"/>
      <c r="D917" s="21"/>
      <c r="E917" s="21"/>
      <c r="F917" s="21"/>
      <c r="G917" s="21"/>
      <c r="I917" s="21"/>
      <c r="J917" s="21"/>
      <c r="K917" s="77">
        <f t="shared" ref="K917:X917" ca="1" si="437">IF($C913=LataProjekcji,ROUND($C914-K916,0),ROUND(IF(K915=0,0,$C914-K916),0))</f>
        <v>0</v>
      </c>
      <c r="L917" s="77">
        <f t="shared" ca="1" si="437"/>
        <v>0</v>
      </c>
      <c r="M917" s="77">
        <f t="shared" ca="1" si="437"/>
        <v>0</v>
      </c>
      <c r="N917" s="77">
        <f t="shared" ca="1" si="437"/>
        <v>0</v>
      </c>
      <c r="O917" s="77">
        <f t="shared" ca="1" si="437"/>
        <v>0</v>
      </c>
      <c r="P917" s="77">
        <f t="shared" ca="1" si="437"/>
        <v>0</v>
      </c>
      <c r="Q917" s="77">
        <f t="shared" ca="1" si="437"/>
        <v>0</v>
      </c>
      <c r="R917" s="77">
        <f t="shared" ca="1" si="437"/>
        <v>0</v>
      </c>
      <c r="S917" s="77">
        <f t="shared" ca="1" si="437"/>
        <v>0</v>
      </c>
      <c r="T917" s="77">
        <f t="shared" ca="1" si="437"/>
        <v>0</v>
      </c>
      <c r="U917" s="77">
        <f t="shared" ca="1" si="437"/>
        <v>0</v>
      </c>
      <c r="V917" s="77">
        <f t="shared" ca="1" si="437"/>
        <v>0</v>
      </c>
      <c r="W917" s="77">
        <f t="shared" ca="1" si="437"/>
        <v>0</v>
      </c>
      <c r="X917" s="77">
        <f t="shared" ca="1" si="437"/>
        <v>0</v>
      </c>
    </row>
    <row r="918" spans="1:24" hidden="1">
      <c r="A918" s="259"/>
      <c r="B918" s="21"/>
      <c r="C918" s="22"/>
      <c r="D918" s="21"/>
      <c r="E918" s="21"/>
      <c r="F918" s="21"/>
      <c r="G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 spans="1:24" hidden="1">
      <c r="A919" s="259"/>
      <c r="B919" s="20" t="s">
        <v>391</v>
      </c>
      <c r="C919" s="21">
        <f>C912+1</f>
        <v>117</v>
      </c>
      <c r="D919" s="483">
        <f>D912+1</f>
        <v>251</v>
      </c>
      <c r="E919" s="21"/>
      <c r="F919" s="21"/>
      <c r="G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259"/>
      <c r="B920" s="21" t="s">
        <v>414</v>
      </c>
      <c r="C920" s="165">
        <f ca="1">IFERROR(YEAR(OFFSET($D$28,C919,0)),0)</f>
        <v>0</v>
      </c>
      <c r="D920" s="165">
        <f ca="1">IFERROR(MONTH(OFFSET($D$28,C919,0)),0)</f>
        <v>0</v>
      </c>
      <c r="E920" s="21">
        <f ca="1">12-$D920</f>
        <v>12</v>
      </c>
      <c r="F920" s="21"/>
      <c r="G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259"/>
      <c r="B921" s="21" t="s">
        <v>406</v>
      </c>
      <c r="C921" s="245">
        <f ca="1">IF(OFFSET($F$28,C919,0)&lt;0,0,OFFSET($F$28,C919,0))</f>
        <v>0</v>
      </c>
      <c r="D921" s="22" t="str">
        <f ca="1">OFFSET($C$28,C919,0)</f>
        <v/>
      </c>
      <c r="E921" s="22">
        <f ca="1">IF(D921&gt;10,ROUND(($C922/12)*$E920,0),$C921)</f>
        <v>0</v>
      </c>
      <c r="F921" s="21"/>
      <c r="G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259"/>
      <c r="B922" s="21" t="s">
        <v>415</v>
      </c>
      <c r="C922" s="245">
        <f ca="1">IF(ISBLANK(OFFSET($D$28,C919,0)),0,IF(OFFSET($C$28,C919,0)&gt;10,ROUND(C921*am_wnip,0),IF(C921&lt;0,0,C921)))</f>
        <v>0</v>
      </c>
      <c r="D922" s="21"/>
      <c r="E922" s="21"/>
      <c r="F922" s="21"/>
      <c r="G922" s="21"/>
      <c r="I922" s="21"/>
      <c r="J922" s="483" cm="1">
        <f t="array" aca="1" ref="J922" ca="1">OFFSET('Środki trwałe'!$C$195,'Rozliczenie dotacji'!D919,,)</f>
        <v>0</v>
      </c>
      <c r="K922" s="75">
        <f ca="1">ROUND(IF($C920=LataProjekcji,$E921,IF($C920=LataProjekcji,$C922,0)),0)</f>
        <v>0</v>
      </c>
      <c r="L922" s="248">
        <f ca="1">ROUND(IF(OR(AND($C920=LataProjekcji,$E920&gt;0),AND($C920=LataProjekcji,$E920=0,$D921&lt;=10)),$E921,IF($C920&lt;LataProjekcji,IF((SUM($K922:K922)+$C922)&lt;$C921,$C922,$C921-SUM($K922:K922)),0)),0)</f>
        <v>0</v>
      </c>
      <c r="M922" s="248">
        <f ca="1">ROUND(IF(OR(AND($C920=LataProjekcji,$E920&gt;0),AND($C920=LataProjekcji,$E920=0,$D921&lt;=10)),$E921,IF($C920&lt;LataProjekcji,IF((SUM($K922:L922)+$C922)&lt;$C921,$C922,$C921-SUM($K922:L922)),0)),0)</f>
        <v>0</v>
      </c>
      <c r="N922" s="248">
        <f ca="1">ROUND(IF(OR(AND($C920=LataProjekcji,$E920&gt;0),AND($C920=LataProjekcji,$E920=0,$D921&lt;=10)),$E921,IF($C920&lt;LataProjekcji,IF((SUM($K922:M922)+$C922)&lt;$C921,$C922,$C921-SUM($K922:M922)),0)),0)</f>
        <v>0</v>
      </c>
      <c r="O922" s="248">
        <f ca="1">ROUND(IF(OR(AND($C920=LataProjekcji,$E920&gt;0),AND($C920=LataProjekcji,$E920=0,$D921&lt;=10)),$E921,IF($C920&lt;LataProjekcji,IF((SUM($K922:N922)+$C922)&lt;$C921,$C922,$C921-SUM($K922:N922)),0)),0)</f>
        <v>0</v>
      </c>
      <c r="P922" s="248">
        <f ca="1">ROUND(IF(OR(AND($C920=LataProjekcji,$E920&gt;0),AND($C920=LataProjekcji,$E920=0,$D921&lt;=10)),$E921,IF($C920&lt;LataProjekcji,IF((SUM($K922:O922)+$C922)&lt;$C921,$C922,$C921-SUM($K922:O922)),0)),0)</f>
        <v>0</v>
      </c>
      <c r="Q922" s="248">
        <f ca="1">ROUND(IF(OR(AND($C920=LataProjekcji,$E920&gt;0),AND($C920=LataProjekcji,$E920=0,$D921&lt;=10)),$E921,IF($C920&lt;LataProjekcji,IF((SUM($K922:P922)+$C922)&lt;$C921,$C922,$C921-SUM($K922:P922)),0)),0)</f>
        <v>0</v>
      </c>
      <c r="R922" s="248">
        <f ca="1">ROUND(IF(OR(AND($C920=LataProjekcji,$E920&gt;0),AND($C920=LataProjekcji,$E920=0,$D921&lt;=10)),$E921,IF($C920&lt;LataProjekcji,IF((SUM($K922:Q922)+$C922)&lt;$C921,$C922,$C921-SUM($K922:Q922)),0)),0)</f>
        <v>0</v>
      </c>
      <c r="S922" s="248">
        <f ca="1">ROUND(IF(OR(AND($C920=LataProjekcji,$E920&gt;0),AND($C920=LataProjekcji,$E920=0,$D921&lt;=10)),$E921,IF($C920&lt;LataProjekcji,IF((SUM($K922:R922)+$C922)&lt;$C921,$C922,$C921-SUM($K922:R922)),0)),0)</f>
        <v>0</v>
      </c>
      <c r="T922" s="248">
        <f ca="1">ROUND(IF(OR(AND($C920=LataProjekcji,$E920&gt;0),AND($C920=LataProjekcji,$E920=0,$D921&lt;=10)),$E921,IF($C920&lt;LataProjekcji,IF((SUM($K922:S922)+$C922)&lt;$C921,$C922,$C921-SUM($K922:S922)),0)),0)</f>
        <v>0</v>
      </c>
      <c r="U922" s="248">
        <f ca="1">ROUND(IF(OR(AND($C920=LataProjekcji,$E920&gt;0),AND($C920=LataProjekcji,$E920=0,$D921&lt;=10)),$E921,IF($C920&lt;LataProjekcji,IF((SUM($K922:T922)+$C922)&lt;$C921,$C922,$C921-SUM($K922:T922)),0)),0)</f>
        <v>0</v>
      </c>
      <c r="V922" s="248">
        <f ca="1">ROUND(IF(OR(AND($C920=LataProjekcji,$E920&gt;0),AND($C920=LataProjekcji,$E920=0,$D921&lt;=10)),$E921,IF($C920&lt;LataProjekcji,IF((SUM($K922:U922)+$C922)&lt;$C921,$C922,$C921-SUM($K922:U922)),0)),0)</f>
        <v>0</v>
      </c>
      <c r="W922" s="248">
        <f ca="1">ROUND(IF(OR(AND($C920=LataProjekcji,$E920&gt;0),AND($C920=LataProjekcji,$E920=0,$D921&lt;=10)),$E921,IF($C920&lt;LataProjekcji,IF((SUM($K922:V922)+$C922)&lt;$C921,$C922,$C921-SUM($K922:V922)),0)),0)</f>
        <v>0</v>
      </c>
      <c r="X922" s="248">
        <f ca="1">ROUND(IF(OR(AND($C920=LataProjekcji,$E920&gt;0),AND($C920=LataProjekcji,$E920=0,$D921&lt;=10)),$E921,IF($C920&lt;LataProjekcji,IF((SUM($K922:W922)+$C922)&lt;$C921,$C922,$C921-SUM($K922:W922)),0)),0)</f>
        <v>0</v>
      </c>
    </row>
    <row r="923" spans="1:24" hidden="1">
      <c r="A923" s="259"/>
      <c r="B923" s="21" t="s">
        <v>416</v>
      </c>
      <c r="C923" s="22"/>
      <c r="D923" s="21"/>
      <c r="E923" s="21"/>
      <c r="F923" s="21"/>
      <c r="G923" s="21"/>
      <c r="I923" s="21"/>
      <c r="J923" s="21"/>
      <c r="K923" s="22">
        <f ca="1">ROUND(K922,0)</f>
        <v>0</v>
      </c>
      <c r="L923" s="22">
        <f t="shared" ref="L923:X923" ca="1" si="438">ROUND(K923+L922,0)</f>
        <v>0</v>
      </c>
      <c r="M923" s="22">
        <f t="shared" ca="1" si="438"/>
        <v>0</v>
      </c>
      <c r="N923" s="22">
        <f t="shared" ca="1" si="438"/>
        <v>0</v>
      </c>
      <c r="O923" s="22">
        <f t="shared" ca="1" si="438"/>
        <v>0</v>
      </c>
      <c r="P923" s="22">
        <f t="shared" ca="1" si="438"/>
        <v>0</v>
      </c>
      <c r="Q923" s="22">
        <f t="shared" ca="1" si="438"/>
        <v>0</v>
      </c>
      <c r="R923" s="22">
        <f t="shared" ca="1" si="438"/>
        <v>0</v>
      </c>
      <c r="S923" s="22">
        <f t="shared" ca="1" si="438"/>
        <v>0</v>
      </c>
      <c r="T923" s="22">
        <f t="shared" ca="1" si="438"/>
        <v>0</v>
      </c>
      <c r="U923" s="22">
        <f t="shared" ca="1" si="438"/>
        <v>0</v>
      </c>
      <c r="V923" s="22">
        <f t="shared" ca="1" si="438"/>
        <v>0</v>
      </c>
      <c r="W923" s="22">
        <f t="shared" ca="1" si="438"/>
        <v>0</v>
      </c>
      <c r="X923" s="22">
        <f t="shared" ca="1" si="438"/>
        <v>0</v>
      </c>
    </row>
    <row r="924" spans="1:24" hidden="1">
      <c r="A924" s="259"/>
      <c r="B924" s="21" t="s">
        <v>406</v>
      </c>
      <c r="C924" s="22"/>
      <c r="D924" s="21"/>
      <c r="E924" s="21"/>
      <c r="F924" s="21"/>
      <c r="G924" s="21"/>
      <c r="I924" s="21"/>
      <c r="J924" s="21"/>
      <c r="K924" s="77">
        <f t="shared" ref="K924:X924" ca="1" si="439">IF($C920=LataProjekcji,ROUND($C921-K923,0),ROUND(IF(K922=0,0,$C921-K923),0))</f>
        <v>0</v>
      </c>
      <c r="L924" s="77">
        <f t="shared" ca="1" si="439"/>
        <v>0</v>
      </c>
      <c r="M924" s="77">
        <f t="shared" ca="1" si="439"/>
        <v>0</v>
      </c>
      <c r="N924" s="77">
        <f t="shared" ca="1" si="439"/>
        <v>0</v>
      </c>
      <c r="O924" s="77">
        <f t="shared" ca="1" si="439"/>
        <v>0</v>
      </c>
      <c r="P924" s="77">
        <f t="shared" ca="1" si="439"/>
        <v>0</v>
      </c>
      <c r="Q924" s="77">
        <f t="shared" ca="1" si="439"/>
        <v>0</v>
      </c>
      <c r="R924" s="77">
        <f t="shared" ca="1" si="439"/>
        <v>0</v>
      </c>
      <c r="S924" s="77">
        <f t="shared" ca="1" si="439"/>
        <v>0</v>
      </c>
      <c r="T924" s="77">
        <f t="shared" ca="1" si="439"/>
        <v>0</v>
      </c>
      <c r="U924" s="77">
        <f t="shared" ca="1" si="439"/>
        <v>0</v>
      </c>
      <c r="V924" s="77">
        <f t="shared" ca="1" si="439"/>
        <v>0</v>
      </c>
      <c r="W924" s="77">
        <f t="shared" ca="1" si="439"/>
        <v>0</v>
      </c>
      <c r="X924" s="77">
        <f t="shared" ca="1" si="439"/>
        <v>0</v>
      </c>
    </row>
    <row r="925" spans="1:24" hidden="1">
      <c r="A925" s="259"/>
      <c r="B925" s="20"/>
      <c r="C925" s="21"/>
      <c r="D925" s="21"/>
      <c r="E925" s="21"/>
      <c r="F925" s="21"/>
      <c r="G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259"/>
      <c r="B926" s="20" t="s">
        <v>391</v>
      </c>
      <c r="C926" s="21">
        <f>C919+1</f>
        <v>118</v>
      </c>
      <c r="D926" s="483">
        <f>D919+1</f>
        <v>252</v>
      </c>
      <c r="E926" s="21"/>
      <c r="F926" s="21"/>
      <c r="G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259"/>
      <c r="B927" s="21" t="s">
        <v>414</v>
      </c>
      <c r="C927" s="165">
        <f ca="1">IFERROR(YEAR(OFFSET($D$28,C926,0)),0)</f>
        <v>0</v>
      </c>
      <c r="D927" s="165">
        <f ca="1">IFERROR(MONTH(OFFSET($D$28,C926,0)),0)</f>
        <v>0</v>
      </c>
      <c r="E927" s="21">
        <f ca="1">12-$D927</f>
        <v>12</v>
      </c>
      <c r="F927" s="21"/>
      <c r="G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259"/>
      <c r="B928" s="21" t="s">
        <v>406</v>
      </c>
      <c r="C928" s="245">
        <f ca="1">IF(OFFSET($F$28,C926,0)&lt;0,0,OFFSET($F$28,C926,0))</f>
        <v>0</v>
      </c>
      <c r="D928" s="22" t="str">
        <f ca="1">OFFSET($C$28,C926,0)</f>
        <v/>
      </c>
      <c r="E928" s="22">
        <f ca="1">IF(D928&gt;10,ROUND(($C929/12)*$E927,0),$C928)</f>
        <v>0</v>
      </c>
      <c r="F928" s="21"/>
      <c r="G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</row>
    <row r="929" spans="1:24" hidden="1">
      <c r="A929" s="259"/>
      <c r="B929" s="21" t="s">
        <v>415</v>
      </c>
      <c r="C929" s="245">
        <f ca="1">IF(ISBLANK(OFFSET($D$28,C926,0)),0,IF(OFFSET($C$28,C926,0)&gt;10,ROUND(C928*am_wnip,0),IF(C928&lt;0,0,C928)))</f>
        <v>0</v>
      </c>
      <c r="D929" s="21"/>
      <c r="E929" s="21"/>
      <c r="F929" s="21"/>
      <c r="G929" s="21"/>
      <c r="I929" s="21"/>
      <c r="J929" s="483" cm="1">
        <f t="array" aca="1" ref="J929" ca="1">OFFSET('Środki trwałe'!$C$195,'Rozliczenie dotacji'!D926,,)</f>
        <v>0</v>
      </c>
      <c r="K929" s="75">
        <f ca="1">ROUND(IF($C927=LataProjekcji,$E928,IF($C927=LataProjekcji,$C929,0)),0)</f>
        <v>0</v>
      </c>
      <c r="L929" s="248">
        <f ca="1">ROUND(IF(OR(AND($C927=LataProjekcji,$E927&gt;0),AND($C927=LataProjekcji,$E927=0,$D928&lt;=10)),$E928,IF($C927&lt;LataProjekcji,IF((SUM($K929:K929)+$C929)&lt;$C928,$C929,$C928-SUM($K929:K929)),0)),0)</f>
        <v>0</v>
      </c>
      <c r="M929" s="248">
        <f ca="1">ROUND(IF(OR(AND($C927=LataProjekcji,$E927&gt;0),AND($C927=LataProjekcji,$E927=0,$D928&lt;=10)),$E928,IF($C927&lt;LataProjekcji,IF((SUM($K929:L929)+$C929)&lt;$C928,$C929,$C928-SUM($K929:L929)),0)),0)</f>
        <v>0</v>
      </c>
      <c r="N929" s="248">
        <f ca="1">ROUND(IF(OR(AND($C927=LataProjekcji,$E927&gt;0),AND($C927=LataProjekcji,$E927=0,$D928&lt;=10)),$E928,IF($C927&lt;LataProjekcji,IF((SUM($K929:M929)+$C929)&lt;$C928,$C929,$C928-SUM($K929:M929)),0)),0)</f>
        <v>0</v>
      </c>
      <c r="O929" s="248">
        <f ca="1">ROUND(IF(OR(AND($C927=LataProjekcji,$E927&gt;0),AND($C927=LataProjekcji,$E927=0,$D928&lt;=10)),$E928,IF($C927&lt;LataProjekcji,IF((SUM($K929:N929)+$C929)&lt;$C928,$C929,$C928-SUM($K929:N929)),0)),0)</f>
        <v>0</v>
      </c>
      <c r="P929" s="248">
        <f ca="1">ROUND(IF(OR(AND($C927=LataProjekcji,$E927&gt;0),AND($C927=LataProjekcji,$E927=0,$D928&lt;=10)),$E928,IF($C927&lt;LataProjekcji,IF((SUM($K929:O929)+$C929)&lt;$C928,$C929,$C928-SUM($K929:O929)),0)),0)</f>
        <v>0</v>
      </c>
      <c r="Q929" s="248">
        <f ca="1">ROUND(IF(OR(AND($C927=LataProjekcji,$E927&gt;0),AND($C927=LataProjekcji,$E927=0,$D928&lt;=10)),$E928,IF($C927&lt;LataProjekcji,IF((SUM($K929:P929)+$C929)&lt;$C928,$C929,$C928-SUM($K929:P929)),0)),0)</f>
        <v>0</v>
      </c>
      <c r="R929" s="248">
        <f ca="1">ROUND(IF(OR(AND($C927=LataProjekcji,$E927&gt;0),AND($C927=LataProjekcji,$E927=0,$D928&lt;=10)),$E928,IF($C927&lt;LataProjekcji,IF((SUM($K929:Q929)+$C929)&lt;$C928,$C929,$C928-SUM($K929:Q929)),0)),0)</f>
        <v>0</v>
      </c>
      <c r="S929" s="248">
        <f ca="1">ROUND(IF(OR(AND($C927=LataProjekcji,$E927&gt;0),AND($C927=LataProjekcji,$E927=0,$D928&lt;=10)),$E928,IF($C927&lt;LataProjekcji,IF((SUM($K929:R929)+$C929)&lt;$C928,$C929,$C928-SUM($K929:R929)),0)),0)</f>
        <v>0</v>
      </c>
      <c r="T929" s="248">
        <f ca="1">ROUND(IF(OR(AND($C927=LataProjekcji,$E927&gt;0),AND($C927=LataProjekcji,$E927=0,$D928&lt;=10)),$E928,IF($C927&lt;LataProjekcji,IF((SUM($K929:S929)+$C929)&lt;$C928,$C929,$C928-SUM($K929:S929)),0)),0)</f>
        <v>0</v>
      </c>
      <c r="U929" s="248">
        <f ca="1">ROUND(IF(OR(AND($C927=LataProjekcji,$E927&gt;0),AND($C927=LataProjekcji,$E927=0,$D928&lt;=10)),$E928,IF($C927&lt;LataProjekcji,IF((SUM($K929:T929)+$C929)&lt;$C928,$C929,$C928-SUM($K929:T929)),0)),0)</f>
        <v>0</v>
      </c>
      <c r="V929" s="248">
        <f ca="1">ROUND(IF(OR(AND($C927=LataProjekcji,$E927&gt;0),AND($C927=LataProjekcji,$E927=0,$D928&lt;=10)),$E928,IF($C927&lt;LataProjekcji,IF((SUM($K929:U929)+$C929)&lt;$C928,$C929,$C928-SUM($K929:U929)),0)),0)</f>
        <v>0</v>
      </c>
      <c r="W929" s="248">
        <f ca="1">ROUND(IF(OR(AND($C927=LataProjekcji,$E927&gt;0),AND($C927=LataProjekcji,$E927=0,$D928&lt;=10)),$E928,IF($C927&lt;LataProjekcji,IF((SUM($K929:V929)+$C929)&lt;$C928,$C929,$C928-SUM($K929:V929)),0)),0)</f>
        <v>0</v>
      </c>
      <c r="X929" s="248">
        <f ca="1">ROUND(IF(OR(AND($C927=LataProjekcji,$E927&gt;0),AND($C927=LataProjekcji,$E927=0,$D928&lt;=10)),$E928,IF($C927&lt;LataProjekcji,IF((SUM($K929:W929)+$C929)&lt;$C928,$C929,$C928-SUM($K929:W929)),0)),0)</f>
        <v>0</v>
      </c>
    </row>
    <row r="930" spans="1:24" hidden="1">
      <c r="A930" s="259"/>
      <c r="B930" s="21" t="s">
        <v>416</v>
      </c>
      <c r="C930" s="22"/>
      <c r="D930" s="21"/>
      <c r="E930" s="21"/>
      <c r="F930" s="21"/>
      <c r="G930" s="21"/>
      <c r="I930" s="21"/>
      <c r="J930" s="21"/>
      <c r="K930" s="22">
        <f ca="1">ROUND(K929,0)</f>
        <v>0</v>
      </c>
      <c r="L930" s="22">
        <f t="shared" ref="L930:X930" ca="1" si="440">ROUND(K930+L929,0)</f>
        <v>0</v>
      </c>
      <c r="M930" s="22">
        <f t="shared" ca="1" si="440"/>
        <v>0</v>
      </c>
      <c r="N930" s="22">
        <f t="shared" ca="1" si="440"/>
        <v>0</v>
      </c>
      <c r="O930" s="22">
        <f t="shared" ca="1" si="440"/>
        <v>0</v>
      </c>
      <c r="P930" s="22">
        <f t="shared" ca="1" si="440"/>
        <v>0</v>
      </c>
      <c r="Q930" s="22">
        <f t="shared" ca="1" si="440"/>
        <v>0</v>
      </c>
      <c r="R930" s="22">
        <f t="shared" ca="1" si="440"/>
        <v>0</v>
      </c>
      <c r="S930" s="22">
        <f t="shared" ca="1" si="440"/>
        <v>0</v>
      </c>
      <c r="T930" s="22">
        <f t="shared" ca="1" si="440"/>
        <v>0</v>
      </c>
      <c r="U930" s="22">
        <f t="shared" ca="1" si="440"/>
        <v>0</v>
      </c>
      <c r="V930" s="22">
        <f t="shared" ca="1" si="440"/>
        <v>0</v>
      </c>
      <c r="W930" s="22">
        <f t="shared" ca="1" si="440"/>
        <v>0</v>
      </c>
      <c r="X930" s="22">
        <f t="shared" ca="1" si="440"/>
        <v>0</v>
      </c>
    </row>
    <row r="931" spans="1:24" hidden="1">
      <c r="A931" s="259"/>
      <c r="B931" s="21" t="s">
        <v>406</v>
      </c>
      <c r="C931" s="22"/>
      <c r="D931" s="21"/>
      <c r="E931" s="21"/>
      <c r="F931" s="21"/>
      <c r="G931" s="21"/>
      <c r="I931" s="21"/>
      <c r="J931" s="21"/>
      <c r="K931" s="77">
        <f t="shared" ref="K931:X931" ca="1" si="441">IF($C927=LataProjekcji,ROUND($C928-K930,0),ROUND(IF(K929=0,0,$C928-K930),0))</f>
        <v>0</v>
      </c>
      <c r="L931" s="77">
        <f t="shared" ca="1" si="441"/>
        <v>0</v>
      </c>
      <c r="M931" s="77">
        <f t="shared" ca="1" si="441"/>
        <v>0</v>
      </c>
      <c r="N931" s="77">
        <f t="shared" ca="1" si="441"/>
        <v>0</v>
      </c>
      <c r="O931" s="77">
        <f t="shared" ca="1" si="441"/>
        <v>0</v>
      </c>
      <c r="P931" s="77">
        <f t="shared" ca="1" si="441"/>
        <v>0</v>
      </c>
      <c r="Q931" s="77">
        <f t="shared" ca="1" si="441"/>
        <v>0</v>
      </c>
      <c r="R931" s="77">
        <f t="shared" ca="1" si="441"/>
        <v>0</v>
      </c>
      <c r="S931" s="77">
        <f t="shared" ca="1" si="441"/>
        <v>0</v>
      </c>
      <c r="T931" s="77">
        <f t="shared" ca="1" si="441"/>
        <v>0</v>
      </c>
      <c r="U931" s="77">
        <f t="shared" ca="1" si="441"/>
        <v>0</v>
      </c>
      <c r="V931" s="77">
        <f t="shared" ca="1" si="441"/>
        <v>0</v>
      </c>
      <c r="W931" s="77">
        <f t="shared" ca="1" si="441"/>
        <v>0</v>
      </c>
      <c r="X931" s="77">
        <f t="shared" ca="1" si="441"/>
        <v>0</v>
      </c>
    </row>
    <row r="932" spans="1:24" hidden="1">
      <c r="A932" s="259"/>
      <c r="B932" s="21"/>
      <c r="C932" s="22"/>
      <c r="D932" s="21"/>
      <c r="E932" s="21"/>
      <c r="F932" s="21"/>
      <c r="G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259"/>
      <c r="B933" s="20" t="s">
        <v>391</v>
      </c>
      <c r="C933" s="21">
        <f>C926+1</f>
        <v>119</v>
      </c>
      <c r="D933" s="483">
        <f>D926+1</f>
        <v>253</v>
      </c>
      <c r="E933" s="21"/>
      <c r="F933" s="21"/>
      <c r="G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259"/>
      <c r="B934" s="21" t="s">
        <v>414</v>
      </c>
      <c r="C934" s="165">
        <f ca="1">IFERROR(YEAR(OFFSET($D$28,C933,0)),0)</f>
        <v>0</v>
      </c>
      <c r="D934" s="165">
        <f ca="1">IFERROR(MONTH(OFFSET($D$28,C933,0)),0)</f>
        <v>0</v>
      </c>
      <c r="E934" s="21">
        <f ca="1">12-$D934</f>
        <v>12</v>
      </c>
      <c r="F934" s="21"/>
      <c r="G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 spans="1:24" hidden="1">
      <c r="A935" s="259"/>
      <c r="B935" s="21" t="s">
        <v>406</v>
      </c>
      <c r="C935" s="245">
        <f ca="1">IF(OFFSET($F$28,C933,0)&lt;0,0,OFFSET($F$28,C933,0))</f>
        <v>0</v>
      </c>
      <c r="D935" s="22" t="str">
        <f ca="1">OFFSET($C$28,C933,0)</f>
        <v/>
      </c>
      <c r="E935" s="22">
        <f ca="1">IF(D935&gt;10,ROUND(($C936/12)*$E934,0),$C935)</f>
        <v>0</v>
      </c>
      <c r="F935" s="21"/>
      <c r="G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</row>
    <row r="936" spans="1:24" hidden="1">
      <c r="A936" s="259"/>
      <c r="B936" s="21" t="s">
        <v>415</v>
      </c>
      <c r="C936" s="245">
        <f ca="1">IF(ISBLANK(OFFSET($D$28,C933,0)),0,IF(OFFSET($C$28,C933,0)&gt;10,ROUND(C935*am_wnip,0),IF(C935&lt;0,0,C935)))</f>
        <v>0</v>
      </c>
      <c r="D936" s="21"/>
      <c r="E936" s="21"/>
      <c r="F936" s="21"/>
      <c r="G936" s="21"/>
      <c r="I936" s="21"/>
      <c r="J936" s="483" cm="1">
        <f t="array" aca="1" ref="J936" ca="1">OFFSET('Środki trwałe'!$C$195,'Rozliczenie dotacji'!D933,,)</f>
        <v>0</v>
      </c>
      <c r="K936" s="75">
        <f ca="1">ROUND(IF($C934=LataProjekcji,$E935,IF($C934=LataProjekcji,$C936,0)),0)</f>
        <v>0</v>
      </c>
      <c r="L936" s="248">
        <f ca="1">ROUND(IF(OR(AND($C934=LataProjekcji,$E934&gt;0),AND($C934=LataProjekcji,$E934=0,$D935&lt;=10)),$E935,IF($C934&lt;LataProjekcji,IF((SUM($K936:K936)+$C936)&lt;$C935,$C936,$C935-SUM($K936:K936)),0)),0)</f>
        <v>0</v>
      </c>
      <c r="M936" s="248">
        <f ca="1">ROUND(IF(OR(AND($C934=LataProjekcji,$E934&gt;0),AND($C934=LataProjekcji,$E934=0,$D935&lt;=10)),$E935,IF($C934&lt;LataProjekcji,IF((SUM($K936:L936)+$C936)&lt;$C935,$C936,$C935-SUM($K936:L936)),0)),0)</f>
        <v>0</v>
      </c>
      <c r="N936" s="248">
        <f ca="1">ROUND(IF(OR(AND($C934=LataProjekcji,$E934&gt;0),AND($C934=LataProjekcji,$E934=0,$D935&lt;=10)),$E935,IF($C934&lt;LataProjekcji,IF((SUM($K936:M936)+$C936)&lt;$C935,$C936,$C935-SUM($K936:M936)),0)),0)</f>
        <v>0</v>
      </c>
      <c r="O936" s="248">
        <f ca="1">ROUND(IF(OR(AND($C934=LataProjekcji,$E934&gt;0),AND($C934=LataProjekcji,$E934=0,$D935&lt;=10)),$E935,IF($C934&lt;LataProjekcji,IF((SUM($K936:N936)+$C936)&lt;$C935,$C936,$C935-SUM($K936:N936)),0)),0)</f>
        <v>0</v>
      </c>
      <c r="P936" s="248">
        <f ca="1">ROUND(IF(OR(AND($C934=LataProjekcji,$E934&gt;0),AND($C934=LataProjekcji,$E934=0,$D935&lt;=10)),$E935,IF($C934&lt;LataProjekcji,IF((SUM($K936:O936)+$C936)&lt;$C935,$C936,$C935-SUM($K936:O936)),0)),0)</f>
        <v>0</v>
      </c>
      <c r="Q936" s="248">
        <f ca="1">ROUND(IF(OR(AND($C934=LataProjekcji,$E934&gt;0),AND($C934=LataProjekcji,$E934=0,$D935&lt;=10)),$E935,IF($C934&lt;LataProjekcji,IF((SUM($K936:P936)+$C936)&lt;$C935,$C936,$C935-SUM($K936:P936)),0)),0)</f>
        <v>0</v>
      </c>
      <c r="R936" s="248">
        <f ca="1">ROUND(IF(OR(AND($C934=LataProjekcji,$E934&gt;0),AND($C934=LataProjekcji,$E934=0,$D935&lt;=10)),$E935,IF($C934&lt;LataProjekcji,IF((SUM($K936:Q936)+$C936)&lt;$C935,$C936,$C935-SUM($K936:Q936)),0)),0)</f>
        <v>0</v>
      </c>
      <c r="S936" s="248">
        <f ca="1">ROUND(IF(OR(AND($C934=LataProjekcji,$E934&gt;0),AND($C934=LataProjekcji,$E934=0,$D935&lt;=10)),$E935,IF($C934&lt;LataProjekcji,IF((SUM($K936:R936)+$C936)&lt;$C935,$C936,$C935-SUM($K936:R936)),0)),0)</f>
        <v>0</v>
      </c>
      <c r="T936" s="248">
        <f ca="1">ROUND(IF(OR(AND($C934=LataProjekcji,$E934&gt;0),AND($C934=LataProjekcji,$E934=0,$D935&lt;=10)),$E935,IF($C934&lt;LataProjekcji,IF((SUM($K936:S936)+$C936)&lt;$C935,$C936,$C935-SUM($K936:S936)),0)),0)</f>
        <v>0</v>
      </c>
      <c r="U936" s="248">
        <f ca="1">ROUND(IF(OR(AND($C934=LataProjekcji,$E934&gt;0),AND($C934=LataProjekcji,$E934=0,$D935&lt;=10)),$E935,IF($C934&lt;LataProjekcji,IF((SUM($K936:T936)+$C936)&lt;$C935,$C936,$C935-SUM($K936:T936)),0)),0)</f>
        <v>0</v>
      </c>
      <c r="V936" s="248">
        <f ca="1">ROUND(IF(OR(AND($C934=LataProjekcji,$E934&gt;0),AND($C934=LataProjekcji,$E934=0,$D935&lt;=10)),$E935,IF($C934&lt;LataProjekcji,IF((SUM($K936:U936)+$C936)&lt;$C935,$C936,$C935-SUM($K936:U936)),0)),0)</f>
        <v>0</v>
      </c>
      <c r="W936" s="248">
        <f ca="1">ROUND(IF(OR(AND($C934=LataProjekcji,$E934&gt;0),AND($C934=LataProjekcji,$E934=0,$D935&lt;=10)),$E935,IF($C934&lt;LataProjekcji,IF((SUM($K936:V936)+$C936)&lt;$C935,$C936,$C935-SUM($K936:V936)),0)),0)</f>
        <v>0</v>
      </c>
      <c r="X936" s="248">
        <f ca="1">ROUND(IF(OR(AND($C934=LataProjekcji,$E934&gt;0),AND($C934=LataProjekcji,$E934=0,$D935&lt;=10)),$E935,IF($C934&lt;LataProjekcji,IF((SUM($K936:W936)+$C936)&lt;$C935,$C936,$C935-SUM($K936:W936)),0)),0)</f>
        <v>0</v>
      </c>
    </row>
    <row r="937" spans="1:24" hidden="1">
      <c r="A937" s="259"/>
      <c r="B937" s="21" t="s">
        <v>416</v>
      </c>
      <c r="C937" s="22"/>
      <c r="D937" s="21"/>
      <c r="E937" s="21"/>
      <c r="F937" s="21"/>
      <c r="G937" s="21"/>
      <c r="I937" s="21"/>
      <c r="J937" s="21"/>
      <c r="K937" s="22">
        <f ca="1">ROUND(K936,0)</f>
        <v>0</v>
      </c>
      <c r="L937" s="22">
        <f t="shared" ref="L937:X937" ca="1" si="442">ROUND(K937+L936,0)</f>
        <v>0</v>
      </c>
      <c r="M937" s="22">
        <f t="shared" ca="1" si="442"/>
        <v>0</v>
      </c>
      <c r="N937" s="22">
        <f t="shared" ca="1" si="442"/>
        <v>0</v>
      </c>
      <c r="O937" s="22">
        <f t="shared" ca="1" si="442"/>
        <v>0</v>
      </c>
      <c r="P937" s="22">
        <f t="shared" ca="1" si="442"/>
        <v>0</v>
      </c>
      <c r="Q937" s="22">
        <f t="shared" ca="1" si="442"/>
        <v>0</v>
      </c>
      <c r="R937" s="22">
        <f t="shared" ca="1" si="442"/>
        <v>0</v>
      </c>
      <c r="S937" s="22">
        <f t="shared" ca="1" si="442"/>
        <v>0</v>
      </c>
      <c r="T937" s="22">
        <f t="shared" ca="1" si="442"/>
        <v>0</v>
      </c>
      <c r="U937" s="22">
        <f t="shared" ca="1" si="442"/>
        <v>0</v>
      </c>
      <c r="V937" s="22">
        <f t="shared" ca="1" si="442"/>
        <v>0</v>
      </c>
      <c r="W937" s="22">
        <f t="shared" ca="1" si="442"/>
        <v>0</v>
      </c>
      <c r="X937" s="22">
        <f t="shared" ca="1" si="442"/>
        <v>0</v>
      </c>
    </row>
    <row r="938" spans="1:24" hidden="1">
      <c r="A938" s="259"/>
      <c r="B938" s="21" t="s">
        <v>406</v>
      </c>
      <c r="C938" s="22"/>
      <c r="D938" s="21"/>
      <c r="E938" s="21"/>
      <c r="F938" s="21"/>
      <c r="G938" s="21"/>
      <c r="I938" s="21"/>
      <c r="J938" s="21"/>
      <c r="K938" s="77">
        <f t="shared" ref="K938:X938" ca="1" si="443">IF($C934=LataProjekcji,ROUND($C935-K937,0),ROUND(IF(K936=0,0,$C935-K937),0))</f>
        <v>0</v>
      </c>
      <c r="L938" s="77">
        <f t="shared" ca="1" si="443"/>
        <v>0</v>
      </c>
      <c r="M938" s="77">
        <f t="shared" ca="1" si="443"/>
        <v>0</v>
      </c>
      <c r="N938" s="77">
        <f t="shared" ca="1" si="443"/>
        <v>0</v>
      </c>
      <c r="O938" s="77">
        <f t="shared" ca="1" si="443"/>
        <v>0</v>
      </c>
      <c r="P938" s="77">
        <f t="shared" ca="1" si="443"/>
        <v>0</v>
      </c>
      <c r="Q938" s="77">
        <f t="shared" ca="1" si="443"/>
        <v>0</v>
      </c>
      <c r="R938" s="77">
        <f t="shared" ca="1" si="443"/>
        <v>0</v>
      </c>
      <c r="S938" s="77">
        <f t="shared" ca="1" si="443"/>
        <v>0</v>
      </c>
      <c r="T938" s="77">
        <f t="shared" ca="1" si="443"/>
        <v>0</v>
      </c>
      <c r="U938" s="77">
        <f t="shared" ca="1" si="443"/>
        <v>0</v>
      </c>
      <c r="V938" s="77">
        <f t="shared" ca="1" si="443"/>
        <v>0</v>
      </c>
      <c r="W938" s="77">
        <f t="shared" ca="1" si="443"/>
        <v>0</v>
      </c>
      <c r="X938" s="77">
        <f t="shared" ca="1" si="443"/>
        <v>0</v>
      </c>
    </row>
    <row r="939" spans="1:24" hidden="1">
      <c r="A939" s="259"/>
      <c r="B939" s="21"/>
      <c r="C939" s="22"/>
      <c r="D939" s="21"/>
      <c r="E939" s="21"/>
      <c r="F939" s="21"/>
      <c r="G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259"/>
      <c r="B940" s="20" t="s">
        <v>391</v>
      </c>
      <c r="C940" s="21">
        <f>C933+1</f>
        <v>120</v>
      </c>
      <c r="D940" s="483">
        <f>D933+1</f>
        <v>254</v>
      </c>
      <c r="E940" s="21"/>
      <c r="F940" s="21"/>
      <c r="G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 spans="1:24" hidden="1">
      <c r="A941" s="259"/>
      <c r="B941" s="21" t="s">
        <v>414</v>
      </c>
      <c r="C941" s="165">
        <f ca="1">IFERROR(YEAR(OFFSET($D$28,C940,0)),0)</f>
        <v>0</v>
      </c>
      <c r="D941" s="165">
        <f ca="1">IFERROR(MONTH(OFFSET($D$28,C940,0)),0)</f>
        <v>0</v>
      </c>
      <c r="E941" s="21">
        <f ca="1">12-$D941</f>
        <v>12</v>
      </c>
      <c r="F941" s="21"/>
      <c r="G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 spans="1:24" hidden="1">
      <c r="A942" s="259"/>
      <c r="B942" s="21" t="s">
        <v>406</v>
      </c>
      <c r="C942" s="245">
        <f ca="1">IF(OFFSET($F$28,C940,0)&lt;0,0,OFFSET($F$28,C940,0))</f>
        <v>0</v>
      </c>
      <c r="D942" s="22" t="str">
        <f ca="1">OFFSET($C$28,C940,0)</f>
        <v/>
      </c>
      <c r="E942" s="22">
        <f ca="1">IF(D942&gt;10,ROUND(($C943/12)*$E941,0),$C942)</f>
        <v>0</v>
      </c>
      <c r="F942" s="21"/>
      <c r="G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</row>
    <row r="943" spans="1:24" hidden="1">
      <c r="A943" s="259"/>
      <c r="B943" s="21" t="s">
        <v>415</v>
      </c>
      <c r="C943" s="245">
        <f ca="1">IF(ISBLANK(OFFSET($D$28,C940,0)),0,IF(OFFSET($C$28,C940,0)&gt;10,ROUND(C942*am_wnip,0),IF(C942&lt;0,0,C942)))</f>
        <v>0</v>
      </c>
      <c r="D943" s="21"/>
      <c r="E943" s="21"/>
      <c r="F943" s="21"/>
      <c r="G943" s="21"/>
      <c r="I943" s="21"/>
      <c r="J943" s="483" cm="1">
        <f t="array" aca="1" ref="J943" ca="1">OFFSET('Środki trwałe'!$C$195,'Rozliczenie dotacji'!D940,,)</f>
        <v>0</v>
      </c>
      <c r="K943" s="75">
        <f ca="1">ROUND(IF($C941=LataProjekcji,$E942,IF($C941=LataProjekcji,$C943,0)),0)</f>
        <v>0</v>
      </c>
      <c r="L943" s="248">
        <f ca="1">ROUND(IF(OR(AND($C941=LataProjekcji,$E941&gt;0),AND($C941=LataProjekcji,$E941=0,$D942&lt;=10)),$E942,IF($C941&lt;LataProjekcji,IF((SUM($K943:K943)+$C943)&lt;$C942,$C943,$C942-SUM($K943:K943)),0)),0)</f>
        <v>0</v>
      </c>
      <c r="M943" s="248">
        <f ca="1">ROUND(IF(OR(AND($C941=LataProjekcji,$E941&gt;0),AND($C941=LataProjekcji,$E941=0,$D942&lt;=10)),$E942,IF($C941&lt;LataProjekcji,IF((SUM($K943:L943)+$C943)&lt;$C942,$C943,$C942-SUM($K943:L943)),0)),0)</f>
        <v>0</v>
      </c>
      <c r="N943" s="248">
        <f ca="1">ROUND(IF(OR(AND($C941=LataProjekcji,$E941&gt;0),AND($C941=LataProjekcji,$E941=0,$D942&lt;=10)),$E942,IF($C941&lt;LataProjekcji,IF((SUM($K943:M943)+$C943)&lt;$C942,$C943,$C942-SUM($K943:M943)),0)),0)</f>
        <v>0</v>
      </c>
      <c r="O943" s="248">
        <f ca="1">ROUND(IF(OR(AND($C941=LataProjekcji,$E941&gt;0),AND($C941=LataProjekcji,$E941=0,$D942&lt;=10)),$E942,IF($C941&lt;LataProjekcji,IF((SUM($K943:N943)+$C943)&lt;$C942,$C943,$C942-SUM($K943:N943)),0)),0)</f>
        <v>0</v>
      </c>
      <c r="P943" s="248">
        <f ca="1">ROUND(IF(OR(AND($C941=LataProjekcji,$E941&gt;0),AND($C941=LataProjekcji,$E941=0,$D942&lt;=10)),$E942,IF($C941&lt;LataProjekcji,IF((SUM($K943:O943)+$C943)&lt;$C942,$C943,$C942-SUM($K943:O943)),0)),0)</f>
        <v>0</v>
      </c>
      <c r="Q943" s="248">
        <f ca="1">ROUND(IF(OR(AND($C941=LataProjekcji,$E941&gt;0),AND($C941=LataProjekcji,$E941=0,$D942&lt;=10)),$E942,IF($C941&lt;LataProjekcji,IF((SUM($K943:P943)+$C943)&lt;$C942,$C943,$C942-SUM($K943:P943)),0)),0)</f>
        <v>0</v>
      </c>
      <c r="R943" s="248">
        <f ca="1">ROUND(IF(OR(AND($C941=LataProjekcji,$E941&gt;0),AND($C941=LataProjekcji,$E941=0,$D942&lt;=10)),$E942,IF($C941&lt;LataProjekcji,IF((SUM($K943:Q943)+$C943)&lt;$C942,$C943,$C942-SUM($K943:Q943)),0)),0)</f>
        <v>0</v>
      </c>
      <c r="S943" s="248">
        <f ca="1">ROUND(IF(OR(AND($C941=LataProjekcji,$E941&gt;0),AND($C941=LataProjekcji,$E941=0,$D942&lt;=10)),$E942,IF($C941&lt;LataProjekcji,IF((SUM($K943:R943)+$C943)&lt;$C942,$C943,$C942-SUM($K943:R943)),0)),0)</f>
        <v>0</v>
      </c>
      <c r="T943" s="248">
        <f ca="1">ROUND(IF(OR(AND($C941=LataProjekcji,$E941&gt;0),AND($C941=LataProjekcji,$E941=0,$D942&lt;=10)),$E942,IF($C941&lt;LataProjekcji,IF((SUM($K943:S943)+$C943)&lt;$C942,$C943,$C942-SUM($K943:S943)),0)),0)</f>
        <v>0</v>
      </c>
      <c r="U943" s="248">
        <f ca="1">ROUND(IF(OR(AND($C941=LataProjekcji,$E941&gt;0),AND($C941=LataProjekcji,$E941=0,$D942&lt;=10)),$E942,IF($C941&lt;LataProjekcji,IF((SUM($K943:T943)+$C943)&lt;$C942,$C943,$C942-SUM($K943:T943)),0)),0)</f>
        <v>0</v>
      </c>
      <c r="V943" s="248">
        <f ca="1">ROUND(IF(OR(AND($C941=LataProjekcji,$E941&gt;0),AND($C941=LataProjekcji,$E941=0,$D942&lt;=10)),$E942,IF($C941&lt;LataProjekcji,IF((SUM($K943:U943)+$C943)&lt;$C942,$C943,$C942-SUM($K943:U943)),0)),0)</f>
        <v>0</v>
      </c>
      <c r="W943" s="248">
        <f ca="1">ROUND(IF(OR(AND($C941=LataProjekcji,$E941&gt;0),AND($C941=LataProjekcji,$E941=0,$D942&lt;=10)),$E942,IF($C941&lt;LataProjekcji,IF((SUM($K943:V943)+$C943)&lt;$C942,$C943,$C942-SUM($K943:V943)),0)),0)</f>
        <v>0</v>
      </c>
      <c r="X943" s="248">
        <f ca="1">ROUND(IF(OR(AND($C941=LataProjekcji,$E941&gt;0),AND($C941=LataProjekcji,$E941=0,$D942&lt;=10)),$E942,IF($C941&lt;LataProjekcji,IF((SUM($K943:W943)+$C943)&lt;$C942,$C943,$C942-SUM($K943:W943)),0)),0)</f>
        <v>0</v>
      </c>
    </row>
    <row r="944" spans="1:24" hidden="1">
      <c r="A944" s="259"/>
      <c r="B944" s="21" t="s">
        <v>416</v>
      </c>
      <c r="C944" s="22"/>
      <c r="D944" s="21"/>
      <c r="E944" s="21"/>
      <c r="F944" s="21"/>
      <c r="G944" s="21"/>
      <c r="I944" s="21"/>
      <c r="J944" s="21"/>
      <c r="K944" s="22">
        <f ca="1">ROUND(K943,0)</f>
        <v>0</v>
      </c>
      <c r="L944" s="22">
        <f t="shared" ref="L944:X944" ca="1" si="444">ROUND(K944+L943,0)</f>
        <v>0</v>
      </c>
      <c r="M944" s="22">
        <f t="shared" ca="1" si="444"/>
        <v>0</v>
      </c>
      <c r="N944" s="22">
        <f t="shared" ca="1" si="444"/>
        <v>0</v>
      </c>
      <c r="O944" s="22">
        <f t="shared" ca="1" si="444"/>
        <v>0</v>
      </c>
      <c r="P944" s="22">
        <f t="shared" ca="1" si="444"/>
        <v>0</v>
      </c>
      <c r="Q944" s="22">
        <f t="shared" ca="1" si="444"/>
        <v>0</v>
      </c>
      <c r="R944" s="22">
        <f t="shared" ca="1" si="444"/>
        <v>0</v>
      </c>
      <c r="S944" s="22">
        <f t="shared" ca="1" si="444"/>
        <v>0</v>
      </c>
      <c r="T944" s="22">
        <f t="shared" ca="1" si="444"/>
        <v>0</v>
      </c>
      <c r="U944" s="22">
        <f t="shared" ca="1" si="444"/>
        <v>0</v>
      </c>
      <c r="V944" s="22">
        <f t="shared" ca="1" si="444"/>
        <v>0</v>
      </c>
      <c r="W944" s="22">
        <f t="shared" ca="1" si="444"/>
        <v>0</v>
      </c>
      <c r="X944" s="22">
        <f t="shared" ca="1" si="444"/>
        <v>0</v>
      </c>
    </row>
    <row r="945" spans="1:24" hidden="1">
      <c r="A945" s="259"/>
      <c r="B945" s="21" t="s">
        <v>406</v>
      </c>
      <c r="C945" s="22"/>
      <c r="D945" s="21"/>
      <c r="E945" s="21"/>
      <c r="F945" s="21"/>
      <c r="G945" s="21"/>
      <c r="I945" s="21"/>
      <c r="J945" s="21"/>
      <c r="K945" s="77">
        <f t="shared" ref="K945:X945" ca="1" si="445">IF($C941=LataProjekcji,ROUND($C942-K944,0),ROUND(IF(K943=0,0,$C942-K944),0))</f>
        <v>0</v>
      </c>
      <c r="L945" s="77">
        <f t="shared" ca="1" si="445"/>
        <v>0</v>
      </c>
      <c r="M945" s="77">
        <f t="shared" ca="1" si="445"/>
        <v>0</v>
      </c>
      <c r="N945" s="77">
        <f t="shared" ca="1" si="445"/>
        <v>0</v>
      </c>
      <c r="O945" s="77">
        <f t="shared" ca="1" si="445"/>
        <v>0</v>
      </c>
      <c r="P945" s="77">
        <f t="shared" ca="1" si="445"/>
        <v>0</v>
      </c>
      <c r="Q945" s="77">
        <f t="shared" ca="1" si="445"/>
        <v>0</v>
      </c>
      <c r="R945" s="77">
        <f t="shared" ca="1" si="445"/>
        <v>0</v>
      </c>
      <c r="S945" s="77">
        <f t="shared" ca="1" si="445"/>
        <v>0</v>
      </c>
      <c r="T945" s="77">
        <f t="shared" ca="1" si="445"/>
        <v>0</v>
      </c>
      <c r="U945" s="77">
        <f t="shared" ca="1" si="445"/>
        <v>0</v>
      </c>
      <c r="V945" s="77">
        <f t="shared" ca="1" si="445"/>
        <v>0</v>
      </c>
      <c r="W945" s="77">
        <f t="shared" ca="1" si="445"/>
        <v>0</v>
      </c>
      <c r="X945" s="77">
        <f t="shared" ca="1" si="445"/>
        <v>0</v>
      </c>
    </row>
    <row r="946" spans="1:24" hidden="1">
      <c r="A946" s="259"/>
      <c r="B946" s="20"/>
      <c r="C946" s="21"/>
      <c r="D946" s="21"/>
      <c r="E946" s="21"/>
      <c r="F946" s="21"/>
      <c r="G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 spans="1:24" hidden="1">
      <c r="A947" s="259"/>
      <c r="B947" s="20" t="s">
        <v>391</v>
      </c>
      <c r="C947" s="21">
        <f>C940+1</f>
        <v>121</v>
      </c>
      <c r="D947" s="483">
        <f>D940+1</f>
        <v>255</v>
      </c>
      <c r="E947" s="21"/>
      <c r="F947" s="21"/>
      <c r="G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 spans="1:24" hidden="1">
      <c r="A948" s="259"/>
      <c r="B948" s="21" t="s">
        <v>414</v>
      </c>
      <c r="C948" s="165">
        <f ca="1">IFERROR(YEAR(OFFSET($D$28,C947,0)),0)</f>
        <v>0</v>
      </c>
      <c r="D948" s="165">
        <f ca="1">IFERROR(MONTH(OFFSET($D$28,C947,0)),0)</f>
        <v>0</v>
      </c>
      <c r="E948" s="21">
        <f ca="1">12-$D948</f>
        <v>12</v>
      </c>
      <c r="F948" s="21"/>
      <c r="G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 spans="1:24" hidden="1">
      <c r="A949" s="259"/>
      <c r="B949" s="21" t="s">
        <v>406</v>
      </c>
      <c r="C949" s="245">
        <f ca="1">IF(OFFSET($F$28,C947,0)&lt;0,0,OFFSET($F$28,C947,0))</f>
        <v>0</v>
      </c>
      <c r="D949" s="22" t="str">
        <f ca="1">OFFSET($C$28,C947,0)</f>
        <v/>
      </c>
      <c r="E949" s="22">
        <f ca="1">IF(D949&gt;10,ROUND(($C950/12)*$E948,0),$C949)</f>
        <v>0</v>
      </c>
      <c r="F949" s="21"/>
      <c r="G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259"/>
      <c r="B950" s="21" t="s">
        <v>415</v>
      </c>
      <c r="C950" s="245">
        <f ca="1">IF(ISBLANK(OFFSET($D$28,C947,0)),0,IF(OFFSET($C$28,C947,0)&gt;10,ROUND(C949*am_wnip,0),IF(C949&lt;0,0,C949)))</f>
        <v>0</v>
      </c>
      <c r="D950" s="21"/>
      <c r="E950" s="21"/>
      <c r="F950" s="21"/>
      <c r="G950" s="21"/>
      <c r="I950" s="21"/>
      <c r="J950" s="483" cm="1">
        <f t="array" aca="1" ref="J950" ca="1">OFFSET('Środki trwałe'!$C$195,'Rozliczenie dotacji'!D947,,)</f>
        <v>0</v>
      </c>
      <c r="K950" s="75">
        <f ca="1">ROUND(IF($C948=LataProjekcji,$E949,IF($C948=LataProjekcji,$C950,0)),0)</f>
        <v>0</v>
      </c>
      <c r="L950" s="248">
        <f ca="1">ROUND(IF(OR(AND($C948=LataProjekcji,$E948&gt;0),AND($C948=LataProjekcji,$E948=0,$D949&lt;=10)),$E949,IF($C948&lt;LataProjekcji,IF((SUM($K950:K950)+$C950)&lt;$C949,$C950,$C949-SUM($K950:K950)),0)),0)</f>
        <v>0</v>
      </c>
      <c r="M950" s="248">
        <f ca="1">ROUND(IF(OR(AND($C948=LataProjekcji,$E948&gt;0),AND($C948=LataProjekcji,$E948=0,$D949&lt;=10)),$E949,IF($C948&lt;LataProjekcji,IF((SUM($K950:L950)+$C950)&lt;$C949,$C950,$C949-SUM($K950:L950)),0)),0)</f>
        <v>0</v>
      </c>
      <c r="N950" s="248">
        <f ca="1">ROUND(IF(OR(AND($C948=LataProjekcji,$E948&gt;0),AND($C948=LataProjekcji,$E948=0,$D949&lt;=10)),$E949,IF($C948&lt;LataProjekcji,IF((SUM($K950:M950)+$C950)&lt;$C949,$C950,$C949-SUM($K950:M950)),0)),0)</f>
        <v>0</v>
      </c>
      <c r="O950" s="248">
        <f ca="1">ROUND(IF(OR(AND($C948=LataProjekcji,$E948&gt;0),AND($C948=LataProjekcji,$E948=0,$D949&lt;=10)),$E949,IF($C948&lt;LataProjekcji,IF((SUM($K950:N950)+$C950)&lt;$C949,$C950,$C949-SUM($K950:N950)),0)),0)</f>
        <v>0</v>
      </c>
      <c r="P950" s="248">
        <f ca="1">ROUND(IF(OR(AND($C948=LataProjekcji,$E948&gt;0),AND($C948=LataProjekcji,$E948=0,$D949&lt;=10)),$E949,IF($C948&lt;LataProjekcji,IF((SUM($K950:O950)+$C950)&lt;$C949,$C950,$C949-SUM($K950:O950)),0)),0)</f>
        <v>0</v>
      </c>
      <c r="Q950" s="248">
        <f ca="1">ROUND(IF(OR(AND($C948=LataProjekcji,$E948&gt;0),AND($C948=LataProjekcji,$E948=0,$D949&lt;=10)),$E949,IF($C948&lt;LataProjekcji,IF((SUM($K950:P950)+$C950)&lt;$C949,$C950,$C949-SUM($K950:P950)),0)),0)</f>
        <v>0</v>
      </c>
      <c r="R950" s="248">
        <f ca="1">ROUND(IF(OR(AND($C948=LataProjekcji,$E948&gt;0),AND($C948=LataProjekcji,$E948=0,$D949&lt;=10)),$E949,IF($C948&lt;LataProjekcji,IF((SUM($K950:Q950)+$C950)&lt;$C949,$C950,$C949-SUM($K950:Q950)),0)),0)</f>
        <v>0</v>
      </c>
      <c r="S950" s="248">
        <f ca="1">ROUND(IF(OR(AND($C948=LataProjekcji,$E948&gt;0),AND($C948=LataProjekcji,$E948=0,$D949&lt;=10)),$E949,IF($C948&lt;LataProjekcji,IF((SUM($K950:R950)+$C950)&lt;$C949,$C950,$C949-SUM($K950:R950)),0)),0)</f>
        <v>0</v>
      </c>
      <c r="T950" s="248">
        <f ca="1">ROUND(IF(OR(AND($C948=LataProjekcji,$E948&gt;0),AND($C948=LataProjekcji,$E948=0,$D949&lt;=10)),$E949,IF($C948&lt;LataProjekcji,IF((SUM($K950:S950)+$C950)&lt;$C949,$C950,$C949-SUM($K950:S950)),0)),0)</f>
        <v>0</v>
      </c>
      <c r="U950" s="248">
        <f ca="1">ROUND(IF(OR(AND($C948=LataProjekcji,$E948&gt;0),AND($C948=LataProjekcji,$E948=0,$D949&lt;=10)),$E949,IF($C948&lt;LataProjekcji,IF((SUM($K950:T950)+$C950)&lt;$C949,$C950,$C949-SUM($K950:T950)),0)),0)</f>
        <v>0</v>
      </c>
      <c r="V950" s="248">
        <f ca="1">ROUND(IF(OR(AND($C948=LataProjekcji,$E948&gt;0),AND($C948=LataProjekcji,$E948=0,$D949&lt;=10)),$E949,IF($C948&lt;LataProjekcji,IF((SUM($K950:U950)+$C950)&lt;$C949,$C950,$C949-SUM($K950:U950)),0)),0)</f>
        <v>0</v>
      </c>
      <c r="W950" s="248">
        <f ca="1">ROUND(IF(OR(AND($C948=LataProjekcji,$E948&gt;0),AND($C948=LataProjekcji,$E948=0,$D949&lt;=10)),$E949,IF($C948&lt;LataProjekcji,IF((SUM($K950:V950)+$C950)&lt;$C949,$C950,$C949-SUM($K950:V950)),0)),0)</f>
        <v>0</v>
      </c>
      <c r="X950" s="248">
        <f ca="1">ROUND(IF(OR(AND($C948=LataProjekcji,$E948&gt;0),AND($C948=LataProjekcji,$E948=0,$D949&lt;=10)),$E949,IF($C948&lt;LataProjekcji,IF((SUM($K950:W950)+$C950)&lt;$C949,$C950,$C949-SUM($K950:W950)),0)),0)</f>
        <v>0</v>
      </c>
    </row>
    <row r="951" spans="1:24" hidden="1">
      <c r="A951" s="259"/>
      <c r="B951" s="21" t="s">
        <v>416</v>
      </c>
      <c r="C951" s="22"/>
      <c r="D951" s="21"/>
      <c r="E951" s="21"/>
      <c r="F951" s="21"/>
      <c r="G951" s="21"/>
      <c r="I951" s="21"/>
      <c r="J951" s="21"/>
      <c r="K951" s="22">
        <f ca="1">ROUND(K950,0)</f>
        <v>0</v>
      </c>
      <c r="L951" s="22">
        <f t="shared" ref="L951:X951" ca="1" si="446">ROUND(K951+L950,0)</f>
        <v>0</v>
      </c>
      <c r="M951" s="22">
        <f t="shared" ca="1" si="446"/>
        <v>0</v>
      </c>
      <c r="N951" s="22">
        <f t="shared" ca="1" si="446"/>
        <v>0</v>
      </c>
      <c r="O951" s="22">
        <f t="shared" ca="1" si="446"/>
        <v>0</v>
      </c>
      <c r="P951" s="22">
        <f t="shared" ca="1" si="446"/>
        <v>0</v>
      </c>
      <c r="Q951" s="22">
        <f t="shared" ca="1" si="446"/>
        <v>0</v>
      </c>
      <c r="R951" s="22">
        <f t="shared" ca="1" si="446"/>
        <v>0</v>
      </c>
      <c r="S951" s="22">
        <f t="shared" ca="1" si="446"/>
        <v>0</v>
      </c>
      <c r="T951" s="22">
        <f t="shared" ca="1" si="446"/>
        <v>0</v>
      </c>
      <c r="U951" s="22">
        <f t="shared" ca="1" si="446"/>
        <v>0</v>
      </c>
      <c r="V951" s="22">
        <f t="shared" ca="1" si="446"/>
        <v>0</v>
      </c>
      <c r="W951" s="22">
        <f t="shared" ca="1" si="446"/>
        <v>0</v>
      </c>
      <c r="X951" s="22">
        <f t="shared" ca="1" si="446"/>
        <v>0</v>
      </c>
    </row>
    <row r="952" spans="1:24" hidden="1">
      <c r="A952" s="259"/>
      <c r="B952" s="21" t="s">
        <v>406</v>
      </c>
      <c r="C952" s="22"/>
      <c r="D952" s="21"/>
      <c r="E952" s="21"/>
      <c r="F952" s="21"/>
      <c r="G952" s="21"/>
      <c r="I952" s="21"/>
      <c r="J952" s="21"/>
      <c r="K952" s="77">
        <f t="shared" ref="K952:X952" ca="1" si="447">IF($C948=LataProjekcji,ROUND($C949-K951,0),ROUND(IF(K950=0,0,$C949-K951),0))</f>
        <v>0</v>
      </c>
      <c r="L952" s="77">
        <f t="shared" ca="1" si="447"/>
        <v>0</v>
      </c>
      <c r="M952" s="77">
        <f t="shared" ca="1" si="447"/>
        <v>0</v>
      </c>
      <c r="N952" s="77">
        <f t="shared" ca="1" si="447"/>
        <v>0</v>
      </c>
      <c r="O952" s="77">
        <f t="shared" ca="1" si="447"/>
        <v>0</v>
      </c>
      <c r="P952" s="77">
        <f t="shared" ca="1" si="447"/>
        <v>0</v>
      </c>
      <c r="Q952" s="77">
        <f t="shared" ca="1" si="447"/>
        <v>0</v>
      </c>
      <c r="R952" s="77">
        <f t="shared" ca="1" si="447"/>
        <v>0</v>
      </c>
      <c r="S952" s="77">
        <f t="shared" ca="1" si="447"/>
        <v>0</v>
      </c>
      <c r="T952" s="77">
        <f t="shared" ca="1" si="447"/>
        <v>0</v>
      </c>
      <c r="U952" s="77">
        <f t="shared" ca="1" si="447"/>
        <v>0</v>
      </c>
      <c r="V952" s="77">
        <f t="shared" ca="1" si="447"/>
        <v>0</v>
      </c>
      <c r="W952" s="77">
        <f t="shared" ca="1" si="447"/>
        <v>0</v>
      </c>
      <c r="X952" s="77">
        <f t="shared" ca="1" si="447"/>
        <v>0</v>
      </c>
    </row>
    <row r="953" spans="1:24" hidden="1">
      <c r="A953" s="259"/>
      <c r="B953" s="21"/>
      <c r="C953" s="22"/>
      <c r="D953" s="21"/>
      <c r="E953" s="21"/>
      <c r="F953" s="21"/>
      <c r="G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 spans="1:24" hidden="1">
      <c r="A954" s="259"/>
      <c r="B954" s="20" t="s">
        <v>391</v>
      </c>
      <c r="C954" s="21">
        <f>C947+1</f>
        <v>122</v>
      </c>
      <c r="D954" s="483">
        <f>D947+1</f>
        <v>256</v>
      </c>
      <c r="E954" s="21"/>
      <c r="F954" s="21"/>
      <c r="G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 spans="1:24" hidden="1">
      <c r="A955" s="259"/>
      <c r="B955" s="21" t="s">
        <v>414</v>
      </c>
      <c r="C955" s="165">
        <f ca="1">IFERROR(YEAR(OFFSET($D$28,C954,0)),0)</f>
        <v>0</v>
      </c>
      <c r="D955" s="165">
        <f ca="1">IFERROR(MONTH(OFFSET($D$28,C954,0)),0)</f>
        <v>0</v>
      </c>
      <c r="E955" s="21">
        <f ca="1">12-$D955</f>
        <v>12</v>
      </c>
      <c r="F955" s="21"/>
      <c r="G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259"/>
      <c r="B956" s="21" t="s">
        <v>406</v>
      </c>
      <c r="C956" s="245">
        <f ca="1">IF(OFFSET($F$28,C954,0)&lt;0,0,OFFSET($F$28,C954,0))</f>
        <v>0</v>
      </c>
      <c r="D956" s="22" t="str">
        <f ca="1">OFFSET($C$28,C954,0)</f>
        <v/>
      </c>
      <c r="E956" s="22">
        <f ca="1">IF(D956&gt;10,ROUND(($C957/12)*$E955,0),$C956)</f>
        <v>0</v>
      </c>
      <c r="F956" s="21"/>
      <c r="G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259"/>
      <c r="B957" s="21" t="s">
        <v>415</v>
      </c>
      <c r="C957" s="245">
        <f ca="1">IF(ISBLANK(OFFSET($D$28,C954,0)),0,IF(OFFSET($C$28,C954,0)&gt;10,ROUND(C956*am_wnip,0),IF(C956&lt;0,0,C956)))</f>
        <v>0</v>
      </c>
      <c r="D957" s="21"/>
      <c r="E957" s="21"/>
      <c r="F957" s="21"/>
      <c r="G957" s="21"/>
      <c r="I957" s="21"/>
      <c r="J957" s="483" cm="1">
        <f t="array" aca="1" ref="J957" ca="1">OFFSET('Środki trwałe'!$C$195,'Rozliczenie dotacji'!D954,,)</f>
        <v>0</v>
      </c>
      <c r="K957" s="75">
        <f ca="1">ROUND(IF($C955=LataProjekcji,$E956,IF($C955=LataProjekcji,$C957,0)),0)</f>
        <v>0</v>
      </c>
      <c r="L957" s="248">
        <f ca="1">ROUND(IF(OR(AND($C955=LataProjekcji,$E955&gt;0),AND($C955=LataProjekcji,$E955=0,$D956&lt;=10)),$E956,IF($C955&lt;LataProjekcji,IF((SUM($K957:K957)+$C957)&lt;$C956,$C957,$C956-SUM($K957:K957)),0)),0)</f>
        <v>0</v>
      </c>
      <c r="M957" s="248">
        <f ca="1">ROUND(IF(OR(AND($C955=LataProjekcji,$E955&gt;0),AND($C955=LataProjekcji,$E955=0,$D956&lt;=10)),$E956,IF($C955&lt;LataProjekcji,IF((SUM($K957:L957)+$C957)&lt;$C956,$C957,$C956-SUM($K957:L957)),0)),0)</f>
        <v>0</v>
      </c>
      <c r="N957" s="248">
        <f ca="1">ROUND(IF(OR(AND($C955=LataProjekcji,$E955&gt;0),AND($C955=LataProjekcji,$E955=0,$D956&lt;=10)),$E956,IF($C955&lt;LataProjekcji,IF((SUM($K957:M957)+$C957)&lt;$C956,$C957,$C956-SUM($K957:M957)),0)),0)</f>
        <v>0</v>
      </c>
      <c r="O957" s="248">
        <f ca="1">ROUND(IF(OR(AND($C955=LataProjekcji,$E955&gt;0),AND($C955=LataProjekcji,$E955=0,$D956&lt;=10)),$E956,IF($C955&lt;LataProjekcji,IF((SUM($K957:N957)+$C957)&lt;$C956,$C957,$C956-SUM($K957:N957)),0)),0)</f>
        <v>0</v>
      </c>
      <c r="P957" s="248">
        <f ca="1">ROUND(IF(OR(AND($C955=LataProjekcji,$E955&gt;0),AND($C955=LataProjekcji,$E955=0,$D956&lt;=10)),$E956,IF($C955&lt;LataProjekcji,IF((SUM($K957:O957)+$C957)&lt;$C956,$C957,$C956-SUM($K957:O957)),0)),0)</f>
        <v>0</v>
      </c>
      <c r="Q957" s="248">
        <f ca="1">ROUND(IF(OR(AND($C955=LataProjekcji,$E955&gt;0),AND($C955=LataProjekcji,$E955=0,$D956&lt;=10)),$E956,IF($C955&lt;LataProjekcji,IF((SUM($K957:P957)+$C957)&lt;$C956,$C957,$C956-SUM($K957:P957)),0)),0)</f>
        <v>0</v>
      </c>
      <c r="R957" s="248">
        <f ca="1">ROUND(IF(OR(AND($C955=LataProjekcji,$E955&gt;0),AND($C955=LataProjekcji,$E955=0,$D956&lt;=10)),$E956,IF($C955&lt;LataProjekcji,IF((SUM($K957:Q957)+$C957)&lt;$C956,$C957,$C956-SUM($K957:Q957)),0)),0)</f>
        <v>0</v>
      </c>
      <c r="S957" s="248">
        <f ca="1">ROUND(IF(OR(AND($C955=LataProjekcji,$E955&gt;0),AND($C955=LataProjekcji,$E955=0,$D956&lt;=10)),$E956,IF($C955&lt;LataProjekcji,IF((SUM($K957:R957)+$C957)&lt;$C956,$C957,$C956-SUM($K957:R957)),0)),0)</f>
        <v>0</v>
      </c>
      <c r="T957" s="248">
        <f ca="1">ROUND(IF(OR(AND($C955=LataProjekcji,$E955&gt;0),AND($C955=LataProjekcji,$E955=0,$D956&lt;=10)),$E956,IF($C955&lt;LataProjekcji,IF((SUM($K957:S957)+$C957)&lt;$C956,$C957,$C956-SUM($K957:S957)),0)),0)</f>
        <v>0</v>
      </c>
      <c r="U957" s="248">
        <f ca="1">ROUND(IF(OR(AND($C955=LataProjekcji,$E955&gt;0),AND($C955=LataProjekcji,$E955=0,$D956&lt;=10)),$E956,IF($C955&lt;LataProjekcji,IF((SUM($K957:T957)+$C957)&lt;$C956,$C957,$C956-SUM($K957:T957)),0)),0)</f>
        <v>0</v>
      </c>
      <c r="V957" s="248">
        <f ca="1">ROUND(IF(OR(AND($C955=LataProjekcji,$E955&gt;0),AND($C955=LataProjekcji,$E955=0,$D956&lt;=10)),$E956,IF($C955&lt;LataProjekcji,IF((SUM($K957:U957)+$C957)&lt;$C956,$C957,$C956-SUM($K957:U957)),0)),0)</f>
        <v>0</v>
      </c>
      <c r="W957" s="248">
        <f ca="1">ROUND(IF(OR(AND($C955=LataProjekcji,$E955&gt;0),AND($C955=LataProjekcji,$E955=0,$D956&lt;=10)),$E956,IF($C955&lt;LataProjekcji,IF((SUM($K957:V957)+$C957)&lt;$C956,$C957,$C956-SUM($K957:V957)),0)),0)</f>
        <v>0</v>
      </c>
      <c r="X957" s="248">
        <f ca="1">ROUND(IF(OR(AND($C955=LataProjekcji,$E955&gt;0),AND($C955=LataProjekcji,$E955=0,$D956&lt;=10)),$E956,IF($C955&lt;LataProjekcji,IF((SUM($K957:W957)+$C957)&lt;$C956,$C957,$C956-SUM($K957:W957)),0)),0)</f>
        <v>0</v>
      </c>
    </row>
    <row r="958" spans="1:24" hidden="1">
      <c r="A958" s="259"/>
      <c r="B958" s="21" t="s">
        <v>416</v>
      </c>
      <c r="C958" s="22"/>
      <c r="D958" s="21"/>
      <c r="E958" s="21"/>
      <c r="F958" s="21"/>
      <c r="G958" s="21"/>
      <c r="I958" s="21"/>
      <c r="J958" s="21"/>
      <c r="K958" s="22">
        <f ca="1">ROUND(K957,0)</f>
        <v>0</v>
      </c>
      <c r="L958" s="22">
        <f t="shared" ref="L958:X958" ca="1" si="448">ROUND(K958+L957,0)</f>
        <v>0</v>
      </c>
      <c r="M958" s="22">
        <f t="shared" ca="1" si="448"/>
        <v>0</v>
      </c>
      <c r="N958" s="22">
        <f t="shared" ca="1" si="448"/>
        <v>0</v>
      </c>
      <c r="O958" s="22">
        <f t="shared" ca="1" si="448"/>
        <v>0</v>
      </c>
      <c r="P958" s="22">
        <f t="shared" ca="1" si="448"/>
        <v>0</v>
      </c>
      <c r="Q958" s="22">
        <f t="shared" ca="1" si="448"/>
        <v>0</v>
      </c>
      <c r="R958" s="22">
        <f t="shared" ca="1" si="448"/>
        <v>0</v>
      </c>
      <c r="S958" s="22">
        <f t="shared" ca="1" si="448"/>
        <v>0</v>
      </c>
      <c r="T958" s="22">
        <f t="shared" ca="1" si="448"/>
        <v>0</v>
      </c>
      <c r="U958" s="22">
        <f t="shared" ca="1" si="448"/>
        <v>0</v>
      </c>
      <c r="V958" s="22">
        <f t="shared" ca="1" si="448"/>
        <v>0</v>
      </c>
      <c r="W958" s="22">
        <f t="shared" ca="1" si="448"/>
        <v>0</v>
      </c>
      <c r="X958" s="22">
        <f t="shared" ca="1" si="448"/>
        <v>0</v>
      </c>
    </row>
    <row r="959" spans="1:24" hidden="1">
      <c r="A959" s="259"/>
      <c r="B959" s="21" t="s">
        <v>406</v>
      </c>
      <c r="C959" s="22"/>
      <c r="D959" s="21"/>
      <c r="E959" s="21"/>
      <c r="F959" s="21"/>
      <c r="G959" s="21"/>
      <c r="I959" s="21"/>
      <c r="J959" s="21"/>
      <c r="K959" s="77">
        <f t="shared" ref="K959:X959" ca="1" si="449">IF($C955=LataProjekcji,ROUND($C956-K958,0),ROUND(IF(K957=0,0,$C956-K958),0))</f>
        <v>0</v>
      </c>
      <c r="L959" s="77">
        <f t="shared" ca="1" si="449"/>
        <v>0</v>
      </c>
      <c r="M959" s="77">
        <f t="shared" ca="1" si="449"/>
        <v>0</v>
      </c>
      <c r="N959" s="77">
        <f t="shared" ca="1" si="449"/>
        <v>0</v>
      </c>
      <c r="O959" s="77">
        <f t="shared" ca="1" si="449"/>
        <v>0</v>
      </c>
      <c r="P959" s="77">
        <f t="shared" ca="1" si="449"/>
        <v>0</v>
      </c>
      <c r="Q959" s="77">
        <f t="shared" ca="1" si="449"/>
        <v>0</v>
      </c>
      <c r="R959" s="77">
        <f t="shared" ca="1" si="449"/>
        <v>0</v>
      </c>
      <c r="S959" s="77">
        <f t="shared" ca="1" si="449"/>
        <v>0</v>
      </c>
      <c r="T959" s="77">
        <f t="shared" ca="1" si="449"/>
        <v>0</v>
      </c>
      <c r="U959" s="77">
        <f t="shared" ca="1" si="449"/>
        <v>0</v>
      </c>
      <c r="V959" s="77">
        <f t="shared" ca="1" si="449"/>
        <v>0</v>
      </c>
      <c r="W959" s="77">
        <f t="shared" ca="1" si="449"/>
        <v>0</v>
      </c>
      <c r="X959" s="77">
        <f t="shared" ca="1" si="449"/>
        <v>0</v>
      </c>
    </row>
    <row r="960" spans="1:24" hidden="1">
      <c r="A960" s="259"/>
      <c r="B960" s="21"/>
      <c r="C960" s="22"/>
      <c r="D960" s="21"/>
      <c r="E960" s="21"/>
      <c r="F960" s="21"/>
      <c r="G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 spans="1:24" hidden="1">
      <c r="A961" s="259"/>
      <c r="B961" s="20" t="s">
        <v>391</v>
      </c>
      <c r="C961" s="21">
        <f>C954+1</f>
        <v>123</v>
      </c>
      <c r="D961" s="483">
        <f>D954+1</f>
        <v>257</v>
      </c>
      <c r="E961" s="21"/>
      <c r="F961" s="21"/>
      <c r="G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259"/>
      <c r="B962" s="21" t="s">
        <v>414</v>
      </c>
      <c r="C962" s="165">
        <f ca="1">IFERROR(YEAR(OFFSET($D$28,C961,0)),0)</f>
        <v>0</v>
      </c>
      <c r="D962" s="165">
        <f ca="1">IFERROR(MONTH(OFFSET($D$28,C961,0)),0)</f>
        <v>0</v>
      </c>
      <c r="E962" s="21">
        <f ca="1">12-$D962</f>
        <v>12</v>
      </c>
      <c r="F962" s="21"/>
      <c r="G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259"/>
      <c r="B963" s="21" t="s">
        <v>406</v>
      </c>
      <c r="C963" s="245">
        <f ca="1">IF(OFFSET($F$28,C961,0)&lt;0,0,OFFSET($F$28,C961,0))</f>
        <v>0</v>
      </c>
      <c r="D963" s="22" t="str">
        <f ca="1">OFFSET($C$28,C961,0)</f>
        <v/>
      </c>
      <c r="E963" s="22">
        <f ca="1">IF(D963&gt;10,ROUND(($C964/12)*$E962,0),$C963)</f>
        <v>0</v>
      </c>
      <c r="F963" s="21"/>
      <c r="G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259"/>
      <c r="B964" s="21" t="s">
        <v>415</v>
      </c>
      <c r="C964" s="245">
        <f ca="1">IF(ISBLANK(OFFSET($D$28,C961,0)),0,IF(OFFSET($C$28,C961,0)&gt;10,ROUND(C963*am_wnip,0),IF(C963&lt;0,0,C963)))</f>
        <v>0</v>
      </c>
      <c r="D964" s="21"/>
      <c r="E964" s="21"/>
      <c r="F964" s="21"/>
      <c r="G964" s="21"/>
      <c r="I964" s="21"/>
      <c r="J964" s="483" cm="1">
        <f t="array" aca="1" ref="J964" ca="1">OFFSET('Środki trwałe'!$C$195,'Rozliczenie dotacji'!D961,,)</f>
        <v>0</v>
      </c>
      <c r="K964" s="75">
        <f ca="1">ROUND(IF($C962=LataProjekcji,$E963,IF($C962=LataProjekcji,$C964,0)),0)</f>
        <v>0</v>
      </c>
      <c r="L964" s="248">
        <f ca="1">ROUND(IF(OR(AND($C962=LataProjekcji,$E962&gt;0),AND($C962=LataProjekcji,$E962=0,$D963&lt;=10)),$E963,IF($C962&lt;LataProjekcji,IF((SUM($K964:K964)+$C964)&lt;$C963,$C964,$C963-SUM($K964:K964)),0)),0)</f>
        <v>0</v>
      </c>
      <c r="M964" s="248">
        <f ca="1">ROUND(IF(OR(AND($C962=LataProjekcji,$E962&gt;0),AND($C962=LataProjekcji,$E962=0,$D963&lt;=10)),$E963,IF($C962&lt;LataProjekcji,IF((SUM($K964:L964)+$C964)&lt;$C963,$C964,$C963-SUM($K964:L964)),0)),0)</f>
        <v>0</v>
      </c>
      <c r="N964" s="248">
        <f ca="1">ROUND(IF(OR(AND($C962=LataProjekcji,$E962&gt;0),AND($C962=LataProjekcji,$E962=0,$D963&lt;=10)),$E963,IF($C962&lt;LataProjekcji,IF((SUM($K964:M964)+$C964)&lt;$C963,$C964,$C963-SUM($K964:M964)),0)),0)</f>
        <v>0</v>
      </c>
      <c r="O964" s="248">
        <f ca="1">ROUND(IF(OR(AND($C962=LataProjekcji,$E962&gt;0),AND($C962=LataProjekcji,$E962=0,$D963&lt;=10)),$E963,IF($C962&lt;LataProjekcji,IF((SUM($K964:N964)+$C964)&lt;$C963,$C964,$C963-SUM($K964:N964)),0)),0)</f>
        <v>0</v>
      </c>
      <c r="P964" s="248">
        <f ca="1">ROUND(IF(OR(AND($C962=LataProjekcji,$E962&gt;0),AND($C962=LataProjekcji,$E962=0,$D963&lt;=10)),$E963,IF($C962&lt;LataProjekcji,IF((SUM($K964:O964)+$C964)&lt;$C963,$C964,$C963-SUM($K964:O964)),0)),0)</f>
        <v>0</v>
      </c>
      <c r="Q964" s="248">
        <f ca="1">ROUND(IF(OR(AND($C962=LataProjekcji,$E962&gt;0),AND($C962=LataProjekcji,$E962=0,$D963&lt;=10)),$E963,IF($C962&lt;LataProjekcji,IF((SUM($K964:P964)+$C964)&lt;$C963,$C964,$C963-SUM($K964:P964)),0)),0)</f>
        <v>0</v>
      </c>
      <c r="R964" s="248">
        <f ca="1">ROUND(IF(OR(AND($C962=LataProjekcji,$E962&gt;0),AND($C962=LataProjekcji,$E962=0,$D963&lt;=10)),$E963,IF($C962&lt;LataProjekcji,IF((SUM($K964:Q964)+$C964)&lt;$C963,$C964,$C963-SUM($K964:Q964)),0)),0)</f>
        <v>0</v>
      </c>
      <c r="S964" s="248">
        <f ca="1">ROUND(IF(OR(AND($C962=LataProjekcji,$E962&gt;0),AND($C962=LataProjekcji,$E962=0,$D963&lt;=10)),$E963,IF($C962&lt;LataProjekcji,IF((SUM($K964:R964)+$C964)&lt;$C963,$C964,$C963-SUM($K964:R964)),0)),0)</f>
        <v>0</v>
      </c>
      <c r="T964" s="248">
        <f ca="1">ROUND(IF(OR(AND($C962=LataProjekcji,$E962&gt;0),AND($C962=LataProjekcji,$E962=0,$D963&lt;=10)),$E963,IF($C962&lt;LataProjekcji,IF((SUM($K964:S964)+$C964)&lt;$C963,$C964,$C963-SUM($K964:S964)),0)),0)</f>
        <v>0</v>
      </c>
      <c r="U964" s="248">
        <f ca="1">ROUND(IF(OR(AND($C962=LataProjekcji,$E962&gt;0),AND($C962=LataProjekcji,$E962=0,$D963&lt;=10)),$E963,IF($C962&lt;LataProjekcji,IF((SUM($K964:T964)+$C964)&lt;$C963,$C964,$C963-SUM($K964:T964)),0)),0)</f>
        <v>0</v>
      </c>
      <c r="V964" s="248">
        <f ca="1">ROUND(IF(OR(AND($C962=LataProjekcji,$E962&gt;0),AND($C962=LataProjekcji,$E962=0,$D963&lt;=10)),$E963,IF($C962&lt;LataProjekcji,IF((SUM($K964:U964)+$C964)&lt;$C963,$C964,$C963-SUM($K964:U964)),0)),0)</f>
        <v>0</v>
      </c>
      <c r="W964" s="248">
        <f ca="1">ROUND(IF(OR(AND($C962=LataProjekcji,$E962&gt;0),AND($C962=LataProjekcji,$E962=0,$D963&lt;=10)),$E963,IF($C962&lt;LataProjekcji,IF((SUM($K964:V964)+$C964)&lt;$C963,$C964,$C963-SUM($K964:V964)),0)),0)</f>
        <v>0</v>
      </c>
      <c r="X964" s="248">
        <f ca="1">ROUND(IF(OR(AND($C962=LataProjekcji,$E962&gt;0),AND($C962=LataProjekcji,$E962=0,$D963&lt;=10)),$E963,IF($C962&lt;LataProjekcji,IF((SUM($K964:W964)+$C964)&lt;$C963,$C964,$C963-SUM($K964:W964)),0)),0)</f>
        <v>0</v>
      </c>
    </row>
    <row r="965" spans="1:24" hidden="1">
      <c r="A965" s="259"/>
      <c r="B965" s="21" t="s">
        <v>416</v>
      </c>
      <c r="C965" s="22"/>
      <c r="D965" s="21"/>
      <c r="E965" s="21"/>
      <c r="F965" s="21"/>
      <c r="G965" s="21"/>
      <c r="I965" s="21"/>
      <c r="J965" s="21"/>
      <c r="K965" s="22">
        <f ca="1">ROUND(K964,0)</f>
        <v>0</v>
      </c>
      <c r="L965" s="22">
        <f t="shared" ref="L965:X965" ca="1" si="450">ROUND(K965+L964,0)</f>
        <v>0</v>
      </c>
      <c r="M965" s="22">
        <f t="shared" ca="1" si="450"/>
        <v>0</v>
      </c>
      <c r="N965" s="22">
        <f t="shared" ca="1" si="450"/>
        <v>0</v>
      </c>
      <c r="O965" s="22">
        <f t="shared" ca="1" si="450"/>
        <v>0</v>
      </c>
      <c r="P965" s="22">
        <f t="shared" ca="1" si="450"/>
        <v>0</v>
      </c>
      <c r="Q965" s="22">
        <f t="shared" ca="1" si="450"/>
        <v>0</v>
      </c>
      <c r="R965" s="22">
        <f t="shared" ca="1" si="450"/>
        <v>0</v>
      </c>
      <c r="S965" s="22">
        <f t="shared" ca="1" si="450"/>
        <v>0</v>
      </c>
      <c r="T965" s="22">
        <f t="shared" ca="1" si="450"/>
        <v>0</v>
      </c>
      <c r="U965" s="22">
        <f t="shared" ca="1" si="450"/>
        <v>0</v>
      </c>
      <c r="V965" s="22">
        <f t="shared" ca="1" si="450"/>
        <v>0</v>
      </c>
      <c r="W965" s="22">
        <f t="shared" ca="1" si="450"/>
        <v>0</v>
      </c>
      <c r="X965" s="22">
        <f t="shared" ca="1" si="450"/>
        <v>0</v>
      </c>
    </row>
    <row r="966" spans="1:24" hidden="1">
      <c r="A966" s="259"/>
      <c r="B966" s="21" t="s">
        <v>406</v>
      </c>
      <c r="C966" s="22"/>
      <c r="D966" s="21"/>
      <c r="E966" s="21"/>
      <c r="F966" s="21"/>
      <c r="G966" s="21"/>
      <c r="I966" s="21"/>
      <c r="J966" s="21"/>
      <c r="K966" s="77">
        <f t="shared" ref="K966:X966" ca="1" si="451">IF($C962=LataProjekcji,ROUND($C963-K965,0),ROUND(IF(K964=0,0,$C963-K965),0))</f>
        <v>0</v>
      </c>
      <c r="L966" s="77">
        <f t="shared" ca="1" si="451"/>
        <v>0</v>
      </c>
      <c r="M966" s="77">
        <f t="shared" ca="1" si="451"/>
        <v>0</v>
      </c>
      <c r="N966" s="77">
        <f t="shared" ca="1" si="451"/>
        <v>0</v>
      </c>
      <c r="O966" s="77">
        <f t="shared" ca="1" si="451"/>
        <v>0</v>
      </c>
      <c r="P966" s="77">
        <f t="shared" ca="1" si="451"/>
        <v>0</v>
      </c>
      <c r="Q966" s="77">
        <f t="shared" ca="1" si="451"/>
        <v>0</v>
      </c>
      <c r="R966" s="77">
        <f t="shared" ca="1" si="451"/>
        <v>0</v>
      </c>
      <c r="S966" s="77">
        <f t="shared" ca="1" si="451"/>
        <v>0</v>
      </c>
      <c r="T966" s="77">
        <f t="shared" ca="1" si="451"/>
        <v>0</v>
      </c>
      <c r="U966" s="77">
        <f t="shared" ca="1" si="451"/>
        <v>0</v>
      </c>
      <c r="V966" s="77">
        <f t="shared" ca="1" si="451"/>
        <v>0</v>
      </c>
      <c r="W966" s="77">
        <f t="shared" ca="1" si="451"/>
        <v>0</v>
      </c>
      <c r="X966" s="77">
        <f t="shared" ca="1" si="451"/>
        <v>0</v>
      </c>
    </row>
    <row r="967" spans="1:24" hidden="1">
      <c r="A967" s="259"/>
      <c r="B967" s="20"/>
      <c r="C967" s="21"/>
      <c r="D967" s="21"/>
      <c r="E967" s="21"/>
      <c r="F967" s="21"/>
      <c r="G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259"/>
      <c r="B968" s="20" t="s">
        <v>391</v>
      </c>
      <c r="C968" s="21">
        <f>C961+1</f>
        <v>124</v>
      </c>
      <c r="D968" s="483">
        <f>D961+1</f>
        <v>258</v>
      </c>
      <c r="E968" s="21"/>
      <c r="F968" s="21"/>
      <c r="G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259"/>
      <c r="B969" s="21" t="s">
        <v>414</v>
      </c>
      <c r="C969" s="165">
        <f ca="1">IFERROR(YEAR(OFFSET($D$28,C968,0)),0)</f>
        <v>0</v>
      </c>
      <c r="D969" s="165">
        <f ca="1">IFERROR(MONTH(OFFSET($D$28,C968,0)),0)</f>
        <v>0</v>
      </c>
      <c r="E969" s="21">
        <f ca="1">12-$D969</f>
        <v>12</v>
      </c>
      <c r="F969" s="21"/>
      <c r="G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259"/>
      <c r="B970" s="21" t="s">
        <v>406</v>
      </c>
      <c r="C970" s="245">
        <f ca="1">IF(OFFSET($F$28,C968,0)&lt;0,0,OFFSET($F$28,C968,0))</f>
        <v>0</v>
      </c>
      <c r="D970" s="22" t="str">
        <f ca="1">OFFSET($C$28,C968,0)</f>
        <v/>
      </c>
      <c r="E970" s="22">
        <f ca="1">IF(D970&gt;10,ROUND(($C971/12)*$E969,0),$C970)</f>
        <v>0</v>
      </c>
      <c r="F970" s="21"/>
      <c r="G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</row>
    <row r="971" spans="1:24" hidden="1">
      <c r="A971" s="259"/>
      <c r="B971" s="21" t="s">
        <v>415</v>
      </c>
      <c r="C971" s="245">
        <f ca="1">IF(ISBLANK(OFFSET($D$28,C968,0)),0,IF(OFFSET($C$28,C968,0)&gt;10,ROUND(C970*am_wnip,0),IF(C970&lt;0,0,C970)))</f>
        <v>0</v>
      </c>
      <c r="D971" s="21"/>
      <c r="E971" s="21"/>
      <c r="F971" s="21"/>
      <c r="G971" s="21"/>
      <c r="I971" s="21"/>
      <c r="J971" s="483" cm="1">
        <f t="array" aca="1" ref="J971" ca="1">OFFSET('Środki trwałe'!$C$195,'Rozliczenie dotacji'!D968,,)</f>
        <v>0</v>
      </c>
      <c r="K971" s="75">
        <f ca="1">ROUND(IF($C969=LataProjekcji,$E970,IF($C969=LataProjekcji,$C971,0)),0)</f>
        <v>0</v>
      </c>
      <c r="L971" s="248">
        <f ca="1">ROUND(IF(OR(AND($C969=LataProjekcji,$E969&gt;0),AND($C969=LataProjekcji,$E969=0,$D970&lt;=10)),$E970,IF($C969&lt;LataProjekcji,IF((SUM($K971:K971)+$C971)&lt;$C970,$C971,$C970-SUM($K971:K971)),0)),0)</f>
        <v>0</v>
      </c>
      <c r="M971" s="248">
        <f ca="1">ROUND(IF(OR(AND($C969=LataProjekcji,$E969&gt;0),AND($C969=LataProjekcji,$E969=0,$D970&lt;=10)),$E970,IF($C969&lt;LataProjekcji,IF((SUM($K971:L971)+$C971)&lt;$C970,$C971,$C970-SUM($K971:L971)),0)),0)</f>
        <v>0</v>
      </c>
      <c r="N971" s="248">
        <f ca="1">ROUND(IF(OR(AND($C969=LataProjekcji,$E969&gt;0),AND($C969=LataProjekcji,$E969=0,$D970&lt;=10)),$E970,IF($C969&lt;LataProjekcji,IF((SUM($K971:M971)+$C971)&lt;$C970,$C971,$C970-SUM($K971:M971)),0)),0)</f>
        <v>0</v>
      </c>
      <c r="O971" s="248">
        <f ca="1">ROUND(IF(OR(AND($C969=LataProjekcji,$E969&gt;0),AND($C969=LataProjekcji,$E969=0,$D970&lt;=10)),$E970,IF($C969&lt;LataProjekcji,IF((SUM($K971:N971)+$C971)&lt;$C970,$C971,$C970-SUM($K971:N971)),0)),0)</f>
        <v>0</v>
      </c>
      <c r="P971" s="248">
        <f ca="1">ROUND(IF(OR(AND($C969=LataProjekcji,$E969&gt;0),AND($C969=LataProjekcji,$E969=0,$D970&lt;=10)),$E970,IF($C969&lt;LataProjekcji,IF((SUM($K971:O971)+$C971)&lt;$C970,$C971,$C970-SUM($K971:O971)),0)),0)</f>
        <v>0</v>
      </c>
      <c r="Q971" s="248">
        <f ca="1">ROUND(IF(OR(AND($C969=LataProjekcji,$E969&gt;0),AND($C969=LataProjekcji,$E969=0,$D970&lt;=10)),$E970,IF($C969&lt;LataProjekcji,IF((SUM($K971:P971)+$C971)&lt;$C970,$C971,$C970-SUM($K971:P971)),0)),0)</f>
        <v>0</v>
      </c>
      <c r="R971" s="248">
        <f ca="1">ROUND(IF(OR(AND($C969=LataProjekcji,$E969&gt;0),AND($C969=LataProjekcji,$E969=0,$D970&lt;=10)),$E970,IF($C969&lt;LataProjekcji,IF((SUM($K971:Q971)+$C971)&lt;$C970,$C971,$C970-SUM($K971:Q971)),0)),0)</f>
        <v>0</v>
      </c>
      <c r="S971" s="248">
        <f ca="1">ROUND(IF(OR(AND($C969=LataProjekcji,$E969&gt;0),AND($C969=LataProjekcji,$E969=0,$D970&lt;=10)),$E970,IF($C969&lt;LataProjekcji,IF((SUM($K971:R971)+$C971)&lt;$C970,$C971,$C970-SUM($K971:R971)),0)),0)</f>
        <v>0</v>
      </c>
      <c r="T971" s="248">
        <f ca="1">ROUND(IF(OR(AND($C969=LataProjekcji,$E969&gt;0),AND($C969=LataProjekcji,$E969=0,$D970&lt;=10)),$E970,IF($C969&lt;LataProjekcji,IF((SUM($K971:S971)+$C971)&lt;$C970,$C971,$C970-SUM($K971:S971)),0)),0)</f>
        <v>0</v>
      </c>
      <c r="U971" s="248">
        <f ca="1">ROUND(IF(OR(AND($C969=LataProjekcji,$E969&gt;0),AND($C969=LataProjekcji,$E969=0,$D970&lt;=10)),$E970,IF($C969&lt;LataProjekcji,IF((SUM($K971:T971)+$C971)&lt;$C970,$C971,$C970-SUM($K971:T971)),0)),0)</f>
        <v>0</v>
      </c>
      <c r="V971" s="248">
        <f ca="1">ROUND(IF(OR(AND($C969=LataProjekcji,$E969&gt;0),AND($C969=LataProjekcji,$E969=0,$D970&lt;=10)),$E970,IF($C969&lt;LataProjekcji,IF((SUM($K971:U971)+$C971)&lt;$C970,$C971,$C970-SUM($K971:U971)),0)),0)</f>
        <v>0</v>
      </c>
      <c r="W971" s="248">
        <f ca="1">ROUND(IF(OR(AND($C969=LataProjekcji,$E969&gt;0),AND($C969=LataProjekcji,$E969=0,$D970&lt;=10)),$E970,IF($C969&lt;LataProjekcji,IF((SUM($K971:V971)+$C971)&lt;$C970,$C971,$C970-SUM($K971:V971)),0)),0)</f>
        <v>0</v>
      </c>
      <c r="X971" s="248">
        <f ca="1">ROUND(IF(OR(AND($C969=LataProjekcji,$E969&gt;0),AND($C969=LataProjekcji,$E969=0,$D970&lt;=10)),$E970,IF($C969&lt;LataProjekcji,IF((SUM($K971:W971)+$C971)&lt;$C970,$C971,$C970-SUM($K971:W971)),0)),0)</f>
        <v>0</v>
      </c>
    </row>
    <row r="972" spans="1:24" hidden="1">
      <c r="A972" s="259"/>
      <c r="B972" s="21" t="s">
        <v>416</v>
      </c>
      <c r="C972" s="22"/>
      <c r="D972" s="21"/>
      <c r="E972" s="21"/>
      <c r="F972" s="21"/>
      <c r="G972" s="21"/>
      <c r="I972" s="21"/>
      <c r="J972" s="21"/>
      <c r="K972" s="22">
        <f ca="1">ROUND(K971,0)</f>
        <v>0</v>
      </c>
      <c r="L972" s="22">
        <f t="shared" ref="L972:X972" ca="1" si="452">ROUND(K972+L971,0)</f>
        <v>0</v>
      </c>
      <c r="M972" s="22">
        <f t="shared" ca="1" si="452"/>
        <v>0</v>
      </c>
      <c r="N972" s="22">
        <f t="shared" ca="1" si="452"/>
        <v>0</v>
      </c>
      <c r="O972" s="22">
        <f t="shared" ca="1" si="452"/>
        <v>0</v>
      </c>
      <c r="P972" s="22">
        <f t="shared" ca="1" si="452"/>
        <v>0</v>
      </c>
      <c r="Q972" s="22">
        <f t="shared" ca="1" si="452"/>
        <v>0</v>
      </c>
      <c r="R972" s="22">
        <f t="shared" ca="1" si="452"/>
        <v>0</v>
      </c>
      <c r="S972" s="22">
        <f t="shared" ca="1" si="452"/>
        <v>0</v>
      </c>
      <c r="T972" s="22">
        <f t="shared" ca="1" si="452"/>
        <v>0</v>
      </c>
      <c r="U972" s="22">
        <f t="shared" ca="1" si="452"/>
        <v>0</v>
      </c>
      <c r="V972" s="22">
        <f t="shared" ca="1" si="452"/>
        <v>0</v>
      </c>
      <c r="W972" s="22">
        <f t="shared" ca="1" si="452"/>
        <v>0</v>
      </c>
      <c r="X972" s="22">
        <f t="shared" ca="1" si="452"/>
        <v>0</v>
      </c>
    </row>
    <row r="973" spans="1:24" hidden="1">
      <c r="A973" s="259"/>
      <c r="B973" s="21" t="s">
        <v>406</v>
      </c>
      <c r="C973" s="22"/>
      <c r="D973" s="21"/>
      <c r="E973" s="21"/>
      <c r="F973" s="21"/>
      <c r="G973" s="21"/>
      <c r="I973" s="21"/>
      <c r="J973" s="21"/>
      <c r="K973" s="77">
        <f t="shared" ref="K973:X973" ca="1" si="453">IF($C969=LataProjekcji,ROUND($C970-K972,0),ROUND(IF(K971=0,0,$C970-K972),0))</f>
        <v>0</v>
      </c>
      <c r="L973" s="77">
        <f t="shared" ca="1" si="453"/>
        <v>0</v>
      </c>
      <c r="M973" s="77">
        <f t="shared" ca="1" si="453"/>
        <v>0</v>
      </c>
      <c r="N973" s="77">
        <f t="shared" ca="1" si="453"/>
        <v>0</v>
      </c>
      <c r="O973" s="77">
        <f t="shared" ca="1" si="453"/>
        <v>0</v>
      </c>
      <c r="P973" s="77">
        <f t="shared" ca="1" si="453"/>
        <v>0</v>
      </c>
      <c r="Q973" s="77">
        <f t="shared" ca="1" si="453"/>
        <v>0</v>
      </c>
      <c r="R973" s="77">
        <f t="shared" ca="1" si="453"/>
        <v>0</v>
      </c>
      <c r="S973" s="77">
        <f t="shared" ca="1" si="453"/>
        <v>0</v>
      </c>
      <c r="T973" s="77">
        <f t="shared" ca="1" si="453"/>
        <v>0</v>
      </c>
      <c r="U973" s="77">
        <f t="shared" ca="1" si="453"/>
        <v>0</v>
      </c>
      <c r="V973" s="77">
        <f t="shared" ca="1" si="453"/>
        <v>0</v>
      </c>
      <c r="W973" s="77">
        <f t="shared" ca="1" si="453"/>
        <v>0</v>
      </c>
      <c r="X973" s="77">
        <f t="shared" ca="1" si="453"/>
        <v>0</v>
      </c>
    </row>
    <row r="974" spans="1:24" hidden="1">
      <c r="A974" s="259"/>
      <c r="B974" s="21"/>
      <c r="C974" s="22"/>
      <c r="D974" s="21"/>
      <c r="E974" s="21"/>
      <c r="F974" s="21"/>
      <c r="G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259"/>
      <c r="B975" s="20" t="s">
        <v>391</v>
      </c>
      <c r="C975" s="21">
        <f>C968+1</f>
        <v>125</v>
      </c>
      <c r="D975" s="483">
        <f>D968+1</f>
        <v>259</v>
      </c>
      <c r="E975" s="21"/>
      <c r="F975" s="21"/>
      <c r="G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259"/>
      <c r="B976" s="21" t="s">
        <v>414</v>
      </c>
      <c r="C976" s="165">
        <f ca="1">IFERROR(YEAR(OFFSET($D$28,C975,0)),0)</f>
        <v>0</v>
      </c>
      <c r="D976" s="165">
        <f ca="1">IFERROR(MONTH(OFFSET($D$28,C975,0)),0)</f>
        <v>0</v>
      </c>
      <c r="E976" s="21">
        <f ca="1">12-$D976</f>
        <v>12</v>
      </c>
      <c r="F976" s="21"/>
      <c r="G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</row>
    <row r="977" spans="1:24" hidden="1">
      <c r="A977" s="259"/>
      <c r="B977" s="21" t="s">
        <v>406</v>
      </c>
      <c r="C977" s="245">
        <f ca="1">IF(OFFSET($F$28,C975,0)&lt;0,0,OFFSET($F$28,C975,0))</f>
        <v>0</v>
      </c>
      <c r="D977" s="22" t="str">
        <f ca="1">OFFSET($C$28,C975,0)</f>
        <v/>
      </c>
      <c r="E977" s="22">
        <f ca="1">IF(D977&gt;10,ROUND(($C978/12)*$E976,0),$C977)</f>
        <v>0</v>
      </c>
      <c r="F977" s="21"/>
      <c r="G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</row>
    <row r="978" spans="1:24" hidden="1">
      <c r="A978" s="259"/>
      <c r="B978" s="21" t="s">
        <v>415</v>
      </c>
      <c r="C978" s="245">
        <f ca="1">IF(ISBLANK(OFFSET($D$28,C975,0)),0,IF(OFFSET($C$28,C975,0)&gt;10,ROUND(C977*am_wnip,0),IF(C977&lt;0,0,C977)))</f>
        <v>0</v>
      </c>
      <c r="D978" s="21"/>
      <c r="E978" s="21"/>
      <c r="F978" s="21"/>
      <c r="G978" s="21"/>
      <c r="I978" s="21"/>
      <c r="J978" s="483" cm="1">
        <f t="array" aca="1" ref="J978" ca="1">OFFSET('Środki trwałe'!$C$195,'Rozliczenie dotacji'!D975,,)</f>
        <v>0</v>
      </c>
      <c r="K978" s="75">
        <f ca="1">ROUND(IF($C976=LataProjekcji,$E977,IF($C976=LataProjekcji,$C978,0)),0)</f>
        <v>0</v>
      </c>
      <c r="L978" s="248">
        <f ca="1">ROUND(IF(OR(AND($C976=LataProjekcji,$E976&gt;0),AND($C976=LataProjekcji,$E976=0,$D977&lt;=10)),$E977,IF($C976&lt;LataProjekcji,IF((SUM($K978:K978)+$C978)&lt;$C977,$C978,$C977-SUM($K978:K978)),0)),0)</f>
        <v>0</v>
      </c>
      <c r="M978" s="248">
        <f ca="1">ROUND(IF(OR(AND($C976=LataProjekcji,$E976&gt;0),AND($C976=LataProjekcji,$E976=0,$D977&lt;=10)),$E977,IF($C976&lt;LataProjekcji,IF((SUM($K978:L978)+$C978)&lt;$C977,$C978,$C977-SUM($K978:L978)),0)),0)</f>
        <v>0</v>
      </c>
      <c r="N978" s="248">
        <f ca="1">ROUND(IF(OR(AND($C976=LataProjekcji,$E976&gt;0),AND($C976=LataProjekcji,$E976=0,$D977&lt;=10)),$E977,IF($C976&lt;LataProjekcji,IF((SUM($K978:M978)+$C978)&lt;$C977,$C978,$C977-SUM($K978:M978)),0)),0)</f>
        <v>0</v>
      </c>
      <c r="O978" s="248">
        <f ca="1">ROUND(IF(OR(AND($C976=LataProjekcji,$E976&gt;0),AND($C976=LataProjekcji,$E976=0,$D977&lt;=10)),$E977,IF($C976&lt;LataProjekcji,IF((SUM($K978:N978)+$C978)&lt;$C977,$C978,$C977-SUM($K978:N978)),0)),0)</f>
        <v>0</v>
      </c>
      <c r="P978" s="248">
        <f ca="1">ROUND(IF(OR(AND($C976=LataProjekcji,$E976&gt;0),AND($C976=LataProjekcji,$E976=0,$D977&lt;=10)),$E977,IF($C976&lt;LataProjekcji,IF((SUM($K978:O978)+$C978)&lt;$C977,$C978,$C977-SUM($K978:O978)),0)),0)</f>
        <v>0</v>
      </c>
      <c r="Q978" s="248">
        <f ca="1">ROUND(IF(OR(AND($C976=LataProjekcji,$E976&gt;0),AND($C976=LataProjekcji,$E976=0,$D977&lt;=10)),$E977,IF($C976&lt;LataProjekcji,IF((SUM($K978:P978)+$C978)&lt;$C977,$C978,$C977-SUM($K978:P978)),0)),0)</f>
        <v>0</v>
      </c>
      <c r="R978" s="248">
        <f ca="1">ROUND(IF(OR(AND($C976=LataProjekcji,$E976&gt;0),AND($C976=LataProjekcji,$E976=0,$D977&lt;=10)),$E977,IF($C976&lt;LataProjekcji,IF((SUM($K978:Q978)+$C978)&lt;$C977,$C978,$C977-SUM($K978:Q978)),0)),0)</f>
        <v>0</v>
      </c>
      <c r="S978" s="248">
        <f ca="1">ROUND(IF(OR(AND($C976=LataProjekcji,$E976&gt;0),AND($C976=LataProjekcji,$E976=0,$D977&lt;=10)),$E977,IF($C976&lt;LataProjekcji,IF((SUM($K978:R978)+$C978)&lt;$C977,$C978,$C977-SUM($K978:R978)),0)),0)</f>
        <v>0</v>
      </c>
      <c r="T978" s="248">
        <f ca="1">ROUND(IF(OR(AND($C976=LataProjekcji,$E976&gt;0),AND($C976=LataProjekcji,$E976=0,$D977&lt;=10)),$E977,IF($C976&lt;LataProjekcji,IF((SUM($K978:S978)+$C978)&lt;$C977,$C978,$C977-SUM($K978:S978)),0)),0)</f>
        <v>0</v>
      </c>
      <c r="U978" s="248">
        <f ca="1">ROUND(IF(OR(AND($C976=LataProjekcji,$E976&gt;0),AND($C976=LataProjekcji,$E976=0,$D977&lt;=10)),$E977,IF($C976&lt;LataProjekcji,IF((SUM($K978:T978)+$C978)&lt;$C977,$C978,$C977-SUM($K978:T978)),0)),0)</f>
        <v>0</v>
      </c>
      <c r="V978" s="248">
        <f ca="1">ROUND(IF(OR(AND($C976=LataProjekcji,$E976&gt;0),AND($C976=LataProjekcji,$E976=0,$D977&lt;=10)),$E977,IF($C976&lt;LataProjekcji,IF((SUM($K978:U978)+$C978)&lt;$C977,$C978,$C977-SUM($K978:U978)),0)),0)</f>
        <v>0</v>
      </c>
      <c r="W978" s="248">
        <f ca="1">ROUND(IF(OR(AND($C976=LataProjekcji,$E976&gt;0),AND($C976=LataProjekcji,$E976=0,$D977&lt;=10)),$E977,IF($C976&lt;LataProjekcji,IF((SUM($K978:V978)+$C978)&lt;$C977,$C978,$C977-SUM($K978:V978)),0)),0)</f>
        <v>0</v>
      </c>
      <c r="X978" s="248">
        <f ca="1">ROUND(IF(OR(AND($C976=LataProjekcji,$E976&gt;0),AND($C976=LataProjekcji,$E976=0,$D977&lt;=10)),$E977,IF($C976&lt;LataProjekcji,IF((SUM($K978:W978)+$C978)&lt;$C977,$C978,$C977-SUM($K978:W978)),0)),0)</f>
        <v>0</v>
      </c>
    </row>
    <row r="979" spans="1:24" hidden="1">
      <c r="A979" s="259"/>
      <c r="B979" s="21" t="s">
        <v>416</v>
      </c>
      <c r="C979" s="22"/>
      <c r="D979" s="21"/>
      <c r="E979" s="21"/>
      <c r="F979" s="21"/>
      <c r="G979" s="21"/>
      <c r="I979" s="21"/>
      <c r="J979" s="21"/>
      <c r="K979" s="22">
        <f ca="1">ROUND(K978,0)</f>
        <v>0</v>
      </c>
      <c r="L979" s="22">
        <f t="shared" ref="L979:X979" ca="1" si="454">ROUND(K979+L978,0)</f>
        <v>0</v>
      </c>
      <c r="M979" s="22">
        <f t="shared" ca="1" si="454"/>
        <v>0</v>
      </c>
      <c r="N979" s="22">
        <f t="shared" ca="1" si="454"/>
        <v>0</v>
      </c>
      <c r="O979" s="22">
        <f t="shared" ca="1" si="454"/>
        <v>0</v>
      </c>
      <c r="P979" s="22">
        <f t="shared" ca="1" si="454"/>
        <v>0</v>
      </c>
      <c r="Q979" s="22">
        <f t="shared" ca="1" si="454"/>
        <v>0</v>
      </c>
      <c r="R979" s="22">
        <f t="shared" ca="1" si="454"/>
        <v>0</v>
      </c>
      <c r="S979" s="22">
        <f t="shared" ca="1" si="454"/>
        <v>0</v>
      </c>
      <c r="T979" s="22">
        <f t="shared" ca="1" si="454"/>
        <v>0</v>
      </c>
      <c r="U979" s="22">
        <f t="shared" ca="1" si="454"/>
        <v>0</v>
      </c>
      <c r="V979" s="22">
        <f t="shared" ca="1" si="454"/>
        <v>0</v>
      </c>
      <c r="W979" s="22">
        <f t="shared" ca="1" si="454"/>
        <v>0</v>
      </c>
      <c r="X979" s="22">
        <f t="shared" ca="1" si="454"/>
        <v>0</v>
      </c>
    </row>
    <row r="980" spans="1:24" hidden="1">
      <c r="A980" s="259"/>
      <c r="B980" s="21" t="s">
        <v>406</v>
      </c>
      <c r="C980" s="22"/>
      <c r="D980" s="21"/>
      <c r="E980" s="21"/>
      <c r="F980" s="21"/>
      <c r="G980" s="21"/>
      <c r="I980" s="21"/>
      <c r="J980" s="21"/>
      <c r="K980" s="77">
        <f t="shared" ref="K980:X980" ca="1" si="455">IF($C976=LataProjekcji,ROUND($C977-K979,0),ROUND(IF(K978=0,0,$C977-K979),0))</f>
        <v>0</v>
      </c>
      <c r="L980" s="77">
        <f t="shared" ca="1" si="455"/>
        <v>0</v>
      </c>
      <c r="M980" s="77">
        <f t="shared" ca="1" si="455"/>
        <v>0</v>
      </c>
      <c r="N980" s="77">
        <f t="shared" ca="1" si="455"/>
        <v>0</v>
      </c>
      <c r="O980" s="77">
        <f t="shared" ca="1" si="455"/>
        <v>0</v>
      </c>
      <c r="P980" s="77">
        <f t="shared" ca="1" si="455"/>
        <v>0</v>
      </c>
      <c r="Q980" s="77">
        <f t="shared" ca="1" si="455"/>
        <v>0</v>
      </c>
      <c r="R980" s="77">
        <f t="shared" ca="1" si="455"/>
        <v>0</v>
      </c>
      <c r="S980" s="77">
        <f t="shared" ca="1" si="455"/>
        <v>0</v>
      </c>
      <c r="T980" s="77">
        <f t="shared" ca="1" si="455"/>
        <v>0</v>
      </c>
      <c r="U980" s="77">
        <f t="shared" ca="1" si="455"/>
        <v>0</v>
      </c>
      <c r="V980" s="77">
        <f t="shared" ca="1" si="455"/>
        <v>0</v>
      </c>
      <c r="W980" s="77">
        <f t="shared" ca="1" si="455"/>
        <v>0</v>
      </c>
      <c r="X980" s="77">
        <f t="shared" ca="1" si="455"/>
        <v>0</v>
      </c>
    </row>
    <row r="981" spans="1:24" hidden="1">
      <c r="A981" s="259"/>
      <c r="B981" s="20"/>
      <c r="C981" s="21"/>
      <c r="D981" s="21"/>
      <c r="E981" s="21"/>
      <c r="F981" s="21"/>
      <c r="G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259"/>
      <c r="B982" s="20" t="s">
        <v>391</v>
      </c>
      <c r="C982" s="21">
        <f>C975+1</f>
        <v>126</v>
      </c>
      <c r="D982" s="483">
        <f>D975+1</f>
        <v>260</v>
      </c>
      <c r="E982" s="21"/>
      <c r="F982" s="21"/>
      <c r="G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</row>
    <row r="983" spans="1:24" hidden="1">
      <c r="A983" s="259"/>
      <c r="B983" s="21" t="s">
        <v>414</v>
      </c>
      <c r="C983" s="165">
        <f ca="1">IFERROR(YEAR(OFFSET($D$28,C982,0)),0)</f>
        <v>0</v>
      </c>
      <c r="D983" s="165">
        <f ca="1">IFERROR(MONTH(OFFSET($D$28,C982,0)),0)</f>
        <v>0</v>
      </c>
      <c r="E983" s="21">
        <f ca="1">12-$D983</f>
        <v>12</v>
      </c>
      <c r="F983" s="21"/>
      <c r="G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</row>
    <row r="984" spans="1:24" hidden="1">
      <c r="A984" s="259"/>
      <c r="B984" s="21" t="s">
        <v>406</v>
      </c>
      <c r="C984" s="245">
        <f ca="1">IF(OFFSET($F$28,C982,0)&lt;0,0,OFFSET($F$28,C982,0))</f>
        <v>0</v>
      </c>
      <c r="D984" s="22" t="str">
        <f ca="1">OFFSET($C$28,C982,0)</f>
        <v/>
      </c>
      <c r="E984" s="22">
        <f ca="1">IF(D984&gt;10,ROUND(($C985/12)*$E983,0),$C984)</f>
        <v>0</v>
      </c>
      <c r="F984" s="21"/>
      <c r="G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</row>
    <row r="985" spans="1:24" hidden="1">
      <c r="A985" s="259"/>
      <c r="B985" s="21" t="s">
        <v>415</v>
      </c>
      <c r="C985" s="245">
        <f ca="1">IF(ISBLANK(OFFSET($D$28,C982,0)),0,IF(OFFSET($C$28,C982,0)&gt;10,ROUND(C984*am_wnip,0),IF(C984&lt;0,0,C984)))</f>
        <v>0</v>
      </c>
      <c r="D985" s="21"/>
      <c r="E985" s="21"/>
      <c r="F985" s="21"/>
      <c r="G985" s="21"/>
      <c r="I985" s="21"/>
      <c r="J985" s="483" cm="1">
        <f t="array" aca="1" ref="J985" ca="1">OFFSET('Środki trwałe'!$C$195,'Rozliczenie dotacji'!D982,,)</f>
        <v>0</v>
      </c>
      <c r="K985" s="75">
        <f ca="1">ROUND(IF($C983=LataProjekcji,$E984,IF($C983=LataProjekcji,$C985,0)),0)</f>
        <v>0</v>
      </c>
      <c r="L985" s="248">
        <f ca="1">ROUND(IF(OR(AND($C983=LataProjekcji,$E983&gt;0),AND($C983=LataProjekcji,$E983=0,$D984&lt;=10)),$E984,IF($C983&lt;LataProjekcji,IF((SUM($K985:K985)+$C985)&lt;$C984,$C985,$C984-SUM($K985:K985)),0)),0)</f>
        <v>0</v>
      </c>
      <c r="M985" s="248">
        <f ca="1">ROUND(IF(OR(AND($C983=LataProjekcji,$E983&gt;0),AND($C983=LataProjekcji,$E983=0,$D984&lt;=10)),$E984,IF($C983&lt;LataProjekcji,IF((SUM($K985:L985)+$C985)&lt;$C984,$C985,$C984-SUM($K985:L985)),0)),0)</f>
        <v>0</v>
      </c>
      <c r="N985" s="248">
        <f ca="1">ROUND(IF(OR(AND($C983=LataProjekcji,$E983&gt;0),AND($C983=LataProjekcji,$E983=0,$D984&lt;=10)),$E984,IF($C983&lt;LataProjekcji,IF((SUM($K985:M985)+$C985)&lt;$C984,$C985,$C984-SUM($K985:M985)),0)),0)</f>
        <v>0</v>
      </c>
      <c r="O985" s="248">
        <f ca="1">ROUND(IF(OR(AND($C983=LataProjekcji,$E983&gt;0),AND($C983=LataProjekcji,$E983=0,$D984&lt;=10)),$E984,IF($C983&lt;LataProjekcji,IF((SUM($K985:N985)+$C985)&lt;$C984,$C985,$C984-SUM($K985:N985)),0)),0)</f>
        <v>0</v>
      </c>
      <c r="P985" s="248">
        <f ca="1">ROUND(IF(OR(AND($C983=LataProjekcji,$E983&gt;0),AND($C983=LataProjekcji,$E983=0,$D984&lt;=10)),$E984,IF($C983&lt;LataProjekcji,IF((SUM($K985:O985)+$C985)&lt;$C984,$C985,$C984-SUM($K985:O985)),0)),0)</f>
        <v>0</v>
      </c>
      <c r="Q985" s="248">
        <f ca="1">ROUND(IF(OR(AND($C983=LataProjekcji,$E983&gt;0),AND($C983=LataProjekcji,$E983=0,$D984&lt;=10)),$E984,IF($C983&lt;LataProjekcji,IF((SUM($K985:P985)+$C985)&lt;$C984,$C985,$C984-SUM($K985:P985)),0)),0)</f>
        <v>0</v>
      </c>
      <c r="R985" s="248">
        <f ca="1">ROUND(IF(OR(AND($C983=LataProjekcji,$E983&gt;0),AND($C983=LataProjekcji,$E983=0,$D984&lt;=10)),$E984,IF($C983&lt;LataProjekcji,IF((SUM($K985:Q985)+$C985)&lt;$C984,$C985,$C984-SUM($K985:Q985)),0)),0)</f>
        <v>0</v>
      </c>
      <c r="S985" s="248">
        <f ca="1">ROUND(IF(OR(AND($C983=LataProjekcji,$E983&gt;0),AND($C983=LataProjekcji,$E983=0,$D984&lt;=10)),$E984,IF($C983&lt;LataProjekcji,IF((SUM($K985:R985)+$C985)&lt;$C984,$C985,$C984-SUM($K985:R985)),0)),0)</f>
        <v>0</v>
      </c>
      <c r="T985" s="248">
        <f ca="1">ROUND(IF(OR(AND($C983=LataProjekcji,$E983&gt;0),AND($C983=LataProjekcji,$E983=0,$D984&lt;=10)),$E984,IF($C983&lt;LataProjekcji,IF((SUM($K985:S985)+$C985)&lt;$C984,$C985,$C984-SUM($K985:S985)),0)),0)</f>
        <v>0</v>
      </c>
      <c r="U985" s="248">
        <f ca="1">ROUND(IF(OR(AND($C983=LataProjekcji,$E983&gt;0),AND($C983=LataProjekcji,$E983=0,$D984&lt;=10)),$E984,IF($C983&lt;LataProjekcji,IF((SUM($K985:T985)+$C985)&lt;$C984,$C985,$C984-SUM($K985:T985)),0)),0)</f>
        <v>0</v>
      </c>
      <c r="V985" s="248">
        <f ca="1">ROUND(IF(OR(AND($C983=LataProjekcji,$E983&gt;0),AND($C983=LataProjekcji,$E983=0,$D984&lt;=10)),$E984,IF($C983&lt;LataProjekcji,IF((SUM($K985:U985)+$C985)&lt;$C984,$C985,$C984-SUM($K985:U985)),0)),0)</f>
        <v>0</v>
      </c>
      <c r="W985" s="248">
        <f ca="1">ROUND(IF(OR(AND($C983=LataProjekcji,$E983&gt;0),AND($C983=LataProjekcji,$E983=0,$D984&lt;=10)),$E984,IF($C983&lt;LataProjekcji,IF((SUM($K985:V985)+$C985)&lt;$C984,$C985,$C984-SUM($K985:V985)),0)),0)</f>
        <v>0</v>
      </c>
      <c r="X985" s="248">
        <f ca="1">ROUND(IF(OR(AND($C983=LataProjekcji,$E983&gt;0),AND($C983=LataProjekcji,$E983=0,$D984&lt;=10)),$E984,IF($C983&lt;LataProjekcji,IF((SUM($K985:W985)+$C985)&lt;$C984,$C985,$C984-SUM($K985:W985)),0)),0)</f>
        <v>0</v>
      </c>
    </row>
    <row r="986" spans="1:24" hidden="1">
      <c r="A986" s="259"/>
      <c r="B986" s="21" t="s">
        <v>416</v>
      </c>
      <c r="C986" s="22"/>
      <c r="D986" s="21"/>
      <c r="E986" s="21"/>
      <c r="F986" s="21"/>
      <c r="G986" s="21"/>
      <c r="I986" s="21"/>
      <c r="J986" s="21"/>
      <c r="K986" s="22">
        <f ca="1">ROUND(K985,0)</f>
        <v>0</v>
      </c>
      <c r="L986" s="22">
        <f t="shared" ref="L986:X986" ca="1" si="456">ROUND(K986+L985,0)</f>
        <v>0</v>
      </c>
      <c r="M986" s="22">
        <f t="shared" ca="1" si="456"/>
        <v>0</v>
      </c>
      <c r="N986" s="22">
        <f t="shared" ca="1" si="456"/>
        <v>0</v>
      </c>
      <c r="O986" s="22">
        <f t="shared" ca="1" si="456"/>
        <v>0</v>
      </c>
      <c r="P986" s="22">
        <f t="shared" ca="1" si="456"/>
        <v>0</v>
      </c>
      <c r="Q986" s="22">
        <f t="shared" ca="1" si="456"/>
        <v>0</v>
      </c>
      <c r="R986" s="22">
        <f t="shared" ca="1" si="456"/>
        <v>0</v>
      </c>
      <c r="S986" s="22">
        <f t="shared" ca="1" si="456"/>
        <v>0</v>
      </c>
      <c r="T986" s="22">
        <f t="shared" ca="1" si="456"/>
        <v>0</v>
      </c>
      <c r="U986" s="22">
        <f t="shared" ca="1" si="456"/>
        <v>0</v>
      </c>
      <c r="V986" s="22">
        <f t="shared" ca="1" si="456"/>
        <v>0</v>
      </c>
      <c r="W986" s="22">
        <f t="shared" ca="1" si="456"/>
        <v>0</v>
      </c>
      <c r="X986" s="22">
        <f t="shared" ca="1" si="456"/>
        <v>0</v>
      </c>
    </row>
    <row r="987" spans="1:24" hidden="1">
      <c r="A987" s="259"/>
      <c r="B987" s="21" t="s">
        <v>406</v>
      </c>
      <c r="C987" s="22"/>
      <c r="D987" s="21"/>
      <c r="E987" s="21"/>
      <c r="F987" s="21"/>
      <c r="G987" s="21"/>
      <c r="I987" s="21"/>
      <c r="J987" s="21"/>
      <c r="K987" s="77">
        <f t="shared" ref="K987:X987" ca="1" si="457">IF($C983=LataProjekcji,ROUND($C984-K986,0),ROUND(IF(K985=0,0,$C984-K986),0))</f>
        <v>0</v>
      </c>
      <c r="L987" s="77">
        <f t="shared" ca="1" si="457"/>
        <v>0</v>
      </c>
      <c r="M987" s="77">
        <f t="shared" ca="1" si="457"/>
        <v>0</v>
      </c>
      <c r="N987" s="77">
        <f t="shared" ca="1" si="457"/>
        <v>0</v>
      </c>
      <c r="O987" s="77">
        <f t="shared" ca="1" si="457"/>
        <v>0</v>
      </c>
      <c r="P987" s="77">
        <f t="shared" ca="1" si="457"/>
        <v>0</v>
      </c>
      <c r="Q987" s="77">
        <f t="shared" ca="1" si="457"/>
        <v>0</v>
      </c>
      <c r="R987" s="77">
        <f t="shared" ca="1" si="457"/>
        <v>0</v>
      </c>
      <c r="S987" s="77">
        <f t="shared" ca="1" si="457"/>
        <v>0</v>
      </c>
      <c r="T987" s="77">
        <f t="shared" ca="1" si="457"/>
        <v>0</v>
      </c>
      <c r="U987" s="77">
        <f t="shared" ca="1" si="457"/>
        <v>0</v>
      </c>
      <c r="V987" s="77">
        <f t="shared" ca="1" si="457"/>
        <v>0</v>
      </c>
      <c r="W987" s="77">
        <f t="shared" ca="1" si="457"/>
        <v>0</v>
      </c>
      <c r="X987" s="77">
        <f t="shared" ca="1" si="457"/>
        <v>0</v>
      </c>
    </row>
    <row r="988" spans="1:24" hidden="1">
      <c r="A988" s="259"/>
      <c r="B988" s="21"/>
      <c r="C988" s="21"/>
      <c r="D988" s="21"/>
      <c r="E988" s="21"/>
      <c r="F988" s="21"/>
      <c r="G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</row>
    <row r="989" spans="1:24" hidden="1">
      <c r="A989" s="259"/>
      <c r="B989" s="20" t="s">
        <v>391</v>
      </c>
      <c r="C989" s="21">
        <f>C982+1</f>
        <v>127</v>
      </c>
      <c r="D989" s="483">
        <f>D982+1</f>
        <v>261</v>
      </c>
      <c r="E989" s="21"/>
      <c r="F989" s="21"/>
      <c r="G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</row>
    <row r="990" spans="1:24" hidden="1">
      <c r="A990" s="259"/>
      <c r="B990" s="21" t="s">
        <v>414</v>
      </c>
      <c r="C990" s="165">
        <f ca="1">IFERROR(YEAR(OFFSET($D$28,C989,0)),0)</f>
        <v>0</v>
      </c>
      <c r="D990" s="165">
        <f ca="1">IFERROR(MONTH(OFFSET($D$28,C989,0)),0)</f>
        <v>0</v>
      </c>
      <c r="E990" s="21">
        <f ca="1">12-$D990</f>
        <v>12</v>
      </c>
      <c r="F990" s="21"/>
      <c r="G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</row>
    <row r="991" spans="1:24" hidden="1">
      <c r="A991" s="259"/>
      <c r="B991" s="21" t="s">
        <v>406</v>
      </c>
      <c r="C991" s="245">
        <f ca="1">IF(OFFSET($F$28,C989,0)&lt;0,0,OFFSET($F$28,C989,0))</f>
        <v>0</v>
      </c>
      <c r="D991" s="22" t="str">
        <f ca="1">OFFSET($C$28,C989,0)</f>
        <v/>
      </c>
      <c r="E991" s="22">
        <f ca="1">IF(D991&gt;10,ROUND(($C992/12)*$E990,0),$C991)</f>
        <v>0</v>
      </c>
      <c r="F991" s="21"/>
      <c r="G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259"/>
      <c r="B992" s="21" t="s">
        <v>415</v>
      </c>
      <c r="C992" s="245">
        <f ca="1">IF(ISBLANK(OFFSET($D$28,C989,0)),0,IF(OFFSET($C$28,C989,0)&gt;10,ROUND(C991*am_wnip,0),IF(C991&lt;0,0,C991)))</f>
        <v>0</v>
      </c>
      <c r="D992" s="21"/>
      <c r="E992" s="21"/>
      <c r="F992" s="21"/>
      <c r="G992" s="21"/>
      <c r="I992" s="21"/>
      <c r="J992" s="483" cm="1">
        <f t="array" aca="1" ref="J992" ca="1">OFFSET('Środki trwałe'!$C$195,'Rozliczenie dotacji'!D989,,)</f>
        <v>0</v>
      </c>
      <c r="K992" s="75">
        <f ca="1">ROUND(IF($C990=LataProjekcji,$E991,IF($C990=LataProjekcji,$C992,0)),0)</f>
        <v>0</v>
      </c>
      <c r="L992" s="248">
        <f ca="1">ROUND(IF(OR(AND($C990=LataProjekcji,$E990&gt;0),AND($C990=LataProjekcji,$E990=0,$D991&lt;=10)),$E991,IF($C990&lt;LataProjekcji,IF((SUM($K992:K992)+$C992)&lt;$C991,$C992,$C991-SUM($K992:K992)),0)),0)</f>
        <v>0</v>
      </c>
      <c r="M992" s="248">
        <f ca="1">ROUND(IF(OR(AND($C990=LataProjekcji,$E990&gt;0),AND($C990=LataProjekcji,$E990=0,$D991&lt;=10)),$E991,IF($C990&lt;LataProjekcji,IF((SUM($K992:L992)+$C992)&lt;$C991,$C992,$C991-SUM($K992:L992)),0)),0)</f>
        <v>0</v>
      </c>
      <c r="N992" s="248">
        <f ca="1">ROUND(IF(OR(AND($C990=LataProjekcji,$E990&gt;0),AND($C990=LataProjekcji,$E990=0,$D991&lt;=10)),$E991,IF($C990&lt;LataProjekcji,IF((SUM($K992:M992)+$C992)&lt;$C991,$C992,$C991-SUM($K992:M992)),0)),0)</f>
        <v>0</v>
      </c>
      <c r="O992" s="248">
        <f ca="1">ROUND(IF(OR(AND($C990=LataProjekcji,$E990&gt;0),AND($C990=LataProjekcji,$E990=0,$D991&lt;=10)),$E991,IF($C990&lt;LataProjekcji,IF((SUM($K992:N992)+$C992)&lt;$C991,$C992,$C991-SUM($K992:N992)),0)),0)</f>
        <v>0</v>
      </c>
      <c r="P992" s="248">
        <f ca="1">ROUND(IF(OR(AND($C990=LataProjekcji,$E990&gt;0),AND($C990=LataProjekcji,$E990=0,$D991&lt;=10)),$E991,IF($C990&lt;LataProjekcji,IF((SUM($K992:O992)+$C992)&lt;$C991,$C992,$C991-SUM($K992:O992)),0)),0)</f>
        <v>0</v>
      </c>
      <c r="Q992" s="248">
        <f ca="1">ROUND(IF(OR(AND($C990=LataProjekcji,$E990&gt;0),AND($C990=LataProjekcji,$E990=0,$D991&lt;=10)),$E991,IF($C990&lt;LataProjekcji,IF((SUM($K992:P992)+$C992)&lt;$C991,$C992,$C991-SUM($K992:P992)),0)),0)</f>
        <v>0</v>
      </c>
      <c r="R992" s="248">
        <f ca="1">ROUND(IF(OR(AND($C990=LataProjekcji,$E990&gt;0),AND($C990=LataProjekcji,$E990=0,$D991&lt;=10)),$E991,IF($C990&lt;LataProjekcji,IF((SUM($K992:Q992)+$C992)&lt;$C991,$C992,$C991-SUM($K992:Q992)),0)),0)</f>
        <v>0</v>
      </c>
      <c r="S992" s="248">
        <f ca="1">ROUND(IF(OR(AND($C990=LataProjekcji,$E990&gt;0),AND($C990=LataProjekcji,$E990=0,$D991&lt;=10)),$E991,IF($C990&lt;LataProjekcji,IF((SUM($K992:R992)+$C992)&lt;$C991,$C992,$C991-SUM($K992:R992)),0)),0)</f>
        <v>0</v>
      </c>
      <c r="T992" s="248">
        <f ca="1">ROUND(IF(OR(AND($C990=LataProjekcji,$E990&gt;0),AND($C990=LataProjekcji,$E990=0,$D991&lt;=10)),$E991,IF($C990&lt;LataProjekcji,IF((SUM($K992:S992)+$C992)&lt;$C991,$C992,$C991-SUM($K992:S992)),0)),0)</f>
        <v>0</v>
      </c>
      <c r="U992" s="248">
        <f ca="1">ROUND(IF(OR(AND($C990=LataProjekcji,$E990&gt;0),AND($C990=LataProjekcji,$E990=0,$D991&lt;=10)),$E991,IF($C990&lt;LataProjekcji,IF((SUM($K992:T992)+$C992)&lt;$C991,$C992,$C991-SUM($K992:T992)),0)),0)</f>
        <v>0</v>
      </c>
      <c r="V992" s="248">
        <f ca="1">ROUND(IF(OR(AND($C990=LataProjekcji,$E990&gt;0),AND($C990=LataProjekcji,$E990=0,$D991&lt;=10)),$E991,IF($C990&lt;LataProjekcji,IF((SUM($K992:U992)+$C992)&lt;$C991,$C992,$C991-SUM($K992:U992)),0)),0)</f>
        <v>0</v>
      </c>
      <c r="W992" s="248">
        <f ca="1">ROUND(IF(OR(AND($C990=LataProjekcji,$E990&gt;0),AND($C990=LataProjekcji,$E990=0,$D991&lt;=10)),$E991,IF($C990&lt;LataProjekcji,IF((SUM($K992:V992)+$C992)&lt;$C991,$C992,$C991-SUM($K992:V992)),0)),0)</f>
        <v>0</v>
      </c>
      <c r="X992" s="248">
        <f ca="1">ROUND(IF(OR(AND($C990=LataProjekcji,$E990&gt;0),AND($C990=LataProjekcji,$E990=0,$D991&lt;=10)),$E991,IF($C990&lt;LataProjekcji,IF((SUM($K992:W992)+$C992)&lt;$C991,$C992,$C991-SUM($K992:W992)),0)),0)</f>
        <v>0</v>
      </c>
    </row>
    <row r="993" spans="1:24" hidden="1">
      <c r="A993" s="259"/>
      <c r="B993" s="21" t="s">
        <v>416</v>
      </c>
      <c r="C993" s="22"/>
      <c r="D993" s="21"/>
      <c r="E993" s="21"/>
      <c r="F993" s="21"/>
      <c r="G993" s="21"/>
      <c r="I993" s="21"/>
      <c r="J993" s="21"/>
      <c r="K993" s="22">
        <f ca="1">ROUND(K992,0)</f>
        <v>0</v>
      </c>
      <c r="L993" s="22">
        <f t="shared" ref="L993:X993" ca="1" si="458">ROUND(K993+L992,0)</f>
        <v>0</v>
      </c>
      <c r="M993" s="22">
        <f t="shared" ca="1" si="458"/>
        <v>0</v>
      </c>
      <c r="N993" s="22">
        <f t="shared" ca="1" si="458"/>
        <v>0</v>
      </c>
      <c r="O993" s="22">
        <f t="shared" ca="1" si="458"/>
        <v>0</v>
      </c>
      <c r="P993" s="22">
        <f t="shared" ca="1" si="458"/>
        <v>0</v>
      </c>
      <c r="Q993" s="22">
        <f t="shared" ca="1" si="458"/>
        <v>0</v>
      </c>
      <c r="R993" s="22">
        <f t="shared" ca="1" si="458"/>
        <v>0</v>
      </c>
      <c r="S993" s="22">
        <f t="shared" ca="1" si="458"/>
        <v>0</v>
      </c>
      <c r="T993" s="22">
        <f t="shared" ca="1" si="458"/>
        <v>0</v>
      </c>
      <c r="U993" s="22">
        <f t="shared" ca="1" si="458"/>
        <v>0</v>
      </c>
      <c r="V993" s="22">
        <f t="shared" ca="1" si="458"/>
        <v>0</v>
      </c>
      <c r="W993" s="22">
        <f t="shared" ca="1" si="458"/>
        <v>0</v>
      </c>
      <c r="X993" s="22">
        <f t="shared" ca="1" si="458"/>
        <v>0</v>
      </c>
    </row>
    <row r="994" spans="1:24" hidden="1">
      <c r="A994" s="259"/>
      <c r="B994" s="21" t="s">
        <v>406</v>
      </c>
      <c r="C994" s="22"/>
      <c r="D994" s="21"/>
      <c r="E994" s="21"/>
      <c r="F994" s="21"/>
      <c r="G994" s="21"/>
      <c r="I994" s="21"/>
      <c r="J994" s="21"/>
      <c r="K994" s="77">
        <f t="shared" ref="K994:X994" ca="1" si="459">IF($C990=LataProjekcji,ROUND($C991-K993,0),ROUND(IF(K992=0,0,$C991-K993),0))</f>
        <v>0</v>
      </c>
      <c r="L994" s="77">
        <f t="shared" ca="1" si="459"/>
        <v>0</v>
      </c>
      <c r="M994" s="77">
        <f t="shared" ca="1" si="459"/>
        <v>0</v>
      </c>
      <c r="N994" s="77">
        <f t="shared" ca="1" si="459"/>
        <v>0</v>
      </c>
      <c r="O994" s="77">
        <f t="shared" ca="1" si="459"/>
        <v>0</v>
      </c>
      <c r="P994" s="77">
        <f t="shared" ca="1" si="459"/>
        <v>0</v>
      </c>
      <c r="Q994" s="77">
        <f t="shared" ca="1" si="459"/>
        <v>0</v>
      </c>
      <c r="R994" s="77">
        <f t="shared" ca="1" si="459"/>
        <v>0</v>
      </c>
      <c r="S994" s="77">
        <f t="shared" ca="1" si="459"/>
        <v>0</v>
      </c>
      <c r="T994" s="77">
        <f t="shared" ca="1" si="459"/>
        <v>0</v>
      </c>
      <c r="U994" s="77">
        <f t="shared" ca="1" si="459"/>
        <v>0</v>
      </c>
      <c r="V994" s="77">
        <f t="shared" ca="1" si="459"/>
        <v>0</v>
      </c>
      <c r="W994" s="77">
        <f t="shared" ca="1" si="459"/>
        <v>0</v>
      </c>
      <c r="X994" s="77">
        <f t="shared" ca="1" si="459"/>
        <v>0</v>
      </c>
    </row>
    <row r="995" spans="1:24" hidden="1">
      <c r="A995" s="259"/>
      <c r="B995" s="21"/>
      <c r="C995" s="22"/>
      <c r="D995" s="21"/>
      <c r="E995" s="21"/>
      <c r="F995" s="21"/>
      <c r="G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</row>
    <row r="996" spans="1:24" hidden="1">
      <c r="A996" s="259"/>
      <c r="B996" s="20" t="s">
        <v>391</v>
      </c>
      <c r="C996" s="21">
        <f>C989+1</f>
        <v>128</v>
      </c>
      <c r="D996" s="483">
        <f>D989+1</f>
        <v>262</v>
      </c>
      <c r="E996" s="21"/>
      <c r="F996" s="21"/>
      <c r="G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</row>
    <row r="997" spans="1:24" hidden="1">
      <c r="A997" s="259"/>
      <c r="B997" s="21" t="s">
        <v>414</v>
      </c>
      <c r="C997" s="165">
        <f ca="1">IFERROR(YEAR(OFFSET($D$28,C996,0)),0)</f>
        <v>0</v>
      </c>
      <c r="D997" s="165">
        <f ca="1">IFERROR(MONTH(OFFSET($D$28,C996,0)),0)</f>
        <v>0</v>
      </c>
      <c r="E997" s="21">
        <f ca="1">12-$D997</f>
        <v>12</v>
      </c>
      <c r="F997" s="21"/>
      <c r="G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259"/>
      <c r="B998" s="21" t="s">
        <v>406</v>
      </c>
      <c r="C998" s="245">
        <f ca="1">IF(OFFSET($F$28,C996,0)&lt;0,0,OFFSET($F$28,C996,0))</f>
        <v>0</v>
      </c>
      <c r="D998" s="22" t="str">
        <f ca="1">OFFSET($C$28,C996,0)</f>
        <v/>
      </c>
      <c r="E998" s="22">
        <f ca="1">IF(D998&gt;10,ROUND(($C999/12)*$E997,0),$C998)</f>
        <v>0</v>
      </c>
      <c r="F998" s="21"/>
      <c r="G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259"/>
      <c r="B999" s="21" t="s">
        <v>415</v>
      </c>
      <c r="C999" s="245">
        <f ca="1">IF(ISBLANK(OFFSET($D$28,C996,0)),0,IF(OFFSET($C$28,C996,0)&gt;10,ROUND(C998*am_wnip,0),IF(C998&lt;0,0,C998)))</f>
        <v>0</v>
      </c>
      <c r="D999" s="21"/>
      <c r="E999" s="21"/>
      <c r="F999" s="21"/>
      <c r="G999" s="21"/>
      <c r="I999" s="21"/>
      <c r="J999" s="483" cm="1">
        <f t="array" aca="1" ref="J999" ca="1">OFFSET('Środki trwałe'!$C$195,'Rozliczenie dotacji'!D996,,)</f>
        <v>0</v>
      </c>
      <c r="K999" s="75">
        <f ca="1">ROUND(IF($C997=LataProjekcji,$E998,IF($C997=LataProjekcji,$C999,0)),0)</f>
        <v>0</v>
      </c>
      <c r="L999" s="248">
        <f ca="1">ROUND(IF(OR(AND($C997=LataProjekcji,$E997&gt;0),AND($C997=LataProjekcji,$E997=0,$D998&lt;=10)),$E998,IF($C997&lt;LataProjekcji,IF((SUM($K999:K999)+$C999)&lt;$C998,$C999,$C998-SUM($K999:K999)),0)),0)</f>
        <v>0</v>
      </c>
      <c r="M999" s="248">
        <f ca="1">ROUND(IF(OR(AND($C997=LataProjekcji,$E997&gt;0),AND($C997=LataProjekcji,$E997=0,$D998&lt;=10)),$E998,IF($C997&lt;LataProjekcji,IF((SUM($K999:L999)+$C999)&lt;$C998,$C999,$C998-SUM($K999:L999)),0)),0)</f>
        <v>0</v>
      </c>
      <c r="N999" s="248">
        <f ca="1">ROUND(IF(OR(AND($C997=LataProjekcji,$E997&gt;0),AND($C997=LataProjekcji,$E997=0,$D998&lt;=10)),$E998,IF($C997&lt;LataProjekcji,IF((SUM($K999:M999)+$C999)&lt;$C998,$C999,$C998-SUM($K999:M999)),0)),0)</f>
        <v>0</v>
      </c>
      <c r="O999" s="248">
        <f ca="1">ROUND(IF(OR(AND($C997=LataProjekcji,$E997&gt;0),AND($C997=LataProjekcji,$E997=0,$D998&lt;=10)),$E998,IF($C997&lt;LataProjekcji,IF((SUM($K999:N999)+$C999)&lt;$C998,$C999,$C998-SUM($K999:N999)),0)),0)</f>
        <v>0</v>
      </c>
      <c r="P999" s="248">
        <f ca="1">ROUND(IF(OR(AND($C997=LataProjekcji,$E997&gt;0),AND($C997=LataProjekcji,$E997=0,$D998&lt;=10)),$E998,IF($C997&lt;LataProjekcji,IF((SUM($K999:O999)+$C999)&lt;$C998,$C999,$C998-SUM($K999:O999)),0)),0)</f>
        <v>0</v>
      </c>
      <c r="Q999" s="248">
        <f ca="1">ROUND(IF(OR(AND($C997=LataProjekcji,$E997&gt;0),AND($C997=LataProjekcji,$E997=0,$D998&lt;=10)),$E998,IF($C997&lt;LataProjekcji,IF((SUM($K999:P999)+$C999)&lt;$C998,$C999,$C998-SUM($K999:P999)),0)),0)</f>
        <v>0</v>
      </c>
      <c r="R999" s="248">
        <f ca="1">ROUND(IF(OR(AND($C997=LataProjekcji,$E997&gt;0),AND($C997=LataProjekcji,$E997=0,$D998&lt;=10)),$E998,IF($C997&lt;LataProjekcji,IF((SUM($K999:Q999)+$C999)&lt;$C998,$C999,$C998-SUM($K999:Q999)),0)),0)</f>
        <v>0</v>
      </c>
      <c r="S999" s="248">
        <f ca="1">ROUND(IF(OR(AND($C997=LataProjekcji,$E997&gt;0),AND($C997=LataProjekcji,$E997=0,$D998&lt;=10)),$E998,IF($C997&lt;LataProjekcji,IF((SUM($K999:R999)+$C999)&lt;$C998,$C999,$C998-SUM($K999:R999)),0)),0)</f>
        <v>0</v>
      </c>
      <c r="T999" s="248">
        <f ca="1">ROUND(IF(OR(AND($C997=LataProjekcji,$E997&gt;0),AND($C997=LataProjekcji,$E997=0,$D998&lt;=10)),$E998,IF($C997&lt;LataProjekcji,IF((SUM($K999:S999)+$C999)&lt;$C998,$C999,$C998-SUM($K999:S999)),0)),0)</f>
        <v>0</v>
      </c>
      <c r="U999" s="248">
        <f ca="1">ROUND(IF(OR(AND($C997=LataProjekcji,$E997&gt;0),AND($C997=LataProjekcji,$E997=0,$D998&lt;=10)),$E998,IF($C997&lt;LataProjekcji,IF((SUM($K999:T999)+$C999)&lt;$C998,$C999,$C998-SUM($K999:T999)),0)),0)</f>
        <v>0</v>
      </c>
      <c r="V999" s="248">
        <f ca="1">ROUND(IF(OR(AND($C997=LataProjekcji,$E997&gt;0),AND($C997=LataProjekcji,$E997=0,$D998&lt;=10)),$E998,IF($C997&lt;LataProjekcji,IF((SUM($K999:U999)+$C999)&lt;$C998,$C999,$C998-SUM($K999:U999)),0)),0)</f>
        <v>0</v>
      </c>
      <c r="W999" s="248">
        <f ca="1">ROUND(IF(OR(AND($C997=LataProjekcji,$E997&gt;0),AND($C997=LataProjekcji,$E997=0,$D998&lt;=10)),$E998,IF($C997&lt;LataProjekcji,IF((SUM($K999:V999)+$C999)&lt;$C998,$C999,$C998-SUM($K999:V999)),0)),0)</f>
        <v>0</v>
      </c>
      <c r="X999" s="248">
        <f ca="1">ROUND(IF(OR(AND($C997=LataProjekcji,$E997&gt;0),AND($C997=LataProjekcji,$E997=0,$D998&lt;=10)),$E998,IF($C997&lt;LataProjekcji,IF((SUM($K999:W999)+$C999)&lt;$C998,$C999,$C998-SUM($K999:W999)),0)),0)</f>
        <v>0</v>
      </c>
    </row>
    <row r="1000" spans="1:24" hidden="1">
      <c r="A1000" s="259"/>
      <c r="B1000" s="21" t="s">
        <v>416</v>
      </c>
      <c r="C1000" s="22"/>
      <c r="D1000" s="21"/>
      <c r="E1000" s="21"/>
      <c r="F1000" s="21"/>
      <c r="G1000" s="21"/>
      <c r="I1000" s="21"/>
      <c r="J1000" s="21"/>
      <c r="K1000" s="22">
        <f ca="1">ROUND(K999,0)</f>
        <v>0</v>
      </c>
      <c r="L1000" s="22">
        <f t="shared" ref="L1000:X1000" ca="1" si="460">ROUND(K1000+L999,0)</f>
        <v>0</v>
      </c>
      <c r="M1000" s="22">
        <f t="shared" ca="1" si="460"/>
        <v>0</v>
      </c>
      <c r="N1000" s="22">
        <f t="shared" ca="1" si="460"/>
        <v>0</v>
      </c>
      <c r="O1000" s="22">
        <f t="shared" ca="1" si="460"/>
        <v>0</v>
      </c>
      <c r="P1000" s="22">
        <f t="shared" ca="1" si="460"/>
        <v>0</v>
      </c>
      <c r="Q1000" s="22">
        <f t="shared" ca="1" si="460"/>
        <v>0</v>
      </c>
      <c r="R1000" s="22">
        <f t="shared" ca="1" si="460"/>
        <v>0</v>
      </c>
      <c r="S1000" s="22">
        <f t="shared" ca="1" si="460"/>
        <v>0</v>
      </c>
      <c r="T1000" s="22">
        <f t="shared" ca="1" si="460"/>
        <v>0</v>
      </c>
      <c r="U1000" s="22">
        <f t="shared" ca="1" si="460"/>
        <v>0</v>
      </c>
      <c r="V1000" s="22">
        <f t="shared" ca="1" si="460"/>
        <v>0</v>
      </c>
      <c r="W1000" s="22">
        <f t="shared" ca="1" si="460"/>
        <v>0</v>
      </c>
      <c r="X1000" s="22">
        <f t="shared" ca="1" si="460"/>
        <v>0</v>
      </c>
    </row>
    <row r="1001" spans="1:24" hidden="1">
      <c r="A1001" s="259"/>
      <c r="B1001" s="21" t="s">
        <v>406</v>
      </c>
      <c r="C1001" s="22"/>
      <c r="D1001" s="21"/>
      <c r="E1001" s="21"/>
      <c r="F1001" s="21"/>
      <c r="G1001" s="21"/>
      <c r="I1001" s="21"/>
      <c r="J1001" s="21"/>
      <c r="K1001" s="77">
        <f t="shared" ref="K1001:X1001" ca="1" si="461">IF($C997=LataProjekcji,ROUND($C998-K1000,0),ROUND(IF(K999=0,0,$C998-K1000),0))</f>
        <v>0</v>
      </c>
      <c r="L1001" s="77">
        <f t="shared" ca="1" si="461"/>
        <v>0</v>
      </c>
      <c r="M1001" s="77">
        <f t="shared" ca="1" si="461"/>
        <v>0</v>
      </c>
      <c r="N1001" s="77">
        <f t="shared" ca="1" si="461"/>
        <v>0</v>
      </c>
      <c r="O1001" s="77">
        <f t="shared" ca="1" si="461"/>
        <v>0</v>
      </c>
      <c r="P1001" s="77">
        <f t="shared" ca="1" si="461"/>
        <v>0</v>
      </c>
      <c r="Q1001" s="77">
        <f t="shared" ca="1" si="461"/>
        <v>0</v>
      </c>
      <c r="R1001" s="77">
        <f t="shared" ca="1" si="461"/>
        <v>0</v>
      </c>
      <c r="S1001" s="77">
        <f t="shared" ca="1" si="461"/>
        <v>0</v>
      </c>
      <c r="T1001" s="77">
        <f t="shared" ca="1" si="461"/>
        <v>0</v>
      </c>
      <c r="U1001" s="77">
        <f t="shared" ca="1" si="461"/>
        <v>0</v>
      </c>
      <c r="V1001" s="77">
        <f t="shared" ca="1" si="461"/>
        <v>0</v>
      </c>
      <c r="W1001" s="77">
        <f t="shared" ca="1" si="461"/>
        <v>0</v>
      </c>
      <c r="X1001" s="77">
        <f t="shared" ca="1" si="461"/>
        <v>0</v>
      </c>
    </row>
    <row r="1002" spans="1:24" hidden="1">
      <c r="A1002" s="259"/>
      <c r="B1002" s="21"/>
      <c r="C1002" s="22"/>
      <c r="D1002" s="21"/>
      <c r="E1002" s="21"/>
      <c r="F1002" s="21"/>
      <c r="G1002" s="21"/>
      <c r="I1002" s="21"/>
      <c r="J1002" s="21"/>
      <c r="K1002" s="77"/>
      <c r="L1002" s="77"/>
      <c r="M1002" s="77"/>
      <c r="N1002" s="77"/>
      <c r="O1002" s="77"/>
      <c r="P1002" s="77"/>
      <c r="Q1002" s="77"/>
      <c r="R1002" s="77"/>
      <c r="S1002" s="77"/>
      <c r="T1002" s="77"/>
      <c r="U1002" s="77"/>
      <c r="V1002" s="77"/>
      <c r="W1002" s="77"/>
      <c r="X1002" s="77"/>
    </row>
    <row r="1003" spans="1:24" hidden="1">
      <c r="A1003" s="259"/>
      <c r="B1003" s="20" t="str">
        <f>B157</f>
        <v/>
      </c>
      <c r="C1003" s="21">
        <f>C996+1</f>
        <v>129</v>
      </c>
      <c r="D1003" s="483">
        <f>D996+1</f>
        <v>263</v>
      </c>
      <c r="E1003" s="21"/>
      <c r="F1003" s="48"/>
      <c r="G1003" s="50"/>
      <c r="H1003" s="322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259"/>
      <c r="B1004" s="21" t="s">
        <v>414</v>
      </c>
      <c r="C1004" s="165">
        <f ca="1">IFERROR(YEAR(OFFSET($D$28,C1003,0)),0)</f>
        <v>0</v>
      </c>
      <c r="D1004" s="165">
        <f ca="1">IFERROR(MONTH(OFFSET($D$28,C1003,0)),0)</f>
        <v>0</v>
      </c>
      <c r="E1004" s="21">
        <f ca="1">12-$D1004</f>
        <v>12</v>
      </c>
      <c r="F1004" s="49"/>
      <c r="G1004" s="51"/>
      <c r="H1004" s="323"/>
      <c r="I1004" s="22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259"/>
      <c r="B1005" s="21" t="s">
        <v>406</v>
      </c>
      <c r="C1005" s="245">
        <f ca="1">IF(OFFSET($F$28,C1003,0)&lt;0,0,OFFSET($F$28,C1003,0))</f>
        <v>0</v>
      </c>
      <c r="D1005" s="22" t="str">
        <f ca="1">OFFSET($C$28,C1003,0)</f>
        <v/>
      </c>
      <c r="E1005" s="22">
        <f ca="1">IF(D1005&gt;10,ROUND(($C1006/12)*$E1004,0),$C1005)</f>
        <v>0</v>
      </c>
      <c r="F1005" s="21"/>
      <c r="G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259"/>
      <c r="B1006" s="21" t="s">
        <v>415</v>
      </c>
      <c r="C1006" s="245">
        <f ca="1">IF(ISBLANK(OFFSET($D$28,C1003,0)),0,IF(OFFSET($C$28,C1003,0)&gt;10,ROUND(C1005*am_wnip,0),IF(C1005&lt;0,0,C1005)))</f>
        <v>0</v>
      </c>
      <c r="D1006" s="21"/>
      <c r="E1006" s="21"/>
      <c r="F1006" s="21"/>
      <c r="G1006" s="21"/>
      <c r="I1006" s="21"/>
      <c r="J1006" s="483" t="str" cm="1">
        <f t="array" aca="1" ref="J1006" ca="1">OFFSET('Środki trwałe'!$C$195,'Rozliczenie dotacji'!D1003,,)</f>
        <v/>
      </c>
      <c r="K1006" s="75">
        <f ca="1">ROUND(IF($C1004=LataProjekcji,$E1005,IF($C1004=LataProjekcji,$C1006,0)),0)</f>
        <v>0</v>
      </c>
      <c r="L1006" s="248">
        <f ca="1">ROUND(IF(OR(AND($C1004=LataProjekcji,$E1004&gt;0),AND($C1004=LataProjekcji,$E1004=0,$D1005&lt;=10)),$E1005,IF($C1004&lt;LataProjekcji,IF((SUM($K1006:K1006)+$C1006)&lt;$C1005,$C1006,$C1005-SUM($K1006:K1006)),0)),0)</f>
        <v>0</v>
      </c>
      <c r="M1006" s="248">
        <f ca="1">ROUND(IF(OR(AND($C1004=LataProjekcji,$E1004&gt;0),AND($C1004=LataProjekcji,$E1004=0,$D1005&lt;=10)),$E1005,IF($C1004&lt;LataProjekcji,IF((SUM($K1006:L1006)+$C1006)&lt;$C1005,$C1006,$C1005-SUM($K1006:L1006)),0)),0)</f>
        <v>0</v>
      </c>
      <c r="N1006" s="248">
        <f ca="1">ROUND(IF(OR(AND($C1004=LataProjekcji,$E1004&gt;0),AND($C1004=LataProjekcji,$E1004=0,$D1005&lt;=10)),$E1005,IF($C1004&lt;LataProjekcji,IF((SUM($K1006:M1006)+$C1006)&lt;$C1005,$C1006,$C1005-SUM($K1006:M1006)),0)),0)</f>
        <v>0</v>
      </c>
      <c r="O1006" s="248">
        <f ca="1">ROUND(IF(OR(AND($C1004=LataProjekcji,$E1004&gt;0),AND($C1004=LataProjekcji,$E1004=0,$D1005&lt;=10)),$E1005,IF($C1004&lt;LataProjekcji,IF((SUM($K1006:N1006)+$C1006)&lt;$C1005,$C1006,$C1005-SUM($K1006:N1006)),0)),0)</f>
        <v>0</v>
      </c>
      <c r="P1006" s="248">
        <f ca="1">ROUND(IF(OR(AND($C1004=LataProjekcji,$E1004&gt;0),AND($C1004=LataProjekcji,$E1004=0,$D1005&lt;=10)),$E1005,IF($C1004&lt;LataProjekcji,IF((SUM($K1006:O1006)+$C1006)&lt;$C1005,$C1006,$C1005-SUM($K1006:O1006)),0)),0)</f>
        <v>0</v>
      </c>
      <c r="Q1006" s="248">
        <f ca="1">ROUND(IF(OR(AND($C1004=LataProjekcji,$E1004&gt;0),AND($C1004=LataProjekcji,$E1004=0,$D1005&lt;=10)),$E1005,IF($C1004&lt;LataProjekcji,IF((SUM($K1006:P1006)+$C1006)&lt;$C1005,$C1006,$C1005-SUM($K1006:P1006)),0)),0)</f>
        <v>0</v>
      </c>
      <c r="R1006" s="248">
        <f ca="1">ROUND(IF(OR(AND($C1004=LataProjekcji,$E1004&gt;0),AND($C1004=LataProjekcji,$E1004=0,$D1005&lt;=10)),$E1005,IF($C1004&lt;LataProjekcji,IF((SUM($K1006:Q1006)+$C1006)&lt;$C1005,$C1006,$C1005-SUM($K1006:Q1006)),0)),0)</f>
        <v>0</v>
      </c>
      <c r="S1006" s="248">
        <f ca="1">ROUND(IF(OR(AND($C1004=LataProjekcji,$E1004&gt;0),AND($C1004=LataProjekcji,$E1004=0,$D1005&lt;=10)),$E1005,IF($C1004&lt;LataProjekcji,IF((SUM($K1006:R1006)+$C1006)&lt;$C1005,$C1006,$C1005-SUM($K1006:R1006)),0)),0)</f>
        <v>0</v>
      </c>
      <c r="T1006" s="248">
        <f ca="1">ROUND(IF(OR(AND($C1004=LataProjekcji,$E1004&gt;0),AND($C1004=LataProjekcji,$E1004=0,$D1005&lt;=10)),$E1005,IF($C1004&lt;LataProjekcji,IF((SUM($K1006:S1006)+$C1006)&lt;$C1005,$C1006,$C1005-SUM($K1006:S1006)),0)),0)</f>
        <v>0</v>
      </c>
      <c r="U1006" s="248">
        <f ca="1">ROUND(IF(OR(AND($C1004=LataProjekcji,$E1004&gt;0),AND($C1004=LataProjekcji,$E1004=0,$D1005&lt;=10)),$E1005,IF($C1004&lt;LataProjekcji,IF((SUM($K1006:T1006)+$C1006)&lt;$C1005,$C1006,$C1005-SUM($K1006:T1006)),0)),0)</f>
        <v>0</v>
      </c>
      <c r="V1006" s="248">
        <f ca="1">ROUND(IF(OR(AND($C1004=LataProjekcji,$E1004&gt;0),AND($C1004=LataProjekcji,$E1004=0,$D1005&lt;=10)),$E1005,IF($C1004&lt;LataProjekcji,IF((SUM($K1006:U1006)+$C1006)&lt;$C1005,$C1006,$C1005-SUM($K1006:U1006)),0)),0)</f>
        <v>0</v>
      </c>
      <c r="W1006" s="248">
        <f ca="1">ROUND(IF(OR(AND($C1004=LataProjekcji,$E1004&gt;0),AND($C1004=LataProjekcji,$E1004=0,$D1005&lt;=10)),$E1005,IF($C1004&lt;LataProjekcji,IF((SUM($K1006:V1006)+$C1006)&lt;$C1005,$C1006,$C1005-SUM($K1006:V1006)),0)),0)</f>
        <v>0</v>
      </c>
      <c r="X1006" s="248">
        <f ca="1">ROUND(IF(OR(AND($C1004=LataProjekcji,$E1004&gt;0),AND($C1004=LataProjekcji,$E1004=0,$D1005&lt;=10)),$E1005,IF($C1004&lt;LataProjekcji,IF((SUM($K1006:W1006)+$C1006)&lt;$C1005,$C1006,$C1005-SUM($K1006:W1006)),0)),0)</f>
        <v>0</v>
      </c>
    </row>
    <row r="1007" spans="1:24" hidden="1">
      <c r="A1007" s="259"/>
      <c r="B1007" s="21" t="s">
        <v>416</v>
      </c>
      <c r="C1007" s="22"/>
      <c r="D1007" s="21"/>
      <c r="E1007" s="21"/>
      <c r="F1007" s="21"/>
      <c r="G1007" s="21"/>
      <c r="I1007" s="21"/>
      <c r="J1007" s="21"/>
      <c r="K1007" s="22">
        <f ca="1">ROUND(K1006,0)</f>
        <v>0</v>
      </c>
      <c r="L1007" s="22">
        <f t="shared" ref="L1007:X1007" ca="1" si="462">ROUND(K1007+L1006,0)</f>
        <v>0</v>
      </c>
      <c r="M1007" s="22">
        <f t="shared" ca="1" si="462"/>
        <v>0</v>
      </c>
      <c r="N1007" s="22">
        <f t="shared" ca="1" si="462"/>
        <v>0</v>
      </c>
      <c r="O1007" s="22">
        <f t="shared" ca="1" si="462"/>
        <v>0</v>
      </c>
      <c r="P1007" s="22">
        <f t="shared" ca="1" si="462"/>
        <v>0</v>
      </c>
      <c r="Q1007" s="22">
        <f t="shared" ca="1" si="462"/>
        <v>0</v>
      </c>
      <c r="R1007" s="22">
        <f t="shared" ca="1" si="462"/>
        <v>0</v>
      </c>
      <c r="S1007" s="22">
        <f t="shared" ca="1" si="462"/>
        <v>0</v>
      </c>
      <c r="T1007" s="22">
        <f t="shared" ca="1" si="462"/>
        <v>0</v>
      </c>
      <c r="U1007" s="22">
        <f t="shared" ca="1" si="462"/>
        <v>0</v>
      </c>
      <c r="V1007" s="22">
        <f t="shared" ca="1" si="462"/>
        <v>0</v>
      </c>
      <c r="W1007" s="22">
        <f t="shared" ca="1" si="462"/>
        <v>0</v>
      </c>
      <c r="X1007" s="22">
        <f t="shared" ca="1" si="462"/>
        <v>0</v>
      </c>
    </row>
    <row r="1008" spans="1:24" hidden="1">
      <c r="A1008" s="259"/>
      <c r="B1008" s="21" t="s">
        <v>406</v>
      </c>
      <c r="C1008" s="22"/>
      <c r="D1008" s="21"/>
      <c r="E1008" s="21"/>
      <c r="F1008" s="21"/>
      <c r="G1008" s="21"/>
      <c r="I1008" s="21"/>
      <c r="J1008" s="21"/>
      <c r="K1008" s="77">
        <f t="shared" ref="K1008:X1008" ca="1" si="463">IF($C1004=LataProjekcji,ROUND($C1005-K1007,0),ROUND(IF(K1006=0,0,$C1005-K1007),0))</f>
        <v>0</v>
      </c>
      <c r="L1008" s="77">
        <f t="shared" ca="1" si="463"/>
        <v>0</v>
      </c>
      <c r="M1008" s="77">
        <f t="shared" ca="1" si="463"/>
        <v>0</v>
      </c>
      <c r="N1008" s="77">
        <f t="shared" ca="1" si="463"/>
        <v>0</v>
      </c>
      <c r="O1008" s="77">
        <f t="shared" ca="1" si="463"/>
        <v>0</v>
      </c>
      <c r="P1008" s="77">
        <f t="shared" ca="1" si="463"/>
        <v>0</v>
      </c>
      <c r="Q1008" s="77">
        <f t="shared" ca="1" si="463"/>
        <v>0</v>
      </c>
      <c r="R1008" s="77">
        <f t="shared" ca="1" si="463"/>
        <v>0</v>
      </c>
      <c r="S1008" s="77">
        <f t="shared" ca="1" si="463"/>
        <v>0</v>
      </c>
      <c r="T1008" s="77">
        <f t="shared" ca="1" si="463"/>
        <v>0</v>
      </c>
      <c r="U1008" s="77">
        <f t="shared" ca="1" si="463"/>
        <v>0</v>
      </c>
      <c r="V1008" s="77">
        <f t="shared" ca="1" si="463"/>
        <v>0</v>
      </c>
      <c r="W1008" s="77">
        <f t="shared" ca="1" si="463"/>
        <v>0</v>
      </c>
      <c r="X1008" s="77">
        <f t="shared" ca="1" si="463"/>
        <v>0</v>
      </c>
    </row>
    <row r="1009" spans="1:24" hidden="1">
      <c r="A1009" s="259"/>
      <c r="B1009" s="21"/>
      <c r="C1009" s="21"/>
      <c r="D1009" s="21"/>
      <c r="E1009" s="21"/>
      <c r="F1009" s="21"/>
      <c r="G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259"/>
      <c r="B1010" s="20" t="str">
        <f>B158</f>
        <v/>
      </c>
      <c r="C1010" s="21">
        <f>C1003+1</f>
        <v>130</v>
      </c>
      <c r="D1010" s="483">
        <f>D1003+1</f>
        <v>264</v>
      </c>
      <c r="E1010" s="21"/>
      <c r="F1010" s="21"/>
      <c r="G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259"/>
      <c r="B1011" s="21" t="s">
        <v>414</v>
      </c>
      <c r="C1011" s="165">
        <f ca="1">IFERROR(YEAR(OFFSET($D$28,C1010,0)),0)</f>
        <v>0</v>
      </c>
      <c r="D1011" s="165">
        <f ca="1">IFERROR(MONTH(OFFSET($D$28,C1010,0)),0)</f>
        <v>0</v>
      </c>
      <c r="E1011" s="21">
        <f ca="1">12-$D1011</f>
        <v>12</v>
      </c>
      <c r="F1011" s="21"/>
      <c r="G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259"/>
      <c r="B1012" s="21" t="s">
        <v>406</v>
      </c>
      <c r="C1012" s="245">
        <f ca="1">IF(OFFSET($F$28,C1010,0)&lt;0,0,OFFSET($F$28,C1010,0))</f>
        <v>0</v>
      </c>
      <c r="D1012" s="22" t="str">
        <f ca="1">OFFSET($C$28,C1010,0)</f>
        <v/>
      </c>
      <c r="E1012" s="22">
        <f ca="1">IF(D1012&gt;10,ROUND(($C1013/12)*$E1011,0),$C1012)</f>
        <v>0</v>
      </c>
      <c r="F1012" s="21"/>
      <c r="G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</row>
    <row r="1013" spans="1:24" hidden="1">
      <c r="A1013" s="259"/>
      <c r="B1013" s="21" t="s">
        <v>415</v>
      </c>
      <c r="C1013" s="245">
        <f ca="1">IF(ISBLANK(OFFSET($D$28,C1010,0)),0,IF(OFFSET($C$28,C1010,0)&gt;10,ROUND(C1012*am_wnip,0),IF(C1012&lt;0,0,C1012)))</f>
        <v>0</v>
      </c>
      <c r="D1013" s="21"/>
      <c r="E1013" s="21"/>
      <c r="F1013" s="21"/>
      <c r="G1013" s="21"/>
      <c r="I1013" s="21"/>
      <c r="J1013" s="483" t="str" cm="1">
        <f t="array" aca="1" ref="J1013" ca="1">OFFSET('Środki trwałe'!$C$195,'Rozliczenie dotacji'!D1010,,)</f>
        <v/>
      </c>
      <c r="K1013" s="75">
        <f ca="1">ROUND(IF($C1011=LataProjekcji,$E1012,IF($C1011=LataProjekcji,$C1013,0)),0)</f>
        <v>0</v>
      </c>
      <c r="L1013" s="248">
        <f ca="1">ROUND(IF(OR(AND($C1011=LataProjekcji,$E1011&gt;0),AND($C1011=LataProjekcji,$E1011=0,$D1012&lt;=10)),$E1012,IF($C1011&lt;LataProjekcji,IF((SUM($K1013:K1013)+$C1013)&lt;$C1012,$C1013,$C1012-SUM($K1013:K1013)),0)),0)</f>
        <v>0</v>
      </c>
      <c r="M1013" s="248">
        <f ca="1">ROUND(IF(OR(AND($C1011=LataProjekcji,$E1011&gt;0),AND($C1011=LataProjekcji,$E1011=0,$D1012&lt;=10)),$E1012,IF($C1011&lt;LataProjekcji,IF((SUM($K1013:L1013)+$C1013)&lt;$C1012,$C1013,$C1012-SUM($K1013:L1013)),0)),0)</f>
        <v>0</v>
      </c>
      <c r="N1013" s="248">
        <f ca="1">ROUND(IF(OR(AND($C1011=LataProjekcji,$E1011&gt;0),AND($C1011=LataProjekcji,$E1011=0,$D1012&lt;=10)),$E1012,IF($C1011&lt;LataProjekcji,IF((SUM($K1013:M1013)+$C1013)&lt;$C1012,$C1013,$C1012-SUM($K1013:M1013)),0)),0)</f>
        <v>0</v>
      </c>
      <c r="O1013" s="248">
        <f ca="1">ROUND(IF(OR(AND($C1011=LataProjekcji,$E1011&gt;0),AND($C1011=LataProjekcji,$E1011=0,$D1012&lt;=10)),$E1012,IF($C1011&lt;LataProjekcji,IF((SUM($K1013:N1013)+$C1013)&lt;$C1012,$C1013,$C1012-SUM($K1013:N1013)),0)),0)</f>
        <v>0</v>
      </c>
      <c r="P1013" s="248">
        <f ca="1">ROUND(IF(OR(AND($C1011=LataProjekcji,$E1011&gt;0),AND($C1011=LataProjekcji,$E1011=0,$D1012&lt;=10)),$E1012,IF($C1011&lt;LataProjekcji,IF((SUM($K1013:O1013)+$C1013)&lt;$C1012,$C1013,$C1012-SUM($K1013:O1013)),0)),0)</f>
        <v>0</v>
      </c>
      <c r="Q1013" s="248">
        <f ca="1">ROUND(IF(OR(AND($C1011=LataProjekcji,$E1011&gt;0),AND($C1011=LataProjekcji,$E1011=0,$D1012&lt;=10)),$E1012,IF($C1011&lt;LataProjekcji,IF((SUM($K1013:P1013)+$C1013)&lt;$C1012,$C1013,$C1012-SUM($K1013:P1013)),0)),0)</f>
        <v>0</v>
      </c>
      <c r="R1013" s="248">
        <f ca="1">ROUND(IF(OR(AND($C1011=LataProjekcji,$E1011&gt;0),AND($C1011=LataProjekcji,$E1011=0,$D1012&lt;=10)),$E1012,IF($C1011&lt;LataProjekcji,IF((SUM($K1013:Q1013)+$C1013)&lt;$C1012,$C1013,$C1012-SUM($K1013:Q1013)),0)),0)</f>
        <v>0</v>
      </c>
      <c r="S1013" s="248">
        <f ca="1">ROUND(IF(OR(AND($C1011=LataProjekcji,$E1011&gt;0),AND($C1011=LataProjekcji,$E1011=0,$D1012&lt;=10)),$E1012,IF($C1011&lt;LataProjekcji,IF((SUM($K1013:R1013)+$C1013)&lt;$C1012,$C1013,$C1012-SUM($K1013:R1013)),0)),0)</f>
        <v>0</v>
      </c>
      <c r="T1013" s="248">
        <f ca="1">ROUND(IF(OR(AND($C1011=LataProjekcji,$E1011&gt;0),AND($C1011=LataProjekcji,$E1011=0,$D1012&lt;=10)),$E1012,IF($C1011&lt;LataProjekcji,IF((SUM($K1013:S1013)+$C1013)&lt;$C1012,$C1013,$C1012-SUM($K1013:S1013)),0)),0)</f>
        <v>0</v>
      </c>
      <c r="U1013" s="248">
        <f ca="1">ROUND(IF(OR(AND($C1011=LataProjekcji,$E1011&gt;0),AND($C1011=LataProjekcji,$E1011=0,$D1012&lt;=10)),$E1012,IF($C1011&lt;LataProjekcji,IF((SUM($K1013:T1013)+$C1013)&lt;$C1012,$C1013,$C1012-SUM($K1013:T1013)),0)),0)</f>
        <v>0</v>
      </c>
      <c r="V1013" s="248">
        <f ca="1">ROUND(IF(OR(AND($C1011=LataProjekcji,$E1011&gt;0),AND($C1011=LataProjekcji,$E1011=0,$D1012&lt;=10)),$E1012,IF($C1011&lt;LataProjekcji,IF((SUM($K1013:U1013)+$C1013)&lt;$C1012,$C1013,$C1012-SUM($K1013:U1013)),0)),0)</f>
        <v>0</v>
      </c>
      <c r="W1013" s="248">
        <f ca="1">ROUND(IF(OR(AND($C1011=LataProjekcji,$E1011&gt;0),AND($C1011=LataProjekcji,$E1011=0,$D1012&lt;=10)),$E1012,IF($C1011&lt;LataProjekcji,IF((SUM($K1013:V1013)+$C1013)&lt;$C1012,$C1013,$C1012-SUM($K1013:V1013)),0)),0)</f>
        <v>0</v>
      </c>
      <c r="X1013" s="248">
        <f ca="1">ROUND(IF(OR(AND($C1011=LataProjekcji,$E1011&gt;0),AND($C1011=LataProjekcji,$E1011=0,$D1012&lt;=10)),$E1012,IF($C1011&lt;LataProjekcji,IF((SUM($K1013:W1013)+$C1013)&lt;$C1012,$C1013,$C1012-SUM($K1013:W1013)),0)),0)</f>
        <v>0</v>
      </c>
    </row>
    <row r="1014" spans="1:24" hidden="1">
      <c r="A1014" s="259"/>
      <c r="B1014" s="21" t="s">
        <v>416</v>
      </c>
      <c r="C1014" s="22"/>
      <c r="D1014" s="21"/>
      <c r="E1014" s="21"/>
      <c r="F1014" s="21"/>
      <c r="G1014" s="21"/>
      <c r="I1014" s="21"/>
      <c r="J1014" s="21"/>
      <c r="K1014" s="22">
        <f ca="1">ROUND(K1013,0)</f>
        <v>0</v>
      </c>
      <c r="L1014" s="22">
        <f t="shared" ref="L1014:X1014" ca="1" si="464">ROUND(K1014+L1013,0)</f>
        <v>0</v>
      </c>
      <c r="M1014" s="22">
        <f t="shared" ca="1" si="464"/>
        <v>0</v>
      </c>
      <c r="N1014" s="22">
        <f t="shared" ca="1" si="464"/>
        <v>0</v>
      </c>
      <c r="O1014" s="22">
        <f t="shared" ca="1" si="464"/>
        <v>0</v>
      </c>
      <c r="P1014" s="22">
        <f t="shared" ca="1" si="464"/>
        <v>0</v>
      </c>
      <c r="Q1014" s="22">
        <f t="shared" ca="1" si="464"/>
        <v>0</v>
      </c>
      <c r="R1014" s="22">
        <f t="shared" ca="1" si="464"/>
        <v>0</v>
      </c>
      <c r="S1014" s="22">
        <f t="shared" ca="1" si="464"/>
        <v>0</v>
      </c>
      <c r="T1014" s="22">
        <f t="shared" ca="1" si="464"/>
        <v>0</v>
      </c>
      <c r="U1014" s="22">
        <f t="shared" ca="1" si="464"/>
        <v>0</v>
      </c>
      <c r="V1014" s="22">
        <f t="shared" ca="1" si="464"/>
        <v>0</v>
      </c>
      <c r="W1014" s="22">
        <f t="shared" ca="1" si="464"/>
        <v>0</v>
      </c>
      <c r="X1014" s="22">
        <f t="shared" ca="1" si="464"/>
        <v>0</v>
      </c>
    </row>
    <row r="1015" spans="1:24" hidden="1">
      <c r="A1015" s="259"/>
      <c r="B1015" s="21" t="s">
        <v>406</v>
      </c>
      <c r="C1015" s="22"/>
      <c r="D1015" s="21"/>
      <c r="E1015" s="21"/>
      <c r="F1015" s="21"/>
      <c r="G1015" s="21"/>
      <c r="I1015" s="21"/>
      <c r="J1015" s="21"/>
      <c r="K1015" s="77">
        <f t="shared" ref="K1015:X1015" ca="1" si="465">IF($C1011=LataProjekcji,ROUND($C1012-K1014,0),ROUND(IF(K1013=0,0,$C1012-K1014),0))</f>
        <v>0</v>
      </c>
      <c r="L1015" s="77">
        <f t="shared" ca="1" si="465"/>
        <v>0</v>
      </c>
      <c r="M1015" s="77">
        <f t="shared" ca="1" si="465"/>
        <v>0</v>
      </c>
      <c r="N1015" s="77">
        <f t="shared" ca="1" si="465"/>
        <v>0</v>
      </c>
      <c r="O1015" s="77">
        <f t="shared" ca="1" si="465"/>
        <v>0</v>
      </c>
      <c r="P1015" s="77">
        <f t="shared" ca="1" si="465"/>
        <v>0</v>
      </c>
      <c r="Q1015" s="77">
        <f t="shared" ca="1" si="465"/>
        <v>0</v>
      </c>
      <c r="R1015" s="77">
        <f t="shared" ca="1" si="465"/>
        <v>0</v>
      </c>
      <c r="S1015" s="77">
        <f t="shared" ca="1" si="465"/>
        <v>0</v>
      </c>
      <c r="T1015" s="77">
        <f t="shared" ca="1" si="465"/>
        <v>0</v>
      </c>
      <c r="U1015" s="77">
        <f t="shared" ca="1" si="465"/>
        <v>0</v>
      </c>
      <c r="V1015" s="77">
        <f t="shared" ca="1" si="465"/>
        <v>0</v>
      </c>
      <c r="W1015" s="77">
        <f t="shared" ca="1" si="465"/>
        <v>0</v>
      </c>
      <c r="X1015" s="77">
        <f t="shared" ca="1" si="465"/>
        <v>0</v>
      </c>
    </row>
    <row r="1016" spans="1:24" hidden="1">
      <c r="A1016" s="259"/>
      <c r="B1016" s="20"/>
      <c r="C1016" s="22"/>
      <c r="D1016" s="21"/>
      <c r="E1016" s="21"/>
      <c r="F1016" s="21"/>
      <c r="G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259"/>
      <c r="B1017" s="20" t="str">
        <f>B159</f>
        <v/>
      </c>
      <c r="C1017" s="21">
        <f>C1010+1</f>
        <v>131</v>
      </c>
      <c r="D1017" s="483">
        <f>D1010+1</f>
        <v>265</v>
      </c>
      <c r="E1017" s="21"/>
      <c r="F1017" s="21"/>
      <c r="G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259"/>
      <c r="B1018" s="21" t="s">
        <v>414</v>
      </c>
      <c r="C1018" s="165">
        <f ca="1">IFERROR(YEAR(OFFSET($D$28,C1017,0)),0)</f>
        <v>0</v>
      </c>
      <c r="D1018" s="165">
        <f ca="1">IFERROR(MONTH(OFFSET($D$28,C1017,0)),0)</f>
        <v>0</v>
      </c>
      <c r="E1018" s="21">
        <f ca="1">12-$D1018</f>
        <v>12</v>
      </c>
      <c r="F1018" s="21"/>
      <c r="G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</row>
    <row r="1019" spans="1:24" hidden="1">
      <c r="A1019" s="259"/>
      <c r="B1019" s="21" t="s">
        <v>406</v>
      </c>
      <c r="C1019" s="245">
        <f ca="1">IF(OFFSET($F$28,C1017,0)&lt;0,0,OFFSET($F$28,C1017,0))</f>
        <v>0</v>
      </c>
      <c r="D1019" s="22" t="str">
        <f ca="1">OFFSET($C$28,C1017,0)</f>
        <v/>
      </c>
      <c r="E1019" s="22">
        <f ca="1">IF(D1019&gt;10,ROUND(($C1020/12)*$E1018,0),$C1019)</f>
        <v>0</v>
      </c>
      <c r="F1019" s="21"/>
      <c r="G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</row>
    <row r="1020" spans="1:24" hidden="1">
      <c r="A1020" s="259"/>
      <c r="B1020" s="21" t="s">
        <v>415</v>
      </c>
      <c r="C1020" s="245">
        <f ca="1">IF(ISBLANK(OFFSET($D$28,C1017,0)),0,IF(OFFSET($C$28,C1017,0)&gt;10,ROUND(C1019*am_wnip,0),IF(C1019&lt;0,0,C1019)))</f>
        <v>0</v>
      </c>
      <c r="D1020" s="21"/>
      <c r="E1020" s="21"/>
      <c r="F1020" s="21"/>
      <c r="G1020" s="21"/>
      <c r="I1020" s="21"/>
      <c r="J1020" s="483" t="str" cm="1">
        <f t="array" aca="1" ref="J1020" ca="1">OFFSET('Środki trwałe'!$C$195,'Rozliczenie dotacji'!D1017,,)</f>
        <v/>
      </c>
      <c r="K1020" s="75">
        <f ca="1">ROUND(IF($C1018=LataProjekcji,$E1019,IF($C1018=LataProjekcji,$C1020,0)),0)</f>
        <v>0</v>
      </c>
      <c r="L1020" s="248">
        <f ca="1">ROUND(IF(OR(AND($C1018=LataProjekcji,$E1018&gt;0),AND($C1018=LataProjekcji,$E1018=0,$D1019&lt;=10)),$E1019,IF($C1018&lt;LataProjekcji,IF((SUM($K1020:K1020)+$C1020)&lt;$C1019,$C1020,$C1019-SUM($K1020:K1020)),0)),0)</f>
        <v>0</v>
      </c>
      <c r="M1020" s="248">
        <f ca="1">ROUND(IF(OR(AND($C1018=LataProjekcji,$E1018&gt;0),AND($C1018=LataProjekcji,$E1018=0,$D1019&lt;=10)),$E1019,IF($C1018&lt;LataProjekcji,IF((SUM($K1020:L1020)+$C1020)&lt;$C1019,$C1020,$C1019-SUM($K1020:L1020)),0)),0)</f>
        <v>0</v>
      </c>
      <c r="N1020" s="248">
        <f ca="1">ROUND(IF(OR(AND($C1018=LataProjekcji,$E1018&gt;0),AND($C1018=LataProjekcji,$E1018=0,$D1019&lt;=10)),$E1019,IF($C1018&lt;LataProjekcji,IF((SUM($K1020:M1020)+$C1020)&lt;$C1019,$C1020,$C1019-SUM($K1020:M1020)),0)),0)</f>
        <v>0</v>
      </c>
      <c r="O1020" s="248">
        <f ca="1">ROUND(IF(OR(AND($C1018=LataProjekcji,$E1018&gt;0),AND($C1018=LataProjekcji,$E1018=0,$D1019&lt;=10)),$E1019,IF($C1018&lt;LataProjekcji,IF((SUM($K1020:N1020)+$C1020)&lt;$C1019,$C1020,$C1019-SUM($K1020:N1020)),0)),0)</f>
        <v>0</v>
      </c>
      <c r="P1020" s="248">
        <f ca="1">ROUND(IF(OR(AND($C1018=LataProjekcji,$E1018&gt;0),AND($C1018=LataProjekcji,$E1018=0,$D1019&lt;=10)),$E1019,IF($C1018&lt;LataProjekcji,IF((SUM($K1020:O1020)+$C1020)&lt;$C1019,$C1020,$C1019-SUM($K1020:O1020)),0)),0)</f>
        <v>0</v>
      </c>
      <c r="Q1020" s="248">
        <f ca="1">ROUND(IF(OR(AND($C1018=LataProjekcji,$E1018&gt;0),AND($C1018=LataProjekcji,$E1018=0,$D1019&lt;=10)),$E1019,IF($C1018&lt;LataProjekcji,IF((SUM($K1020:P1020)+$C1020)&lt;$C1019,$C1020,$C1019-SUM($K1020:P1020)),0)),0)</f>
        <v>0</v>
      </c>
      <c r="R1020" s="248">
        <f ca="1">ROUND(IF(OR(AND($C1018=LataProjekcji,$E1018&gt;0),AND($C1018=LataProjekcji,$E1018=0,$D1019&lt;=10)),$E1019,IF($C1018&lt;LataProjekcji,IF((SUM($K1020:Q1020)+$C1020)&lt;$C1019,$C1020,$C1019-SUM($K1020:Q1020)),0)),0)</f>
        <v>0</v>
      </c>
      <c r="S1020" s="248">
        <f ca="1">ROUND(IF(OR(AND($C1018=LataProjekcji,$E1018&gt;0),AND($C1018=LataProjekcji,$E1018=0,$D1019&lt;=10)),$E1019,IF($C1018&lt;LataProjekcji,IF((SUM($K1020:R1020)+$C1020)&lt;$C1019,$C1020,$C1019-SUM($K1020:R1020)),0)),0)</f>
        <v>0</v>
      </c>
      <c r="T1020" s="248">
        <f ca="1">ROUND(IF(OR(AND($C1018=LataProjekcji,$E1018&gt;0),AND($C1018=LataProjekcji,$E1018=0,$D1019&lt;=10)),$E1019,IF($C1018&lt;LataProjekcji,IF((SUM($K1020:S1020)+$C1020)&lt;$C1019,$C1020,$C1019-SUM($K1020:S1020)),0)),0)</f>
        <v>0</v>
      </c>
      <c r="U1020" s="248">
        <f ca="1">ROUND(IF(OR(AND($C1018=LataProjekcji,$E1018&gt;0),AND($C1018=LataProjekcji,$E1018=0,$D1019&lt;=10)),$E1019,IF($C1018&lt;LataProjekcji,IF((SUM($K1020:T1020)+$C1020)&lt;$C1019,$C1020,$C1019-SUM($K1020:T1020)),0)),0)</f>
        <v>0</v>
      </c>
      <c r="V1020" s="248">
        <f ca="1">ROUND(IF(OR(AND($C1018=LataProjekcji,$E1018&gt;0),AND($C1018=LataProjekcji,$E1018=0,$D1019&lt;=10)),$E1019,IF($C1018&lt;LataProjekcji,IF((SUM($K1020:U1020)+$C1020)&lt;$C1019,$C1020,$C1019-SUM($K1020:U1020)),0)),0)</f>
        <v>0</v>
      </c>
      <c r="W1020" s="248">
        <f ca="1">ROUND(IF(OR(AND($C1018=LataProjekcji,$E1018&gt;0),AND($C1018=LataProjekcji,$E1018=0,$D1019&lt;=10)),$E1019,IF($C1018&lt;LataProjekcji,IF((SUM($K1020:V1020)+$C1020)&lt;$C1019,$C1020,$C1019-SUM($K1020:V1020)),0)),0)</f>
        <v>0</v>
      </c>
      <c r="X1020" s="248">
        <f ca="1">ROUND(IF(OR(AND($C1018=LataProjekcji,$E1018&gt;0),AND($C1018=LataProjekcji,$E1018=0,$D1019&lt;=10)),$E1019,IF($C1018&lt;LataProjekcji,IF((SUM($K1020:W1020)+$C1020)&lt;$C1019,$C1020,$C1019-SUM($K1020:W1020)),0)),0)</f>
        <v>0</v>
      </c>
    </row>
    <row r="1021" spans="1:24" hidden="1">
      <c r="A1021" s="259"/>
      <c r="B1021" s="21" t="s">
        <v>416</v>
      </c>
      <c r="C1021" s="22"/>
      <c r="D1021" s="21"/>
      <c r="E1021" s="21"/>
      <c r="F1021" s="21"/>
      <c r="G1021" s="21"/>
      <c r="I1021" s="21"/>
      <c r="J1021" s="21"/>
      <c r="K1021" s="22">
        <f ca="1">ROUND(K1020,0)</f>
        <v>0</v>
      </c>
      <c r="L1021" s="22">
        <f t="shared" ref="L1021:X1021" ca="1" si="466">ROUND(K1021+L1020,0)</f>
        <v>0</v>
      </c>
      <c r="M1021" s="22">
        <f t="shared" ca="1" si="466"/>
        <v>0</v>
      </c>
      <c r="N1021" s="22">
        <f t="shared" ca="1" si="466"/>
        <v>0</v>
      </c>
      <c r="O1021" s="22">
        <f t="shared" ca="1" si="466"/>
        <v>0</v>
      </c>
      <c r="P1021" s="22">
        <f t="shared" ca="1" si="466"/>
        <v>0</v>
      </c>
      <c r="Q1021" s="22">
        <f t="shared" ca="1" si="466"/>
        <v>0</v>
      </c>
      <c r="R1021" s="22">
        <f t="shared" ca="1" si="466"/>
        <v>0</v>
      </c>
      <c r="S1021" s="22">
        <f t="shared" ca="1" si="466"/>
        <v>0</v>
      </c>
      <c r="T1021" s="22">
        <f t="shared" ca="1" si="466"/>
        <v>0</v>
      </c>
      <c r="U1021" s="22">
        <f t="shared" ca="1" si="466"/>
        <v>0</v>
      </c>
      <c r="V1021" s="22">
        <f t="shared" ca="1" si="466"/>
        <v>0</v>
      </c>
      <c r="W1021" s="22">
        <f t="shared" ca="1" si="466"/>
        <v>0</v>
      </c>
      <c r="X1021" s="22">
        <f t="shared" ca="1" si="466"/>
        <v>0</v>
      </c>
    </row>
    <row r="1022" spans="1:24" hidden="1">
      <c r="A1022" s="259"/>
      <c r="B1022" s="21" t="s">
        <v>406</v>
      </c>
      <c r="C1022" s="22"/>
      <c r="D1022" s="21"/>
      <c r="E1022" s="21"/>
      <c r="F1022" s="21"/>
      <c r="G1022" s="21"/>
      <c r="I1022" s="21"/>
      <c r="J1022" s="21"/>
      <c r="K1022" s="77">
        <f t="shared" ref="K1022:X1022" ca="1" si="467">IF($C1018=LataProjekcji,ROUND($C1019-K1021,0),ROUND(IF(K1020=0,0,$C1019-K1021),0))</f>
        <v>0</v>
      </c>
      <c r="L1022" s="77">
        <f t="shared" ca="1" si="467"/>
        <v>0</v>
      </c>
      <c r="M1022" s="77">
        <f t="shared" ca="1" si="467"/>
        <v>0</v>
      </c>
      <c r="N1022" s="77">
        <f t="shared" ca="1" si="467"/>
        <v>0</v>
      </c>
      <c r="O1022" s="77">
        <f t="shared" ca="1" si="467"/>
        <v>0</v>
      </c>
      <c r="P1022" s="77">
        <f t="shared" ca="1" si="467"/>
        <v>0</v>
      </c>
      <c r="Q1022" s="77">
        <f t="shared" ca="1" si="467"/>
        <v>0</v>
      </c>
      <c r="R1022" s="77">
        <f t="shared" ca="1" si="467"/>
        <v>0</v>
      </c>
      <c r="S1022" s="77">
        <f t="shared" ca="1" si="467"/>
        <v>0</v>
      </c>
      <c r="T1022" s="77">
        <f t="shared" ca="1" si="467"/>
        <v>0</v>
      </c>
      <c r="U1022" s="77">
        <f t="shared" ca="1" si="467"/>
        <v>0</v>
      </c>
      <c r="V1022" s="77">
        <f t="shared" ca="1" si="467"/>
        <v>0</v>
      </c>
      <c r="W1022" s="77">
        <f t="shared" ca="1" si="467"/>
        <v>0</v>
      </c>
      <c r="X1022" s="77">
        <f t="shared" ca="1" si="467"/>
        <v>0</v>
      </c>
    </row>
    <row r="1023" spans="1:24" hidden="1">
      <c r="A1023" s="259"/>
      <c r="B1023" s="21"/>
      <c r="C1023" s="22"/>
      <c r="D1023" s="21"/>
      <c r="E1023" s="21"/>
      <c r="F1023" s="21"/>
      <c r="G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259"/>
      <c r="B1024" s="20" t="str">
        <f>B160</f>
        <v/>
      </c>
      <c r="C1024" s="21">
        <f>C1017+1</f>
        <v>132</v>
      </c>
      <c r="D1024" s="483">
        <f>D1017+1</f>
        <v>266</v>
      </c>
      <c r="E1024" s="21"/>
      <c r="F1024" s="21"/>
      <c r="G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</row>
    <row r="1025" spans="1:24" hidden="1">
      <c r="A1025" s="259"/>
      <c r="B1025" s="21" t="s">
        <v>414</v>
      </c>
      <c r="C1025" s="165">
        <f ca="1">IFERROR(YEAR(OFFSET($D$28,C1024,0)),0)</f>
        <v>0</v>
      </c>
      <c r="D1025" s="165">
        <f ca="1">IFERROR(MONTH(OFFSET($D$28,C1024,0)),0)</f>
        <v>0</v>
      </c>
      <c r="E1025" s="21">
        <f ca="1">12-$D1025</f>
        <v>12</v>
      </c>
      <c r="F1025" s="21"/>
      <c r="G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</row>
    <row r="1026" spans="1:24" hidden="1">
      <c r="A1026" s="259"/>
      <c r="B1026" s="21" t="s">
        <v>406</v>
      </c>
      <c r="C1026" s="245">
        <f ca="1">IF(OFFSET($F$28,C1024,0)&lt;0,0,OFFSET($F$28,C1024,0))</f>
        <v>0</v>
      </c>
      <c r="D1026" s="22" t="str">
        <f ca="1">OFFSET($C$28,C1024,0)</f>
        <v/>
      </c>
      <c r="E1026" s="22">
        <f ca="1">IF(D1026&gt;10,ROUND(($C1027/12)*$E1025,0),$C1026)</f>
        <v>0</v>
      </c>
      <c r="F1026" s="21"/>
      <c r="G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</row>
    <row r="1027" spans="1:24" hidden="1">
      <c r="A1027" s="259"/>
      <c r="B1027" s="21" t="s">
        <v>415</v>
      </c>
      <c r="C1027" s="245">
        <f ca="1">IF(ISBLANK(OFFSET($D$28,C1024,0)),0,IF(OFFSET($C$28,C1024,0)&gt;10,ROUND(C1026*am_wnip,0),IF(C1026&lt;0,0,C1026)))</f>
        <v>0</v>
      </c>
      <c r="D1027" s="21"/>
      <c r="E1027" s="21"/>
      <c r="F1027" s="21"/>
      <c r="G1027" s="21"/>
      <c r="I1027" s="21"/>
      <c r="J1027" s="483" t="str" cm="1">
        <f t="array" aca="1" ref="J1027" ca="1">OFFSET('Środki trwałe'!$C$195,'Rozliczenie dotacji'!D1024,,)</f>
        <v/>
      </c>
      <c r="K1027" s="75">
        <f ca="1">ROUND(IF($C1025=LataProjekcji,$E1026,IF($C1025=LataProjekcji,$C1027,0)),0)</f>
        <v>0</v>
      </c>
      <c r="L1027" s="248">
        <f ca="1">ROUND(IF(OR(AND($C1025=LataProjekcji,$E1025&gt;0),AND($C1025=LataProjekcji,$E1025=0,$D1026&lt;=10)),$E1026,IF($C1025&lt;LataProjekcji,IF((SUM($K1027:K1027)+$C1027)&lt;$C1026,$C1027,$C1026-SUM($K1027:K1027)),0)),0)</f>
        <v>0</v>
      </c>
      <c r="M1027" s="248">
        <f ca="1">ROUND(IF(OR(AND($C1025=LataProjekcji,$E1025&gt;0),AND($C1025=LataProjekcji,$E1025=0,$D1026&lt;=10)),$E1026,IF($C1025&lt;LataProjekcji,IF((SUM($K1027:L1027)+$C1027)&lt;$C1026,$C1027,$C1026-SUM($K1027:L1027)),0)),0)</f>
        <v>0</v>
      </c>
      <c r="N1027" s="248">
        <f ca="1">ROUND(IF(OR(AND($C1025=LataProjekcji,$E1025&gt;0),AND($C1025=LataProjekcji,$E1025=0,$D1026&lt;=10)),$E1026,IF($C1025&lt;LataProjekcji,IF((SUM($K1027:M1027)+$C1027)&lt;$C1026,$C1027,$C1026-SUM($K1027:M1027)),0)),0)</f>
        <v>0</v>
      </c>
      <c r="O1027" s="248">
        <f ca="1">ROUND(IF(OR(AND($C1025=LataProjekcji,$E1025&gt;0),AND($C1025=LataProjekcji,$E1025=0,$D1026&lt;=10)),$E1026,IF($C1025&lt;LataProjekcji,IF((SUM($K1027:N1027)+$C1027)&lt;$C1026,$C1027,$C1026-SUM($K1027:N1027)),0)),0)</f>
        <v>0</v>
      </c>
      <c r="P1027" s="248">
        <f ca="1">ROUND(IF(OR(AND($C1025=LataProjekcji,$E1025&gt;0),AND($C1025=LataProjekcji,$E1025=0,$D1026&lt;=10)),$E1026,IF($C1025&lt;LataProjekcji,IF((SUM($K1027:O1027)+$C1027)&lt;$C1026,$C1027,$C1026-SUM($K1027:O1027)),0)),0)</f>
        <v>0</v>
      </c>
      <c r="Q1027" s="248">
        <f ca="1">ROUND(IF(OR(AND($C1025=LataProjekcji,$E1025&gt;0),AND($C1025=LataProjekcji,$E1025=0,$D1026&lt;=10)),$E1026,IF($C1025&lt;LataProjekcji,IF((SUM($K1027:P1027)+$C1027)&lt;$C1026,$C1027,$C1026-SUM($K1027:P1027)),0)),0)</f>
        <v>0</v>
      </c>
      <c r="R1027" s="248">
        <f ca="1">ROUND(IF(OR(AND($C1025=LataProjekcji,$E1025&gt;0),AND($C1025=LataProjekcji,$E1025=0,$D1026&lt;=10)),$E1026,IF($C1025&lt;LataProjekcji,IF((SUM($K1027:Q1027)+$C1027)&lt;$C1026,$C1027,$C1026-SUM($K1027:Q1027)),0)),0)</f>
        <v>0</v>
      </c>
      <c r="S1027" s="248">
        <f ca="1">ROUND(IF(OR(AND($C1025=LataProjekcji,$E1025&gt;0),AND($C1025=LataProjekcji,$E1025=0,$D1026&lt;=10)),$E1026,IF($C1025&lt;LataProjekcji,IF((SUM($K1027:R1027)+$C1027)&lt;$C1026,$C1027,$C1026-SUM($K1027:R1027)),0)),0)</f>
        <v>0</v>
      </c>
      <c r="T1027" s="248">
        <f ca="1">ROUND(IF(OR(AND($C1025=LataProjekcji,$E1025&gt;0),AND($C1025=LataProjekcji,$E1025=0,$D1026&lt;=10)),$E1026,IF($C1025&lt;LataProjekcji,IF((SUM($K1027:S1027)+$C1027)&lt;$C1026,$C1027,$C1026-SUM($K1027:S1027)),0)),0)</f>
        <v>0</v>
      </c>
      <c r="U1027" s="248">
        <f ca="1">ROUND(IF(OR(AND($C1025=LataProjekcji,$E1025&gt;0),AND($C1025=LataProjekcji,$E1025=0,$D1026&lt;=10)),$E1026,IF($C1025&lt;LataProjekcji,IF((SUM($K1027:T1027)+$C1027)&lt;$C1026,$C1027,$C1026-SUM($K1027:T1027)),0)),0)</f>
        <v>0</v>
      </c>
      <c r="V1027" s="248">
        <f ca="1">ROUND(IF(OR(AND($C1025=LataProjekcji,$E1025&gt;0),AND($C1025=LataProjekcji,$E1025=0,$D1026&lt;=10)),$E1026,IF($C1025&lt;LataProjekcji,IF((SUM($K1027:U1027)+$C1027)&lt;$C1026,$C1027,$C1026-SUM($K1027:U1027)),0)),0)</f>
        <v>0</v>
      </c>
      <c r="W1027" s="248">
        <f ca="1">ROUND(IF(OR(AND($C1025=LataProjekcji,$E1025&gt;0),AND($C1025=LataProjekcji,$E1025=0,$D1026&lt;=10)),$E1026,IF($C1025&lt;LataProjekcji,IF((SUM($K1027:V1027)+$C1027)&lt;$C1026,$C1027,$C1026-SUM($K1027:V1027)),0)),0)</f>
        <v>0</v>
      </c>
      <c r="X1027" s="248">
        <f ca="1">ROUND(IF(OR(AND($C1025=LataProjekcji,$E1025&gt;0),AND($C1025=LataProjekcji,$E1025=0,$D1026&lt;=10)),$E1026,IF($C1025&lt;LataProjekcji,IF((SUM($K1027:W1027)+$C1027)&lt;$C1026,$C1027,$C1026-SUM($K1027:W1027)),0)),0)</f>
        <v>0</v>
      </c>
    </row>
    <row r="1028" spans="1:24" hidden="1">
      <c r="A1028" s="259"/>
      <c r="B1028" s="21" t="s">
        <v>416</v>
      </c>
      <c r="C1028" s="22"/>
      <c r="D1028" s="21"/>
      <c r="E1028" s="21"/>
      <c r="F1028" s="21"/>
      <c r="G1028" s="21"/>
      <c r="I1028" s="21"/>
      <c r="J1028" s="21"/>
      <c r="K1028" s="22">
        <f ca="1">ROUND(K1027,0)</f>
        <v>0</v>
      </c>
      <c r="L1028" s="22">
        <f t="shared" ref="L1028:X1028" ca="1" si="468">ROUND(K1028+L1027,0)</f>
        <v>0</v>
      </c>
      <c r="M1028" s="22">
        <f t="shared" ca="1" si="468"/>
        <v>0</v>
      </c>
      <c r="N1028" s="22">
        <f t="shared" ca="1" si="468"/>
        <v>0</v>
      </c>
      <c r="O1028" s="22">
        <f t="shared" ca="1" si="468"/>
        <v>0</v>
      </c>
      <c r="P1028" s="22">
        <f t="shared" ca="1" si="468"/>
        <v>0</v>
      </c>
      <c r="Q1028" s="22">
        <f t="shared" ca="1" si="468"/>
        <v>0</v>
      </c>
      <c r="R1028" s="22">
        <f t="shared" ca="1" si="468"/>
        <v>0</v>
      </c>
      <c r="S1028" s="22">
        <f t="shared" ca="1" si="468"/>
        <v>0</v>
      </c>
      <c r="T1028" s="22">
        <f t="shared" ca="1" si="468"/>
        <v>0</v>
      </c>
      <c r="U1028" s="22">
        <f t="shared" ca="1" si="468"/>
        <v>0</v>
      </c>
      <c r="V1028" s="22">
        <f t="shared" ca="1" si="468"/>
        <v>0</v>
      </c>
      <c r="W1028" s="22">
        <f t="shared" ca="1" si="468"/>
        <v>0</v>
      </c>
      <c r="X1028" s="22">
        <f t="shared" ca="1" si="468"/>
        <v>0</v>
      </c>
    </row>
    <row r="1029" spans="1:24" hidden="1">
      <c r="A1029" s="259"/>
      <c r="B1029" s="21" t="s">
        <v>406</v>
      </c>
      <c r="C1029" s="22"/>
      <c r="D1029" s="21"/>
      <c r="E1029" s="21"/>
      <c r="F1029" s="21"/>
      <c r="G1029" s="21"/>
      <c r="I1029" s="21"/>
      <c r="J1029" s="21"/>
      <c r="K1029" s="77">
        <f t="shared" ref="K1029:X1029" ca="1" si="469">IF($C1025=LataProjekcji,ROUND($C1026-K1028,0),ROUND(IF(K1027=0,0,$C1026-K1028),0))</f>
        <v>0</v>
      </c>
      <c r="L1029" s="77">
        <f t="shared" ca="1" si="469"/>
        <v>0</v>
      </c>
      <c r="M1029" s="77">
        <f t="shared" ca="1" si="469"/>
        <v>0</v>
      </c>
      <c r="N1029" s="77">
        <f t="shared" ca="1" si="469"/>
        <v>0</v>
      </c>
      <c r="O1029" s="77">
        <f t="shared" ca="1" si="469"/>
        <v>0</v>
      </c>
      <c r="P1029" s="77">
        <f t="shared" ca="1" si="469"/>
        <v>0</v>
      </c>
      <c r="Q1029" s="77">
        <f t="shared" ca="1" si="469"/>
        <v>0</v>
      </c>
      <c r="R1029" s="77">
        <f t="shared" ca="1" si="469"/>
        <v>0</v>
      </c>
      <c r="S1029" s="77">
        <f t="shared" ca="1" si="469"/>
        <v>0</v>
      </c>
      <c r="T1029" s="77">
        <f t="shared" ca="1" si="469"/>
        <v>0</v>
      </c>
      <c r="U1029" s="77">
        <f t="shared" ca="1" si="469"/>
        <v>0</v>
      </c>
      <c r="V1029" s="77">
        <f t="shared" ca="1" si="469"/>
        <v>0</v>
      </c>
      <c r="W1029" s="77">
        <f t="shared" ca="1" si="469"/>
        <v>0</v>
      </c>
      <c r="X1029" s="77">
        <f t="shared" ca="1" si="469"/>
        <v>0</v>
      </c>
    </row>
    <row r="1030" spans="1:24" hidden="1">
      <c r="A1030" s="259"/>
      <c r="B1030" s="21"/>
      <c r="C1030" s="21"/>
      <c r="D1030" s="21"/>
      <c r="E1030" s="21"/>
      <c r="F1030" s="21"/>
      <c r="G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</row>
    <row r="1031" spans="1:24" hidden="1">
      <c r="A1031" s="259"/>
      <c r="B1031" s="20" t="str">
        <f>B161</f>
        <v/>
      </c>
      <c r="C1031" s="21">
        <f>C1024+1</f>
        <v>133</v>
      </c>
      <c r="D1031" s="483">
        <f>D1024+1</f>
        <v>267</v>
      </c>
      <c r="E1031" s="21"/>
      <c r="F1031" s="21"/>
      <c r="G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</row>
    <row r="1032" spans="1:24" hidden="1">
      <c r="A1032" s="259"/>
      <c r="B1032" s="21" t="s">
        <v>414</v>
      </c>
      <c r="C1032" s="165">
        <f ca="1">IFERROR(YEAR(OFFSET($D$28,C1031,0)),0)</f>
        <v>0</v>
      </c>
      <c r="D1032" s="165">
        <f ca="1">IFERROR(MONTH(OFFSET($D$28,C1031,0)),0)</f>
        <v>0</v>
      </c>
      <c r="E1032" s="21">
        <f ca="1">12-$D1032</f>
        <v>12</v>
      </c>
      <c r="F1032" s="21"/>
      <c r="G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</row>
    <row r="1033" spans="1:24" hidden="1">
      <c r="A1033" s="259"/>
      <c r="B1033" s="21" t="s">
        <v>406</v>
      </c>
      <c r="C1033" s="245">
        <f ca="1">IF(OFFSET($F$28,C1031,0)&lt;0,0,OFFSET($F$28,C1031,0))</f>
        <v>0</v>
      </c>
      <c r="D1033" s="22" t="str">
        <f ca="1">OFFSET($C$28,C1031,0)</f>
        <v/>
      </c>
      <c r="E1033" s="22">
        <f ca="1">IF(D1033&gt;10,ROUND(($C1034/12)*$E1032,0),$C1033)</f>
        <v>0</v>
      </c>
      <c r="F1033" s="21"/>
      <c r="G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259"/>
      <c r="B1034" s="21" t="s">
        <v>415</v>
      </c>
      <c r="C1034" s="245">
        <f ca="1">IF(ISBLANK(OFFSET($D$28,C1031,0)),0,IF(OFFSET($C$28,C1031,0)&gt;10,ROUND(C1033*am_wnip,0),IF(C1033&lt;0,0,C1033)))</f>
        <v>0</v>
      </c>
      <c r="D1034" s="21"/>
      <c r="E1034" s="21"/>
      <c r="F1034" s="21"/>
      <c r="G1034" s="21"/>
      <c r="I1034" s="21"/>
      <c r="J1034" s="483" t="str" cm="1">
        <f t="array" aca="1" ref="J1034" ca="1">OFFSET('Środki trwałe'!$C$195,'Rozliczenie dotacji'!D1031,,)</f>
        <v/>
      </c>
      <c r="K1034" s="75">
        <f ca="1">ROUND(IF($C1032=LataProjekcji,$E1033,IF($C1032=LataProjekcji,$C1034,0)),0)</f>
        <v>0</v>
      </c>
      <c r="L1034" s="248">
        <f ca="1">ROUND(IF(OR(AND($C1032=LataProjekcji,$E1032&gt;0),AND($C1032=LataProjekcji,$E1032=0,$D1033&lt;=10)),$E1033,IF($C1032&lt;LataProjekcji,IF((SUM($K1034:K1034)+$C1034)&lt;$C1033,$C1034,$C1033-SUM($K1034:K1034)),0)),0)</f>
        <v>0</v>
      </c>
      <c r="M1034" s="248">
        <f ca="1">ROUND(IF(OR(AND($C1032=LataProjekcji,$E1032&gt;0),AND($C1032=LataProjekcji,$E1032=0,$D1033&lt;=10)),$E1033,IF($C1032&lt;LataProjekcji,IF((SUM($K1034:L1034)+$C1034)&lt;$C1033,$C1034,$C1033-SUM($K1034:L1034)),0)),0)</f>
        <v>0</v>
      </c>
      <c r="N1034" s="248">
        <f ca="1">ROUND(IF(OR(AND($C1032=LataProjekcji,$E1032&gt;0),AND($C1032=LataProjekcji,$E1032=0,$D1033&lt;=10)),$E1033,IF($C1032&lt;LataProjekcji,IF((SUM($K1034:M1034)+$C1034)&lt;$C1033,$C1034,$C1033-SUM($K1034:M1034)),0)),0)</f>
        <v>0</v>
      </c>
      <c r="O1034" s="248">
        <f ca="1">ROUND(IF(OR(AND($C1032=LataProjekcji,$E1032&gt;0),AND($C1032=LataProjekcji,$E1032=0,$D1033&lt;=10)),$E1033,IF($C1032&lt;LataProjekcji,IF((SUM($K1034:N1034)+$C1034)&lt;$C1033,$C1034,$C1033-SUM($K1034:N1034)),0)),0)</f>
        <v>0</v>
      </c>
      <c r="P1034" s="248">
        <f ca="1">ROUND(IF(OR(AND($C1032=LataProjekcji,$E1032&gt;0),AND($C1032=LataProjekcji,$E1032=0,$D1033&lt;=10)),$E1033,IF($C1032&lt;LataProjekcji,IF((SUM($K1034:O1034)+$C1034)&lt;$C1033,$C1034,$C1033-SUM($K1034:O1034)),0)),0)</f>
        <v>0</v>
      </c>
      <c r="Q1034" s="248">
        <f ca="1">ROUND(IF(OR(AND($C1032=LataProjekcji,$E1032&gt;0),AND($C1032=LataProjekcji,$E1032=0,$D1033&lt;=10)),$E1033,IF($C1032&lt;LataProjekcji,IF((SUM($K1034:P1034)+$C1034)&lt;$C1033,$C1034,$C1033-SUM($K1034:P1034)),0)),0)</f>
        <v>0</v>
      </c>
      <c r="R1034" s="248">
        <f ca="1">ROUND(IF(OR(AND($C1032=LataProjekcji,$E1032&gt;0),AND($C1032=LataProjekcji,$E1032=0,$D1033&lt;=10)),$E1033,IF($C1032&lt;LataProjekcji,IF((SUM($K1034:Q1034)+$C1034)&lt;$C1033,$C1034,$C1033-SUM($K1034:Q1034)),0)),0)</f>
        <v>0</v>
      </c>
      <c r="S1034" s="248">
        <f ca="1">ROUND(IF(OR(AND($C1032=LataProjekcji,$E1032&gt;0),AND($C1032=LataProjekcji,$E1032=0,$D1033&lt;=10)),$E1033,IF($C1032&lt;LataProjekcji,IF((SUM($K1034:R1034)+$C1034)&lt;$C1033,$C1034,$C1033-SUM($K1034:R1034)),0)),0)</f>
        <v>0</v>
      </c>
      <c r="T1034" s="248">
        <f ca="1">ROUND(IF(OR(AND($C1032=LataProjekcji,$E1032&gt;0),AND($C1032=LataProjekcji,$E1032=0,$D1033&lt;=10)),$E1033,IF($C1032&lt;LataProjekcji,IF((SUM($K1034:S1034)+$C1034)&lt;$C1033,$C1034,$C1033-SUM($K1034:S1034)),0)),0)</f>
        <v>0</v>
      </c>
      <c r="U1034" s="248">
        <f ca="1">ROUND(IF(OR(AND($C1032=LataProjekcji,$E1032&gt;0),AND($C1032=LataProjekcji,$E1032=0,$D1033&lt;=10)),$E1033,IF($C1032&lt;LataProjekcji,IF((SUM($K1034:T1034)+$C1034)&lt;$C1033,$C1034,$C1033-SUM($K1034:T1034)),0)),0)</f>
        <v>0</v>
      </c>
      <c r="V1034" s="248">
        <f ca="1">ROUND(IF(OR(AND($C1032=LataProjekcji,$E1032&gt;0),AND($C1032=LataProjekcji,$E1032=0,$D1033&lt;=10)),$E1033,IF($C1032&lt;LataProjekcji,IF((SUM($K1034:U1034)+$C1034)&lt;$C1033,$C1034,$C1033-SUM($K1034:U1034)),0)),0)</f>
        <v>0</v>
      </c>
      <c r="W1034" s="248">
        <f ca="1">ROUND(IF(OR(AND($C1032=LataProjekcji,$E1032&gt;0),AND($C1032=LataProjekcji,$E1032=0,$D1033&lt;=10)),$E1033,IF($C1032&lt;LataProjekcji,IF((SUM($K1034:V1034)+$C1034)&lt;$C1033,$C1034,$C1033-SUM($K1034:V1034)),0)),0)</f>
        <v>0</v>
      </c>
      <c r="X1034" s="248">
        <f ca="1">ROUND(IF(OR(AND($C1032=LataProjekcji,$E1032&gt;0),AND($C1032=LataProjekcji,$E1032=0,$D1033&lt;=10)),$E1033,IF($C1032&lt;LataProjekcji,IF((SUM($K1034:W1034)+$C1034)&lt;$C1033,$C1034,$C1033-SUM($K1034:W1034)),0)),0)</f>
        <v>0</v>
      </c>
    </row>
    <row r="1035" spans="1:24" hidden="1">
      <c r="A1035" s="259"/>
      <c r="B1035" s="21" t="s">
        <v>416</v>
      </c>
      <c r="C1035" s="22"/>
      <c r="D1035" s="21"/>
      <c r="E1035" s="21"/>
      <c r="F1035" s="21"/>
      <c r="G1035" s="21"/>
      <c r="I1035" s="21"/>
      <c r="J1035" s="21"/>
      <c r="K1035" s="22">
        <f ca="1">ROUND(K1034,0)</f>
        <v>0</v>
      </c>
      <c r="L1035" s="22">
        <f t="shared" ref="L1035:X1035" ca="1" si="470">ROUND(K1035+L1034,0)</f>
        <v>0</v>
      </c>
      <c r="M1035" s="22">
        <f t="shared" ca="1" si="470"/>
        <v>0</v>
      </c>
      <c r="N1035" s="22">
        <f t="shared" ca="1" si="470"/>
        <v>0</v>
      </c>
      <c r="O1035" s="22">
        <f t="shared" ca="1" si="470"/>
        <v>0</v>
      </c>
      <c r="P1035" s="22">
        <f t="shared" ca="1" si="470"/>
        <v>0</v>
      </c>
      <c r="Q1035" s="22">
        <f t="shared" ca="1" si="470"/>
        <v>0</v>
      </c>
      <c r="R1035" s="22">
        <f t="shared" ca="1" si="470"/>
        <v>0</v>
      </c>
      <c r="S1035" s="22">
        <f t="shared" ca="1" si="470"/>
        <v>0</v>
      </c>
      <c r="T1035" s="22">
        <f t="shared" ca="1" si="470"/>
        <v>0</v>
      </c>
      <c r="U1035" s="22">
        <f t="shared" ca="1" si="470"/>
        <v>0</v>
      </c>
      <c r="V1035" s="22">
        <f t="shared" ca="1" si="470"/>
        <v>0</v>
      </c>
      <c r="W1035" s="22">
        <f t="shared" ca="1" si="470"/>
        <v>0</v>
      </c>
      <c r="X1035" s="22">
        <f t="shared" ca="1" si="470"/>
        <v>0</v>
      </c>
    </row>
    <row r="1036" spans="1:24" hidden="1">
      <c r="A1036" s="259"/>
      <c r="B1036" s="21" t="s">
        <v>406</v>
      </c>
      <c r="C1036" s="22"/>
      <c r="D1036" s="21"/>
      <c r="E1036" s="21"/>
      <c r="F1036" s="21"/>
      <c r="G1036" s="21"/>
      <c r="I1036" s="21"/>
      <c r="J1036" s="21"/>
      <c r="K1036" s="77">
        <f t="shared" ref="K1036:X1036" ca="1" si="471">IF($C1032=LataProjekcji,ROUND($C1033-K1035,0),ROUND(IF(K1034=0,0,$C1033-K1035),0))</f>
        <v>0</v>
      </c>
      <c r="L1036" s="77">
        <f t="shared" ca="1" si="471"/>
        <v>0</v>
      </c>
      <c r="M1036" s="77">
        <f t="shared" ca="1" si="471"/>
        <v>0</v>
      </c>
      <c r="N1036" s="77">
        <f t="shared" ca="1" si="471"/>
        <v>0</v>
      </c>
      <c r="O1036" s="77">
        <f t="shared" ca="1" si="471"/>
        <v>0</v>
      </c>
      <c r="P1036" s="77">
        <f t="shared" ca="1" si="471"/>
        <v>0</v>
      </c>
      <c r="Q1036" s="77">
        <f t="shared" ca="1" si="471"/>
        <v>0</v>
      </c>
      <c r="R1036" s="77">
        <f t="shared" ca="1" si="471"/>
        <v>0</v>
      </c>
      <c r="S1036" s="77">
        <f t="shared" ca="1" si="471"/>
        <v>0</v>
      </c>
      <c r="T1036" s="77">
        <f t="shared" ca="1" si="471"/>
        <v>0</v>
      </c>
      <c r="U1036" s="77">
        <f t="shared" ca="1" si="471"/>
        <v>0</v>
      </c>
      <c r="V1036" s="77">
        <f t="shared" ca="1" si="471"/>
        <v>0</v>
      </c>
      <c r="W1036" s="77">
        <f t="shared" ca="1" si="471"/>
        <v>0</v>
      </c>
      <c r="X1036" s="77">
        <f t="shared" ca="1" si="471"/>
        <v>0</v>
      </c>
    </row>
    <row r="1040" spans="1:24" ht="12.6" hidden="1" thickBot="1"/>
    <row r="1041" spans="1:24" ht="12.6" hidden="1" thickBot="1">
      <c r="A1041" s="259"/>
      <c r="B1041" s="20" t="s">
        <v>392</v>
      </c>
      <c r="C1041" s="250">
        <v>142</v>
      </c>
      <c r="D1041" s="482">
        <v>379</v>
      </c>
      <c r="E1041" s="21" t="s">
        <v>411</v>
      </c>
      <c r="F1041" s="48"/>
      <c r="G1041" s="50" t="s">
        <v>412</v>
      </c>
      <c r="H1041" s="322"/>
      <c r="I1041" s="21" t="s">
        <v>413</v>
      </c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259"/>
      <c r="B1042" s="21" t="s">
        <v>414</v>
      </c>
      <c r="C1042" s="165">
        <f ca="1">IFERROR(YEAR(OFFSET($D$28,C1041,0)),0)</f>
        <v>0</v>
      </c>
      <c r="D1042" s="165">
        <f ca="1">IFERROR(MONTH(OFFSET($D$28,C1041,0)),0)</f>
        <v>0</v>
      </c>
      <c r="E1042" s="21">
        <f ca="1">12-$D1042</f>
        <v>12</v>
      </c>
      <c r="F1042" s="49"/>
      <c r="G1042" s="51">
        <f>C180-F1042</f>
        <v>0</v>
      </c>
      <c r="H1042" s="323"/>
      <c r="I1042" s="22">
        <f>C180-F1042-G1042</f>
        <v>0</v>
      </c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</row>
    <row r="1043" spans="1:24" hidden="1">
      <c r="A1043" s="259"/>
      <c r="B1043" s="21" t="s">
        <v>406</v>
      </c>
      <c r="C1043" s="245">
        <f ca="1">IF(OFFSET($F$28,C1041,0)&lt;0,0,OFFSET($F$28,C1041,0))</f>
        <v>0</v>
      </c>
      <c r="D1043" s="22" t="str">
        <f ca="1">OFFSET($C$28,C1041,0)</f>
        <v/>
      </c>
      <c r="E1043" s="22">
        <f ca="1">IF(D1043&gt;10,ROUND(($C1044/12)*$E1042,0),$C1043)</f>
        <v>0</v>
      </c>
      <c r="F1043" s="21" t="s">
        <v>426</v>
      </c>
      <c r="G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</row>
    <row r="1044" spans="1:24" hidden="1">
      <c r="A1044" s="259"/>
      <c r="B1044" s="21" t="s">
        <v>415</v>
      </c>
      <c r="C1044" s="245">
        <f ca="1">IF(ISBLANK(OFFSET($D$28,C1041,0)),0,IF(OFFSET($C$28,C1041,0)&gt;10,ROUND(C1043*am_wnip,0),IF(C1043&lt;0,0,C1043)))</f>
        <v>0</v>
      </c>
      <c r="D1044" s="21"/>
      <c r="E1044" s="21"/>
      <c r="F1044" s="21"/>
      <c r="G1044" s="21"/>
      <c r="I1044" s="21"/>
      <c r="J1044" s="483" cm="1">
        <f t="array" aca="1" ref="J1044" ca="1">OFFSET('Środki trwałe'!$C$195,'Rozliczenie dotacji'!D1041,,)</f>
        <v>0</v>
      </c>
      <c r="K1044" s="75">
        <f ca="1">ROUND(IF($C1042=LataProjekcji,$E1043,IF($C1042=LataProjekcji,$C1044,0)),0)</f>
        <v>0</v>
      </c>
      <c r="L1044" s="248">
        <f ca="1">ROUND(IF(OR(AND($C1042=LataProjekcji,$E1042&gt;0),AND($C1042=LataProjekcji,$E1042=0,$D1043&lt;=10)),$E1043,IF($C1042&lt;LataProjekcji,IF((SUM($K1044:K1044)+$C1044)&lt;$C1043,$C1044,$C1043-SUM($K1044:K1044)),0)),0)</f>
        <v>0</v>
      </c>
      <c r="M1044" s="248">
        <f ca="1">ROUND(IF(OR(AND($C1042=LataProjekcji,$E1042&gt;0),AND($C1042=LataProjekcji,$E1042=0,$D1043&lt;=10)),$E1043,IF($C1042&lt;LataProjekcji,IF((SUM($K1044:L1044)+$C1044)&lt;$C1043,$C1044,$C1043-SUM($K1044:L1044)),0)),0)</f>
        <v>0</v>
      </c>
      <c r="N1044" s="248">
        <f ca="1">ROUND(IF(OR(AND($C1042=LataProjekcji,$E1042&gt;0),AND($C1042=LataProjekcji,$E1042=0,$D1043&lt;=10)),$E1043,IF($C1042&lt;LataProjekcji,IF((SUM($K1044:M1044)+$C1044)&lt;$C1043,$C1044,$C1043-SUM($K1044:M1044)),0)),0)</f>
        <v>0</v>
      </c>
      <c r="O1044" s="248">
        <f ca="1">ROUND(IF(OR(AND($C1042=LataProjekcji,$E1042&gt;0),AND($C1042=LataProjekcji,$E1042=0,$D1043&lt;=10)),$E1043,IF($C1042&lt;LataProjekcji,IF((SUM($K1044:N1044)+$C1044)&lt;$C1043,$C1044,$C1043-SUM($K1044:N1044)),0)),0)</f>
        <v>0</v>
      </c>
      <c r="P1044" s="248">
        <f ca="1">ROUND(IF(OR(AND($C1042=LataProjekcji,$E1042&gt;0),AND($C1042=LataProjekcji,$E1042=0,$D1043&lt;=10)),$E1043,IF($C1042&lt;LataProjekcji,IF((SUM($K1044:O1044)+$C1044)&lt;$C1043,$C1044,$C1043-SUM($K1044:O1044)),0)),0)</f>
        <v>0</v>
      </c>
      <c r="Q1044" s="248">
        <f ca="1">ROUND(IF(OR(AND($C1042=LataProjekcji,$E1042&gt;0),AND($C1042=LataProjekcji,$E1042=0,$D1043&lt;=10)),$E1043,IF($C1042&lt;LataProjekcji,IF((SUM($K1044:P1044)+$C1044)&lt;$C1043,$C1044,$C1043-SUM($K1044:P1044)),0)),0)</f>
        <v>0</v>
      </c>
      <c r="R1044" s="248">
        <f ca="1">ROUND(IF(OR(AND($C1042=LataProjekcji,$E1042&gt;0),AND($C1042=LataProjekcji,$E1042=0,$D1043&lt;=10)),$E1043,IF($C1042&lt;LataProjekcji,IF((SUM($K1044:Q1044)+$C1044)&lt;$C1043,$C1044,$C1043-SUM($K1044:Q1044)),0)),0)</f>
        <v>0</v>
      </c>
      <c r="S1044" s="248">
        <f ca="1">ROUND(IF(OR(AND($C1042=LataProjekcji,$E1042&gt;0),AND($C1042=LataProjekcji,$E1042=0,$D1043&lt;=10)),$E1043,IF($C1042&lt;LataProjekcji,IF((SUM($K1044:R1044)+$C1044)&lt;$C1043,$C1044,$C1043-SUM($K1044:R1044)),0)),0)</f>
        <v>0</v>
      </c>
      <c r="T1044" s="248">
        <f ca="1">ROUND(IF(OR(AND($C1042=LataProjekcji,$E1042&gt;0),AND($C1042=LataProjekcji,$E1042=0,$D1043&lt;=10)),$E1043,IF($C1042&lt;LataProjekcji,IF((SUM($K1044:S1044)+$C1044)&lt;$C1043,$C1044,$C1043-SUM($K1044:S1044)),0)),0)</f>
        <v>0</v>
      </c>
      <c r="U1044" s="248">
        <f ca="1">ROUND(IF(OR(AND($C1042=LataProjekcji,$E1042&gt;0),AND($C1042=LataProjekcji,$E1042=0,$D1043&lt;=10)),$E1043,IF($C1042&lt;LataProjekcji,IF((SUM($K1044:T1044)+$C1044)&lt;$C1043,$C1044,$C1043-SUM($K1044:T1044)),0)),0)</f>
        <v>0</v>
      </c>
      <c r="V1044" s="248">
        <f ca="1">ROUND(IF(OR(AND($C1042=LataProjekcji,$E1042&gt;0),AND($C1042=LataProjekcji,$E1042=0,$D1043&lt;=10)),$E1043,IF($C1042&lt;LataProjekcji,IF((SUM($K1044:U1044)+$C1044)&lt;$C1043,$C1044,$C1043-SUM($K1044:U1044)),0)),0)</f>
        <v>0</v>
      </c>
      <c r="W1044" s="248">
        <f ca="1">ROUND(IF(OR(AND($C1042=LataProjekcji,$E1042&gt;0),AND($C1042=LataProjekcji,$E1042=0,$D1043&lt;=10)),$E1043,IF($C1042&lt;LataProjekcji,IF((SUM($K1044:V1044)+$C1044)&lt;$C1043,$C1044,$C1043-SUM($K1044:V1044)),0)),0)</f>
        <v>0</v>
      </c>
      <c r="X1044" s="248">
        <f ca="1">ROUND(IF(OR(AND($C1042=LataProjekcji,$E1042&gt;0),AND($C1042=LataProjekcji,$E1042=0,$D1043&lt;=10)),$E1043,IF($C1042&lt;LataProjekcji,IF((SUM($K1044:W1044)+$C1044)&lt;$C1043,$C1044,$C1043-SUM($K1044:W1044)),0)),0)</f>
        <v>0</v>
      </c>
    </row>
    <row r="1045" spans="1:24" hidden="1">
      <c r="A1045" s="259"/>
      <c r="B1045" s="21" t="s">
        <v>416</v>
      </c>
      <c r="C1045" s="22"/>
      <c r="D1045" s="21"/>
      <c r="E1045" s="21"/>
      <c r="F1045" s="21"/>
      <c r="G1045" s="21"/>
      <c r="I1045" s="21"/>
      <c r="J1045" s="21"/>
      <c r="K1045" s="22">
        <f ca="1">ROUND(K1044,0)</f>
        <v>0</v>
      </c>
      <c r="L1045" s="22">
        <f t="shared" ref="L1045:X1045" ca="1" si="472">ROUND(K1045+L1044,0)</f>
        <v>0</v>
      </c>
      <c r="M1045" s="22">
        <f t="shared" ca="1" si="472"/>
        <v>0</v>
      </c>
      <c r="N1045" s="22">
        <f t="shared" ca="1" si="472"/>
        <v>0</v>
      </c>
      <c r="O1045" s="22">
        <f t="shared" ca="1" si="472"/>
        <v>0</v>
      </c>
      <c r="P1045" s="22">
        <f t="shared" ca="1" si="472"/>
        <v>0</v>
      </c>
      <c r="Q1045" s="22">
        <f t="shared" ca="1" si="472"/>
        <v>0</v>
      </c>
      <c r="R1045" s="22">
        <f t="shared" ca="1" si="472"/>
        <v>0</v>
      </c>
      <c r="S1045" s="22">
        <f t="shared" ca="1" si="472"/>
        <v>0</v>
      </c>
      <c r="T1045" s="22">
        <f t="shared" ca="1" si="472"/>
        <v>0</v>
      </c>
      <c r="U1045" s="22">
        <f t="shared" ca="1" si="472"/>
        <v>0</v>
      </c>
      <c r="V1045" s="22">
        <f t="shared" ca="1" si="472"/>
        <v>0</v>
      </c>
      <c r="W1045" s="22">
        <f t="shared" ca="1" si="472"/>
        <v>0</v>
      </c>
      <c r="X1045" s="22">
        <f t="shared" ca="1" si="472"/>
        <v>0</v>
      </c>
    </row>
    <row r="1046" spans="1:24" hidden="1">
      <c r="A1046" s="259"/>
      <c r="B1046" s="21" t="s">
        <v>406</v>
      </c>
      <c r="C1046" s="22"/>
      <c r="D1046" s="21"/>
      <c r="E1046" s="21"/>
      <c r="F1046" s="21"/>
      <c r="G1046" s="21"/>
      <c r="I1046" s="21"/>
      <c r="J1046" s="21"/>
      <c r="K1046" s="77">
        <f t="shared" ref="K1046:X1046" ca="1" si="473">IF($C1042=LataProjekcji,ROUND($C1043-K1045,0),ROUND(IF(K1044=0,0,$C1043-K1045),0))</f>
        <v>0</v>
      </c>
      <c r="L1046" s="77">
        <f t="shared" ca="1" si="473"/>
        <v>0</v>
      </c>
      <c r="M1046" s="77">
        <f t="shared" ca="1" si="473"/>
        <v>0</v>
      </c>
      <c r="N1046" s="77">
        <f t="shared" ca="1" si="473"/>
        <v>0</v>
      </c>
      <c r="O1046" s="77">
        <f t="shared" ca="1" si="473"/>
        <v>0</v>
      </c>
      <c r="P1046" s="77">
        <f t="shared" ca="1" si="473"/>
        <v>0</v>
      </c>
      <c r="Q1046" s="77">
        <f t="shared" ca="1" si="473"/>
        <v>0</v>
      </c>
      <c r="R1046" s="77">
        <f t="shared" ca="1" si="473"/>
        <v>0</v>
      </c>
      <c r="S1046" s="77">
        <f t="shared" ca="1" si="473"/>
        <v>0</v>
      </c>
      <c r="T1046" s="77">
        <f t="shared" ca="1" si="473"/>
        <v>0</v>
      </c>
      <c r="U1046" s="77">
        <f t="shared" ca="1" si="473"/>
        <v>0</v>
      </c>
      <c r="V1046" s="77">
        <f t="shared" ca="1" si="473"/>
        <v>0</v>
      </c>
      <c r="W1046" s="77">
        <f t="shared" ca="1" si="473"/>
        <v>0</v>
      </c>
      <c r="X1046" s="77">
        <f t="shared" ca="1" si="473"/>
        <v>0</v>
      </c>
    </row>
    <row r="1047" spans="1:24" hidden="1">
      <c r="A1047" s="259"/>
      <c r="B1047" s="21"/>
      <c r="C1047" s="22"/>
      <c r="D1047" s="21"/>
      <c r="E1047" s="21"/>
      <c r="F1047" s="21"/>
      <c r="G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259"/>
      <c r="B1048" s="20" t="s">
        <v>392</v>
      </c>
      <c r="C1048" s="21">
        <f>C1041+1</f>
        <v>143</v>
      </c>
      <c r="D1048" s="483">
        <f>D1041+1</f>
        <v>380</v>
      </c>
      <c r="E1048" s="21"/>
      <c r="F1048" s="21"/>
      <c r="G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</row>
    <row r="1049" spans="1:24" hidden="1">
      <c r="A1049" s="259"/>
      <c r="B1049" s="21" t="s">
        <v>414</v>
      </c>
      <c r="C1049" s="165">
        <f ca="1">IFERROR(YEAR(OFFSET($D$28,C1048,0)),0)</f>
        <v>0</v>
      </c>
      <c r="D1049" s="165">
        <f ca="1">IFERROR(MONTH(OFFSET($D$28,C1048,0)),0)</f>
        <v>0</v>
      </c>
      <c r="E1049" s="21">
        <f ca="1">12-$D1049</f>
        <v>12</v>
      </c>
      <c r="F1049" s="21"/>
      <c r="G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</row>
    <row r="1050" spans="1:24" hidden="1">
      <c r="A1050" s="259"/>
      <c r="B1050" s="21" t="s">
        <v>406</v>
      </c>
      <c r="C1050" s="245">
        <f ca="1">IF(OFFSET($F$28,C1048,0)&lt;0,0,OFFSET($F$28,C1048,0))</f>
        <v>0</v>
      </c>
      <c r="D1050" s="22" t="str">
        <f ca="1">OFFSET($C$28,C1048,0)</f>
        <v/>
      </c>
      <c r="E1050" s="22">
        <f ca="1">IF(D1050&gt;10,ROUND(($C1051/12)*$E1049,0),$C1050)</f>
        <v>0</v>
      </c>
      <c r="F1050" s="21"/>
      <c r="G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</row>
    <row r="1051" spans="1:24" hidden="1">
      <c r="A1051" s="259"/>
      <c r="B1051" s="21" t="s">
        <v>415</v>
      </c>
      <c r="C1051" s="245">
        <f ca="1">IF(ISBLANK(OFFSET($D$28,C1048,0)),0,IF(OFFSET($C$28,C1048,0)&gt;10,ROUND(C1050*am_wnip,0),IF(C1050&lt;0,0,C1050)))</f>
        <v>0</v>
      </c>
      <c r="D1051" s="21"/>
      <c r="E1051" s="21"/>
      <c r="F1051" s="21"/>
      <c r="G1051" s="21"/>
      <c r="I1051" s="21"/>
      <c r="J1051" s="483" cm="1">
        <f t="array" aca="1" ref="J1051" ca="1">OFFSET('Środki trwałe'!$C$195,'Rozliczenie dotacji'!D1048,,)</f>
        <v>0</v>
      </c>
      <c r="K1051" s="75">
        <f ca="1">ROUND(IF($C1049=LataProjekcji,$E1050,IF($C1049=LataProjekcji,$C1051,0)),0)</f>
        <v>0</v>
      </c>
      <c r="L1051" s="248">
        <f ca="1">ROUND(IF(OR(AND($C1049=LataProjekcji,$E1049&gt;0),AND($C1049=LataProjekcji,$E1049=0,$D1050&lt;=10)),$E1050,IF($C1049&lt;LataProjekcji,IF((SUM($K1051:K1051)+$C1051)&lt;$C1050,$C1051,$C1050-SUM($K1051:K1051)),0)),0)</f>
        <v>0</v>
      </c>
      <c r="M1051" s="248">
        <f ca="1">ROUND(IF(OR(AND($C1049=LataProjekcji,$E1049&gt;0),AND($C1049=LataProjekcji,$E1049=0,$D1050&lt;=10)),$E1050,IF($C1049&lt;LataProjekcji,IF((SUM($K1051:L1051)+$C1051)&lt;$C1050,$C1051,$C1050-SUM($K1051:L1051)),0)),0)</f>
        <v>0</v>
      </c>
      <c r="N1051" s="248">
        <f ca="1">ROUND(IF(OR(AND($C1049=LataProjekcji,$E1049&gt;0),AND($C1049=LataProjekcji,$E1049=0,$D1050&lt;=10)),$E1050,IF($C1049&lt;LataProjekcji,IF((SUM($K1051:M1051)+$C1051)&lt;$C1050,$C1051,$C1050-SUM($K1051:M1051)),0)),0)</f>
        <v>0</v>
      </c>
      <c r="O1051" s="248">
        <f ca="1">ROUND(IF(OR(AND($C1049=LataProjekcji,$E1049&gt;0),AND($C1049=LataProjekcji,$E1049=0,$D1050&lt;=10)),$E1050,IF($C1049&lt;LataProjekcji,IF((SUM($K1051:N1051)+$C1051)&lt;$C1050,$C1051,$C1050-SUM($K1051:N1051)),0)),0)</f>
        <v>0</v>
      </c>
      <c r="P1051" s="248">
        <f ca="1">ROUND(IF(OR(AND($C1049=LataProjekcji,$E1049&gt;0),AND($C1049=LataProjekcji,$E1049=0,$D1050&lt;=10)),$E1050,IF($C1049&lt;LataProjekcji,IF((SUM($K1051:O1051)+$C1051)&lt;$C1050,$C1051,$C1050-SUM($K1051:O1051)),0)),0)</f>
        <v>0</v>
      </c>
      <c r="Q1051" s="248">
        <f ca="1">ROUND(IF(OR(AND($C1049=LataProjekcji,$E1049&gt;0),AND($C1049=LataProjekcji,$E1049=0,$D1050&lt;=10)),$E1050,IF($C1049&lt;LataProjekcji,IF((SUM($K1051:P1051)+$C1051)&lt;$C1050,$C1051,$C1050-SUM($K1051:P1051)),0)),0)</f>
        <v>0</v>
      </c>
      <c r="R1051" s="248">
        <f ca="1">ROUND(IF(OR(AND($C1049=LataProjekcji,$E1049&gt;0),AND($C1049=LataProjekcji,$E1049=0,$D1050&lt;=10)),$E1050,IF($C1049&lt;LataProjekcji,IF((SUM($K1051:Q1051)+$C1051)&lt;$C1050,$C1051,$C1050-SUM($K1051:Q1051)),0)),0)</f>
        <v>0</v>
      </c>
      <c r="S1051" s="248">
        <f ca="1">ROUND(IF(OR(AND($C1049=LataProjekcji,$E1049&gt;0),AND($C1049=LataProjekcji,$E1049=0,$D1050&lt;=10)),$E1050,IF($C1049&lt;LataProjekcji,IF((SUM($K1051:R1051)+$C1051)&lt;$C1050,$C1051,$C1050-SUM($K1051:R1051)),0)),0)</f>
        <v>0</v>
      </c>
      <c r="T1051" s="248">
        <f ca="1">ROUND(IF(OR(AND($C1049=LataProjekcji,$E1049&gt;0),AND($C1049=LataProjekcji,$E1049=0,$D1050&lt;=10)),$E1050,IF($C1049&lt;LataProjekcji,IF((SUM($K1051:S1051)+$C1051)&lt;$C1050,$C1051,$C1050-SUM($K1051:S1051)),0)),0)</f>
        <v>0</v>
      </c>
      <c r="U1051" s="248">
        <f ca="1">ROUND(IF(OR(AND($C1049=LataProjekcji,$E1049&gt;0),AND($C1049=LataProjekcji,$E1049=0,$D1050&lt;=10)),$E1050,IF($C1049&lt;LataProjekcji,IF((SUM($K1051:T1051)+$C1051)&lt;$C1050,$C1051,$C1050-SUM($K1051:T1051)),0)),0)</f>
        <v>0</v>
      </c>
      <c r="V1051" s="248">
        <f ca="1">ROUND(IF(OR(AND($C1049=LataProjekcji,$E1049&gt;0),AND($C1049=LataProjekcji,$E1049=0,$D1050&lt;=10)),$E1050,IF($C1049&lt;LataProjekcji,IF((SUM($K1051:U1051)+$C1051)&lt;$C1050,$C1051,$C1050-SUM($K1051:U1051)),0)),0)</f>
        <v>0</v>
      </c>
      <c r="W1051" s="248">
        <f ca="1">ROUND(IF(OR(AND($C1049=LataProjekcji,$E1049&gt;0),AND($C1049=LataProjekcji,$E1049=0,$D1050&lt;=10)),$E1050,IF($C1049&lt;LataProjekcji,IF((SUM($K1051:V1051)+$C1051)&lt;$C1050,$C1051,$C1050-SUM($K1051:V1051)),0)),0)</f>
        <v>0</v>
      </c>
      <c r="X1051" s="248">
        <f ca="1">ROUND(IF(OR(AND($C1049=LataProjekcji,$E1049&gt;0),AND($C1049=LataProjekcji,$E1049=0,$D1050&lt;=10)),$E1050,IF($C1049&lt;LataProjekcji,IF((SUM($K1051:W1051)+$C1051)&lt;$C1050,$C1051,$C1050-SUM($K1051:W1051)),0)),0)</f>
        <v>0</v>
      </c>
    </row>
    <row r="1052" spans="1:24" hidden="1">
      <c r="A1052" s="259"/>
      <c r="B1052" s="21" t="s">
        <v>416</v>
      </c>
      <c r="C1052" s="22"/>
      <c r="D1052" s="21"/>
      <c r="E1052" s="21"/>
      <c r="F1052" s="21"/>
      <c r="G1052" s="21"/>
      <c r="I1052" s="21"/>
      <c r="J1052" s="21"/>
      <c r="K1052" s="22">
        <f ca="1">ROUND(K1051,0)</f>
        <v>0</v>
      </c>
      <c r="L1052" s="22">
        <f t="shared" ref="L1052:X1052" ca="1" si="474">ROUND(K1052+L1051,0)</f>
        <v>0</v>
      </c>
      <c r="M1052" s="22">
        <f t="shared" ca="1" si="474"/>
        <v>0</v>
      </c>
      <c r="N1052" s="22">
        <f t="shared" ca="1" si="474"/>
        <v>0</v>
      </c>
      <c r="O1052" s="22">
        <f t="shared" ca="1" si="474"/>
        <v>0</v>
      </c>
      <c r="P1052" s="22">
        <f t="shared" ca="1" si="474"/>
        <v>0</v>
      </c>
      <c r="Q1052" s="22">
        <f t="shared" ca="1" si="474"/>
        <v>0</v>
      </c>
      <c r="R1052" s="22">
        <f t="shared" ca="1" si="474"/>
        <v>0</v>
      </c>
      <c r="S1052" s="22">
        <f t="shared" ca="1" si="474"/>
        <v>0</v>
      </c>
      <c r="T1052" s="22">
        <f t="shared" ca="1" si="474"/>
        <v>0</v>
      </c>
      <c r="U1052" s="22">
        <f t="shared" ca="1" si="474"/>
        <v>0</v>
      </c>
      <c r="V1052" s="22">
        <f t="shared" ca="1" si="474"/>
        <v>0</v>
      </c>
      <c r="W1052" s="22">
        <f t="shared" ca="1" si="474"/>
        <v>0</v>
      </c>
      <c r="X1052" s="22">
        <f t="shared" ca="1" si="474"/>
        <v>0</v>
      </c>
    </row>
    <row r="1053" spans="1:24" hidden="1">
      <c r="A1053" s="259"/>
      <c r="B1053" s="21" t="s">
        <v>406</v>
      </c>
      <c r="C1053" s="22"/>
      <c r="D1053" s="21"/>
      <c r="E1053" s="21"/>
      <c r="F1053" s="21"/>
      <c r="G1053" s="21"/>
      <c r="I1053" s="21"/>
      <c r="J1053" s="21"/>
      <c r="K1053" s="77">
        <f t="shared" ref="K1053:X1053" ca="1" si="475">IF($C1049=LataProjekcji,ROUND($C1050-K1052,0),ROUND(IF(K1051=0,0,$C1050-K1052),0))</f>
        <v>0</v>
      </c>
      <c r="L1053" s="77">
        <f t="shared" ca="1" si="475"/>
        <v>0</v>
      </c>
      <c r="M1053" s="77">
        <f t="shared" ca="1" si="475"/>
        <v>0</v>
      </c>
      <c r="N1053" s="77">
        <f t="shared" ca="1" si="475"/>
        <v>0</v>
      </c>
      <c r="O1053" s="77">
        <f t="shared" ca="1" si="475"/>
        <v>0</v>
      </c>
      <c r="P1053" s="77">
        <f t="shared" ca="1" si="475"/>
        <v>0</v>
      </c>
      <c r="Q1053" s="77">
        <f t="shared" ca="1" si="475"/>
        <v>0</v>
      </c>
      <c r="R1053" s="77">
        <f t="shared" ca="1" si="475"/>
        <v>0</v>
      </c>
      <c r="S1053" s="77">
        <f t="shared" ca="1" si="475"/>
        <v>0</v>
      </c>
      <c r="T1053" s="77">
        <f t="shared" ca="1" si="475"/>
        <v>0</v>
      </c>
      <c r="U1053" s="77">
        <f t="shared" ca="1" si="475"/>
        <v>0</v>
      </c>
      <c r="V1053" s="77">
        <f t="shared" ca="1" si="475"/>
        <v>0</v>
      </c>
      <c r="W1053" s="77">
        <f t="shared" ca="1" si="475"/>
        <v>0</v>
      </c>
      <c r="X1053" s="77">
        <f t="shared" ca="1" si="475"/>
        <v>0</v>
      </c>
    </row>
    <row r="1054" spans="1:24" hidden="1">
      <c r="A1054" s="259"/>
      <c r="B1054" s="20"/>
      <c r="C1054" s="21"/>
      <c r="D1054" s="21"/>
      <c r="E1054" s="21"/>
      <c r="F1054" s="21"/>
      <c r="G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</row>
    <row r="1055" spans="1:24" hidden="1">
      <c r="A1055" s="259"/>
      <c r="B1055" s="20" t="s">
        <v>392</v>
      </c>
      <c r="C1055" s="21">
        <f>C1048+1</f>
        <v>144</v>
      </c>
      <c r="D1055" s="483">
        <f>D1048+1</f>
        <v>381</v>
      </c>
      <c r="E1055" s="21"/>
      <c r="F1055" s="21"/>
      <c r="G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</row>
    <row r="1056" spans="1:24" hidden="1">
      <c r="A1056" s="259"/>
      <c r="B1056" s="21" t="s">
        <v>414</v>
      </c>
      <c r="C1056" s="165">
        <f ca="1">IFERROR(YEAR(OFFSET($D$28,C1055,0)),0)</f>
        <v>0</v>
      </c>
      <c r="D1056" s="165">
        <f ca="1">IFERROR(MONTH(OFFSET($D$28,C1055,0)),0)</f>
        <v>0</v>
      </c>
      <c r="E1056" s="21">
        <f ca="1">12-$D1056</f>
        <v>12</v>
      </c>
      <c r="F1056" s="21"/>
      <c r="G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</row>
    <row r="1057" spans="1:24" hidden="1">
      <c r="A1057" s="259"/>
      <c r="B1057" s="21" t="s">
        <v>406</v>
      </c>
      <c r="C1057" s="245">
        <f ca="1">IF(OFFSET($F$28,C1055,0)&lt;0,0,OFFSET($F$28,C1055,0))</f>
        <v>0</v>
      </c>
      <c r="D1057" s="22" t="str">
        <f ca="1">OFFSET($C$28,C1055,0)</f>
        <v/>
      </c>
      <c r="E1057" s="22">
        <f ca="1">IF(D1057&gt;10,ROUND(($C1058/12)*$E1056,0),$C1057)</f>
        <v>0</v>
      </c>
      <c r="F1057" s="21"/>
      <c r="G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259"/>
      <c r="B1058" s="21" t="s">
        <v>415</v>
      </c>
      <c r="C1058" s="245">
        <f ca="1">IF(ISBLANK(OFFSET($D$28,C1055,0)),0,IF(OFFSET($C$28,C1055,0)&gt;10,ROUND(C1057*am_wnip,0),IF(C1057&lt;0,0,C1057)))</f>
        <v>0</v>
      </c>
      <c r="D1058" s="21"/>
      <c r="E1058" s="21"/>
      <c r="F1058" s="21"/>
      <c r="G1058" s="21"/>
      <c r="I1058" s="21"/>
      <c r="J1058" s="483" cm="1">
        <f t="array" aca="1" ref="J1058" ca="1">OFFSET('Środki trwałe'!$C$195,'Rozliczenie dotacji'!D1055,,)</f>
        <v>0</v>
      </c>
      <c r="K1058" s="75">
        <f ca="1">ROUND(IF($C1056=LataProjekcji,$E1057,IF($C1056=LataProjekcji,$C1058,0)),0)</f>
        <v>0</v>
      </c>
      <c r="L1058" s="248">
        <f ca="1">ROUND(IF(OR(AND($C1056=LataProjekcji,$E1056&gt;0),AND($C1056=LataProjekcji,$E1056=0,$D1057&lt;=10)),$E1057,IF($C1056&lt;LataProjekcji,IF((SUM($K1058:K1058)+$C1058)&lt;$C1057,$C1058,$C1057-SUM($K1058:K1058)),0)),0)</f>
        <v>0</v>
      </c>
      <c r="M1058" s="248">
        <f ca="1">ROUND(IF(OR(AND($C1056=LataProjekcji,$E1056&gt;0),AND($C1056=LataProjekcji,$E1056=0,$D1057&lt;=10)),$E1057,IF($C1056&lt;LataProjekcji,IF((SUM($K1058:L1058)+$C1058)&lt;$C1057,$C1058,$C1057-SUM($K1058:L1058)),0)),0)</f>
        <v>0</v>
      </c>
      <c r="N1058" s="248">
        <f ca="1">ROUND(IF(OR(AND($C1056=LataProjekcji,$E1056&gt;0),AND($C1056=LataProjekcji,$E1056=0,$D1057&lt;=10)),$E1057,IF($C1056&lt;LataProjekcji,IF((SUM($K1058:M1058)+$C1058)&lt;$C1057,$C1058,$C1057-SUM($K1058:M1058)),0)),0)</f>
        <v>0</v>
      </c>
      <c r="O1058" s="248">
        <f ca="1">ROUND(IF(OR(AND($C1056=LataProjekcji,$E1056&gt;0),AND($C1056=LataProjekcji,$E1056=0,$D1057&lt;=10)),$E1057,IF($C1056&lt;LataProjekcji,IF((SUM($K1058:N1058)+$C1058)&lt;$C1057,$C1058,$C1057-SUM($K1058:N1058)),0)),0)</f>
        <v>0</v>
      </c>
      <c r="P1058" s="248">
        <f ca="1">ROUND(IF(OR(AND($C1056=LataProjekcji,$E1056&gt;0),AND($C1056=LataProjekcji,$E1056=0,$D1057&lt;=10)),$E1057,IF($C1056&lt;LataProjekcji,IF((SUM($K1058:O1058)+$C1058)&lt;$C1057,$C1058,$C1057-SUM($K1058:O1058)),0)),0)</f>
        <v>0</v>
      </c>
      <c r="Q1058" s="248">
        <f ca="1">ROUND(IF(OR(AND($C1056=LataProjekcji,$E1056&gt;0),AND($C1056=LataProjekcji,$E1056=0,$D1057&lt;=10)),$E1057,IF($C1056&lt;LataProjekcji,IF((SUM($K1058:P1058)+$C1058)&lt;$C1057,$C1058,$C1057-SUM($K1058:P1058)),0)),0)</f>
        <v>0</v>
      </c>
      <c r="R1058" s="248">
        <f ca="1">ROUND(IF(OR(AND($C1056=LataProjekcji,$E1056&gt;0),AND($C1056=LataProjekcji,$E1056=0,$D1057&lt;=10)),$E1057,IF($C1056&lt;LataProjekcji,IF((SUM($K1058:Q1058)+$C1058)&lt;$C1057,$C1058,$C1057-SUM($K1058:Q1058)),0)),0)</f>
        <v>0</v>
      </c>
      <c r="S1058" s="248">
        <f ca="1">ROUND(IF(OR(AND($C1056=LataProjekcji,$E1056&gt;0),AND($C1056=LataProjekcji,$E1056=0,$D1057&lt;=10)),$E1057,IF($C1056&lt;LataProjekcji,IF((SUM($K1058:R1058)+$C1058)&lt;$C1057,$C1058,$C1057-SUM($K1058:R1058)),0)),0)</f>
        <v>0</v>
      </c>
      <c r="T1058" s="248">
        <f ca="1">ROUND(IF(OR(AND($C1056=LataProjekcji,$E1056&gt;0),AND($C1056=LataProjekcji,$E1056=0,$D1057&lt;=10)),$E1057,IF($C1056&lt;LataProjekcji,IF((SUM($K1058:S1058)+$C1058)&lt;$C1057,$C1058,$C1057-SUM($K1058:S1058)),0)),0)</f>
        <v>0</v>
      </c>
      <c r="U1058" s="248">
        <f ca="1">ROUND(IF(OR(AND($C1056=LataProjekcji,$E1056&gt;0),AND($C1056=LataProjekcji,$E1056=0,$D1057&lt;=10)),$E1057,IF($C1056&lt;LataProjekcji,IF((SUM($K1058:T1058)+$C1058)&lt;$C1057,$C1058,$C1057-SUM($K1058:T1058)),0)),0)</f>
        <v>0</v>
      </c>
      <c r="V1058" s="248">
        <f ca="1">ROUND(IF(OR(AND($C1056=LataProjekcji,$E1056&gt;0),AND($C1056=LataProjekcji,$E1056=0,$D1057&lt;=10)),$E1057,IF($C1056&lt;LataProjekcji,IF((SUM($K1058:U1058)+$C1058)&lt;$C1057,$C1058,$C1057-SUM($K1058:U1058)),0)),0)</f>
        <v>0</v>
      </c>
      <c r="W1058" s="248">
        <f ca="1">ROUND(IF(OR(AND($C1056=LataProjekcji,$E1056&gt;0),AND($C1056=LataProjekcji,$E1056=0,$D1057&lt;=10)),$E1057,IF($C1056&lt;LataProjekcji,IF((SUM($K1058:V1058)+$C1058)&lt;$C1057,$C1058,$C1057-SUM($K1058:V1058)),0)),0)</f>
        <v>0</v>
      </c>
      <c r="X1058" s="248">
        <f ca="1">ROUND(IF(OR(AND($C1056=LataProjekcji,$E1056&gt;0),AND($C1056=LataProjekcji,$E1056=0,$D1057&lt;=10)),$E1057,IF($C1056&lt;LataProjekcji,IF((SUM($K1058:W1058)+$C1058)&lt;$C1057,$C1058,$C1057-SUM($K1058:W1058)),0)),0)</f>
        <v>0</v>
      </c>
    </row>
    <row r="1059" spans="1:24" hidden="1">
      <c r="A1059" s="259"/>
      <c r="B1059" s="21" t="s">
        <v>416</v>
      </c>
      <c r="C1059" s="22"/>
      <c r="D1059" s="21"/>
      <c r="E1059" s="21"/>
      <c r="F1059" s="21"/>
      <c r="G1059" s="21"/>
      <c r="I1059" s="21"/>
      <c r="J1059" s="21"/>
      <c r="K1059" s="22">
        <f ca="1">ROUND(K1058,0)</f>
        <v>0</v>
      </c>
      <c r="L1059" s="22">
        <f t="shared" ref="L1059:X1059" ca="1" si="476">ROUND(K1059+L1058,0)</f>
        <v>0</v>
      </c>
      <c r="M1059" s="22">
        <f t="shared" ca="1" si="476"/>
        <v>0</v>
      </c>
      <c r="N1059" s="22">
        <f t="shared" ca="1" si="476"/>
        <v>0</v>
      </c>
      <c r="O1059" s="22">
        <f t="shared" ca="1" si="476"/>
        <v>0</v>
      </c>
      <c r="P1059" s="22">
        <f t="shared" ca="1" si="476"/>
        <v>0</v>
      </c>
      <c r="Q1059" s="22">
        <f t="shared" ca="1" si="476"/>
        <v>0</v>
      </c>
      <c r="R1059" s="22">
        <f t="shared" ca="1" si="476"/>
        <v>0</v>
      </c>
      <c r="S1059" s="22">
        <f t="shared" ca="1" si="476"/>
        <v>0</v>
      </c>
      <c r="T1059" s="22">
        <f t="shared" ca="1" si="476"/>
        <v>0</v>
      </c>
      <c r="U1059" s="22">
        <f t="shared" ca="1" si="476"/>
        <v>0</v>
      </c>
      <c r="V1059" s="22">
        <f t="shared" ca="1" si="476"/>
        <v>0</v>
      </c>
      <c r="W1059" s="22">
        <f t="shared" ca="1" si="476"/>
        <v>0</v>
      </c>
      <c r="X1059" s="22">
        <f t="shared" ca="1" si="476"/>
        <v>0</v>
      </c>
    </row>
    <row r="1060" spans="1:24" hidden="1">
      <c r="A1060" s="259"/>
      <c r="B1060" s="21" t="s">
        <v>406</v>
      </c>
      <c r="C1060" s="22"/>
      <c r="D1060" s="21"/>
      <c r="E1060" s="21"/>
      <c r="F1060" s="21"/>
      <c r="G1060" s="21"/>
      <c r="I1060" s="21"/>
      <c r="J1060" s="21"/>
      <c r="K1060" s="77">
        <f t="shared" ref="K1060:X1060" ca="1" si="477">IF($C1056=LataProjekcji,ROUND($C1057-K1059,0),ROUND(IF(K1058=0,0,$C1057-K1059),0))</f>
        <v>0</v>
      </c>
      <c r="L1060" s="77">
        <f t="shared" ca="1" si="477"/>
        <v>0</v>
      </c>
      <c r="M1060" s="77">
        <f t="shared" ca="1" si="477"/>
        <v>0</v>
      </c>
      <c r="N1060" s="77">
        <f t="shared" ca="1" si="477"/>
        <v>0</v>
      </c>
      <c r="O1060" s="77">
        <f t="shared" ca="1" si="477"/>
        <v>0</v>
      </c>
      <c r="P1060" s="77">
        <f t="shared" ca="1" si="477"/>
        <v>0</v>
      </c>
      <c r="Q1060" s="77">
        <f t="shared" ca="1" si="477"/>
        <v>0</v>
      </c>
      <c r="R1060" s="77">
        <f t="shared" ca="1" si="477"/>
        <v>0</v>
      </c>
      <c r="S1060" s="77">
        <f t="shared" ca="1" si="477"/>
        <v>0</v>
      </c>
      <c r="T1060" s="77">
        <f t="shared" ca="1" si="477"/>
        <v>0</v>
      </c>
      <c r="U1060" s="77">
        <f t="shared" ca="1" si="477"/>
        <v>0</v>
      </c>
      <c r="V1060" s="77">
        <f t="shared" ca="1" si="477"/>
        <v>0</v>
      </c>
      <c r="W1060" s="77">
        <f t="shared" ca="1" si="477"/>
        <v>0</v>
      </c>
      <c r="X1060" s="77">
        <f t="shared" ca="1" si="477"/>
        <v>0</v>
      </c>
    </row>
    <row r="1061" spans="1:24" hidden="1">
      <c r="A1061" s="259"/>
      <c r="B1061" s="21"/>
      <c r="C1061" s="22"/>
      <c r="D1061" s="21"/>
      <c r="E1061" s="21"/>
      <c r="F1061" s="21"/>
      <c r="G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</row>
    <row r="1062" spans="1:24" hidden="1">
      <c r="A1062" s="259"/>
      <c r="B1062" s="20" t="s">
        <v>392</v>
      </c>
      <c r="C1062" s="21">
        <f>C1055+1</f>
        <v>145</v>
      </c>
      <c r="D1062" s="483">
        <f>D1055+1</f>
        <v>382</v>
      </c>
      <c r="E1062" s="21"/>
      <c r="F1062" s="21"/>
      <c r="G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</row>
    <row r="1063" spans="1:24" hidden="1">
      <c r="A1063" s="259"/>
      <c r="B1063" s="21" t="s">
        <v>414</v>
      </c>
      <c r="C1063" s="165">
        <f ca="1">IFERROR(YEAR(OFFSET($D$28,C1062,0)),0)</f>
        <v>0</v>
      </c>
      <c r="D1063" s="165">
        <f ca="1">IFERROR(MONTH(OFFSET($D$28,C1062,0)),0)</f>
        <v>0</v>
      </c>
      <c r="E1063" s="21">
        <f ca="1">12-$D1063</f>
        <v>12</v>
      </c>
      <c r="F1063" s="21"/>
      <c r="G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259"/>
      <c r="B1064" s="21" t="s">
        <v>406</v>
      </c>
      <c r="C1064" s="245">
        <f ca="1">IF(OFFSET($F$28,C1062,0)&lt;0,0,OFFSET($F$28,C1062,0))</f>
        <v>0</v>
      </c>
      <c r="D1064" s="22" t="str">
        <f ca="1">OFFSET($C$28,C1062,0)</f>
        <v/>
      </c>
      <c r="E1064" s="22">
        <f ca="1">IF(D1064&gt;10,ROUND(($C1065/12)*$E1063,0),$C1064)</f>
        <v>0</v>
      </c>
      <c r="F1064" s="21"/>
      <c r="G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259"/>
      <c r="B1065" s="21" t="s">
        <v>415</v>
      </c>
      <c r="C1065" s="245">
        <f ca="1">IF(ISBLANK(OFFSET($D$28,C1062,0)),0,IF(OFFSET($C$28,C1062,0)&gt;10,ROUND(C1064*am_wnip,0),IF(C1064&lt;0,0,C1064)))</f>
        <v>0</v>
      </c>
      <c r="D1065" s="21"/>
      <c r="E1065" s="21"/>
      <c r="F1065" s="21"/>
      <c r="G1065" s="21"/>
      <c r="I1065" s="21"/>
      <c r="J1065" s="483" cm="1">
        <f t="array" aca="1" ref="J1065" ca="1">OFFSET('Środki trwałe'!$C$195,'Rozliczenie dotacji'!D1062,,)</f>
        <v>0</v>
      </c>
      <c r="K1065" s="75">
        <f ca="1">ROUND(IF($C1063=LataProjekcji,$E1064,IF($C1063=LataProjekcji,$C1065,0)),0)</f>
        <v>0</v>
      </c>
      <c r="L1065" s="248">
        <f ca="1">ROUND(IF(OR(AND($C1063=LataProjekcji,$E1063&gt;0),AND($C1063=LataProjekcji,$E1063=0,$D1064&lt;=10)),$E1064,IF($C1063&lt;LataProjekcji,IF((SUM($K1065:K1065)+$C1065)&lt;$C1064,$C1065,$C1064-SUM($K1065:K1065)),0)),0)</f>
        <v>0</v>
      </c>
      <c r="M1065" s="248">
        <f ca="1">ROUND(IF(OR(AND($C1063=LataProjekcji,$E1063&gt;0),AND($C1063=LataProjekcji,$E1063=0,$D1064&lt;=10)),$E1064,IF($C1063&lt;LataProjekcji,IF((SUM($K1065:L1065)+$C1065)&lt;$C1064,$C1065,$C1064-SUM($K1065:L1065)),0)),0)</f>
        <v>0</v>
      </c>
      <c r="N1065" s="248">
        <f ca="1">ROUND(IF(OR(AND($C1063=LataProjekcji,$E1063&gt;0),AND($C1063=LataProjekcji,$E1063=0,$D1064&lt;=10)),$E1064,IF($C1063&lt;LataProjekcji,IF((SUM($K1065:M1065)+$C1065)&lt;$C1064,$C1065,$C1064-SUM($K1065:M1065)),0)),0)</f>
        <v>0</v>
      </c>
      <c r="O1065" s="248">
        <f ca="1">ROUND(IF(OR(AND($C1063=LataProjekcji,$E1063&gt;0),AND($C1063=LataProjekcji,$E1063=0,$D1064&lt;=10)),$E1064,IF($C1063&lt;LataProjekcji,IF((SUM($K1065:N1065)+$C1065)&lt;$C1064,$C1065,$C1064-SUM($K1065:N1065)),0)),0)</f>
        <v>0</v>
      </c>
      <c r="P1065" s="248">
        <f ca="1">ROUND(IF(OR(AND($C1063=LataProjekcji,$E1063&gt;0),AND($C1063=LataProjekcji,$E1063=0,$D1064&lt;=10)),$E1064,IF($C1063&lt;LataProjekcji,IF((SUM($K1065:O1065)+$C1065)&lt;$C1064,$C1065,$C1064-SUM($K1065:O1065)),0)),0)</f>
        <v>0</v>
      </c>
      <c r="Q1065" s="248">
        <f ca="1">ROUND(IF(OR(AND($C1063=LataProjekcji,$E1063&gt;0),AND($C1063=LataProjekcji,$E1063=0,$D1064&lt;=10)),$E1064,IF($C1063&lt;LataProjekcji,IF((SUM($K1065:P1065)+$C1065)&lt;$C1064,$C1065,$C1064-SUM($K1065:P1065)),0)),0)</f>
        <v>0</v>
      </c>
      <c r="R1065" s="248">
        <f ca="1">ROUND(IF(OR(AND($C1063=LataProjekcji,$E1063&gt;0),AND($C1063=LataProjekcji,$E1063=0,$D1064&lt;=10)),$E1064,IF($C1063&lt;LataProjekcji,IF((SUM($K1065:Q1065)+$C1065)&lt;$C1064,$C1065,$C1064-SUM($K1065:Q1065)),0)),0)</f>
        <v>0</v>
      </c>
      <c r="S1065" s="248">
        <f ca="1">ROUND(IF(OR(AND($C1063=LataProjekcji,$E1063&gt;0),AND($C1063=LataProjekcji,$E1063=0,$D1064&lt;=10)),$E1064,IF($C1063&lt;LataProjekcji,IF((SUM($K1065:R1065)+$C1065)&lt;$C1064,$C1065,$C1064-SUM($K1065:R1065)),0)),0)</f>
        <v>0</v>
      </c>
      <c r="T1065" s="248">
        <f ca="1">ROUND(IF(OR(AND($C1063=LataProjekcji,$E1063&gt;0),AND($C1063=LataProjekcji,$E1063=0,$D1064&lt;=10)),$E1064,IF($C1063&lt;LataProjekcji,IF((SUM($K1065:S1065)+$C1065)&lt;$C1064,$C1065,$C1064-SUM($K1065:S1065)),0)),0)</f>
        <v>0</v>
      </c>
      <c r="U1065" s="248">
        <f ca="1">ROUND(IF(OR(AND($C1063=LataProjekcji,$E1063&gt;0),AND($C1063=LataProjekcji,$E1063=0,$D1064&lt;=10)),$E1064,IF($C1063&lt;LataProjekcji,IF((SUM($K1065:T1065)+$C1065)&lt;$C1064,$C1065,$C1064-SUM($K1065:T1065)),0)),0)</f>
        <v>0</v>
      </c>
      <c r="V1065" s="248">
        <f ca="1">ROUND(IF(OR(AND($C1063=LataProjekcji,$E1063&gt;0),AND($C1063=LataProjekcji,$E1063=0,$D1064&lt;=10)),$E1064,IF($C1063&lt;LataProjekcji,IF((SUM($K1065:U1065)+$C1065)&lt;$C1064,$C1065,$C1064-SUM($K1065:U1065)),0)),0)</f>
        <v>0</v>
      </c>
      <c r="W1065" s="248">
        <f ca="1">ROUND(IF(OR(AND($C1063=LataProjekcji,$E1063&gt;0),AND($C1063=LataProjekcji,$E1063=0,$D1064&lt;=10)),$E1064,IF($C1063&lt;LataProjekcji,IF((SUM($K1065:V1065)+$C1065)&lt;$C1064,$C1065,$C1064-SUM($K1065:V1065)),0)),0)</f>
        <v>0</v>
      </c>
      <c r="X1065" s="248">
        <f ca="1">ROUND(IF(OR(AND($C1063=LataProjekcji,$E1063&gt;0),AND($C1063=LataProjekcji,$E1063=0,$D1064&lt;=10)),$E1064,IF($C1063&lt;LataProjekcji,IF((SUM($K1065:W1065)+$C1065)&lt;$C1064,$C1065,$C1064-SUM($K1065:W1065)),0)),0)</f>
        <v>0</v>
      </c>
    </row>
    <row r="1066" spans="1:24" hidden="1">
      <c r="A1066" s="259"/>
      <c r="B1066" s="21" t="s">
        <v>416</v>
      </c>
      <c r="C1066" s="22"/>
      <c r="D1066" s="21"/>
      <c r="E1066" s="21"/>
      <c r="F1066" s="21"/>
      <c r="G1066" s="21"/>
      <c r="I1066" s="21"/>
      <c r="J1066" s="21"/>
      <c r="K1066" s="22">
        <f ca="1">ROUND(K1065,0)</f>
        <v>0</v>
      </c>
      <c r="L1066" s="22">
        <f t="shared" ref="L1066:X1066" ca="1" si="478">ROUND(K1066+L1065,0)</f>
        <v>0</v>
      </c>
      <c r="M1066" s="22">
        <f t="shared" ca="1" si="478"/>
        <v>0</v>
      </c>
      <c r="N1066" s="22">
        <f t="shared" ca="1" si="478"/>
        <v>0</v>
      </c>
      <c r="O1066" s="22">
        <f t="shared" ca="1" si="478"/>
        <v>0</v>
      </c>
      <c r="P1066" s="22">
        <f t="shared" ca="1" si="478"/>
        <v>0</v>
      </c>
      <c r="Q1066" s="22">
        <f t="shared" ca="1" si="478"/>
        <v>0</v>
      </c>
      <c r="R1066" s="22">
        <f t="shared" ca="1" si="478"/>
        <v>0</v>
      </c>
      <c r="S1066" s="22">
        <f t="shared" ca="1" si="478"/>
        <v>0</v>
      </c>
      <c r="T1066" s="22">
        <f t="shared" ca="1" si="478"/>
        <v>0</v>
      </c>
      <c r="U1066" s="22">
        <f t="shared" ca="1" si="478"/>
        <v>0</v>
      </c>
      <c r="V1066" s="22">
        <f t="shared" ca="1" si="478"/>
        <v>0</v>
      </c>
      <c r="W1066" s="22">
        <f t="shared" ca="1" si="478"/>
        <v>0</v>
      </c>
      <c r="X1066" s="22">
        <f t="shared" ca="1" si="478"/>
        <v>0</v>
      </c>
    </row>
    <row r="1067" spans="1:24" hidden="1">
      <c r="A1067" s="259"/>
      <c r="B1067" s="21" t="s">
        <v>406</v>
      </c>
      <c r="C1067" s="22"/>
      <c r="D1067" s="21"/>
      <c r="E1067" s="21"/>
      <c r="F1067" s="21"/>
      <c r="G1067" s="21"/>
      <c r="I1067" s="21"/>
      <c r="J1067" s="21"/>
      <c r="K1067" s="77">
        <f t="shared" ref="K1067:X1067" ca="1" si="479">IF($C1063=LataProjekcji,ROUND($C1064-K1066,0),ROUND(IF(K1065=0,0,$C1064-K1066),0))</f>
        <v>0</v>
      </c>
      <c r="L1067" s="77">
        <f t="shared" ca="1" si="479"/>
        <v>0</v>
      </c>
      <c r="M1067" s="77">
        <f t="shared" ca="1" si="479"/>
        <v>0</v>
      </c>
      <c r="N1067" s="77">
        <f t="shared" ca="1" si="479"/>
        <v>0</v>
      </c>
      <c r="O1067" s="77">
        <f t="shared" ca="1" si="479"/>
        <v>0</v>
      </c>
      <c r="P1067" s="77">
        <f t="shared" ca="1" si="479"/>
        <v>0</v>
      </c>
      <c r="Q1067" s="77">
        <f t="shared" ca="1" si="479"/>
        <v>0</v>
      </c>
      <c r="R1067" s="77">
        <f t="shared" ca="1" si="479"/>
        <v>0</v>
      </c>
      <c r="S1067" s="77">
        <f t="shared" ca="1" si="479"/>
        <v>0</v>
      </c>
      <c r="T1067" s="77">
        <f t="shared" ca="1" si="479"/>
        <v>0</v>
      </c>
      <c r="U1067" s="77">
        <f t="shared" ca="1" si="479"/>
        <v>0</v>
      </c>
      <c r="V1067" s="77">
        <f t="shared" ca="1" si="479"/>
        <v>0</v>
      </c>
      <c r="W1067" s="77">
        <f t="shared" ca="1" si="479"/>
        <v>0</v>
      </c>
      <c r="X1067" s="77">
        <f t="shared" ca="1" si="479"/>
        <v>0</v>
      </c>
    </row>
    <row r="1068" spans="1:24" hidden="1">
      <c r="A1068" s="259"/>
      <c r="B1068" s="21"/>
      <c r="C1068" s="22"/>
      <c r="D1068" s="21"/>
      <c r="E1068" s="21"/>
      <c r="F1068" s="21"/>
      <c r="G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</row>
    <row r="1069" spans="1:24" hidden="1">
      <c r="A1069" s="259"/>
      <c r="B1069" s="20" t="s">
        <v>392</v>
      </c>
      <c r="C1069" s="21">
        <f>C1062+1</f>
        <v>146</v>
      </c>
      <c r="D1069" s="483">
        <f>D1062+1</f>
        <v>383</v>
      </c>
      <c r="E1069" s="21"/>
      <c r="F1069" s="21"/>
      <c r="G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259"/>
      <c r="B1070" s="21" t="s">
        <v>414</v>
      </c>
      <c r="C1070" s="165">
        <f ca="1">IFERROR(YEAR(OFFSET($D$28,C1069,0)),0)</f>
        <v>0</v>
      </c>
      <c r="D1070" s="165">
        <f ca="1">IFERROR(MONTH(OFFSET($D$28,C1069,0)),0)</f>
        <v>0</v>
      </c>
      <c r="E1070" s="21">
        <f ca="1">12-$D1070</f>
        <v>12</v>
      </c>
      <c r="F1070" s="21"/>
      <c r="G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259"/>
      <c r="B1071" s="21" t="s">
        <v>406</v>
      </c>
      <c r="C1071" s="245">
        <f ca="1">IF(OFFSET($F$28,C1069,0)&lt;0,0,OFFSET($F$28,C1069,0))</f>
        <v>0</v>
      </c>
      <c r="D1071" s="22" t="str">
        <f ca="1">OFFSET($C$28,C1069,0)</f>
        <v/>
      </c>
      <c r="E1071" s="22">
        <f ca="1">IF(D1071&gt;10,ROUND(($C1072/12)*$E1070,0),$C1071)</f>
        <v>0</v>
      </c>
      <c r="F1071" s="21"/>
      <c r="G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259"/>
      <c r="B1072" s="21" t="s">
        <v>415</v>
      </c>
      <c r="C1072" s="245">
        <f ca="1">IF(ISBLANK(OFFSET($D$28,C1069,0)),0,IF(OFFSET($C$28,C1069,0)&gt;10,ROUND(C1071*am_wnip,0),IF(C1071&lt;0,0,C1071)))</f>
        <v>0</v>
      </c>
      <c r="D1072" s="21"/>
      <c r="E1072" s="21"/>
      <c r="F1072" s="21"/>
      <c r="G1072" s="21"/>
      <c r="I1072" s="21"/>
      <c r="J1072" s="483" cm="1">
        <f t="array" aca="1" ref="J1072" ca="1">OFFSET('Środki trwałe'!$C$195,'Rozliczenie dotacji'!D1069,,)</f>
        <v>0</v>
      </c>
      <c r="K1072" s="75">
        <f ca="1">ROUND(IF($C1070=LataProjekcji,$E1071,IF($C1070=LataProjekcji,$C1072,0)),0)</f>
        <v>0</v>
      </c>
      <c r="L1072" s="248">
        <f ca="1">ROUND(IF(OR(AND($C1070=LataProjekcji,$E1070&gt;0),AND($C1070=LataProjekcji,$E1070=0,$D1071&lt;=10)),$E1071,IF($C1070&lt;LataProjekcji,IF((SUM($K1072:K1072)+$C1072)&lt;$C1071,$C1072,$C1071-SUM($K1072:K1072)),0)),0)</f>
        <v>0</v>
      </c>
      <c r="M1072" s="248">
        <f ca="1">ROUND(IF(OR(AND($C1070=LataProjekcji,$E1070&gt;0),AND($C1070=LataProjekcji,$E1070=0,$D1071&lt;=10)),$E1071,IF($C1070&lt;LataProjekcji,IF((SUM($K1072:L1072)+$C1072)&lt;$C1071,$C1072,$C1071-SUM($K1072:L1072)),0)),0)</f>
        <v>0</v>
      </c>
      <c r="N1072" s="248">
        <f ca="1">ROUND(IF(OR(AND($C1070=LataProjekcji,$E1070&gt;0),AND($C1070=LataProjekcji,$E1070=0,$D1071&lt;=10)),$E1071,IF($C1070&lt;LataProjekcji,IF((SUM($K1072:M1072)+$C1072)&lt;$C1071,$C1072,$C1071-SUM($K1072:M1072)),0)),0)</f>
        <v>0</v>
      </c>
      <c r="O1072" s="248">
        <f ca="1">ROUND(IF(OR(AND($C1070=LataProjekcji,$E1070&gt;0),AND($C1070=LataProjekcji,$E1070=0,$D1071&lt;=10)),$E1071,IF($C1070&lt;LataProjekcji,IF((SUM($K1072:N1072)+$C1072)&lt;$C1071,$C1072,$C1071-SUM($K1072:N1072)),0)),0)</f>
        <v>0</v>
      </c>
      <c r="P1072" s="248">
        <f ca="1">ROUND(IF(OR(AND($C1070=LataProjekcji,$E1070&gt;0),AND($C1070=LataProjekcji,$E1070=0,$D1071&lt;=10)),$E1071,IF($C1070&lt;LataProjekcji,IF((SUM($K1072:O1072)+$C1072)&lt;$C1071,$C1072,$C1071-SUM($K1072:O1072)),0)),0)</f>
        <v>0</v>
      </c>
      <c r="Q1072" s="248">
        <f ca="1">ROUND(IF(OR(AND($C1070=LataProjekcji,$E1070&gt;0),AND($C1070=LataProjekcji,$E1070=0,$D1071&lt;=10)),$E1071,IF($C1070&lt;LataProjekcji,IF((SUM($K1072:P1072)+$C1072)&lt;$C1071,$C1072,$C1071-SUM($K1072:P1072)),0)),0)</f>
        <v>0</v>
      </c>
      <c r="R1072" s="248">
        <f ca="1">ROUND(IF(OR(AND($C1070=LataProjekcji,$E1070&gt;0),AND($C1070=LataProjekcji,$E1070=0,$D1071&lt;=10)),$E1071,IF($C1070&lt;LataProjekcji,IF((SUM($K1072:Q1072)+$C1072)&lt;$C1071,$C1072,$C1071-SUM($K1072:Q1072)),0)),0)</f>
        <v>0</v>
      </c>
      <c r="S1072" s="248">
        <f ca="1">ROUND(IF(OR(AND($C1070=LataProjekcji,$E1070&gt;0),AND($C1070=LataProjekcji,$E1070=0,$D1071&lt;=10)),$E1071,IF($C1070&lt;LataProjekcji,IF((SUM($K1072:R1072)+$C1072)&lt;$C1071,$C1072,$C1071-SUM($K1072:R1072)),0)),0)</f>
        <v>0</v>
      </c>
      <c r="T1072" s="248">
        <f ca="1">ROUND(IF(OR(AND($C1070=LataProjekcji,$E1070&gt;0),AND($C1070=LataProjekcji,$E1070=0,$D1071&lt;=10)),$E1071,IF($C1070&lt;LataProjekcji,IF((SUM($K1072:S1072)+$C1072)&lt;$C1071,$C1072,$C1071-SUM($K1072:S1072)),0)),0)</f>
        <v>0</v>
      </c>
      <c r="U1072" s="248">
        <f ca="1">ROUND(IF(OR(AND($C1070=LataProjekcji,$E1070&gt;0),AND($C1070=LataProjekcji,$E1070=0,$D1071&lt;=10)),$E1071,IF($C1070&lt;LataProjekcji,IF((SUM($K1072:T1072)+$C1072)&lt;$C1071,$C1072,$C1071-SUM($K1072:T1072)),0)),0)</f>
        <v>0</v>
      </c>
      <c r="V1072" s="248">
        <f ca="1">ROUND(IF(OR(AND($C1070=LataProjekcji,$E1070&gt;0),AND($C1070=LataProjekcji,$E1070=0,$D1071&lt;=10)),$E1071,IF($C1070&lt;LataProjekcji,IF((SUM($K1072:U1072)+$C1072)&lt;$C1071,$C1072,$C1071-SUM($K1072:U1072)),0)),0)</f>
        <v>0</v>
      </c>
      <c r="W1072" s="248">
        <f ca="1">ROUND(IF(OR(AND($C1070=LataProjekcji,$E1070&gt;0),AND($C1070=LataProjekcji,$E1070=0,$D1071&lt;=10)),$E1071,IF($C1070&lt;LataProjekcji,IF((SUM($K1072:V1072)+$C1072)&lt;$C1071,$C1072,$C1071-SUM($K1072:V1072)),0)),0)</f>
        <v>0</v>
      </c>
      <c r="X1072" s="248">
        <f ca="1">ROUND(IF(OR(AND($C1070=LataProjekcji,$E1070&gt;0),AND($C1070=LataProjekcji,$E1070=0,$D1071&lt;=10)),$E1071,IF($C1070&lt;LataProjekcji,IF((SUM($K1072:W1072)+$C1072)&lt;$C1071,$C1072,$C1071-SUM($K1072:W1072)),0)),0)</f>
        <v>0</v>
      </c>
    </row>
    <row r="1073" spans="1:24" hidden="1">
      <c r="A1073" s="259"/>
      <c r="B1073" s="21" t="s">
        <v>416</v>
      </c>
      <c r="C1073" s="22"/>
      <c r="D1073" s="21"/>
      <c r="E1073" s="21"/>
      <c r="F1073" s="21"/>
      <c r="G1073" s="21"/>
      <c r="I1073" s="21"/>
      <c r="J1073" s="21"/>
      <c r="K1073" s="22">
        <f ca="1">ROUND(K1072,0)</f>
        <v>0</v>
      </c>
      <c r="L1073" s="22">
        <f t="shared" ref="L1073:X1073" ca="1" si="480">ROUND(K1073+L1072,0)</f>
        <v>0</v>
      </c>
      <c r="M1073" s="22">
        <f t="shared" ca="1" si="480"/>
        <v>0</v>
      </c>
      <c r="N1073" s="22">
        <f t="shared" ca="1" si="480"/>
        <v>0</v>
      </c>
      <c r="O1073" s="22">
        <f t="shared" ca="1" si="480"/>
        <v>0</v>
      </c>
      <c r="P1073" s="22">
        <f t="shared" ca="1" si="480"/>
        <v>0</v>
      </c>
      <c r="Q1073" s="22">
        <f t="shared" ca="1" si="480"/>
        <v>0</v>
      </c>
      <c r="R1073" s="22">
        <f t="shared" ca="1" si="480"/>
        <v>0</v>
      </c>
      <c r="S1073" s="22">
        <f t="shared" ca="1" si="480"/>
        <v>0</v>
      </c>
      <c r="T1073" s="22">
        <f t="shared" ca="1" si="480"/>
        <v>0</v>
      </c>
      <c r="U1073" s="22">
        <f t="shared" ca="1" si="480"/>
        <v>0</v>
      </c>
      <c r="V1073" s="22">
        <f t="shared" ca="1" si="480"/>
        <v>0</v>
      </c>
      <c r="W1073" s="22">
        <f t="shared" ca="1" si="480"/>
        <v>0</v>
      </c>
      <c r="X1073" s="22">
        <f t="shared" ca="1" si="480"/>
        <v>0</v>
      </c>
    </row>
    <row r="1074" spans="1:24" hidden="1">
      <c r="A1074" s="259"/>
      <c r="B1074" s="21" t="s">
        <v>406</v>
      </c>
      <c r="C1074" s="22"/>
      <c r="D1074" s="21"/>
      <c r="E1074" s="21"/>
      <c r="F1074" s="21"/>
      <c r="G1074" s="21"/>
      <c r="I1074" s="21"/>
      <c r="J1074" s="21"/>
      <c r="K1074" s="77">
        <f t="shared" ref="K1074:X1074" ca="1" si="481">IF($C1070=LataProjekcji,ROUND($C1071-K1073,0),ROUND(IF(K1072=0,0,$C1071-K1073),0))</f>
        <v>0</v>
      </c>
      <c r="L1074" s="77">
        <f t="shared" ca="1" si="481"/>
        <v>0</v>
      </c>
      <c r="M1074" s="77">
        <f t="shared" ca="1" si="481"/>
        <v>0</v>
      </c>
      <c r="N1074" s="77">
        <f t="shared" ca="1" si="481"/>
        <v>0</v>
      </c>
      <c r="O1074" s="77">
        <f t="shared" ca="1" si="481"/>
        <v>0</v>
      </c>
      <c r="P1074" s="77">
        <f t="shared" ca="1" si="481"/>
        <v>0</v>
      </c>
      <c r="Q1074" s="77">
        <f t="shared" ca="1" si="481"/>
        <v>0</v>
      </c>
      <c r="R1074" s="77">
        <f t="shared" ca="1" si="481"/>
        <v>0</v>
      </c>
      <c r="S1074" s="77">
        <f t="shared" ca="1" si="481"/>
        <v>0</v>
      </c>
      <c r="T1074" s="77">
        <f t="shared" ca="1" si="481"/>
        <v>0</v>
      </c>
      <c r="U1074" s="77">
        <f t="shared" ca="1" si="481"/>
        <v>0</v>
      </c>
      <c r="V1074" s="77">
        <f t="shared" ca="1" si="481"/>
        <v>0</v>
      </c>
      <c r="W1074" s="77">
        <f t="shared" ca="1" si="481"/>
        <v>0</v>
      </c>
      <c r="X1074" s="77">
        <f t="shared" ca="1" si="481"/>
        <v>0</v>
      </c>
    </row>
    <row r="1075" spans="1:24" hidden="1">
      <c r="A1075" s="259"/>
      <c r="B1075" s="20"/>
      <c r="C1075" s="21"/>
      <c r="D1075" s="21"/>
      <c r="E1075" s="21"/>
      <c r="F1075" s="21"/>
      <c r="G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259"/>
      <c r="B1076" s="20" t="s">
        <v>392</v>
      </c>
      <c r="C1076" s="21">
        <f>C1069+1</f>
        <v>147</v>
      </c>
      <c r="D1076" s="483">
        <f>D1069+1</f>
        <v>384</v>
      </c>
      <c r="E1076" s="21"/>
      <c r="F1076" s="21"/>
      <c r="G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259"/>
      <c r="B1077" s="21" t="s">
        <v>414</v>
      </c>
      <c r="C1077" s="165">
        <f ca="1">IFERROR(YEAR(OFFSET($D$28,C1076,0)),0)</f>
        <v>0</v>
      </c>
      <c r="D1077" s="165">
        <f ca="1">IFERROR(MONTH(OFFSET($D$28,C1076,0)),0)</f>
        <v>0</v>
      </c>
      <c r="E1077" s="21">
        <f ca="1">12-$D1077</f>
        <v>12</v>
      </c>
      <c r="F1077" s="21"/>
      <c r="G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259"/>
      <c r="B1078" s="21" t="s">
        <v>406</v>
      </c>
      <c r="C1078" s="245">
        <f ca="1">IF(OFFSET($F$28,C1076,0)&lt;0,0,OFFSET($F$28,C1076,0))</f>
        <v>0</v>
      </c>
      <c r="D1078" s="22" t="str">
        <f ca="1">OFFSET($C$28,C1076,0)</f>
        <v/>
      </c>
      <c r="E1078" s="22">
        <f ca="1">IF(D1078&gt;10,ROUND(($C1079/12)*$E1077,0),$C1078)</f>
        <v>0</v>
      </c>
      <c r="F1078" s="21"/>
      <c r="G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</row>
    <row r="1079" spans="1:24" hidden="1">
      <c r="A1079" s="259"/>
      <c r="B1079" s="21" t="s">
        <v>415</v>
      </c>
      <c r="C1079" s="245">
        <f ca="1">IF(ISBLANK(OFFSET($D$28,C1076,0)),0,IF(OFFSET($C$28,C1076,0)&gt;10,ROUND(C1078*am_wnip,0),IF(C1078&lt;0,0,C1078)))</f>
        <v>0</v>
      </c>
      <c r="D1079" s="21"/>
      <c r="E1079" s="21"/>
      <c r="F1079" s="21"/>
      <c r="G1079" s="21"/>
      <c r="I1079" s="21"/>
      <c r="J1079" s="483" cm="1">
        <f t="array" aca="1" ref="J1079" ca="1">OFFSET('Środki trwałe'!$C$195,'Rozliczenie dotacji'!D1076,,)</f>
        <v>0</v>
      </c>
      <c r="K1079" s="75">
        <f ca="1">ROUND(IF($C1077=LataProjekcji,$E1078,IF($C1077=LataProjekcji,$C1079,0)),0)</f>
        <v>0</v>
      </c>
      <c r="L1079" s="248">
        <f ca="1">ROUND(IF(OR(AND($C1077=LataProjekcji,$E1077&gt;0),AND($C1077=LataProjekcji,$E1077=0,$D1078&lt;=10)),$E1078,IF($C1077&lt;LataProjekcji,IF((SUM($K1079:K1079)+$C1079)&lt;$C1078,$C1079,$C1078-SUM($K1079:K1079)),0)),0)</f>
        <v>0</v>
      </c>
      <c r="M1079" s="248">
        <f ca="1">ROUND(IF(OR(AND($C1077=LataProjekcji,$E1077&gt;0),AND($C1077=LataProjekcji,$E1077=0,$D1078&lt;=10)),$E1078,IF($C1077&lt;LataProjekcji,IF((SUM($K1079:L1079)+$C1079)&lt;$C1078,$C1079,$C1078-SUM($K1079:L1079)),0)),0)</f>
        <v>0</v>
      </c>
      <c r="N1079" s="248">
        <f ca="1">ROUND(IF(OR(AND($C1077=LataProjekcji,$E1077&gt;0),AND($C1077=LataProjekcji,$E1077=0,$D1078&lt;=10)),$E1078,IF($C1077&lt;LataProjekcji,IF((SUM($K1079:M1079)+$C1079)&lt;$C1078,$C1079,$C1078-SUM($K1079:M1079)),0)),0)</f>
        <v>0</v>
      </c>
      <c r="O1079" s="248">
        <f ca="1">ROUND(IF(OR(AND($C1077=LataProjekcji,$E1077&gt;0),AND($C1077=LataProjekcji,$E1077=0,$D1078&lt;=10)),$E1078,IF($C1077&lt;LataProjekcji,IF((SUM($K1079:N1079)+$C1079)&lt;$C1078,$C1079,$C1078-SUM($K1079:N1079)),0)),0)</f>
        <v>0</v>
      </c>
      <c r="P1079" s="248">
        <f ca="1">ROUND(IF(OR(AND($C1077=LataProjekcji,$E1077&gt;0),AND($C1077=LataProjekcji,$E1077=0,$D1078&lt;=10)),$E1078,IF($C1077&lt;LataProjekcji,IF((SUM($K1079:O1079)+$C1079)&lt;$C1078,$C1079,$C1078-SUM($K1079:O1079)),0)),0)</f>
        <v>0</v>
      </c>
      <c r="Q1079" s="248">
        <f ca="1">ROUND(IF(OR(AND($C1077=LataProjekcji,$E1077&gt;0),AND($C1077=LataProjekcji,$E1077=0,$D1078&lt;=10)),$E1078,IF($C1077&lt;LataProjekcji,IF((SUM($K1079:P1079)+$C1079)&lt;$C1078,$C1079,$C1078-SUM($K1079:P1079)),0)),0)</f>
        <v>0</v>
      </c>
      <c r="R1079" s="248">
        <f ca="1">ROUND(IF(OR(AND($C1077=LataProjekcji,$E1077&gt;0),AND($C1077=LataProjekcji,$E1077=0,$D1078&lt;=10)),$E1078,IF($C1077&lt;LataProjekcji,IF((SUM($K1079:Q1079)+$C1079)&lt;$C1078,$C1079,$C1078-SUM($K1079:Q1079)),0)),0)</f>
        <v>0</v>
      </c>
      <c r="S1079" s="248">
        <f ca="1">ROUND(IF(OR(AND($C1077=LataProjekcji,$E1077&gt;0),AND($C1077=LataProjekcji,$E1077=0,$D1078&lt;=10)),$E1078,IF($C1077&lt;LataProjekcji,IF((SUM($K1079:R1079)+$C1079)&lt;$C1078,$C1079,$C1078-SUM($K1079:R1079)),0)),0)</f>
        <v>0</v>
      </c>
      <c r="T1079" s="248">
        <f ca="1">ROUND(IF(OR(AND($C1077=LataProjekcji,$E1077&gt;0),AND($C1077=LataProjekcji,$E1077=0,$D1078&lt;=10)),$E1078,IF($C1077&lt;LataProjekcji,IF((SUM($K1079:S1079)+$C1079)&lt;$C1078,$C1079,$C1078-SUM($K1079:S1079)),0)),0)</f>
        <v>0</v>
      </c>
      <c r="U1079" s="248">
        <f ca="1">ROUND(IF(OR(AND($C1077=LataProjekcji,$E1077&gt;0),AND($C1077=LataProjekcji,$E1077=0,$D1078&lt;=10)),$E1078,IF($C1077&lt;LataProjekcji,IF((SUM($K1079:T1079)+$C1079)&lt;$C1078,$C1079,$C1078-SUM($K1079:T1079)),0)),0)</f>
        <v>0</v>
      </c>
      <c r="V1079" s="248">
        <f ca="1">ROUND(IF(OR(AND($C1077=LataProjekcji,$E1077&gt;0),AND($C1077=LataProjekcji,$E1077=0,$D1078&lt;=10)),$E1078,IF($C1077&lt;LataProjekcji,IF((SUM($K1079:U1079)+$C1079)&lt;$C1078,$C1079,$C1078-SUM($K1079:U1079)),0)),0)</f>
        <v>0</v>
      </c>
      <c r="W1079" s="248">
        <f ca="1">ROUND(IF(OR(AND($C1077=LataProjekcji,$E1077&gt;0),AND($C1077=LataProjekcji,$E1077=0,$D1078&lt;=10)),$E1078,IF($C1077&lt;LataProjekcji,IF((SUM($K1079:V1079)+$C1079)&lt;$C1078,$C1079,$C1078-SUM($K1079:V1079)),0)),0)</f>
        <v>0</v>
      </c>
      <c r="X1079" s="248">
        <f ca="1">ROUND(IF(OR(AND($C1077=LataProjekcji,$E1077&gt;0),AND($C1077=LataProjekcji,$E1077=0,$D1078&lt;=10)),$E1078,IF($C1077&lt;LataProjekcji,IF((SUM($K1079:W1079)+$C1079)&lt;$C1078,$C1079,$C1078-SUM($K1079:W1079)),0)),0)</f>
        <v>0</v>
      </c>
    </row>
    <row r="1080" spans="1:24" hidden="1">
      <c r="A1080" s="259"/>
      <c r="B1080" s="21" t="s">
        <v>416</v>
      </c>
      <c r="C1080" s="22"/>
      <c r="D1080" s="21"/>
      <c r="E1080" s="21"/>
      <c r="F1080" s="21"/>
      <c r="G1080" s="21"/>
      <c r="I1080" s="21"/>
      <c r="J1080" s="21"/>
      <c r="K1080" s="22">
        <f ca="1">ROUND(K1079,0)</f>
        <v>0</v>
      </c>
      <c r="L1080" s="22">
        <f t="shared" ref="L1080:X1080" ca="1" si="482">ROUND(K1080+L1079,0)</f>
        <v>0</v>
      </c>
      <c r="M1080" s="22">
        <f t="shared" ca="1" si="482"/>
        <v>0</v>
      </c>
      <c r="N1080" s="22">
        <f t="shared" ca="1" si="482"/>
        <v>0</v>
      </c>
      <c r="O1080" s="22">
        <f t="shared" ca="1" si="482"/>
        <v>0</v>
      </c>
      <c r="P1080" s="22">
        <f t="shared" ca="1" si="482"/>
        <v>0</v>
      </c>
      <c r="Q1080" s="22">
        <f t="shared" ca="1" si="482"/>
        <v>0</v>
      </c>
      <c r="R1080" s="22">
        <f t="shared" ca="1" si="482"/>
        <v>0</v>
      </c>
      <c r="S1080" s="22">
        <f t="shared" ca="1" si="482"/>
        <v>0</v>
      </c>
      <c r="T1080" s="22">
        <f t="shared" ca="1" si="482"/>
        <v>0</v>
      </c>
      <c r="U1080" s="22">
        <f t="shared" ca="1" si="482"/>
        <v>0</v>
      </c>
      <c r="V1080" s="22">
        <f t="shared" ca="1" si="482"/>
        <v>0</v>
      </c>
      <c r="W1080" s="22">
        <f t="shared" ca="1" si="482"/>
        <v>0</v>
      </c>
      <c r="X1080" s="22">
        <f t="shared" ca="1" si="482"/>
        <v>0</v>
      </c>
    </row>
    <row r="1081" spans="1:24" hidden="1">
      <c r="A1081" s="259"/>
      <c r="B1081" s="21" t="s">
        <v>406</v>
      </c>
      <c r="C1081" s="22"/>
      <c r="D1081" s="21"/>
      <c r="E1081" s="21"/>
      <c r="F1081" s="21"/>
      <c r="G1081" s="21"/>
      <c r="I1081" s="21"/>
      <c r="J1081" s="21"/>
      <c r="K1081" s="77">
        <f t="shared" ref="K1081:X1081" ca="1" si="483">IF($C1077=LataProjekcji,ROUND($C1078-K1080,0),ROUND(IF(K1079=0,0,$C1078-K1080),0))</f>
        <v>0</v>
      </c>
      <c r="L1081" s="77">
        <f t="shared" ca="1" si="483"/>
        <v>0</v>
      </c>
      <c r="M1081" s="77">
        <f t="shared" ca="1" si="483"/>
        <v>0</v>
      </c>
      <c r="N1081" s="77">
        <f t="shared" ca="1" si="483"/>
        <v>0</v>
      </c>
      <c r="O1081" s="77">
        <f t="shared" ca="1" si="483"/>
        <v>0</v>
      </c>
      <c r="P1081" s="77">
        <f t="shared" ca="1" si="483"/>
        <v>0</v>
      </c>
      <c r="Q1081" s="77">
        <f t="shared" ca="1" si="483"/>
        <v>0</v>
      </c>
      <c r="R1081" s="77">
        <f t="shared" ca="1" si="483"/>
        <v>0</v>
      </c>
      <c r="S1081" s="77">
        <f t="shared" ca="1" si="483"/>
        <v>0</v>
      </c>
      <c r="T1081" s="77">
        <f t="shared" ca="1" si="483"/>
        <v>0</v>
      </c>
      <c r="U1081" s="77">
        <f t="shared" ca="1" si="483"/>
        <v>0</v>
      </c>
      <c r="V1081" s="77">
        <f t="shared" ca="1" si="483"/>
        <v>0</v>
      </c>
      <c r="W1081" s="77">
        <f t="shared" ca="1" si="483"/>
        <v>0</v>
      </c>
      <c r="X1081" s="77">
        <f t="shared" ca="1" si="483"/>
        <v>0</v>
      </c>
    </row>
    <row r="1082" spans="1:24" hidden="1">
      <c r="A1082" s="259"/>
      <c r="B1082" s="21"/>
      <c r="C1082" s="22"/>
      <c r="D1082" s="21"/>
      <c r="E1082" s="21"/>
      <c r="F1082" s="21"/>
      <c r="G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259"/>
      <c r="B1083" s="20" t="s">
        <v>392</v>
      </c>
      <c r="C1083" s="21">
        <f>C1076+1</f>
        <v>148</v>
      </c>
      <c r="D1083" s="483">
        <f>D1076+1</f>
        <v>385</v>
      </c>
      <c r="E1083" s="21"/>
      <c r="F1083" s="21"/>
      <c r="G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259"/>
      <c r="B1084" s="21" t="s">
        <v>414</v>
      </c>
      <c r="C1084" s="165">
        <f ca="1">IFERROR(YEAR(OFFSET($D$28,C1083,0)),0)</f>
        <v>0</v>
      </c>
      <c r="D1084" s="165">
        <f ca="1">IFERROR(MONTH(OFFSET($D$28,C1083,0)),0)</f>
        <v>0</v>
      </c>
      <c r="E1084" s="21">
        <f ca="1">12-$D1084</f>
        <v>12</v>
      </c>
      <c r="F1084" s="21"/>
      <c r="G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</row>
    <row r="1085" spans="1:24" hidden="1">
      <c r="A1085" s="259"/>
      <c r="B1085" s="21" t="s">
        <v>406</v>
      </c>
      <c r="C1085" s="245">
        <f ca="1">IF(OFFSET($F$28,C1083,0)&lt;0,0,OFFSET($F$28,C1083,0))</f>
        <v>0</v>
      </c>
      <c r="D1085" s="22" t="str">
        <f ca="1">OFFSET($C$28,C1083,0)</f>
        <v/>
      </c>
      <c r="E1085" s="22">
        <f ca="1">IF(D1085&gt;10,ROUND(($C1086/12)*$E1084,0),$C1085)</f>
        <v>0</v>
      </c>
      <c r="F1085" s="21"/>
      <c r="G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</row>
    <row r="1086" spans="1:24" hidden="1">
      <c r="A1086" s="259"/>
      <c r="B1086" s="21" t="s">
        <v>415</v>
      </c>
      <c r="C1086" s="245">
        <f ca="1">IF(ISBLANK(OFFSET($D$28,C1083,0)),0,IF(OFFSET($C$28,C1083,0)&gt;10,ROUND(C1085*am_wnip,0),IF(C1085&lt;0,0,C1085)))</f>
        <v>0</v>
      </c>
      <c r="D1086" s="21"/>
      <c r="E1086" s="21"/>
      <c r="F1086" s="21"/>
      <c r="G1086" s="21"/>
      <c r="I1086" s="21"/>
      <c r="J1086" s="483" cm="1">
        <f t="array" aca="1" ref="J1086" ca="1">OFFSET('Środki trwałe'!$C$195,'Rozliczenie dotacji'!D1083,,)</f>
        <v>0</v>
      </c>
      <c r="K1086" s="75">
        <f ca="1">ROUND(IF($C1084=LataProjekcji,$E1085,IF($C1084=LataProjekcji,$C1086,0)),0)</f>
        <v>0</v>
      </c>
      <c r="L1086" s="248">
        <f ca="1">ROUND(IF(OR(AND($C1084=LataProjekcji,$E1084&gt;0),AND($C1084=LataProjekcji,$E1084=0,$D1085&lt;=10)),$E1085,IF($C1084&lt;LataProjekcji,IF((SUM($K1086:K1086)+$C1086)&lt;$C1085,$C1086,$C1085-SUM($K1086:K1086)),0)),0)</f>
        <v>0</v>
      </c>
      <c r="M1086" s="248">
        <f ca="1">ROUND(IF(OR(AND($C1084=LataProjekcji,$E1084&gt;0),AND($C1084=LataProjekcji,$E1084=0,$D1085&lt;=10)),$E1085,IF($C1084&lt;LataProjekcji,IF((SUM($K1086:L1086)+$C1086)&lt;$C1085,$C1086,$C1085-SUM($K1086:L1086)),0)),0)</f>
        <v>0</v>
      </c>
      <c r="N1086" s="248">
        <f ca="1">ROUND(IF(OR(AND($C1084=LataProjekcji,$E1084&gt;0),AND($C1084=LataProjekcji,$E1084=0,$D1085&lt;=10)),$E1085,IF($C1084&lt;LataProjekcji,IF((SUM($K1086:M1086)+$C1086)&lt;$C1085,$C1086,$C1085-SUM($K1086:M1086)),0)),0)</f>
        <v>0</v>
      </c>
      <c r="O1086" s="248">
        <f ca="1">ROUND(IF(OR(AND($C1084=LataProjekcji,$E1084&gt;0),AND($C1084=LataProjekcji,$E1084=0,$D1085&lt;=10)),$E1085,IF($C1084&lt;LataProjekcji,IF((SUM($K1086:N1086)+$C1086)&lt;$C1085,$C1086,$C1085-SUM($K1086:N1086)),0)),0)</f>
        <v>0</v>
      </c>
      <c r="P1086" s="248">
        <f ca="1">ROUND(IF(OR(AND($C1084=LataProjekcji,$E1084&gt;0),AND($C1084=LataProjekcji,$E1084=0,$D1085&lt;=10)),$E1085,IF($C1084&lt;LataProjekcji,IF((SUM($K1086:O1086)+$C1086)&lt;$C1085,$C1086,$C1085-SUM($K1086:O1086)),0)),0)</f>
        <v>0</v>
      </c>
      <c r="Q1086" s="248">
        <f ca="1">ROUND(IF(OR(AND($C1084=LataProjekcji,$E1084&gt;0),AND($C1084=LataProjekcji,$E1084=0,$D1085&lt;=10)),$E1085,IF($C1084&lt;LataProjekcji,IF((SUM($K1086:P1086)+$C1086)&lt;$C1085,$C1086,$C1085-SUM($K1086:P1086)),0)),0)</f>
        <v>0</v>
      </c>
      <c r="R1086" s="248">
        <f ca="1">ROUND(IF(OR(AND($C1084=LataProjekcji,$E1084&gt;0),AND($C1084=LataProjekcji,$E1084=0,$D1085&lt;=10)),$E1085,IF($C1084&lt;LataProjekcji,IF((SUM($K1086:Q1086)+$C1086)&lt;$C1085,$C1086,$C1085-SUM($K1086:Q1086)),0)),0)</f>
        <v>0</v>
      </c>
      <c r="S1086" s="248">
        <f ca="1">ROUND(IF(OR(AND($C1084=LataProjekcji,$E1084&gt;0),AND($C1084=LataProjekcji,$E1084=0,$D1085&lt;=10)),$E1085,IF($C1084&lt;LataProjekcji,IF((SUM($K1086:R1086)+$C1086)&lt;$C1085,$C1086,$C1085-SUM($K1086:R1086)),0)),0)</f>
        <v>0</v>
      </c>
      <c r="T1086" s="248">
        <f ca="1">ROUND(IF(OR(AND($C1084=LataProjekcji,$E1084&gt;0),AND($C1084=LataProjekcji,$E1084=0,$D1085&lt;=10)),$E1085,IF($C1084&lt;LataProjekcji,IF((SUM($K1086:S1086)+$C1086)&lt;$C1085,$C1086,$C1085-SUM($K1086:S1086)),0)),0)</f>
        <v>0</v>
      </c>
      <c r="U1086" s="248">
        <f ca="1">ROUND(IF(OR(AND($C1084=LataProjekcji,$E1084&gt;0),AND($C1084=LataProjekcji,$E1084=0,$D1085&lt;=10)),$E1085,IF($C1084&lt;LataProjekcji,IF((SUM($K1086:T1086)+$C1086)&lt;$C1085,$C1086,$C1085-SUM($K1086:T1086)),0)),0)</f>
        <v>0</v>
      </c>
      <c r="V1086" s="248">
        <f ca="1">ROUND(IF(OR(AND($C1084=LataProjekcji,$E1084&gt;0),AND($C1084=LataProjekcji,$E1084=0,$D1085&lt;=10)),$E1085,IF($C1084&lt;LataProjekcji,IF((SUM($K1086:U1086)+$C1086)&lt;$C1085,$C1086,$C1085-SUM($K1086:U1086)),0)),0)</f>
        <v>0</v>
      </c>
      <c r="W1086" s="248">
        <f ca="1">ROUND(IF(OR(AND($C1084=LataProjekcji,$E1084&gt;0),AND($C1084=LataProjekcji,$E1084=0,$D1085&lt;=10)),$E1085,IF($C1084&lt;LataProjekcji,IF((SUM($K1086:V1086)+$C1086)&lt;$C1085,$C1086,$C1085-SUM($K1086:V1086)),0)),0)</f>
        <v>0</v>
      </c>
      <c r="X1086" s="248">
        <f ca="1">ROUND(IF(OR(AND($C1084=LataProjekcji,$E1084&gt;0),AND($C1084=LataProjekcji,$E1084=0,$D1085&lt;=10)),$E1085,IF($C1084&lt;LataProjekcji,IF((SUM($K1086:W1086)+$C1086)&lt;$C1085,$C1086,$C1085-SUM($K1086:W1086)),0)),0)</f>
        <v>0</v>
      </c>
    </row>
    <row r="1087" spans="1:24" hidden="1">
      <c r="A1087" s="259"/>
      <c r="B1087" s="21" t="s">
        <v>416</v>
      </c>
      <c r="C1087" s="22"/>
      <c r="D1087" s="21"/>
      <c r="E1087" s="21"/>
      <c r="F1087" s="21"/>
      <c r="G1087" s="21"/>
      <c r="I1087" s="21"/>
      <c r="J1087" s="21"/>
      <c r="K1087" s="22">
        <f ca="1">ROUND(K1086,0)</f>
        <v>0</v>
      </c>
      <c r="L1087" s="22">
        <f t="shared" ref="L1087:X1087" ca="1" si="484">ROUND(K1087+L1086,0)</f>
        <v>0</v>
      </c>
      <c r="M1087" s="22">
        <f t="shared" ca="1" si="484"/>
        <v>0</v>
      </c>
      <c r="N1087" s="22">
        <f t="shared" ca="1" si="484"/>
        <v>0</v>
      </c>
      <c r="O1087" s="22">
        <f t="shared" ca="1" si="484"/>
        <v>0</v>
      </c>
      <c r="P1087" s="22">
        <f t="shared" ca="1" si="484"/>
        <v>0</v>
      </c>
      <c r="Q1087" s="22">
        <f t="shared" ca="1" si="484"/>
        <v>0</v>
      </c>
      <c r="R1087" s="22">
        <f t="shared" ca="1" si="484"/>
        <v>0</v>
      </c>
      <c r="S1087" s="22">
        <f t="shared" ca="1" si="484"/>
        <v>0</v>
      </c>
      <c r="T1087" s="22">
        <f t="shared" ca="1" si="484"/>
        <v>0</v>
      </c>
      <c r="U1087" s="22">
        <f t="shared" ca="1" si="484"/>
        <v>0</v>
      </c>
      <c r="V1087" s="22">
        <f t="shared" ca="1" si="484"/>
        <v>0</v>
      </c>
      <c r="W1087" s="22">
        <f t="shared" ca="1" si="484"/>
        <v>0</v>
      </c>
      <c r="X1087" s="22">
        <f t="shared" ca="1" si="484"/>
        <v>0</v>
      </c>
    </row>
    <row r="1088" spans="1:24" hidden="1">
      <c r="A1088" s="259"/>
      <c r="B1088" s="21" t="s">
        <v>406</v>
      </c>
      <c r="C1088" s="22"/>
      <c r="D1088" s="21"/>
      <c r="E1088" s="21"/>
      <c r="F1088" s="21"/>
      <c r="G1088" s="21"/>
      <c r="I1088" s="21"/>
      <c r="J1088" s="21"/>
      <c r="K1088" s="77">
        <f t="shared" ref="K1088:X1088" ca="1" si="485">IF($C1084=LataProjekcji,ROUND($C1085-K1087,0),ROUND(IF(K1086=0,0,$C1085-K1087),0))</f>
        <v>0</v>
      </c>
      <c r="L1088" s="77">
        <f t="shared" ca="1" si="485"/>
        <v>0</v>
      </c>
      <c r="M1088" s="77">
        <f t="shared" ca="1" si="485"/>
        <v>0</v>
      </c>
      <c r="N1088" s="77">
        <f t="shared" ca="1" si="485"/>
        <v>0</v>
      </c>
      <c r="O1088" s="77">
        <f t="shared" ca="1" si="485"/>
        <v>0</v>
      </c>
      <c r="P1088" s="77">
        <f t="shared" ca="1" si="485"/>
        <v>0</v>
      </c>
      <c r="Q1088" s="77">
        <f t="shared" ca="1" si="485"/>
        <v>0</v>
      </c>
      <c r="R1088" s="77">
        <f t="shared" ca="1" si="485"/>
        <v>0</v>
      </c>
      <c r="S1088" s="77">
        <f t="shared" ca="1" si="485"/>
        <v>0</v>
      </c>
      <c r="T1088" s="77">
        <f t="shared" ca="1" si="485"/>
        <v>0</v>
      </c>
      <c r="U1088" s="77">
        <f t="shared" ca="1" si="485"/>
        <v>0</v>
      </c>
      <c r="V1088" s="77">
        <f t="shared" ca="1" si="485"/>
        <v>0</v>
      </c>
      <c r="W1088" s="77">
        <f t="shared" ca="1" si="485"/>
        <v>0</v>
      </c>
      <c r="X1088" s="77">
        <f t="shared" ca="1" si="485"/>
        <v>0</v>
      </c>
    </row>
    <row r="1089" spans="1:24" hidden="1">
      <c r="A1089" s="259"/>
      <c r="B1089" s="21"/>
      <c r="C1089" s="22"/>
      <c r="D1089" s="21"/>
      <c r="E1089" s="21"/>
      <c r="F1089" s="21"/>
      <c r="G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259"/>
      <c r="B1090" s="20" t="s">
        <v>392</v>
      </c>
      <c r="C1090" s="21">
        <f>C1083+1</f>
        <v>149</v>
      </c>
      <c r="D1090" s="483">
        <f>D1083+1</f>
        <v>386</v>
      </c>
      <c r="E1090" s="21"/>
      <c r="F1090" s="21"/>
      <c r="G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</row>
    <row r="1091" spans="1:24" hidden="1">
      <c r="A1091" s="259"/>
      <c r="B1091" s="21" t="s">
        <v>414</v>
      </c>
      <c r="C1091" s="165">
        <f ca="1">IFERROR(YEAR(OFFSET($D$28,C1090,0)),0)</f>
        <v>0</v>
      </c>
      <c r="D1091" s="165">
        <f ca="1">IFERROR(MONTH(OFFSET($D$28,C1090,0)),0)</f>
        <v>0</v>
      </c>
      <c r="E1091" s="21">
        <f ca="1">12-$D1091</f>
        <v>12</v>
      </c>
      <c r="F1091" s="21"/>
      <c r="G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</row>
    <row r="1092" spans="1:24" hidden="1">
      <c r="A1092" s="259"/>
      <c r="B1092" s="21" t="s">
        <v>406</v>
      </c>
      <c r="C1092" s="245">
        <f ca="1">IF(OFFSET($F$28,C1090,0)&lt;0,0,OFFSET($F$28,C1090,0))</f>
        <v>0</v>
      </c>
      <c r="D1092" s="22" t="str">
        <f ca="1">OFFSET($C$28,C1090,0)</f>
        <v/>
      </c>
      <c r="E1092" s="22">
        <f ca="1">IF(D1092&gt;10,ROUND(($C1093/12)*$E1091,0),$C1092)</f>
        <v>0</v>
      </c>
      <c r="F1092" s="21"/>
      <c r="G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</row>
    <row r="1093" spans="1:24" hidden="1">
      <c r="A1093" s="259"/>
      <c r="B1093" s="21" t="s">
        <v>415</v>
      </c>
      <c r="C1093" s="245">
        <f ca="1">IF(ISBLANK(OFFSET($D$28,C1090,0)),0,IF(OFFSET($C$28,C1090,0)&gt;10,ROUND(C1092*am_wnip,0),IF(C1092&lt;0,0,C1092)))</f>
        <v>0</v>
      </c>
      <c r="D1093" s="21"/>
      <c r="E1093" s="21"/>
      <c r="F1093" s="21"/>
      <c r="G1093" s="21"/>
      <c r="I1093" s="21"/>
      <c r="J1093" s="483" cm="1">
        <f t="array" aca="1" ref="J1093" ca="1">OFFSET('Środki trwałe'!$C$195,'Rozliczenie dotacji'!D1090,,)</f>
        <v>0</v>
      </c>
      <c r="K1093" s="75">
        <f ca="1">ROUND(IF($C1091=LataProjekcji,$E1092,IF($C1091=LataProjekcji,$C1093,0)),0)</f>
        <v>0</v>
      </c>
      <c r="L1093" s="248">
        <f ca="1">ROUND(IF(OR(AND($C1091=LataProjekcji,$E1091&gt;0),AND($C1091=LataProjekcji,$E1091=0,$D1092&lt;=10)),$E1092,IF($C1091&lt;LataProjekcji,IF((SUM($K1093:K1093)+$C1093)&lt;$C1092,$C1093,$C1092-SUM($K1093:K1093)),0)),0)</f>
        <v>0</v>
      </c>
      <c r="M1093" s="248">
        <f ca="1">ROUND(IF(OR(AND($C1091=LataProjekcji,$E1091&gt;0),AND($C1091=LataProjekcji,$E1091=0,$D1092&lt;=10)),$E1092,IF($C1091&lt;LataProjekcji,IF((SUM($K1093:L1093)+$C1093)&lt;$C1092,$C1093,$C1092-SUM($K1093:L1093)),0)),0)</f>
        <v>0</v>
      </c>
      <c r="N1093" s="248">
        <f ca="1">ROUND(IF(OR(AND($C1091=LataProjekcji,$E1091&gt;0),AND($C1091=LataProjekcji,$E1091=0,$D1092&lt;=10)),$E1092,IF($C1091&lt;LataProjekcji,IF((SUM($K1093:M1093)+$C1093)&lt;$C1092,$C1093,$C1092-SUM($K1093:M1093)),0)),0)</f>
        <v>0</v>
      </c>
      <c r="O1093" s="248">
        <f ca="1">ROUND(IF(OR(AND($C1091=LataProjekcji,$E1091&gt;0),AND($C1091=LataProjekcji,$E1091=0,$D1092&lt;=10)),$E1092,IF($C1091&lt;LataProjekcji,IF((SUM($K1093:N1093)+$C1093)&lt;$C1092,$C1093,$C1092-SUM($K1093:N1093)),0)),0)</f>
        <v>0</v>
      </c>
      <c r="P1093" s="248">
        <f ca="1">ROUND(IF(OR(AND($C1091=LataProjekcji,$E1091&gt;0),AND($C1091=LataProjekcji,$E1091=0,$D1092&lt;=10)),$E1092,IF($C1091&lt;LataProjekcji,IF((SUM($K1093:O1093)+$C1093)&lt;$C1092,$C1093,$C1092-SUM($K1093:O1093)),0)),0)</f>
        <v>0</v>
      </c>
      <c r="Q1093" s="248">
        <f ca="1">ROUND(IF(OR(AND($C1091=LataProjekcji,$E1091&gt;0),AND($C1091=LataProjekcji,$E1091=0,$D1092&lt;=10)),$E1092,IF($C1091&lt;LataProjekcji,IF((SUM($K1093:P1093)+$C1093)&lt;$C1092,$C1093,$C1092-SUM($K1093:P1093)),0)),0)</f>
        <v>0</v>
      </c>
      <c r="R1093" s="248">
        <f ca="1">ROUND(IF(OR(AND($C1091=LataProjekcji,$E1091&gt;0),AND($C1091=LataProjekcji,$E1091=0,$D1092&lt;=10)),$E1092,IF($C1091&lt;LataProjekcji,IF((SUM($K1093:Q1093)+$C1093)&lt;$C1092,$C1093,$C1092-SUM($K1093:Q1093)),0)),0)</f>
        <v>0</v>
      </c>
      <c r="S1093" s="248">
        <f ca="1">ROUND(IF(OR(AND($C1091=LataProjekcji,$E1091&gt;0),AND($C1091=LataProjekcji,$E1091=0,$D1092&lt;=10)),$E1092,IF($C1091&lt;LataProjekcji,IF((SUM($K1093:R1093)+$C1093)&lt;$C1092,$C1093,$C1092-SUM($K1093:R1093)),0)),0)</f>
        <v>0</v>
      </c>
      <c r="T1093" s="248">
        <f ca="1">ROUND(IF(OR(AND($C1091=LataProjekcji,$E1091&gt;0),AND($C1091=LataProjekcji,$E1091=0,$D1092&lt;=10)),$E1092,IF($C1091&lt;LataProjekcji,IF((SUM($K1093:S1093)+$C1093)&lt;$C1092,$C1093,$C1092-SUM($K1093:S1093)),0)),0)</f>
        <v>0</v>
      </c>
      <c r="U1093" s="248">
        <f ca="1">ROUND(IF(OR(AND($C1091=LataProjekcji,$E1091&gt;0),AND($C1091=LataProjekcji,$E1091=0,$D1092&lt;=10)),$E1092,IF($C1091&lt;LataProjekcji,IF((SUM($K1093:T1093)+$C1093)&lt;$C1092,$C1093,$C1092-SUM($K1093:T1093)),0)),0)</f>
        <v>0</v>
      </c>
      <c r="V1093" s="248">
        <f ca="1">ROUND(IF(OR(AND($C1091=LataProjekcji,$E1091&gt;0),AND($C1091=LataProjekcji,$E1091=0,$D1092&lt;=10)),$E1092,IF($C1091&lt;LataProjekcji,IF((SUM($K1093:U1093)+$C1093)&lt;$C1092,$C1093,$C1092-SUM($K1093:U1093)),0)),0)</f>
        <v>0</v>
      </c>
      <c r="W1093" s="248">
        <f ca="1">ROUND(IF(OR(AND($C1091=LataProjekcji,$E1091&gt;0),AND($C1091=LataProjekcji,$E1091=0,$D1092&lt;=10)),$E1092,IF($C1091&lt;LataProjekcji,IF((SUM($K1093:V1093)+$C1093)&lt;$C1092,$C1093,$C1092-SUM($K1093:V1093)),0)),0)</f>
        <v>0</v>
      </c>
      <c r="X1093" s="248">
        <f ca="1">ROUND(IF(OR(AND($C1091=LataProjekcji,$E1091&gt;0),AND($C1091=LataProjekcji,$E1091=0,$D1092&lt;=10)),$E1092,IF($C1091&lt;LataProjekcji,IF((SUM($K1093:W1093)+$C1093)&lt;$C1092,$C1093,$C1092-SUM($K1093:W1093)),0)),0)</f>
        <v>0</v>
      </c>
    </row>
    <row r="1094" spans="1:24" hidden="1">
      <c r="A1094" s="259"/>
      <c r="B1094" s="21" t="s">
        <v>416</v>
      </c>
      <c r="C1094" s="22"/>
      <c r="D1094" s="21"/>
      <c r="E1094" s="21"/>
      <c r="F1094" s="21"/>
      <c r="G1094" s="21"/>
      <c r="I1094" s="21"/>
      <c r="J1094" s="21"/>
      <c r="K1094" s="22">
        <f ca="1">ROUND(K1093,0)</f>
        <v>0</v>
      </c>
      <c r="L1094" s="22">
        <f t="shared" ref="L1094:X1094" ca="1" si="486">ROUND(K1094+L1093,0)</f>
        <v>0</v>
      </c>
      <c r="M1094" s="22">
        <f t="shared" ca="1" si="486"/>
        <v>0</v>
      </c>
      <c r="N1094" s="22">
        <f t="shared" ca="1" si="486"/>
        <v>0</v>
      </c>
      <c r="O1094" s="22">
        <f t="shared" ca="1" si="486"/>
        <v>0</v>
      </c>
      <c r="P1094" s="22">
        <f t="shared" ca="1" si="486"/>
        <v>0</v>
      </c>
      <c r="Q1094" s="22">
        <f t="shared" ca="1" si="486"/>
        <v>0</v>
      </c>
      <c r="R1094" s="22">
        <f t="shared" ca="1" si="486"/>
        <v>0</v>
      </c>
      <c r="S1094" s="22">
        <f t="shared" ca="1" si="486"/>
        <v>0</v>
      </c>
      <c r="T1094" s="22">
        <f t="shared" ca="1" si="486"/>
        <v>0</v>
      </c>
      <c r="U1094" s="22">
        <f t="shared" ca="1" si="486"/>
        <v>0</v>
      </c>
      <c r="V1094" s="22">
        <f t="shared" ca="1" si="486"/>
        <v>0</v>
      </c>
      <c r="W1094" s="22">
        <f t="shared" ca="1" si="486"/>
        <v>0</v>
      </c>
      <c r="X1094" s="22">
        <f t="shared" ca="1" si="486"/>
        <v>0</v>
      </c>
    </row>
    <row r="1095" spans="1:24" hidden="1">
      <c r="A1095" s="259"/>
      <c r="B1095" s="21" t="s">
        <v>406</v>
      </c>
      <c r="C1095" s="22"/>
      <c r="D1095" s="21"/>
      <c r="E1095" s="21"/>
      <c r="F1095" s="21"/>
      <c r="G1095" s="21"/>
      <c r="I1095" s="21"/>
      <c r="J1095" s="21"/>
      <c r="K1095" s="77">
        <f t="shared" ref="K1095:X1095" ca="1" si="487">IF($C1091=LataProjekcji,ROUND($C1092-K1094,0),ROUND(IF(K1093=0,0,$C1092-K1094),0))</f>
        <v>0</v>
      </c>
      <c r="L1095" s="77">
        <f t="shared" ca="1" si="487"/>
        <v>0</v>
      </c>
      <c r="M1095" s="77">
        <f t="shared" ca="1" si="487"/>
        <v>0</v>
      </c>
      <c r="N1095" s="77">
        <f t="shared" ca="1" si="487"/>
        <v>0</v>
      </c>
      <c r="O1095" s="77">
        <f t="shared" ca="1" si="487"/>
        <v>0</v>
      </c>
      <c r="P1095" s="77">
        <f t="shared" ca="1" si="487"/>
        <v>0</v>
      </c>
      <c r="Q1095" s="77">
        <f t="shared" ca="1" si="487"/>
        <v>0</v>
      </c>
      <c r="R1095" s="77">
        <f t="shared" ca="1" si="487"/>
        <v>0</v>
      </c>
      <c r="S1095" s="77">
        <f t="shared" ca="1" si="487"/>
        <v>0</v>
      </c>
      <c r="T1095" s="77">
        <f t="shared" ca="1" si="487"/>
        <v>0</v>
      </c>
      <c r="U1095" s="77">
        <f t="shared" ca="1" si="487"/>
        <v>0</v>
      </c>
      <c r="V1095" s="77">
        <f t="shared" ca="1" si="487"/>
        <v>0</v>
      </c>
      <c r="W1095" s="77">
        <f t="shared" ca="1" si="487"/>
        <v>0</v>
      </c>
      <c r="X1095" s="77">
        <f t="shared" ca="1" si="487"/>
        <v>0</v>
      </c>
    </row>
    <row r="1096" spans="1:24" hidden="1">
      <c r="A1096" s="259"/>
      <c r="B1096" s="20"/>
      <c r="C1096" s="21"/>
      <c r="D1096" s="21"/>
      <c r="E1096" s="21"/>
      <c r="F1096" s="21"/>
      <c r="G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</row>
    <row r="1097" spans="1:24" hidden="1">
      <c r="A1097" s="259"/>
      <c r="B1097" s="20" t="s">
        <v>392</v>
      </c>
      <c r="C1097" s="21">
        <f>C1090+1</f>
        <v>150</v>
      </c>
      <c r="D1097" s="483">
        <f>D1090+1</f>
        <v>387</v>
      </c>
      <c r="E1097" s="21"/>
      <c r="F1097" s="21"/>
      <c r="G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</row>
    <row r="1098" spans="1:24" hidden="1">
      <c r="A1098" s="259"/>
      <c r="B1098" s="21" t="s">
        <v>414</v>
      </c>
      <c r="C1098" s="165">
        <f ca="1">IFERROR(YEAR(OFFSET($D$28,C1097,0)),0)</f>
        <v>0</v>
      </c>
      <c r="D1098" s="165">
        <f ca="1">IFERROR(MONTH(OFFSET($D$28,C1097,0)),0)</f>
        <v>0</v>
      </c>
      <c r="E1098" s="21">
        <f ca="1">12-$D1098</f>
        <v>12</v>
      </c>
      <c r="F1098" s="21"/>
      <c r="G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</row>
    <row r="1099" spans="1:24" hidden="1">
      <c r="A1099" s="259"/>
      <c r="B1099" s="21" t="s">
        <v>406</v>
      </c>
      <c r="C1099" s="245">
        <f ca="1">IF(OFFSET($F$28,C1097,0)&lt;0,0,OFFSET($F$28,C1097,0))</f>
        <v>0</v>
      </c>
      <c r="D1099" s="22" t="str">
        <f ca="1">OFFSET($C$28,C1097,0)</f>
        <v/>
      </c>
      <c r="E1099" s="22">
        <f ca="1">IF(D1099&gt;10,ROUND(($C1100/12)*$E1098,0),$C1099)</f>
        <v>0</v>
      </c>
      <c r="F1099" s="21"/>
      <c r="G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259"/>
      <c r="B1100" s="21" t="s">
        <v>415</v>
      </c>
      <c r="C1100" s="245">
        <f ca="1">IF(ISBLANK(OFFSET($D$28,C1097,0)),0,IF(OFFSET($C$28,C1097,0)&gt;10,ROUND(C1099*am_wnip,0),IF(C1099&lt;0,0,C1099)))</f>
        <v>0</v>
      </c>
      <c r="D1100" s="21"/>
      <c r="E1100" s="21"/>
      <c r="F1100" s="21"/>
      <c r="G1100" s="21"/>
      <c r="I1100" s="21"/>
      <c r="J1100" s="483" cm="1">
        <f t="array" aca="1" ref="J1100" ca="1">OFFSET('Środki trwałe'!$C$195,'Rozliczenie dotacji'!D1097,,)</f>
        <v>0</v>
      </c>
      <c r="K1100" s="75">
        <f ca="1">ROUND(IF($C1098=LataProjekcji,$E1099,IF($C1098=LataProjekcji,$C1100,0)),0)</f>
        <v>0</v>
      </c>
      <c r="L1100" s="248">
        <f ca="1">ROUND(IF(OR(AND($C1098=LataProjekcji,$E1098&gt;0),AND($C1098=LataProjekcji,$E1098=0,$D1099&lt;=10)),$E1099,IF($C1098&lt;LataProjekcji,IF((SUM($K1100:K1100)+$C1100)&lt;$C1099,$C1100,$C1099-SUM($K1100:K1100)),0)),0)</f>
        <v>0</v>
      </c>
      <c r="M1100" s="248">
        <f ca="1">ROUND(IF(OR(AND($C1098=LataProjekcji,$E1098&gt;0),AND($C1098=LataProjekcji,$E1098=0,$D1099&lt;=10)),$E1099,IF($C1098&lt;LataProjekcji,IF((SUM($K1100:L1100)+$C1100)&lt;$C1099,$C1100,$C1099-SUM($K1100:L1100)),0)),0)</f>
        <v>0</v>
      </c>
      <c r="N1100" s="248">
        <f ca="1">ROUND(IF(OR(AND($C1098=LataProjekcji,$E1098&gt;0),AND($C1098=LataProjekcji,$E1098=0,$D1099&lt;=10)),$E1099,IF($C1098&lt;LataProjekcji,IF((SUM($K1100:M1100)+$C1100)&lt;$C1099,$C1100,$C1099-SUM($K1100:M1100)),0)),0)</f>
        <v>0</v>
      </c>
      <c r="O1100" s="248">
        <f ca="1">ROUND(IF(OR(AND($C1098=LataProjekcji,$E1098&gt;0),AND($C1098=LataProjekcji,$E1098=0,$D1099&lt;=10)),$E1099,IF($C1098&lt;LataProjekcji,IF((SUM($K1100:N1100)+$C1100)&lt;$C1099,$C1100,$C1099-SUM($K1100:N1100)),0)),0)</f>
        <v>0</v>
      </c>
      <c r="P1100" s="248">
        <f ca="1">ROUND(IF(OR(AND($C1098=LataProjekcji,$E1098&gt;0),AND($C1098=LataProjekcji,$E1098=0,$D1099&lt;=10)),$E1099,IF($C1098&lt;LataProjekcji,IF((SUM($K1100:O1100)+$C1100)&lt;$C1099,$C1100,$C1099-SUM($K1100:O1100)),0)),0)</f>
        <v>0</v>
      </c>
      <c r="Q1100" s="248">
        <f ca="1">ROUND(IF(OR(AND($C1098=LataProjekcji,$E1098&gt;0),AND($C1098=LataProjekcji,$E1098=0,$D1099&lt;=10)),$E1099,IF($C1098&lt;LataProjekcji,IF((SUM($K1100:P1100)+$C1100)&lt;$C1099,$C1100,$C1099-SUM($K1100:P1100)),0)),0)</f>
        <v>0</v>
      </c>
      <c r="R1100" s="248">
        <f ca="1">ROUND(IF(OR(AND($C1098=LataProjekcji,$E1098&gt;0),AND($C1098=LataProjekcji,$E1098=0,$D1099&lt;=10)),$E1099,IF($C1098&lt;LataProjekcji,IF((SUM($K1100:Q1100)+$C1100)&lt;$C1099,$C1100,$C1099-SUM($K1100:Q1100)),0)),0)</f>
        <v>0</v>
      </c>
      <c r="S1100" s="248">
        <f ca="1">ROUND(IF(OR(AND($C1098=LataProjekcji,$E1098&gt;0),AND($C1098=LataProjekcji,$E1098=0,$D1099&lt;=10)),$E1099,IF($C1098&lt;LataProjekcji,IF((SUM($K1100:R1100)+$C1100)&lt;$C1099,$C1100,$C1099-SUM($K1100:R1100)),0)),0)</f>
        <v>0</v>
      </c>
      <c r="T1100" s="248">
        <f ca="1">ROUND(IF(OR(AND($C1098=LataProjekcji,$E1098&gt;0),AND($C1098=LataProjekcji,$E1098=0,$D1099&lt;=10)),$E1099,IF($C1098&lt;LataProjekcji,IF((SUM($K1100:S1100)+$C1100)&lt;$C1099,$C1100,$C1099-SUM($K1100:S1100)),0)),0)</f>
        <v>0</v>
      </c>
      <c r="U1100" s="248">
        <f ca="1">ROUND(IF(OR(AND($C1098=LataProjekcji,$E1098&gt;0),AND($C1098=LataProjekcji,$E1098=0,$D1099&lt;=10)),$E1099,IF($C1098&lt;LataProjekcji,IF((SUM($K1100:T1100)+$C1100)&lt;$C1099,$C1100,$C1099-SUM($K1100:T1100)),0)),0)</f>
        <v>0</v>
      </c>
      <c r="V1100" s="248">
        <f ca="1">ROUND(IF(OR(AND($C1098=LataProjekcji,$E1098&gt;0),AND($C1098=LataProjekcji,$E1098=0,$D1099&lt;=10)),$E1099,IF($C1098&lt;LataProjekcji,IF((SUM($K1100:U1100)+$C1100)&lt;$C1099,$C1100,$C1099-SUM($K1100:U1100)),0)),0)</f>
        <v>0</v>
      </c>
      <c r="W1100" s="248">
        <f ca="1">ROUND(IF(OR(AND($C1098=LataProjekcji,$E1098&gt;0),AND($C1098=LataProjekcji,$E1098=0,$D1099&lt;=10)),$E1099,IF($C1098&lt;LataProjekcji,IF((SUM($K1100:V1100)+$C1100)&lt;$C1099,$C1100,$C1099-SUM($K1100:V1100)),0)),0)</f>
        <v>0</v>
      </c>
      <c r="X1100" s="248">
        <f ca="1">ROUND(IF(OR(AND($C1098=LataProjekcji,$E1098&gt;0),AND($C1098=LataProjekcji,$E1098=0,$D1099&lt;=10)),$E1099,IF($C1098&lt;LataProjekcji,IF((SUM($K1100:W1100)+$C1100)&lt;$C1099,$C1100,$C1099-SUM($K1100:W1100)),0)),0)</f>
        <v>0</v>
      </c>
    </row>
    <row r="1101" spans="1:24" hidden="1">
      <c r="A1101" s="259"/>
      <c r="B1101" s="21" t="s">
        <v>416</v>
      </c>
      <c r="C1101" s="22"/>
      <c r="D1101" s="21"/>
      <c r="E1101" s="21"/>
      <c r="F1101" s="21"/>
      <c r="G1101" s="21"/>
      <c r="I1101" s="21"/>
      <c r="J1101" s="21"/>
      <c r="K1101" s="22">
        <f ca="1">ROUND(K1100,0)</f>
        <v>0</v>
      </c>
      <c r="L1101" s="22">
        <f t="shared" ref="L1101:X1101" ca="1" si="488">ROUND(K1101+L1100,0)</f>
        <v>0</v>
      </c>
      <c r="M1101" s="22">
        <f t="shared" ca="1" si="488"/>
        <v>0</v>
      </c>
      <c r="N1101" s="22">
        <f t="shared" ca="1" si="488"/>
        <v>0</v>
      </c>
      <c r="O1101" s="22">
        <f t="shared" ca="1" si="488"/>
        <v>0</v>
      </c>
      <c r="P1101" s="22">
        <f t="shared" ca="1" si="488"/>
        <v>0</v>
      </c>
      <c r="Q1101" s="22">
        <f t="shared" ca="1" si="488"/>
        <v>0</v>
      </c>
      <c r="R1101" s="22">
        <f t="shared" ca="1" si="488"/>
        <v>0</v>
      </c>
      <c r="S1101" s="22">
        <f t="shared" ca="1" si="488"/>
        <v>0</v>
      </c>
      <c r="T1101" s="22">
        <f t="shared" ca="1" si="488"/>
        <v>0</v>
      </c>
      <c r="U1101" s="22">
        <f t="shared" ca="1" si="488"/>
        <v>0</v>
      </c>
      <c r="V1101" s="22">
        <f t="shared" ca="1" si="488"/>
        <v>0</v>
      </c>
      <c r="W1101" s="22">
        <f t="shared" ca="1" si="488"/>
        <v>0</v>
      </c>
      <c r="X1101" s="22">
        <f t="shared" ca="1" si="488"/>
        <v>0</v>
      </c>
    </row>
    <row r="1102" spans="1:24" hidden="1">
      <c r="A1102" s="259"/>
      <c r="B1102" s="21" t="s">
        <v>406</v>
      </c>
      <c r="C1102" s="22"/>
      <c r="D1102" s="21"/>
      <c r="E1102" s="21"/>
      <c r="F1102" s="21"/>
      <c r="G1102" s="21"/>
      <c r="I1102" s="21"/>
      <c r="J1102" s="21"/>
      <c r="K1102" s="77">
        <f t="shared" ref="K1102:X1102" ca="1" si="489">IF($C1098=LataProjekcji,ROUND($C1099-K1101,0),ROUND(IF(K1100=0,0,$C1099-K1101),0))</f>
        <v>0</v>
      </c>
      <c r="L1102" s="77">
        <f t="shared" ca="1" si="489"/>
        <v>0</v>
      </c>
      <c r="M1102" s="77">
        <f t="shared" ca="1" si="489"/>
        <v>0</v>
      </c>
      <c r="N1102" s="77">
        <f t="shared" ca="1" si="489"/>
        <v>0</v>
      </c>
      <c r="O1102" s="77">
        <f t="shared" ca="1" si="489"/>
        <v>0</v>
      </c>
      <c r="P1102" s="77">
        <f t="shared" ca="1" si="489"/>
        <v>0</v>
      </c>
      <c r="Q1102" s="77">
        <f t="shared" ca="1" si="489"/>
        <v>0</v>
      </c>
      <c r="R1102" s="77">
        <f t="shared" ca="1" si="489"/>
        <v>0</v>
      </c>
      <c r="S1102" s="77">
        <f t="shared" ca="1" si="489"/>
        <v>0</v>
      </c>
      <c r="T1102" s="77">
        <f t="shared" ca="1" si="489"/>
        <v>0</v>
      </c>
      <c r="U1102" s="77">
        <f t="shared" ca="1" si="489"/>
        <v>0</v>
      </c>
      <c r="V1102" s="77">
        <f t="shared" ca="1" si="489"/>
        <v>0</v>
      </c>
      <c r="W1102" s="77">
        <f t="shared" ca="1" si="489"/>
        <v>0</v>
      </c>
      <c r="X1102" s="77">
        <f t="shared" ca="1" si="489"/>
        <v>0</v>
      </c>
    </row>
    <row r="1103" spans="1:24" hidden="1">
      <c r="A1103" s="259"/>
      <c r="B1103" s="21"/>
      <c r="C1103" s="22"/>
      <c r="D1103" s="21"/>
      <c r="E1103" s="21"/>
      <c r="F1103" s="21"/>
      <c r="G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</row>
    <row r="1104" spans="1:24" hidden="1">
      <c r="A1104" s="259"/>
      <c r="B1104" s="20" t="s">
        <v>392</v>
      </c>
      <c r="C1104" s="21">
        <f>C1097+1</f>
        <v>151</v>
      </c>
      <c r="D1104" s="483">
        <f>D1097+1</f>
        <v>388</v>
      </c>
      <c r="E1104" s="21"/>
      <c r="F1104" s="21"/>
      <c r="G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</row>
    <row r="1105" spans="1:24" hidden="1">
      <c r="A1105" s="259"/>
      <c r="B1105" s="21" t="s">
        <v>414</v>
      </c>
      <c r="C1105" s="165">
        <f ca="1">IFERROR(YEAR(OFFSET($D$28,C1104,0)),0)</f>
        <v>0</v>
      </c>
      <c r="D1105" s="165">
        <f ca="1">IFERROR(MONTH(OFFSET($D$28,C1104,0)),0)</f>
        <v>0</v>
      </c>
      <c r="E1105" s="21">
        <f ca="1">12-$D1105</f>
        <v>12</v>
      </c>
      <c r="F1105" s="21"/>
      <c r="G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259"/>
      <c r="B1106" s="21" t="s">
        <v>406</v>
      </c>
      <c r="C1106" s="245">
        <f ca="1">IF(OFFSET($F$28,C1104,0)&lt;0,0,OFFSET($F$28,C1104,0))</f>
        <v>0</v>
      </c>
      <c r="D1106" s="22" t="str">
        <f ca="1">OFFSET($C$28,C1104,0)</f>
        <v/>
      </c>
      <c r="E1106" s="22">
        <f ca="1">IF(D1106&gt;10,ROUND(($C1107/12)*$E1105,0),$C1106)</f>
        <v>0</v>
      </c>
      <c r="F1106" s="21"/>
      <c r="G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259"/>
      <c r="B1107" s="21" t="s">
        <v>415</v>
      </c>
      <c r="C1107" s="245">
        <f ca="1">IF(ISBLANK(OFFSET($D$28,C1104,0)),0,IF(OFFSET($C$28,C1104,0)&gt;10,ROUND(C1106*am_wnip,0),IF(C1106&lt;0,0,C1106)))</f>
        <v>0</v>
      </c>
      <c r="D1107" s="21"/>
      <c r="E1107" s="21"/>
      <c r="F1107" s="21"/>
      <c r="G1107" s="21"/>
      <c r="I1107" s="21"/>
      <c r="J1107" s="483" cm="1">
        <f t="array" aca="1" ref="J1107" ca="1">OFFSET('Środki trwałe'!$C$195,'Rozliczenie dotacji'!D1104,,)</f>
        <v>0</v>
      </c>
      <c r="K1107" s="75">
        <f ca="1">ROUND(IF($C1105=LataProjekcji,$E1106,IF($C1105=LataProjekcji,$C1107,0)),0)</f>
        <v>0</v>
      </c>
      <c r="L1107" s="248">
        <f ca="1">ROUND(IF(OR(AND($C1105=LataProjekcji,$E1105&gt;0),AND($C1105=LataProjekcji,$E1105=0,$D1106&lt;=10)),$E1106,IF($C1105&lt;LataProjekcji,IF((SUM($K1107:K1107)+$C1107)&lt;$C1106,$C1107,$C1106-SUM($K1107:K1107)),0)),0)</f>
        <v>0</v>
      </c>
      <c r="M1107" s="248">
        <f ca="1">ROUND(IF(OR(AND($C1105=LataProjekcji,$E1105&gt;0),AND($C1105=LataProjekcji,$E1105=0,$D1106&lt;=10)),$E1106,IF($C1105&lt;LataProjekcji,IF((SUM($K1107:L1107)+$C1107)&lt;$C1106,$C1107,$C1106-SUM($K1107:L1107)),0)),0)</f>
        <v>0</v>
      </c>
      <c r="N1107" s="248">
        <f ca="1">ROUND(IF(OR(AND($C1105=LataProjekcji,$E1105&gt;0),AND($C1105=LataProjekcji,$E1105=0,$D1106&lt;=10)),$E1106,IF($C1105&lt;LataProjekcji,IF((SUM($K1107:M1107)+$C1107)&lt;$C1106,$C1107,$C1106-SUM($K1107:M1107)),0)),0)</f>
        <v>0</v>
      </c>
      <c r="O1107" s="248">
        <f ca="1">ROUND(IF(OR(AND($C1105=LataProjekcji,$E1105&gt;0),AND($C1105=LataProjekcji,$E1105=0,$D1106&lt;=10)),$E1106,IF($C1105&lt;LataProjekcji,IF((SUM($K1107:N1107)+$C1107)&lt;$C1106,$C1107,$C1106-SUM($K1107:N1107)),0)),0)</f>
        <v>0</v>
      </c>
      <c r="P1107" s="248">
        <f ca="1">ROUND(IF(OR(AND($C1105=LataProjekcji,$E1105&gt;0),AND($C1105=LataProjekcji,$E1105=0,$D1106&lt;=10)),$E1106,IF($C1105&lt;LataProjekcji,IF((SUM($K1107:O1107)+$C1107)&lt;$C1106,$C1107,$C1106-SUM($K1107:O1107)),0)),0)</f>
        <v>0</v>
      </c>
      <c r="Q1107" s="248">
        <f ca="1">ROUND(IF(OR(AND($C1105=LataProjekcji,$E1105&gt;0),AND($C1105=LataProjekcji,$E1105=0,$D1106&lt;=10)),$E1106,IF($C1105&lt;LataProjekcji,IF((SUM($K1107:P1107)+$C1107)&lt;$C1106,$C1107,$C1106-SUM($K1107:P1107)),0)),0)</f>
        <v>0</v>
      </c>
      <c r="R1107" s="248">
        <f ca="1">ROUND(IF(OR(AND($C1105=LataProjekcji,$E1105&gt;0),AND($C1105=LataProjekcji,$E1105=0,$D1106&lt;=10)),$E1106,IF($C1105&lt;LataProjekcji,IF((SUM($K1107:Q1107)+$C1107)&lt;$C1106,$C1107,$C1106-SUM($K1107:Q1107)),0)),0)</f>
        <v>0</v>
      </c>
      <c r="S1107" s="248">
        <f ca="1">ROUND(IF(OR(AND($C1105=LataProjekcji,$E1105&gt;0),AND($C1105=LataProjekcji,$E1105=0,$D1106&lt;=10)),$E1106,IF($C1105&lt;LataProjekcji,IF((SUM($K1107:R1107)+$C1107)&lt;$C1106,$C1107,$C1106-SUM($K1107:R1107)),0)),0)</f>
        <v>0</v>
      </c>
      <c r="T1107" s="248">
        <f ca="1">ROUND(IF(OR(AND($C1105=LataProjekcji,$E1105&gt;0),AND($C1105=LataProjekcji,$E1105=0,$D1106&lt;=10)),$E1106,IF($C1105&lt;LataProjekcji,IF((SUM($K1107:S1107)+$C1107)&lt;$C1106,$C1107,$C1106-SUM($K1107:S1107)),0)),0)</f>
        <v>0</v>
      </c>
      <c r="U1107" s="248">
        <f ca="1">ROUND(IF(OR(AND($C1105=LataProjekcji,$E1105&gt;0),AND($C1105=LataProjekcji,$E1105=0,$D1106&lt;=10)),$E1106,IF($C1105&lt;LataProjekcji,IF((SUM($K1107:T1107)+$C1107)&lt;$C1106,$C1107,$C1106-SUM($K1107:T1107)),0)),0)</f>
        <v>0</v>
      </c>
      <c r="V1107" s="248">
        <f ca="1">ROUND(IF(OR(AND($C1105=LataProjekcji,$E1105&gt;0),AND($C1105=LataProjekcji,$E1105=0,$D1106&lt;=10)),$E1106,IF($C1105&lt;LataProjekcji,IF((SUM($K1107:U1107)+$C1107)&lt;$C1106,$C1107,$C1106-SUM($K1107:U1107)),0)),0)</f>
        <v>0</v>
      </c>
      <c r="W1107" s="248">
        <f ca="1">ROUND(IF(OR(AND($C1105=LataProjekcji,$E1105&gt;0),AND($C1105=LataProjekcji,$E1105=0,$D1106&lt;=10)),$E1106,IF($C1105&lt;LataProjekcji,IF((SUM($K1107:V1107)+$C1107)&lt;$C1106,$C1107,$C1106-SUM($K1107:V1107)),0)),0)</f>
        <v>0</v>
      </c>
      <c r="X1107" s="248">
        <f ca="1">ROUND(IF(OR(AND($C1105=LataProjekcji,$E1105&gt;0),AND($C1105=LataProjekcji,$E1105=0,$D1106&lt;=10)),$E1106,IF($C1105&lt;LataProjekcji,IF((SUM($K1107:W1107)+$C1107)&lt;$C1106,$C1107,$C1106-SUM($K1107:W1107)),0)),0)</f>
        <v>0</v>
      </c>
    </row>
    <row r="1108" spans="1:24" hidden="1">
      <c r="A1108" s="259"/>
      <c r="B1108" s="21" t="s">
        <v>416</v>
      </c>
      <c r="C1108" s="22"/>
      <c r="D1108" s="21"/>
      <c r="E1108" s="21"/>
      <c r="F1108" s="21"/>
      <c r="G1108" s="21"/>
      <c r="I1108" s="21"/>
      <c r="J1108" s="21"/>
      <c r="K1108" s="22">
        <f ca="1">ROUND(K1107,0)</f>
        <v>0</v>
      </c>
      <c r="L1108" s="22">
        <f t="shared" ref="L1108:X1108" ca="1" si="490">ROUND(K1108+L1107,0)</f>
        <v>0</v>
      </c>
      <c r="M1108" s="22">
        <f t="shared" ca="1" si="490"/>
        <v>0</v>
      </c>
      <c r="N1108" s="22">
        <f t="shared" ca="1" si="490"/>
        <v>0</v>
      </c>
      <c r="O1108" s="22">
        <f t="shared" ca="1" si="490"/>
        <v>0</v>
      </c>
      <c r="P1108" s="22">
        <f t="shared" ca="1" si="490"/>
        <v>0</v>
      </c>
      <c r="Q1108" s="22">
        <f t="shared" ca="1" si="490"/>
        <v>0</v>
      </c>
      <c r="R1108" s="22">
        <f t="shared" ca="1" si="490"/>
        <v>0</v>
      </c>
      <c r="S1108" s="22">
        <f t="shared" ca="1" si="490"/>
        <v>0</v>
      </c>
      <c r="T1108" s="22">
        <f t="shared" ca="1" si="490"/>
        <v>0</v>
      </c>
      <c r="U1108" s="22">
        <f t="shared" ca="1" si="490"/>
        <v>0</v>
      </c>
      <c r="V1108" s="22">
        <f t="shared" ca="1" si="490"/>
        <v>0</v>
      </c>
      <c r="W1108" s="22">
        <f t="shared" ca="1" si="490"/>
        <v>0</v>
      </c>
      <c r="X1108" s="22">
        <f t="shared" ca="1" si="490"/>
        <v>0</v>
      </c>
    </row>
    <row r="1109" spans="1:24" hidden="1">
      <c r="A1109" s="259"/>
      <c r="B1109" s="21" t="s">
        <v>406</v>
      </c>
      <c r="C1109" s="22"/>
      <c r="D1109" s="21"/>
      <c r="E1109" s="21"/>
      <c r="F1109" s="21"/>
      <c r="G1109" s="21"/>
      <c r="I1109" s="21"/>
      <c r="J1109" s="21"/>
      <c r="K1109" s="77">
        <f t="shared" ref="K1109:X1109" ca="1" si="491">IF($C1105=LataProjekcji,ROUND($C1106-K1108,0),ROUND(IF(K1107=0,0,$C1106-K1108),0))</f>
        <v>0</v>
      </c>
      <c r="L1109" s="77">
        <f t="shared" ca="1" si="491"/>
        <v>0</v>
      </c>
      <c r="M1109" s="77">
        <f t="shared" ca="1" si="491"/>
        <v>0</v>
      </c>
      <c r="N1109" s="77">
        <f t="shared" ca="1" si="491"/>
        <v>0</v>
      </c>
      <c r="O1109" s="77">
        <f t="shared" ca="1" si="491"/>
        <v>0</v>
      </c>
      <c r="P1109" s="77">
        <f t="shared" ca="1" si="491"/>
        <v>0</v>
      </c>
      <c r="Q1109" s="77">
        <f t="shared" ca="1" si="491"/>
        <v>0</v>
      </c>
      <c r="R1109" s="77">
        <f t="shared" ca="1" si="491"/>
        <v>0</v>
      </c>
      <c r="S1109" s="77">
        <f t="shared" ca="1" si="491"/>
        <v>0</v>
      </c>
      <c r="T1109" s="77">
        <f t="shared" ca="1" si="491"/>
        <v>0</v>
      </c>
      <c r="U1109" s="77">
        <f t="shared" ca="1" si="491"/>
        <v>0</v>
      </c>
      <c r="V1109" s="77">
        <f t="shared" ca="1" si="491"/>
        <v>0</v>
      </c>
      <c r="W1109" s="77">
        <f t="shared" ca="1" si="491"/>
        <v>0</v>
      </c>
      <c r="X1109" s="77">
        <f t="shared" ca="1" si="491"/>
        <v>0</v>
      </c>
    </row>
    <row r="1113" spans="1:24" ht="12.6" hidden="1" thickBot="1"/>
    <row r="1114" spans="1:24" ht="12.6" hidden="1" thickBot="1">
      <c r="A1114" s="259"/>
      <c r="B1114" s="20" t="s">
        <v>393</v>
      </c>
      <c r="C1114" s="250">
        <v>160</v>
      </c>
      <c r="D1114" s="482">
        <v>421</v>
      </c>
      <c r="E1114" s="21" t="s">
        <v>411</v>
      </c>
      <c r="F1114" s="48"/>
      <c r="G1114" s="50" t="s">
        <v>412</v>
      </c>
      <c r="H1114" s="322"/>
      <c r="I1114" s="21" t="s">
        <v>413</v>
      </c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</row>
    <row r="1115" spans="1:24" hidden="1">
      <c r="A1115" s="259"/>
      <c r="B1115" s="21" t="s">
        <v>414</v>
      </c>
      <c r="C1115" s="165">
        <f ca="1">IFERROR(YEAR(OFFSET($D$28,C1114,0)),0)</f>
        <v>0</v>
      </c>
      <c r="D1115" s="165">
        <f ca="1">IFERROR(MONTH(OFFSET($D$28,C1114,0)),0)</f>
        <v>0</v>
      </c>
      <c r="E1115" s="21">
        <f ca="1">12-$D1115</f>
        <v>12</v>
      </c>
      <c r="F1115" s="49"/>
      <c r="G1115" s="51">
        <f>C198-F1115</f>
        <v>0</v>
      </c>
      <c r="H1115" s="323"/>
      <c r="I1115" s="22">
        <f>C198-F1115-G1115</f>
        <v>0</v>
      </c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</row>
    <row r="1116" spans="1:24" hidden="1">
      <c r="A1116" s="259"/>
      <c r="B1116" s="21" t="s">
        <v>406</v>
      </c>
      <c r="C1116" s="245">
        <f ca="1">IF(OFFSET($F$28,C1114,0)&lt;0,0,OFFSET($F$28,C1114,0))</f>
        <v>0</v>
      </c>
      <c r="D1116" s="22" t="str">
        <f ca="1">OFFSET($C$28,C1114,0)</f>
        <v/>
      </c>
      <c r="E1116" s="22">
        <f ca="1">IF(D1116&gt;10,ROUND(($C1117/12)*$E1115,0),$C1116)</f>
        <v>0</v>
      </c>
      <c r="F1116" s="21" t="s">
        <v>426</v>
      </c>
      <c r="G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</row>
    <row r="1117" spans="1:24" hidden="1">
      <c r="A1117" s="259"/>
      <c r="B1117" s="21" t="s">
        <v>415</v>
      </c>
      <c r="C1117" s="245">
        <f ca="1">IF(ISBLANK(OFFSET($D$28,C1114,0)),0,IF(OFFSET($C$28,C1114,0)&gt;10,ROUND(C1116*am_wnip,0),IF(C1116&lt;0,0,C1116)))</f>
        <v>0</v>
      </c>
      <c r="D1117" s="21"/>
      <c r="E1117" s="21"/>
      <c r="F1117" s="21"/>
      <c r="G1117" s="21"/>
      <c r="I1117" s="21"/>
      <c r="J1117" s="483" cm="1">
        <f t="array" aca="1" ref="J1117" ca="1">OFFSET('Środki trwałe'!$C$195,'Rozliczenie dotacji'!D1114,,)</f>
        <v>0</v>
      </c>
      <c r="K1117" s="75">
        <f ca="1">ROUND(IF($C1115=LataProjekcji,$E1116,IF($C1115=LataProjekcji,$C1117,0)),0)</f>
        <v>0</v>
      </c>
      <c r="L1117" s="248">
        <f ca="1">ROUND(IF(OR(AND($C1115=LataProjekcji,$E1115&gt;0),AND($C1115=LataProjekcji,$E1115=0,$D1116&lt;=10)),$E1116,IF($C1115&lt;LataProjekcji,IF((SUM($K1117:K1117)+$C1117)&lt;$C1116,$C1117,$C1116-SUM($K1117:K1117)),0)),0)</f>
        <v>0</v>
      </c>
      <c r="M1117" s="248">
        <f ca="1">ROUND(IF(OR(AND($C1115=LataProjekcji,$E1115&gt;0),AND($C1115=LataProjekcji,$E1115=0,$D1116&lt;=10)),$E1116,IF($C1115&lt;LataProjekcji,IF((SUM($K1117:L1117)+$C1117)&lt;$C1116,$C1117,$C1116-SUM($K1117:L1117)),0)),0)</f>
        <v>0</v>
      </c>
      <c r="N1117" s="248">
        <f ca="1">ROUND(IF(OR(AND($C1115=LataProjekcji,$E1115&gt;0),AND($C1115=LataProjekcji,$E1115=0,$D1116&lt;=10)),$E1116,IF($C1115&lt;LataProjekcji,IF((SUM($K1117:M1117)+$C1117)&lt;$C1116,$C1117,$C1116-SUM($K1117:M1117)),0)),0)</f>
        <v>0</v>
      </c>
      <c r="O1117" s="248">
        <f ca="1">ROUND(IF(OR(AND($C1115=LataProjekcji,$E1115&gt;0),AND($C1115=LataProjekcji,$E1115=0,$D1116&lt;=10)),$E1116,IF($C1115&lt;LataProjekcji,IF((SUM($K1117:N1117)+$C1117)&lt;$C1116,$C1117,$C1116-SUM($K1117:N1117)),0)),0)</f>
        <v>0</v>
      </c>
      <c r="P1117" s="248">
        <f ca="1">ROUND(IF(OR(AND($C1115=LataProjekcji,$E1115&gt;0),AND($C1115=LataProjekcji,$E1115=0,$D1116&lt;=10)),$E1116,IF($C1115&lt;LataProjekcji,IF((SUM($K1117:O1117)+$C1117)&lt;$C1116,$C1117,$C1116-SUM($K1117:O1117)),0)),0)</f>
        <v>0</v>
      </c>
      <c r="Q1117" s="248">
        <f ca="1">ROUND(IF(OR(AND($C1115=LataProjekcji,$E1115&gt;0),AND($C1115=LataProjekcji,$E1115=0,$D1116&lt;=10)),$E1116,IF($C1115&lt;LataProjekcji,IF((SUM($K1117:P1117)+$C1117)&lt;$C1116,$C1117,$C1116-SUM($K1117:P1117)),0)),0)</f>
        <v>0</v>
      </c>
      <c r="R1117" s="248">
        <f ca="1">ROUND(IF(OR(AND($C1115=LataProjekcji,$E1115&gt;0),AND($C1115=LataProjekcji,$E1115=0,$D1116&lt;=10)),$E1116,IF($C1115&lt;LataProjekcji,IF((SUM($K1117:Q1117)+$C1117)&lt;$C1116,$C1117,$C1116-SUM($K1117:Q1117)),0)),0)</f>
        <v>0</v>
      </c>
      <c r="S1117" s="248">
        <f ca="1">ROUND(IF(OR(AND($C1115=LataProjekcji,$E1115&gt;0),AND($C1115=LataProjekcji,$E1115=0,$D1116&lt;=10)),$E1116,IF($C1115&lt;LataProjekcji,IF((SUM($K1117:R1117)+$C1117)&lt;$C1116,$C1117,$C1116-SUM($K1117:R1117)),0)),0)</f>
        <v>0</v>
      </c>
      <c r="T1117" s="248">
        <f ca="1">ROUND(IF(OR(AND($C1115=LataProjekcji,$E1115&gt;0),AND($C1115=LataProjekcji,$E1115=0,$D1116&lt;=10)),$E1116,IF($C1115&lt;LataProjekcji,IF((SUM($K1117:S1117)+$C1117)&lt;$C1116,$C1117,$C1116-SUM($K1117:S1117)),0)),0)</f>
        <v>0</v>
      </c>
      <c r="U1117" s="248">
        <f ca="1">ROUND(IF(OR(AND($C1115=LataProjekcji,$E1115&gt;0),AND($C1115=LataProjekcji,$E1115=0,$D1116&lt;=10)),$E1116,IF($C1115&lt;LataProjekcji,IF((SUM($K1117:T1117)+$C1117)&lt;$C1116,$C1117,$C1116-SUM($K1117:T1117)),0)),0)</f>
        <v>0</v>
      </c>
      <c r="V1117" s="248">
        <f ca="1">ROUND(IF(OR(AND($C1115=LataProjekcji,$E1115&gt;0),AND($C1115=LataProjekcji,$E1115=0,$D1116&lt;=10)),$E1116,IF($C1115&lt;LataProjekcji,IF((SUM($K1117:U1117)+$C1117)&lt;$C1116,$C1117,$C1116-SUM($K1117:U1117)),0)),0)</f>
        <v>0</v>
      </c>
      <c r="W1117" s="248">
        <f ca="1">ROUND(IF(OR(AND($C1115=LataProjekcji,$E1115&gt;0),AND($C1115=LataProjekcji,$E1115=0,$D1116&lt;=10)),$E1116,IF($C1115&lt;LataProjekcji,IF((SUM($K1117:V1117)+$C1117)&lt;$C1116,$C1117,$C1116-SUM($K1117:V1117)),0)),0)</f>
        <v>0</v>
      </c>
      <c r="X1117" s="248">
        <f ca="1">ROUND(IF(OR(AND($C1115=LataProjekcji,$E1115&gt;0),AND($C1115=LataProjekcji,$E1115=0,$D1116&lt;=10)),$E1116,IF($C1115&lt;LataProjekcji,IF((SUM($K1117:W1117)+$C1117)&lt;$C1116,$C1117,$C1116-SUM($K1117:W1117)),0)),0)</f>
        <v>0</v>
      </c>
    </row>
    <row r="1118" spans="1:24" hidden="1">
      <c r="A1118" s="259"/>
      <c r="B1118" s="21" t="s">
        <v>416</v>
      </c>
      <c r="C1118" s="22"/>
      <c r="D1118" s="21"/>
      <c r="E1118" s="21"/>
      <c r="F1118" s="21"/>
      <c r="G1118" s="21"/>
      <c r="I1118" s="21"/>
      <c r="J1118" s="21"/>
      <c r="K1118" s="22">
        <f ca="1">ROUND(K1117,0)</f>
        <v>0</v>
      </c>
      <c r="L1118" s="22">
        <f t="shared" ref="L1118:X1118" ca="1" si="492">ROUND(K1118+L1117,0)</f>
        <v>0</v>
      </c>
      <c r="M1118" s="22">
        <f t="shared" ca="1" si="492"/>
        <v>0</v>
      </c>
      <c r="N1118" s="22">
        <f t="shared" ca="1" si="492"/>
        <v>0</v>
      </c>
      <c r="O1118" s="22">
        <f t="shared" ca="1" si="492"/>
        <v>0</v>
      </c>
      <c r="P1118" s="22">
        <f t="shared" ca="1" si="492"/>
        <v>0</v>
      </c>
      <c r="Q1118" s="22">
        <f t="shared" ca="1" si="492"/>
        <v>0</v>
      </c>
      <c r="R1118" s="22">
        <f t="shared" ca="1" si="492"/>
        <v>0</v>
      </c>
      <c r="S1118" s="22">
        <f t="shared" ca="1" si="492"/>
        <v>0</v>
      </c>
      <c r="T1118" s="22">
        <f t="shared" ca="1" si="492"/>
        <v>0</v>
      </c>
      <c r="U1118" s="22">
        <f t="shared" ca="1" si="492"/>
        <v>0</v>
      </c>
      <c r="V1118" s="22">
        <f t="shared" ca="1" si="492"/>
        <v>0</v>
      </c>
      <c r="W1118" s="22">
        <f t="shared" ca="1" si="492"/>
        <v>0</v>
      </c>
      <c r="X1118" s="22">
        <f t="shared" ca="1" si="492"/>
        <v>0</v>
      </c>
    </row>
    <row r="1119" spans="1:24" hidden="1">
      <c r="A1119" s="259"/>
      <c r="B1119" s="21" t="s">
        <v>406</v>
      </c>
      <c r="C1119" s="22"/>
      <c r="D1119" s="21"/>
      <c r="E1119" s="21"/>
      <c r="F1119" s="21"/>
      <c r="G1119" s="21"/>
      <c r="I1119" s="21"/>
      <c r="J1119" s="21"/>
      <c r="K1119" s="77">
        <f t="shared" ref="K1119:X1119" ca="1" si="493">IF($C1115=LataProjekcji,ROUND($C1116-K1118,0),ROUND(IF(K1117=0,0,$C1116-K1118),0))</f>
        <v>0</v>
      </c>
      <c r="L1119" s="77">
        <f t="shared" ca="1" si="493"/>
        <v>0</v>
      </c>
      <c r="M1119" s="77">
        <f t="shared" ca="1" si="493"/>
        <v>0</v>
      </c>
      <c r="N1119" s="77">
        <f t="shared" ca="1" si="493"/>
        <v>0</v>
      </c>
      <c r="O1119" s="77">
        <f t="shared" ca="1" si="493"/>
        <v>0</v>
      </c>
      <c r="P1119" s="77">
        <f t="shared" ca="1" si="493"/>
        <v>0</v>
      </c>
      <c r="Q1119" s="77">
        <f t="shared" ca="1" si="493"/>
        <v>0</v>
      </c>
      <c r="R1119" s="77">
        <f t="shared" ca="1" si="493"/>
        <v>0</v>
      </c>
      <c r="S1119" s="77">
        <f t="shared" ca="1" si="493"/>
        <v>0</v>
      </c>
      <c r="T1119" s="77">
        <f t="shared" ca="1" si="493"/>
        <v>0</v>
      </c>
      <c r="U1119" s="77">
        <f t="shared" ca="1" si="493"/>
        <v>0</v>
      </c>
      <c r="V1119" s="77">
        <f t="shared" ca="1" si="493"/>
        <v>0</v>
      </c>
      <c r="W1119" s="77">
        <f t="shared" ca="1" si="493"/>
        <v>0</v>
      </c>
      <c r="X1119" s="77">
        <f t="shared" ca="1" si="493"/>
        <v>0</v>
      </c>
    </row>
    <row r="1120" spans="1:24" hidden="1">
      <c r="A1120" s="259"/>
      <c r="B1120" s="21"/>
      <c r="C1120" s="22"/>
      <c r="D1120" s="21"/>
      <c r="E1120" s="21"/>
      <c r="F1120" s="21"/>
      <c r="G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</row>
    <row r="1121" spans="1:24" hidden="1">
      <c r="A1121" s="259"/>
      <c r="B1121" s="20" t="s">
        <v>393</v>
      </c>
      <c r="C1121" s="21">
        <f>C1114+1</f>
        <v>161</v>
      </c>
      <c r="D1121" s="483">
        <f>D1114+1</f>
        <v>422</v>
      </c>
      <c r="E1121" s="21"/>
      <c r="F1121" s="21"/>
      <c r="G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</row>
    <row r="1122" spans="1:24" hidden="1">
      <c r="A1122" s="259"/>
      <c r="B1122" s="21" t="s">
        <v>414</v>
      </c>
      <c r="C1122" s="165">
        <f ca="1">IFERROR(YEAR(OFFSET($D$28,C1121,0)),0)</f>
        <v>0</v>
      </c>
      <c r="D1122" s="165">
        <f ca="1">IFERROR(MONTH(OFFSET($D$28,C1121,0)),0)</f>
        <v>0</v>
      </c>
      <c r="E1122" s="21">
        <f ca="1">12-$D1122</f>
        <v>12</v>
      </c>
      <c r="F1122" s="21"/>
      <c r="G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</row>
    <row r="1123" spans="1:24" hidden="1">
      <c r="A1123" s="259"/>
      <c r="B1123" s="21" t="s">
        <v>406</v>
      </c>
      <c r="C1123" s="245">
        <f ca="1">IF(OFFSET($F$28,C1121,0)&lt;0,0,OFFSET($F$28,C1121,0))</f>
        <v>0</v>
      </c>
      <c r="D1123" s="22" t="str">
        <f ca="1">OFFSET($C$28,C1121,0)</f>
        <v/>
      </c>
      <c r="E1123" s="22">
        <f ca="1">IF(D1123&gt;10,ROUND(($C1124/12)*$E1122,0),$C1123)</f>
        <v>0</v>
      </c>
      <c r="F1123" s="21"/>
      <c r="G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259"/>
      <c r="B1124" s="21" t="s">
        <v>415</v>
      </c>
      <c r="C1124" s="245">
        <f ca="1">IF(ISBLANK(OFFSET($D$28,C1121,0)),0,IF(OFFSET($C$28,C1121,0)&gt;10,ROUND(C1123*am_wnip,0),IF(C1123&lt;0,0,C1123)))</f>
        <v>0</v>
      </c>
      <c r="D1124" s="21"/>
      <c r="E1124" s="21"/>
      <c r="F1124" s="21"/>
      <c r="G1124" s="21"/>
      <c r="I1124" s="21"/>
      <c r="J1124" s="483" cm="1">
        <f t="array" aca="1" ref="J1124" ca="1">OFFSET('Środki trwałe'!$C$195,'Rozliczenie dotacji'!D1121,,)</f>
        <v>0</v>
      </c>
      <c r="K1124" s="75">
        <f ca="1">ROUND(IF($C1122=LataProjekcji,$E1123,IF($C1122=LataProjekcji,$C1124,0)),0)</f>
        <v>0</v>
      </c>
      <c r="L1124" s="248">
        <f ca="1">ROUND(IF(OR(AND($C1122=LataProjekcji,$E1122&gt;0),AND($C1122=LataProjekcji,$E1122=0,$D1123&lt;=10)),$E1123,IF($C1122&lt;LataProjekcji,IF((SUM($K1124:K1124)+$C1124)&lt;$C1123,$C1124,$C1123-SUM($K1124:K1124)),0)),0)</f>
        <v>0</v>
      </c>
      <c r="M1124" s="248">
        <f ca="1">ROUND(IF(OR(AND($C1122=LataProjekcji,$E1122&gt;0),AND($C1122=LataProjekcji,$E1122=0,$D1123&lt;=10)),$E1123,IF($C1122&lt;LataProjekcji,IF((SUM($K1124:L1124)+$C1124)&lt;$C1123,$C1124,$C1123-SUM($K1124:L1124)),0)),0)</f>
        <v>0</v>
      </c>
      <c r="N1124" s="248">
        <f ca="1">ROUND(IF(OR(AND($C1122=LataProjekcji,$E1122&gt;0),AND($C1122=LataProjekcji,$E1122=0,$D1123&lt;=10)),$E1123,IF($C1122&lt;LataProjekcji,IF((SUM($K1124:M1124)+$C1124)&lt;$C1123,$C1124,$C1123-SUM($K1124:M1124)),0)),0)</f>
        <v>0</v>
      </c>
      <c r="O1124" s="248">
        <f ca="1">ROUND(IF(OR(AND($C1122=LataProjekcji,$E1122&gt;0),AND($C1122=LataProjekcji,$E1122=0,$D1123&lt;=10)),$E1123,IF($C1122&lt;LataProjekcji,IF((SUM($K1124:N1124)+$C1124)&lt;$C1123,$C1124,$C1123-SUM($K1124:N1124)),0)),0)</f>
        <v>0</v>
      </c>
      <c r="P1124" s="248">
        <f ca="1">ROUND(IF(OR(AND($C1122=LataProjekcji,$E1122&gt;0),AND($C1122=LataProjekcji,$E1122=0,$D1123&lt;=10)),$E1123,IF($C1122&lt;LataProjekcji,IF((SUM($K1124:O1124)+$C1124)&lt;$C1123,$C1124,$C1123-SUM($K1124:O1124)),0)),0)</f>
        <v>0</v>
      </c>
      <c r="Q1124" s="248">
        <f ca="1">ROUND(IF(OR(AND($C1122=LataProjekcji,$E1122&gt;0),AND($C1122=LataProjekcji,$E1122=0,$D1123&lt;=10)),$E1123,IF($C1122&lt;LataProjekcji,IF((SUM($K1124:P1124)+$C1124)&lt;$C1123,$C1124,$C1123-SUM($K1124:P1124)),0)),0)</f>
        <v>0</v>
      </c>
      <c r="R1124" s="248">
        <f ca="1">ROUND(IF(OR(AND($C1122=LataProjekcji,$E1122&gt;0),AND($C1122=LataProjekcji,$E1122=0,$D1123&lt;=10)),$E1123,IF($C1122&lt;LataProjekcji,IF((SUM($K1124:Q1124)+$C1124)&lt;$C1123,$C1124,$C1123-SUM($K1124:Q1124)),0)),0)</f>
        <v>0</v>
      </c>
      <c r="S1124" s="248">
        <f ca="1">ROUND(IF(OR(AND($C1122=LataProjekcji,$E1122&gt;0),AND($C1122=LataProjekcji,$E1122=0,$D1123&lt;=10)),$E1123,IF($C1122&lt;LataProjekcji,IF((SUM($K1124:R1124)+$C1124)&lt;$C1123,$C1124,$C1123-SUM($K1124:R1124)),0)),0)</f>
        <v>0</v>
      </c>
      <c r="T1124" s="248">
        <f ca="1">ROUND(IF(OR(AND($C1122=LataProjekcji,$E1122&gt;0),AND($C1122=LataProjekcji,$E1122=0,$D1123&lt;=10)),$E1123,IF($C1122&lt;LataProjekcji,IF((SUM($K1124:S1124)+$C1124)&lt;$C1123,$C1124,$C1123-SUM($K1124:S1124)),0)),0)</f>
        <v>0</v>
      </c>
      <c r="U1124" s="248">
        <f ca="1">ROUND(IF(OR(AND($C1122=LataProjekcji,$E1122&gt;0),AND($C1122=LataProjekcji,$E1122=0,$D1123&lt;=10)),$E1123,IF($C1122&lt;LataProjekcji,IF((SUM($K1124:T1124)+$C1124)&lt;$C1123,$C1124,$C1123-SUM($K1124:T1124)),0)),0)</f>
        <v>0</v>
      </c>
      <c r="V1124" s="248">
        <f ca="1">ROUND(IF(OR(AND($C1122=LataProjekcji,$E1122&gt;0),AND($C1122=LataProjekcji,$E1122=0,$D1123&lt;=10)),$E1123,IF($C1122&lt;LataProjekcji,IF((SUM($K1124:U1124)+$C1124)&lt;$C1123,$C1124,$C1123-SUM($K1124:U1124)),0)),0)</f>
        <v>0</v>
      </c>
      <c r="W1124" s="248">
        <f ca="1">ROUND(IF(OR(AND($C1122=LataProjekcji,$E1122&gt;0),AND($C1122=LataProjekcji,$E1122=0,$D1123&lt;=10)),$E1123,IF($C1122&lt;LataProjekcji,IF((SUM($K1124:V1124)+$C1124)&lt;$C1123,$C1124,$C1123-SUM($K1124:V1124)),0)),0)</f>
        <v>0</v>
      </c>
      <c r="X1124" s="248">
        <f ca="1">ROUND(IF(OR(AND($C1122=LataProjekcji,$E1122&gt;0),AND($C1122=LataProjekcji,$E1122=0,$D1123&lt;=10)),$E1123,IF($C1122&lt;LataProjekcji,IF((SUM($K1124:W1124)+$C1124)&lt;$C1123,$C1124,$C1123-SUM($K1124:W1124)),0)),0)</f>
        <v>0</v>
      </c>
    </row>
    <row r="1125" spans="1:24" hidden="1">
      <c r="A1125" s="259"/>
      <c r="B1125" s="21" t="s">
        <v>416</v>
      </c>
      <c r="C1125" s="22"/>
      <c r="D1125" s="21"/>
      <c r="E1125" s="21"/>
      <c r="F1125" s="21"/>
      <c r="G1125" s="21"/>
      <c r="I1125" s="21"/>
      <c r="J1125" s="21"/>
      <c r="K1125" s="22">
        <f ca="1">ROUND(K1124,0)</f>
        <v>0</v>
      </c>
      <c r="L1125" s="22">
        <f t="shared" ref="L1125:X1125" ca="1" si="494">ROUND(K1125+L1124,0)</f>
        <v>0</v>
      </c>
      <c r="M1125" s="22">
        <f t="shared" ca="1" si="494"/>
        <v>0</v>
      </c>
      <c r="N1125" s="22">
        <f t="shared" ca="1" si="494"/>
        <v>0</v>
      </c>
      <c r="O1125" s="22">
        <f t="shared" ca="1" si="494"/>
        <v>0</v>
      </c>
      <c r="P1125" s="22">
        <f t="shared" ca="1" si="494"/>
        <v>0</v>
      </c>
      <c r="Q1125" s="22">
        <f t="shared" ca="1" si="494"/>
        <v>0</v>
      </c>
      <c r="R1125" s="22">
        <f t="shared" ca="1" si="494"/>
        <v>0</v>
      </c>
      <c r="S1125" s="22">
        <f t="shared" ca="1" si="494"/>
        <v>0</v>
      </c>
      <c r="T1125" s="22">
        <f t="shared" ca="1" si="494"/>
        <v>0</v>
      </c>
      <c r="U1125" s="22">
        <f t="shared" ca="1" si="494"/>
        <v>0</v>
      </c>
      <c r="V1125" s="22">
        <f t="shared" ca="1" si="494"/>
        <v>0</v>
      </c>
      <c r="W1125" s="22">
        <f t="shared" ca="1" si="494"/>
        <v>0</v>
      </c>
      <c r="X1125" s="22">
        <f t="shared" ca="1" si="494"/>
        <v>0</v>
      </c>
    </row>
    <row r="1126" spans="1:24" hidden="1">
      <c r="A1126" s="259"/>
      <c r="B1126" s="21" t="s">
        <v>406</v>
      </c>
      <c r="C1126" s="22"/>
      <c r="D1126" s="21"/>
      <c r="E1126" s="21"/>
      <c r="F1126" s="21"/>
      <c r="G1126" s="21"/>
      <c r="I1126" s="21"/>
      <c r="J1126" s="21"/>
      <c r="K1126" s="77">
        <f t="shared" ref="K1126:X1126" ca="1" si="495">IF($C1122=LataProjekcji,ROUND($C1123-K1125,0),ROUND(IF(K1124=0,0,$C1123-K1125),0))</f>
        <v>0</v>
      </c>
      <c r="L1126" s="77">
        <f t="shared" ca="1" si="495"/>
        <v>0</v>
      </c>
      <c r="M1126" s="77">
        <f t="shared" ca="1" si="495"/>
        <v>0</v>
      </c>
      <c r="N1126" s="77">
        <f t="shared" ca="1" si="495"/>
        <v>0</v>
      </c>
      <c r="O1126" s="77">
        <f t="shared" ca="1" si="495"/>
        <v>0</v>
      </c>
      <c r="P1126" s="77">
        <f t="shared" ca="1" si="495"/>
        <v>0</v>
      </c>
      <c r="Q1126" s="77">
        <f t="shared" ca="1" si="495"/>
        <v>0</v>
      </c>
      <c r="R1126" s="77">
        <f t="shared" ca="1" si="495"/>
        <v>0</v>
      </c>
      <c r="S1126" s="77">
        <f t="shared" ca="1" si="495"/>
        <v>0</v>
      </c>
      <c r="T1126" s="77">
        <f t="shared" ca="1" si="495"/>
        <v>0</v>
      </c>
      <c r="U1126" s="77">
        <f t="shared" ca="1" si="495"/>
        <v>0</v>
      </c>
      <c r="V1126" s="77">
        <f t="shared" ca="1" si="495"/>
        <v>0</v>
      </c>
      <c r="W1126" s="77">
        <f t="shared" ca="1" si="495"/>
        <v>0</v>
      </c>
      <c r="X1126" s="77">
        <f t="shared" ca="1" si="495"/>
        <v>0</v>
      </c>
    </row>
    <row r="1127" spans="1:24" hidden="1">
      <c r="A1127" s="259"/>
      <c r="B1127" s="20"/>
      <c r="C1127" s="21"/>
      <c r="D1127" s="21"/>
      <c r="E1127" s="21"/>
      <c r="F1127" s="21"/>
      <c r="G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</row>
    <row r="1128" spans="1:24" hidden="1">
      <c r="A1128" s="259"/>
      <c r="B1128" s="20" t="s">
        <v>393</v>
      </c>
      <c r="C1128" s="21">
        <f>C1121+1</f>
        <v>162</v>
      </c>
      <c r="D1128" s="483">
        <f>D1121+1</f>
        <v>423</v>
      </c>
      <c r="E1128" s="21"/>
      <c r="F1128" s="21"/>
      <c r="G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</row>
    <row r="1129" spans="1:24" hidden="1">
      <c r="A1129" s="259"/>
      <c r="B1129" s="21" t="s">
        <v>414</v>
      </c>
      <c r="C1129" s="165">
        <f ca="1">IFERROR(YEAR(OFFSET($D$28,C1128,0)),0)</f>
        <v>0</v>
      </c>
      <c r="D1129" s="165">
        <f ca="1">IFERROR(MONTH(OFFSET($D$28,C1128,0)),0)</f>
        <v>0</v>
      </c>
      <c r="E1129" s="21">
        <f ca="1">12-$D1129</f>
        <v>12</v>
      </c>
      <c r="F1129" s="21"/>
      <c r="G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</row>
    <row r="1130" spans="1:24" hidden="1">
      <c r="A1130" s="259"/>
      <c r="B1130" s="21" t="s">
        <v>406</v>
      </c>
      <c r="C1130" s="245">
        <f ca="1">IF(OFFSET($F$28,C1128,0)&lt;0,0,OFFSET($F$28,C1128,0))</f>
        <v>0</v>
      </c>
      <c r="D1130" s="22" t="str">
        <f ca="1">OFFSET($C$28,C1128,0)</f>
        <v/>
      </c>
      <c r="E1130" s="22">
        <f ca="1">IF(D1130&gt;10,ROUND(($C1131/12)*$E1129,0),$C1130)</f>
        <v>0</v>
      </c>
      <c r="F1130" s="21"/>
      <c r="G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259"/>
      <c r="B1131" s="21" t="s">
        <v>415</v>
      </c>
      <c r="C1131" s="245">
        <f ca="1">IF(ISBLANK(OFFSET($D$28,C1128,0)),0,IF(OFFSET($C$28,C1128,0)&gt;10,ROUND(C1130*am_wnip,0),IF(C1130&lt;0,0,C1130)))</f>
        <v>0</v>
      </c>
      <c r="D1131" s="21"/>
      <c r="E1131" s="21"/>
      <c r="F1131" s="21"/>
      <c r="G1131" s="21"/>
      <c r="I1131" s="21"/>
      <c r="J1131" s="483" cm="1">
        <f t="array" aca="1" ref="J1131" ca="1">OFFSET('Środki trwałe'!$C$195,'Rozliczenie dotacji'!D1128,,)</f>
        <v>0</v>
      </c>
      <c r="K1131" s="75">
        <f ca="1">ROUND(IF($C1129=LataProjekcji,$E1130,IF($C1129=LataProjekcji,$C1131,0)),0)</f>
        <v>0</v>
      </c>
      <c r="L1131" s="248">
        <f ca="1">ROUND(IF(OR(AND($C1129=LataProjekcji,$E1129&gt;0),AND($C1129=LataProjekcji,$E1129=0,$D1130&lt;=10)),$E1130,IF($C1129&lt;LataProjekcji,IF((SUM($K1131:K1131)+$C1131)&lt;$C1130,$C1131,$C1130-SUM($K1131:K1131)),0)),0)</f>
        <v>0</v>
      </c>
      <c r="M1131" s="248">
        <f ca="1">ROUND(IF(OR(AND($C1129=LataProjekcji,$E1129&gt;0),AND($C1129=LataProjekcji,$E1129=0,$D1130&lt;=10)),$E1130,IF($C1129&lt;LataProjekcji,IF((SUM($K1131:L1131)+$C1131)&lt;$C1130,$C1131,$C1130-SUM($K1131:L1131)),0)),0)</f>
        <v>0</v>
      </c>
      <c r="N1131" s="248">
        <f ca="1">ROUND(IF(OR(AND($C1129=LataProjekcji,$E1129&gt;0),AND($C1129=LataProjekcji,$E1129=0,$D1130&lt;=10)),$E1130,IF($C1129&lt;LataProjekcji,IF((SUM($K1131:M1131)+$C1131)&lt;$C1130,$C1131,$C1130-SUM($K1131:M1131)),0)),0)</f>
        <v>0</v>
      </c>
      <c r="O1131" s="248">
        <f ca="1">ROUND(IF(OR(AND($C1129=LataProjekcji,$E1129&gt;0),AND($C1129=LataProjekcji,$E1129=0,$D1130&lt;=10)),$E1130,IF($C1129&lt;LataProjekcji,IF((SUM($K1131:N1131)+$C1131)&lt;$C1130,$C1131,$C1130-SUM($K1131:N1131)),0)),0)</f>
        <v>0</v>
      </c>
      <c r="P1131" s="248">
        <f ca="1">ROUND(IF(OR(AND($C1129=LataProjekcji,$E1129&gt;0),AND($C1129=LataProjekcji,$E1129=0,$D1130&lt;=10)),$E1130,IF($C1129&lt;LataProjekcji,IF((SUM($K1131:O1131)+$C1131)&lt;$C1130,$C1131,$C1130-SUM($K1131:O1131)),0)),0)</f>
        <v>0</v>
      </c>
      <c r="Q1131" s="248">
        <f ca="1">ROUND(IF(OR(AND($C1129=LataProjekcji,$E1129&gt;0),AND($C1129=LataProjekcji,$E1129=0,$D1130&lt;=10)),$E1130,IF($C1129&lt;LataProjekcji,IF((SUM($K1131:P1131)+$C1131)&lt;$C1130,$C1131,$C1130-SUM($K1131:P1131)),0)),0)</f>
        <v>0</v>
      </c>
      <c r="R1131" s="248">
        <f ca="1">ROUND(IF(OR(AND($C1129=LataProjekcji,$E1129&gt;0),AND($C1129=LataProjekcji,$E1129=0,$D1130&lt;=10)),$E1130,IF($C1129&lt;LataProjekcji,IF((SUM($K1131:Q1131)+$C1131)&lt;$C1130,$C1131,$C1130-SUM($K1131:Q1131)),0)),0)</f>
        <v>0</v>
      </c>
      <c r="S1131" s="248">
        <f ca="1">ROUND(IF(OR(AND($C1129=LataProjekcji,$E1129&gt;0),AND($C1129=LataProjekcji,$E1129=0,$D1130&lt;=10)),$E1130,IF($C1129&lt;LataProjekcji,IF((SUM($K1131:R1131)+$C1131)&lt;$C1130,$C1131,$C1130-SUM($K1131:R1131)),0)),0)</f>
        <v>0</v>
      </c>
      <c r="T1131" s="248">
        <f ca="1">ROUND(IF(OR(AND($C1129=LataProjekcji,$E1129&gt;0),AND($C1129=LataProjekcji,$E1129=0,$D1130&lt;=10)),$E1130,IF($C1129&lt;LataProjekcji,IF((SUM($K1131:S1131)+$C1131)&lt;$C1130,$C1131,$C1130-SUM($K1131:S1131)),0)),0)</f>
        <v>0</v>
      </c>
      <c r="U1131" s="248">
        <f ca="1">ROUND(IF(OR(AND($C1129=LataProjekcji,$E1129&gt;0),AND($C1129=LataProjekcji,$E1129=0,$D1130&lt;=10)),$E1130,IF($C1129&lt;LataProjekcji,IF((SUM($K1131:T1131)+$C1131)&lt;$C1130,$C1131,$C1130-SUM($K1131:T1131)),0)),0)</f>
        <v>0</v>
      </c>
      <c r="V1131" s="248">
        <f ca="1">ROUND(IF(OR(AND($C1129=LataProjekcji,$E1129&gt;0),AND($C1129=LataProjekcji,$E1129=0,$D1130&lt;=10)),$E1130,IF($C1129&lt;LataProjekcji,IF((SUM($K1131:U1131)+$C1131)&lt;$C1130,$C1131,$C1130-SUM($K1131:U1131)),0)),0)</f>
        <v>0</v>
      </c>
      <c r="W1131" s="248">
        <f ca="1">ROUND(IF(OR(AND($C1129=LataProjekcji,$E1129&gt;0),AND($C1129=LataProjekcji,$E1129=0,$D1130&lt;=10)),$E1130,IF($C1129&lt;LataProjekcji,IF((SUM($K1131:V1131)+$C1131)&lt;$C1130,$C1131,$C1130-SUM($K1131:V1131)),0)),0)</f>
        <v>0</v>
      </c>
      <c r="X1131" s="248">
        <f ca="1">ROUND(IF(OR(AND($C1129=LataProjekcji,$E1129&gt;0),AND($C1129=LataProjekcji,$E1129=0,$D1130&lt;=10)),$E1130,IF($C1129&lt;LataProjekcji,IF((SUM($K1131:W1131)+$C1131)&lt;$C1130,$C1131,$C1130-SUM($K1131:W1131)),0)),0)</f>
        <v>0</v>
      </c>
    </row>
    <row r="1132" spans="1:24" hidden="1">
      <c r="A1132" s="259"/>
      <c r="B1132" s="21" t="s">
        <v>416</v>
      </c>
      <c r="C1132" s="22"/>
      <c r="D1132" s="21"/>
      <c r="E1132" s="21"/>
      <c r="F1132" s="21"/>
      <c r="G1132" s="21"/>
      <c r="I1132" s="21"/>
      <c r="J1132" s="21"/>
      <c r="K1132" s="22">
        <f ca="1">ROUND(K1131,0)</f>
        <v>0</v>
      </c>
      <c r="L1132" s="22">
        <f t="shared" ref="L1132:X1132" ca="1" si="496">ROUND(K1132+L1131,0)</f>
        <v>0</v>
      </c>
      <c r="M1132" s="22">
        <f t="shared" ca="1" si="496"/>
        <v>0</v>
      </c>
      <c r="N1132" s="22">
        <f t="shared" ca="1" si="496"/>
        <v>0</v>
      </c>
      <c r="O1132" s="22">
        <f t="shared" ca="1" si="496"/>
        <v>0</v>
      </c>
      <c r="P1132" s="22">
        <f t="shared" ca="1" si="496"/>
        <v>0</v>
      </c>
      <c r="Q1132" s="22">
        <f t="shared" ca="1" si="496"/>
        <v>0</v>
      </c>
      <c r="R1132" s="22">
        <f t="shared" ca="1" si="496"/>
        <v>0</v>
      </c>
      <c r="S1132" s="22">
        <f t="shared" ca="1" si="496"/>
        <v>0</v>
      </c>
      <c r="T1132" s="22">
        <f t="shared" ca="1" si="496"/>
        <v>0</v>
      </c>
      <c r="U1132" s="22">
        <f t="shared" ca="1" si="496"/>
        <v>0</v>
      </c>
      <c r="V1132" s="22">
        <f t="shared" ca="1" si="496"/>
        <v>0</v>
      </c>
      <c r="W1132" s="22">
        <f t="shared" ca="1" si="496"/>
        <v>0</v>
      </c>
      <c r="X1132" s="22">
        <f t="shared" ca="1" si="496"/>
        <v>0</v>
      </c>
    </row>
    <row r="1133" spans="1:24" hidden="1">
      <c r="A1133" s="259"/>
      <c r="B1133" s="21" t="s">
        <v>406</v>
      </c>
      <c r="C1133" s="22"/>
      <c r="D1133" s="21"/>
      <c r="E1133" s="21"/>
      <c r="F1133" s="21"/>
      <c r="G1133" s="21"/>
      <c r="I1133" s="21"/>
      <c r="J1133" s="21"/>
      <c r="K1133" s="77">
        <f t="shared" ref="K1133:X1133" ca="1" si="497">IF($C1129=LataProjekcji,ROUND($C1130-K1132,0),ROUND(IF(K1131=0,0,$C1130-K1132),0))</f>
        <v>0</v>
      </c>
      <c r="L1133" s="77">
        <f t="shared" ca="1" si="497"/>
        <v>0</v>
      </c>
      <c r="M1133" s="77">
        <f t="shared" ca="1" si="497"/>
        <v>0</v>
      </c>
      <c r="N1133" s="77">
        <f t="shared" ca="1" si="497"/>
        <v>0</v>
      </c>
      <c r="O1133" s="77">
        <f t="shared" ca="1" si="497"/>
        <v>0</v>
      </c>
      <c r="P1133" s="77">
        <f t="shared" ca="1" si="497"/>
        <v>0</v>
      </c>
      <c r="Q1133" s="77">
        <f t="shared" ca="1" si="497"/>
        <v>0</v>
      </c>
      <c r="R1133" s="77">
        <f t="shared" ca="1" si="497"/>
        <v>0</v>
      </c>
      <c r="S1133" s="77">
        <f t="shared" ca="1" si="497"/>
        <v>0</v>
      </c>
      <c r="T1133" s="77">
        <f t="shared" ca="1" si="497"/>
        <v>0</v>
      </c>
      <c r="U1133" s="77">
        <f t="shared" ca="1" si="497"/>
        <v>0</v>
      </c>
      <c r="V1133" s="77">
        <f t="shared" ca="1" si="497"/>
        <v>0</v>
      </c>
      <c r="W1133" s="77">
        <f t="shared" ca="1" si="497"/>
        <v>0</v>
      </c>
      <c r="X1133" s="77">
        <f t="shared" ca="1" si="497"/>
        <v>0</v>
      </c>
    </row>
    <row r="1134" spans="1:24" hidden="1">
      <c r="A1134" s="259"/>
      <c r="B1134" s="21"/>
      <c r="C1134" s="22"/>
      <c r="D1134" s="21"/>
      <c r="E1134" s="21"/>
      <c r="F1134" s="21"/>
      <c r="G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</row>
    <row r="1135" spans="1:24" hidden="1">
      <c r="A1135" s="259"/>
      <c r="B1135" s="20" t="s">
        <v>393</v>
      </c>
      <c r="C1135" s="21">
        <f>C1128+1</f>
        <v>163</v>
      </c>
      <c r="D1135" s="483">
        <f>D1128+1</f>
        <v>424</v>
      </c>
      <c r="E1135" s="21"/>
      <c r="F1135" s="21"/>
      <c r="G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</row>
    <row r="1136" spans="1:24" hidden="1">
      <c r="A1136" s="259"/>
      <c r="B1136" s="21" t="s">
        <v>414</v>
      </c>
      <c r="C1136" s="165">
        <f ca="1">IFERROR(YEAR(OFFSET($D$28,C1135,0)),0)</f>
        <v>0</v>
      </c>
      <c r="D1136" s="165">
        <f ca="1">IFERROR(MONTH(OFFSET($D$28,C1135,0)),0)</f>
        <v>0</v>
      </c>
      <c r="E1136" s="21">
        <f ca="1">12-$D1136</f>
        <v>12</v>
      </c>
      <c r="F1136" s="21"/>
      <c r="G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</row>
    <row r="1137" spans="1:24" hidden="1">
      <c r="A1137" s="259"/>
      <c r="B1137" s="21" t="s">
        <v>406</v>
      </c>
      <c r="C1137" s="245">
        <f ca="1">IF(OFFSET($F$28,C1135,0)&lt;0,0,OFFSET($F$28,C1135,0))</f>
        <v>0</v>
      </c>
      <c r="D1137" s="22" t="str">
        <f ca="1">OFFSET($C$28,C1135,0)</f>
        <v/>
      </c>
      <c r="E1137" s="22">
        <f ca="1">IF(D1137&gt;10,ROUND(($C1138/12)*$E1136,0),$C1137)</f>
        <v>0</v>
      </c>
      <c r="F1137" s="21"/>
      <c r="G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</row>
    <row r="1138" spans="1:24" hidden="1">
      <c r="A1138" s="259"/>
      <c r="B1138" s="21" t="s">
        <v>415</v>
      </c>
      <c r="C1138" s="245">
        <f ca="1">IF(ISBLANK(OFFSET($D$28,C1135,0)),0,IF(OFFSET($C$28,C1135,0)&gt;10,ROUND(C1137*am_wnip,0),IF(C1137&lt;0,0,C1137)))</f>
        <v>0</v>
      </c>
      <c r="D1138" s="21"/>
      <c r="E1138" s="21"/>
      <c r="F1138" s="21"/>
      <c r="G1138" s="21"/>
      <c r="I1138" s="21"/>
      <c r="J1138" s="483" cm="1">
        <f t="array" aca="1" ref="J1138" ca="1">OFFSET('Środki trwałe'!$C$195,'Rozliczenie dotacji'!D1135,,)</f>
        <v>0</v>
      </c>
      <c r="K1138" s="75">
        <f ca="1">ROUND(IF($C1136=LataProjekcji,$E1137,IF($C1136=LataProjekcji,$C1138,0)),0)</f>
        <v>0</v>
      </c>
      <c r="L1138" s="248">
        <f ca="1">ROUND(IF(OR(AND($C1136=LataProjekcji,$E1136&gt;0),AND($C1136=LataProjekcji,$E1136=0,$D1137&lt;=10)),$E1137,IF($C1136&lt;LataProjekcji,IF((SUM($K1138:K1138)+$C1138)&lt;$C1137,$C1138,$C1137-SUM($K1138:K1138)),0)),0)</f>
        <v>0</v>
      </c>
      <c r="M1138" s="248">
        <f ca="1">ROUND(IF(OR(AND($C1136=LataProjekcji,$E1136&gt;0),AND($C1136=LataProjekcji,$E1136=0,$D1137&lt;=10)),$E1137,IF($C1136&lt;LataProjekcji,IF((SUM($K1138:L1138)+$C1138)&lt;$C1137,$C1138,$C1137-SUM($K1138:L1138)),0)),0)</f>
        <v>0</v>
      </c>
      <c r="N1138" s="248">
        <f ca="1">ROUND(IF(OR(AND($C1136=LataProjekcji,$E1136&gt;0),AND($C1136=LataProjekcji,$E1136=0,$D1137&lt;=10)),$E1137,IF($C1136&lt;LataProjekcji,IF((SUM($K1138:M1138)+$C1138)&lt;$C1137,$C1138,$C1137-SUM($K1138:M1138)),0)),0)</f>
        <v>0</v>
      </c>
      <c r="O1138" s="248">
        <f ca="1">ROUND(IF(OR(AND($C1136=LataProjekcji,$E1136&gt;0),AND($C1136=LataProjekcji,$E1136=0,$D1137&lt;=10)),$E1137,IF($C1136&lt;LataProjekcji,IF((SUM($K1138:N1138)+$C1138)&lt;$C1137,$C1138,$C1137-SUM($K1138:N1138)),0)),0)</f>
        <v>0</v>
      </c>
      <c r="P1138" s="248">
        <f ca="1">ROUND(IF(OR(AND($C1136=LataProjekcji,$E1136&gt;0),AND($C1136=LataProjekcji,$E1136=0,$D1137&lt;=10)),$E1137,IF($C1136&lt;LataProjekcji,IF((SUM($K1138:O1138)+$C1138)&lt;$C1137,$C1138,$C1137-SUM($K1138:O1138)),0)),0)</f>
        <v>0</v>
      </c>
      <c r="Q1138" s="248">
        <f ca="1">ROUND(IF(OR(AND($C1136=LataProjekcji,$E1136&gt;0),AND($C1136=LataProjekcji,$E1136=0,$D1137&lt;=10)),$E1137,IF($C1136&lt;LataProjekcji,IF((SUM($K1138:P1138)+$C1138)&lt;$C1137,$C1138,$C1137-SUM($K1138:P1138)),0)),0)</f>
        <v>0</v>
      </c>
      <c r="R1138" s="248">
        <f ca="1">ROUND(IF(OR(AND($C1136=LataProjekcji,$E1136&gt;0),AND($C1136=LataProjekcji,$E1136=0,$D1137&lt;=10)),$E1137,IF($C1136&lt;LataProjekcji,IF((SUM($K1138:Q1138)+$C1138)&lt;$C1137,$C1138,$C1137-SUM($K1138:Q1138)),0)),0)</f>
        <v>0</v>
      </c>
      <c r="S1138" s="248">
        <f ca="1">ROUND(IF(OR(AND($C1136=LataProjekcji,$E1136&gt;0),AND($C1136=LataProjekcji,$E1136=0,$D1137&lt;=10)),$E1137,IF($C1136&lt;LataProjekcji,IF((SUM($K1138:R1138)+$C1138)&lt;$C1137,$C1138,$C1137-SUM($K1138:R1138)),0)),0)</f>
        <v>0</v>
      </c>
      <c r="T1138" s="248">
        <f ca="1">ROUND(IF(OR(AND($C1136=LataProjekcji,$E1136&gt;0),AND($C1136=LataProjekcji,$E1136=0,$D1137&lt;=10)),$E1137,IF($C1136&lt;LataProjekcji,IF((SUM($K1138:S1138)+$C1138)&lt;$C1137,$C1138,$C1137-SUM($K1138:S1138)),0)),0)</f>
        <v>0</v>
      </c>
      <c r="U1138" s="248">
        <f ca="1">ROUND(IF(OR(AND($C1136=LataProjekcji,$E1136&gt;0),AND($C1136=LataProjekcji,$E1136=0,$D1137&lt;=10)),$E1137,IF($C1136&lt;LataProjekcji,IF((SUM($K1138:T1138)+$C1138)&lt;$C1137,$C1138,$C1137-SUM($K1138:T1138)),0)),0)</f>
        <v>0</v>
      </c>
      <c r="V1138" s="248">
        <f ca="1">ROUND(IF(OR(AND($C1136=LataProjekcji,$E1136&gt;0),AND($C1136=LataProjekcji,$E1136=0,$D1137&lt;=10)),$E1137,IF($C1136&lt;LataProjekcji,IF((SUM($K1138:U1138)+$C1138)&lt;$C1137,$C1138,$C1137-SUM($K1138:U1138)),0)),0)</f>
        <v>0</v>
      </c>
      <c r="W1138" s="248">
        <f ca="1">ROUND(IF(OR(AND($C1136=LataProjekcji,$E1136&gt;0),AND($C1136=LataProjekcji,$E1136=0,$D1137&lt;=10)),$E1137,IF($C1136&lt;LataProjekcji,IF((SUM($K1138:V1138)+$C1138)&lt;$C1137,$C1138,$C1137-SUM($K1138:V1138)),0)),0)</f>
        <v>0</v>
      </c>
      <c r="X1138" s="248">
        <f ca="1">ROUND(IF(OR(AND($C1136=LataProjekcji,$E1136&gt;0),AND($C1136=LataProjekcji,$E1136=0,$D1137&lt;=10)),$E1137,IF($C1136&lt;LataProjekcji,IF((SUM($K1138:W1138)+$C1138)&lt;$C1137,$C1138,$C1137-SUM($K1138:W1138)),0)),0)</f>
        <v>0</v>
      </c>
    </row>
    <row r="1139" spans="1:24" hidden="1">
      <c r="A1139" s="259"/>
      <c r="B1139" s="21" t="s">
        <v>416</v>
      </c>
      <c r="C1139" s="22"/>
      <c r="D1139" s="21"/>
      <c r="E1139" s="21"/>
      <c r="F1139" s="21"/>
      <c r="G1139" s="21"/>
      <c r="I1139" s="21"/>
      <c r="J1139" s="21"/>
      <c r="K1139" s="22">
        <f ca="1">ROUND(K1138,0)</f>
        <v>0</v>
      </c>
      <c r="L1139" s="22">
        <f t="shared" ref="L1139:X1139" ca="1" si="498">ROUND(K1139+L1138,0)</f>
        <v>0</v>
      </c>
      <c r="M1139" s="22">
        <f t="shared" ca="1" si="498"/>
        <v>0</v>
      </c>
      <c r="N1139" s="22">
        <f t="shared" ca="1" si="498"/>
        <v>0</v>
      </c>
      <c r="O1139" s="22">
        <f t="shared" ca="1" si="498"/>
        <v>0</v>
      </c>
      <c r="P1139" s="22">
        <f t="shared" ca="1" si="498"/>
        <v>0</v>
      </c>
      <c r="Q1139" s="22">
        <f t="shared" ca="1" si="498"/>
        <v>0</v>
      </c>
      <c r="R1139" s="22">
        <f t="shared" ca="1" si="498"/>
        <v>0</v>
      </c>
      <c r="S1139" s="22">
        <f t="shared" ca="1" si="498"/>
        <v>0</v>
      </c>
      <c r="T1139" s="22">
        <f t="shared" ca="1" si="498"/>
        <v>0</v>
      </c>
      <c r="U1139" s="22">
        <f t="shared" ca="1" si="498"/>
        <v>0</v>
      </c>
      <c r="V1139" s="22">
        <f t="shared" ca="1" si="498"/>
        <v>0</v>
      </c>
      <c r="W1139" s="22">
        <f t="shared" ca="1" si="498"/>
        <v>0</v>
      </c>
      <c r="X1139" s="22">
        <f t="shared" ca="1" si="498"/>
        <v>0</v>
      </c>
    </row>
    <row r="1140" spans="1:24" hidden="1">
      <c r="A1140" s="259"/>
      <c r="B1140" s="21" t="s">
        <v>406</v>
      </c>
      <c r="C1140" s="22"/>
      <c r="D1140" s="21"/>
      <c r="E1140" s="21"/>
      <c r="F1140" s="21"/>
      <c r="G1140" s="21"/>
      <c r="I1140" s="21"/>
      <c r="J1140" s="21"/>
      <c r="K1140" s="77">
        <f t="shared" ref="K1140:X1140" ca="1" si="499">IF($C1136=LataProjekcji,ROUND($C1137-K1139,0),ROUND(IF(K1138=0,0,$C1137-K1139),0))</f>
        <v>0</v>
      </c>
      <c r="L1140" s="77">
        <f t="shared" ca="1" si="499"/>
        <v>0</v>
      </c>
      <c r="M1140" s="77">
        <f t="shared" ca="1" si="499"/>
        <v>0</v>
      </c>
      <c r="N1140" s="77">
        <f t="shared" ca="1" si="499"/>
        <v>0</v>
      </c>
      <c r="O1140" s="77">
        <f t="shared" ca="1" si="499"/>
        <v>0</v>
      </c>
      <c r="P1140" s="77">
        <f t="shared" ca="1" si="499"/>
        <v>0</v>
      </c>
      <c r="Q1140" s="77">
        <f t="shared" ca="1" si="499"/>
        <v>0</v>
      </c>
      <c r="R1140" s="77">
        <f t="shared" ca="1" si="499"/>
        <v>0</v>
      </c>
      <c r="S1140" s="77">
        <f t="shared" ca="1" si="499"/>
        <v>0</v>
      </c>
      <c r="T1140" s="77">
        <f t="shared" ca="1" si="499"/>
        <v>0</v>
      </c>
      <c r="U1140" s="77">
        <f t="shared" ca="1" si="499"/>
        <v>0</v>
      </c>
      <c r="V1140" s="77">
        <f t="shared" ca="1" si="499"/>
        <v>0</v>
      </c>
      <c r="W1140" s="77">
        <f t="shared" ca="1" si="499"/>
        <v>0</v>
      </c>
      <c r="X1140" s="77">
        <f t="shared" ca="1" si="499"/>
        <v>0</v>
      </c>
    </row>
    <row r="1141" spans="1:24" hidden="1">
      <c r="A1141" s="259"/>
      <c r="B1141" s="21"/>
      <c r="C1141" s="22"/>
      <c r="D1141" s="21"/>
      <c r="E1141" s="21"/>
      <c r="F1141" s="21"/>
      <c r="G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</row>
    <row r="1142" spans="1:24" hidden="1">
      <c r="A1142" s="259"/>
      <c r="B1142" s="20" t="s">
        <v>393</v>
      </c>
      <c r="C1142" s="21">
        <f>C1135+1</f>
        <v>164</v>
      </c>
      <c r="D1142" s="483">
        <f>D1135+1</f>
        <v>425</v>
      </c>
      <c r="E1142" s="21"/>
      <c r="F1142" s="21"/>
      <c r="G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</row>
    <row r="1143" spans="1:24" hidden="1">
      <c r="A1143" s="259"/>
      <c r="B1143" s="21" t="s">
        <v>414</v>
      </c>
      <c r="C1143" s="165">
        <f ca="1">IFERROR(YEAR(OFFSET($D$28,C1142,0)),0)</f>
        <v>0</v>
      </c>
      <c r="D1143" s="165">
        <f ca="1">IFERROR(MONTH(OFFSET($D$28,C1142,0)),0)</f>
        <v>0</v>
      </c>
      <c r="E1143" s="21">
        <f ca="1">12-$D1143</f>
        <v>12</v>
      </c>
      <c r="F1143" s="21"/>
      <c r="G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</row>
    <row r="1144" spans="1:24" hidden="1">
      <c r="A1144" s="259"/>
      <c r="B1144" s="21" t="s">
        <v>406</v>
      </c>
      <c r="C1144" s="245">
        <f ca="1">IF(OFFSET($F$28,C1142,0)&lt;0,0,OFFSET($F$28,C1142,0))</f>
        <v>0</v>
      </c>
      <c r="D1144" s="22" t="str">
        <f ca="1">OFFSET($C$28,C1142,0)</f>
        <v/>
      </c>
      <c r="E1144" s="22">
        <f ca="1">IF(D1144&gt;10,ROUND(($C1145/12)*$E1143,0),$C1144)</f>
        <v>0</v>
      </c>
      <c r="F1144" s="21"/>
      <c r="G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</row>
    <row r="1145" spans="1:24" hidden="1">
      <c r="A1145" s="259"/>
      <c r="B1145" s="21" t="s">
        <v>415</v>
      </c>
      <c r="C1145" s="245">
        <f ca="1">IF(ISBLANK(OFFSET($D$28,C1142,0)),0,IF(OFFSET($C$28,C1142,0)&gt;10,ROUND(C1144*am_wnip,0),IF(C1144&lt;0,0,C1144)))</f>
        <v>0</v>
      </c>
      <c r="D1145" s="21"/>
      <c r="E1145" s="21"/>
      <c r="F1145" s="21"/>
      <c r="G1145" s="21"/>
      <c r="I1145" s="21"/>
      <c r="J1145" s="483" cm="1">
        <f t="array" aca="1" ref="J1145" ca="1">OFFSET('Środki trwałe'!$C$195,'Rozliczenie dotacji'!D1142,,)</f>
        <v>0</v>
      </c>
      <c r="K1145" s="75">
        <f ca="1">ROUND(IF($C1143=LataProjekcji,$E1144,IF($C1143=LataProjekcji,$C1145,0)),0)</f>
        <v>0</v>
      </c>
      <c r="L1145" s="248">
        <f ca="1">ROUND(IF(OR(AND($C1143=LataProjekcji,$E1143&gt;0),AND($C1143=LataProjekcji,$E1143=0,$D1144&lt;=10)),$E1144,IF($C1143&lt;LataProjekcji,IF((SUM($K1145:K1145)+$C1145)&lt;$C1144,$C1145,$C1144-SUM($K1145:K1145)),0)),0)</f>
        <v>0</v>
      </c>
      <c r="M1145" s="248">
        <f ca="1">ROUND(IF(OR(AND($C1143=LataProjekcji,$E1143&gt;0),AND($C1143=LataProjekcji,$E1143=0,$D1144&lt;=10)),$E1144,IF($C1143&lt;LataProjekcji,IF((SUM($K1145:L1145)+$C1145)&lt;$C1144,$C1145,$C1144-SUM($K1145:L1145)),0)),0)</f>
        <v>0</v>
      </c>
      <c r="N1145" s="248">
        <f ca="1">ROUND(IF(OR(AND($C1143=LataProjekcji,$E1143&gt;0),AND($C1143=LataProjekcji,$E1143=0,$D1144&lt;=10)),$E1144,IF($C1143&lt;LataProjekcji,IF((SUM($K1145:M1145)+$C1145)&lt;$C1144,$C1145,$C1144-SUM($K1145:M1145)),0)),0)</f>
        <v>0</v>
      </c>
      <c r="O1145" s="248">
        <f ca="1">ROUND(IF(OR(AND($C1143=LataProjekcji,$E1143&gt;0),AND($C1143=LataProjekcji,$E1143=0,$D1144&lt;=10)),$E1144,IF($C1143&lt;LataProjekcji,IF((SUM($K1145:N1145)+$C1145)&lt;$C1144,$C1145,$C1144-SUM($K1145:N1145)),0)),0)</f>
        <v>0</v>
      </c>
      <c r="P1145" s="248">
        <f ca="1">ROUND(IF(OR(AND($C1143=LataProjekcji,$E1143&gt;0),AND($C1143=LataProjekcji,$E1143=0,$D1144&lt;=10)),$E1144,IF($C1143&lt;LataProjekcji,IF((SUM($K1145:O1145)+$C1145)&lt;$C1144,$C1145,$C1144-SUM($K1145:O1145)),0)),0)</f>
        <v>0</v>
      </c>
      <c r="Q1145" s="248">
        <f ca="1">ROUND(IF(OR(AND($C1143=LataProjekcji,$E1143&gt;0),AND($C1143=LataProjekcji,$E1143=0,$D1144&lt;=10)),$E1144,IF($C1143&lt;LataProjekcji,IF((SUM($K1145:P1145)+$C1145)&lt;$C1144,$C1145,$C1144-SUM($K1145:P1145)),0)),0)</f>
        <v>0</v>
      </c>
      <c r="R1145" s="248">
        <f ca="1">ROUND(IF(OR(AND($C1143=LataProjekcji,$E1143&gt;0),AND($C1143=LataProjekcji,$E1143=0,$D1144&lt;=10)),$E1144,IF($C1143&lt;LataProjekcji,IF((SUM($K1145:Q1145)+$C1145)&lt;$C1144,$C1145,$C1144-SUM($K1145:Q1145)),0)),0)</f>
        <v>0</v>
      </c>
      <c r="S1145" s="248">
        <f ca="1">ROUND(IF(OR(AND($C1143=LataProjekcji,$E1143&gt;0),AND($C1143=LataProjekcji,$E1143=0,$D1144&lt;=10)),$E1144,IF($C1143&lt;LataProjekcji,IF((SUM($K1145:R1145)+$C1145)&lt;$C1144,$C1145,$C1144-SUM($K1145:R1145)),0)),0)</f>
        <v>0</v>
      </c>
      <c r="T1145" s="248">
        <f ca="1">ROUND(IF(OR(AND($C1143=LataProjekcji,$E1143&gt;0),AND($C1143=LataProjekcji,$E1143=0,$D1144&lt;=10)),$E1144,IF($C1143&lt;LataProjekcji,IF((SUM($K1145:S1145)+$C1145)&lt;$C1144,$C1145,$C1144-SUM($K1145:S1145)),0)),0)</f>
        <v>0</v>
      </c>
      <c r="U1145" s="248">
        <f ca="1">ROUND(IF(OR(AND($C1143=LataProjekcji,$E1143&gt;0),AND($C1143=LataProjekcji,$E1143=0,$D1144&lt;=10)),$E1144,IF($C1143&lt;LataProjekcji,IF((SUM($K1145:T1145)+$C1145)&lt;$C1144,$C1145,$C1144-SUM($K1145:T1145)),0)),0)</f>
        <v>0</v>
      </c>
      <c r="V1145" s="248">
        <f ca="1">ROUND(IF(OR(AND($C1143=LataProjekcji,$E1143&gt;0),AND($C1143=LataProjekcji,$E1143=0,$D1144&lt;=10)),$E1144,IF($C1143&lt;LataProjekcji,IF((SUM($K1145:U1145)+$C1145)&lt;$C1144,$C1145,$C1144-SUM($K1145:U1145)),0)),0)</f>
        <v>0</v>
      </c>
      <c r="W1145" s="248">
        <f ca="1">ROUND(IF(OR(AND($C1143=LataProjekcji,$E1143&gt;0),AND($C1143=LataProjekcji,$E1143=0,$D1144&lt;=10)),$E1144,IF($C1143&lt;LataProjekcji,IF((SUM($K1145:V1145)+$C1145)&lt;$C1144,$C1145,$C1144-SUM($K1145:V1145)),0)),0)</f>
        <v>0</v>
      </c>
      <c r="X1145" s="248">
        <f ca="1">ROUND(IF(OR(AND($C1143=LataProjekcji,$E1143&gt;0),AND($C1143=LataProjekcji,$E1143=0,$D1144&lt;=10)),$E1144,IF($C1143&lt;LataProjekcji,IF((SUM($K1145:W1145)+$C1145)&lt;$C1144,$C1145,$C1144-SUM($K1145:W1145)),0)),0)</f>
        <v>0</v>
      </c>
    </row>
    <row r="1146" spans="1:24" hidden="1">
      <c r="A1146" s="259"/>
      <c r="B1146" s="21" t="s">
        <v>416</v>
      </c>
      <c r="C1146" s="22"/>
      <c r="D1146" s="21"/>
      <c r="E1146" s="21"/>
      <c r="F1146" s="21"/>
      <c r="G1146" s="21"/>
      <c r="I1146" s="21"/>
      <c r="J1146" s="21"/>
      <c r="K1146" s="22">
        <f ca="1">ROUND(K1145,0)</f>
        <v>0</v>
      </c>
      <c r="L1146" s="22">
        <f t="shared" ref="L1146:X1146" ca="1" si="500">ROUND(K1146+L1145,0)</f>
        <v>0</v>
      </c>
      <c r="M1146" s="22">
        <f t="shared" ca="1" si="500"/>
        <v>0</v>
      </c>
      <c r="N1146" s="22">
        <f t="shared" ca="1" si="500"/>
        <v>0</v>
      </c>
      <c r="O1146" s="22">
        <f t="shared" ca="1" si="500"/>
        <v>0</v>
      </c>
      <c r="P1146" s="22">
        <f t="shared" ca="1" si="500"/>
        <v>0</v>
      </c>
      <c r="Q1146" s="22">
        <f t="shared" ca="1" si="500"/>
        <v>0</v>
      </c>
      <c r="R1146" s="22">
        <f t="shared" ca="1" si="500"/>
        <v>0</v>
      </c>
      <c r="S1146" s="22">
        <f t="shared" ca="1" si="500"/>
        <v>0</v>
      </c>
      <c r="T1146" s="22">
        <f t="shared" ca="1" si="500"/>
        <v>0</v>
      </c>
      <c r="U1146" s="22">
        <f t="shared" ca="1" si="500"/>
        <v>0</v>
      </c>
      <c r="V1146" s="22">
        <f t="shared" ca="1" si="500"/>
        <v>0</v>
      </c>
      <c r="W1146" s="22">
        <f t="shared" ca="1" si="500"/>
        <v>0</v>
      </c>
      <c r="X1146" s="22">
        <f t="shared" ca="1" si="500"/>
        <v>0</v>
      </c>
    </row>
    <row r="1147" spans="1:24" hidden="1">
      <c r="A1147" s="259"/>
      <c r="B1147" s="21" t="s">
        <v>406</v>
      </c>
      <c r="C1147" s="22"/>
      <c r="D1147" s="21"/>
      <c r="E1147" s="21"/>
      <c r="F1147" s="21"/>
      <c r="G1147" s="21"/>
      <c r="I1147" s="21"/>
      <c r="J1147" s="21"/>
      <c r="K1147" s="77">
        <f t="shared" ref="K1147:X1147" ca="1" si="501">IF($C1143=LataProjekcji,ROUND($C1144-K1146,0),ROUND(IF(K1145=0,0,$C1144-K1146),0))</f>
        <v>0</v>
      </c>
      <c r="L1147" s="77">
        <f t="shared" ca="1" si="501"/>
        <v>0</v>
      </c>
      <c r="M1147" s="77">
        <f t="shared" ca="1" si="501"/>
        <v>0</v>
      </c>
      <c r="N1147" s="77">
        <f t="shared" ca="1" si="501"/>
        <v>0</v>
      </c>
      <c r="O1147" s="77">
        <f t="shared" ca="1" si="501"/>
        <v>0</v>
      </c>
      <c r="P1147" s="77">
        <f t="shared" ca="1" si="501"/>
        <v>0</v>
      </c>
      <c r="Q1147" s="77">
        <f t="shared" ca="1" si="501"/>
        <v>0</v>
      </c>
      <c r="R1147" s="77">
        <f t="shared" ca="1" si="501"/>
        <v>0</v>
      </c>
      <c r="S1147" s="77">
        <f t="shared" ca="1" si="501"/>
        <v>0</v>
      </c>
      <c r="T1147" s="77">
        <f t="shared" ca="1" si="501"/>
        <v>0</v>
      </c>
      <c r="U1147" s="77">
        <f t="shared" ca="1" si="501"/>
        <v>0</v>
      </c>
      <c r="V1147" s="77">
        <f t="shared" ca="1" si="501"/>
        <v>0</v>
      </c>
      <c r="W1147" s="77">
        <f t="shared" ca="1" si="501"/>
        <v>0</v>
      </c>
      <c r="X1147" s="77">
        <f t="shared" ca="1" si="501"/>
        <v>0</v>
      </c>
    </row>
    <row r="1148" spans="1:24" hidden="1">
      <c r="A1148" s="259"/>
      <c r="B1148" s="20"/>
      <c r="C1148" s="21"/>
      <c r="D1148" s="21"/>
      <c r="E1148" s="21"/>
      <c r="F1148" s="21"/>
      <c r="G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</row>
    <row r="1149" spans="1:24" hidden="1">
      <c r="A1149" s="259"/>
      <c r="B1149" s="20" t="s">
        <v>393</v>
      </c>
      <c r="C1149" s="21">
        <f>C1142+1</f>
        <v>165</v>
      </c>
      <c r="D1149" s="483">
        <f>D1142+1</f>
        <v>426</v>
      </c>
      <c r="E1149" s="21"/>
      <c r="F1149" s="21"/>
      <c r="G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</row>
    <row r="1150" spans="1:24" hidden="1">
      <c r="A1150" s="259"/>
      <c r="B1150" s="21" t="s">
        <v>414</v>
      </c>
      <c r="C1150" s="165">
        <f ca="1">IFERROR(YEAR(OFFSET($D$28,C1149,0)),0)</f>
        <v>0</v>
      </c>
      <c r="D1150" s="165">
        <f ca="1">IFERROR(MONTH(OFFSET($D$28,C1149,0)),0)</f>
        <v>0</v>
      </c>
      <c r="E1150" s="21">
        <f ca="1">12-$D1150</f>
        <v>12</v>
      </c>
      <c r="F1150" s="21"/>
      <c r="G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</row>
    <row r="1151" spans="1:24" hidden="1">
      <c r="A1151" s="259"/>
      <c r="B1151" s="21" t="s">
        <v>406</v>
      </c>
      <c r="C1151" s="245">
        <f ca="1">IF(OFFSET($F$28,C1149,0)&lt;0,0,OFFSET($F$28,C1149,0))</f>
        <v>0</v>
      </c>
      <c r="D1151" s="22" t="str">
        <f ca="1">OFFSET($C$28,C1149,0)</f>
        <v/>
      </c>
      <c r="E1151" s="22">
        <f ca="1">IF(D1151&gt;10,ROUND(($C1152/12)*$E1150,0),$C1151)</f>
        <v>0</v>
      </c>
      <c r="F1151" s="21"/>
      <c r="G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</row>
    <row r="1152" spans="1:24" hidden="1">
      <c r="A1152" s="259"/>
      <c r="B1152" s="21" t="s">
        <v>415</v>
      </c>
      <c r="C1152" s="245">
        <f ca="1">IF(ISBLANK(OFFSET($D$28,C1149,0)),0,IF(OFFSET($C$28,C1149,0)&gt;10,ROUND(C1151*am_wnip,0),IF(C1151&lt;0,0,C1151)))</f>
        <v>0</v>
      </c>
      <c r="D1152" s="21"/>
      <c r="E1152" s="21"/>
      <c r="F1152" s="21"/>
      <c r="G1152" s="21"/>
      <c r="I1152" s="21"/>
      <c r="J1152" s="483" cm="1">
        <f t="array" aca="1" ref="J1152" ca="1">OFFSET('Środki trwałe'!$C$195,'Rozliczenie dotacji'!D1149,,)</f>
        <v>0</v>
      </c>
      <c r="K1152" s="75">
        <f ca="1">ROUND(IF($C1150=LataProjekcji,$E1151,IF($C1150=LataProjekcji,$C1152,0)),0)</f>
        <v>0</v>
      </c>
      <c r="L1152" s="248">
        <f ca="1">ROUND(IF(OR(AND($C1150=LataProjekcji,$E1150&gt;0),AND($C1150=LataProjekcji,$E1150=0,$D1151&lt;=10)),$E1151,IF($C1150&lt;LataProjekcji,IF((SUM($K1152:K1152)+$C1152)&lt;$C1151,$C1152,$C1151-SUM($K1152:K1152)),0)),0)</f>
        <v>0</v>
      </c>
      <c r="M1152" s="248">
        <f ca="1">ROUND(IF(OR(AND($C1150=LataProjekcji,$E1150&gt;0),AND($C1150=LataProjekcji,$E1150=0,$D1151&lt;=10)),$E1151,IF($C1150&lt;LataProjekcji,IF((SUM($K1152:L1152)+$C1152)&lt;$C1151,$C1152,$C1151-SUM($K1152:L1152)),0)),0)</f>
        <v>0</v>
      </c>
      <c r="N1152" s="248">
        <f ca="1">ROUND(IF(OR(AND($C1150=LataProjekcji,$E1150&gt;0),AND($C1150=LataProjekcji,$E1150=0,$D1151&lt;=10)),$E1151,IF($C1150&lt;LataProjekcji,IF((SUM($K1152:M1152)+$C1152)&lt;$C1151,$C1152,$C1151-SUM($K1152:M1152)),0)),0)</f>
        <v>0</v>
      </c>
      <c r="O1152" s="248">
        <f ca="1">ROUND(IF(OR(AND($C1150=LataProjekcji,$E1150&gt;0),AND($C1150=LataProjekcji,$E1150=0,$D1151&lt;=10)),$E1151,IF($C1150&lt;LataProjekcji,IF((SUM($K1152:N1152)+$C1152)&lt;$C1151,$C1152,$C1151-SUM($K1152:N1152)),0)),0)</f>
        <v>0</v>
      </c>
      <c r="P1152" s="248">
        <f ca="1">ROUND(IF(OR(AND($C1150=LataProjekcji,$E1150&gt;0),AND($C1150=LataProjekcji,$E1150=0,$D1151&lt;=10)),$E1151,IF($C1150&lt;LataProjekcji,IF((SUM($K1152:O1152)+$C1152)&lt;$C1151,$C1152,$C1151-SUM($K1152:O1152)),0)),0)</f>
        <v>0</v>
      </c>
      <c r="Q1152" s="248">
        <f ca="1">ROUND(IF(OR(AND($C1150=LataProjekcji,$E1150&gt;0),AND($C1150=LataProjekcji,$E1150=0,$D1151&lt;=10)),$E1151,IF($C1150&lt;LataProjekcji,IF((SUM($K1152:P1152)+$C1152)&lt;$C1151,$C1152,$C1151-SUM($K1152:P1152)),0)),0)</f>
        <v>0</v>
      </c>
      <c r="R1152" s="248">
        <f ca="1">ROUND(IF(OR(AND($C1150=LataProjekcji,$E1150&gt;0),AND($C1150=LataProjekcji,$E1150=0,$D1151&lt;=10)),$E1151,IF($C1150&lt;LataProjekcji,IF((SUM($K1152:Q1152)+$C1152)&lt;$C1151,$C1152,$C1151-SUM($K1152:Q1152)),0)),0)</f>
        <v>0</v>
      </c>
      <c r="S1152" s="248">
        <f ca="1">ROUND(IF(OR(AND($C1150=LataProjekcji,$E1150&gt;0),AND($C1150=LataProjekcji,$E1150=0,$D1151&lt;=10)),$E1151,IF($C1150&lt;LataProjekcji,IF((SUM($K1152:R1152)+$C1152)&lt;$C1151,$C1152,$C1151-SUM($K1152:R1152)),0)),0)</f>
        <v>0</v>
      </c>
      <c r="T1152" s="248">
        <f ca="1">ROUND(IF(OR(AND($C1150=LataProjekcji,$E1150&gt;0),AND($C1150=LataProjekcji,$E1150=0,$D1151&lt;=10)),$E1151,IF($C1150&lt;LataProjekcji,IF((SUM($K1152:S1152)+$C1152)&lt;$C1151,$C1152,$C1151-SUM($K1152:S1152)),0)),0)</f>
        <v>0</v>
      </c>
      <c r="U1152" s="248">
        <f ca="1">ROUND(IF(OR(AND($C1150=LataProjekcji,$E1150&gt;0),AND($C1150=LataProjekcji,$E1150=0,$D1151&lt;=10)),$E1151,IF($C1150&lt;LataProjekcji,IF((SUM($K1152:T1152)+$C1152)&lt;$C1151,$C1152,$C1151-SUM($K1152:T1152)),0)),0)</f>
        <v>0</v>
      </c>
      <c r="V1152" s="248">
        <f ca="1">ROUND(IF(OR(AND($C1150=LataProjekcji,$E1150&gt;0),AND($C1150=LataProjekcji,$E1150=0,$D1151&lt;=10)),$E1151,IF($C1150&lt;LataProjekcji,IF((SUM($K1152:U1152)+$C1152)&lt;$C1151,$C1152,$C1151-SUM($K1152:U1152)),0)),0)</f>
        <v>0</v>
      </c>
      <c r="W1152" s="248">
        <f ca="1">ROUND(IF(OR(AND($C1150=LataProjekcji,$E1150&gt;0),AND($C1150=LataProjekcji,$E1150=0,$D1151&lt;=10)),$E1151,IF($C1150&lt;LataProjekcji,IF((SUM($K1152:V1152)+$C1152)&lt;$C1151,$C1152,$C1151-SUM($K1152:V1152)),0)),0)</f>
        <v>0</v>
      </c>
      <c r="X1152" s="248">
        <f ca="1">ROUND(IF(OR(AND($C1150=LataProjekcji,$E1150&gt;0),AND($C1150=LataProjekcji,$E1150=0,$D1151&lt;=10)),$E1151,IF($C1150&lt;LataProjekcji,IF((SUM($K1152:W1152)+$C1152)&lt;$C1151,$C1152,$C1151-SUM($K1152:W1152)),0)),0)</f>
        <v>0</v>
      </c>
    </row>
    <row r="1153" spans="1:24" hidden="1">
      <c r="A1153" s="259"/>
      <c r="B1153" s="21" t="s">
        <v>416</v>
      </c>
      <c r="C1153" s="22"/>
      <c r="D1153" s="21"/>
      <c r="E1153" s="21"/>
      <c r="F1153" s="21"/>
      <c r="G1153" s="21"/>
      <c r="I1153" s="21"/>
      <c r="J1153" s="21"/>
      <c r="K1153" s="22">
        <f ca="1">ROUND(K1152,0)</f>
        <v>0</v>
      </c>
      <c r="L1153" s="22">
        <f t="shared" ref="L1153:X1153" ca="1" si="502">ROUND(K1153+L1152,0)</f>
        <v>0</v>
      </c>
      <c r="M1153" s="22">
        <f t="shared" ca="1" si="502"/>
        <v>0</v>
      </c>
      <c r="N1153" s="22">
        <f t="shared" ca="1" si="502"/>
        <v>0</v>
      </c>
      <c r="O1153" s="22">
        <f t="shared" ca="1" si="502"/>
        <v>0</v>
      </c>
      <c r="P1153" s="22">
        <f t="shared" ca="1" si="502"/>
        <v>0</v>
      </c>
      <c r="Q1153" s="22">
        <f t="shared" ca="1" si="502"/>
        <v>0</v>
      </c>
      <c r="R1153" s="22">
        <f t="shared" ca="1" si="502"/>
        <v>0</v>
      </c>
      <c r="S1153" s="22">
        <f t="shared" ca="1" si="502"/>
        <v>0</v>
      </c>
      <c r="T1153" s="22">
        <f t="shared" ca="1" si="502"/>
        <v>0</v>
      </c>
      <c r="U1153" s="22">
        <f t="shared" ca="1" si="502"/>
        <v>0</v>
      </c>
      <c r="V1153" s="22">
        <f t="shared" ca="1" si="502"/>
        <v>0</v>
      </c>
      <c r="W1153" s="22">
        <f t="shared" ca="1" si="502"/>
        <v>0</v>
      </c>
      <c r="X1153" s="22">
        <f t="shared" ca="1" si="502"/>
        <v>0</v>
      </c>
    </row>
    <row r="1154" spans="1:24" hidden="1">
      <c r="A1154" s="259"/>
      <c r="B1154" s="21" t="s">
        <v>406</v>
      </c>
      <c r="C1154" s="22"/>
      <c r="D1154" s="21"/>
      <c r="E1154" s="21"/>
      <c r="F1154" s="21"/>
      <c r="G1154" s="21"/>
      <c r="I1154" s="21"/>
      <c r="J1154" s="21"/>
      <c r="K1154" s="77">
        <f t="shared" ref="K1154:X1154" ca="1" si="503">IF($C1150=LataProjekcji,ROUND($C1151-K1153,0),ROUND(IF(K1152=0,0,$C1151-K1153),0))</f>
        <v>0</v>
      </c>
      <c r="L1154" s="77">
        <f t="shared" ca="1" si="503"/>
        <v>0</v>
      </c>
      <c r="M1154" s="77">
        <f t="shared" ca="1" si="503"/>
        <v>0</v>
      </c>
      <c r="N1154" s="77">
        <f t="shared" ca="1" si="503"/>
        <v>0</v>
      </c>
      <c r="O1154" s="77">
        <f t="shared" ca="1" si="503"/>
        <v>0</v>
      </c>
      <c r="P1154" s="77">
        <f t="shared" ca="1" si="503"/>
        <v>0</v>
      </c>
      <c r="Q1154" s="77">
        <f t="shared" ca="1" si="503"/>
        <v>0</v>
      </c>
      <c r="R1154" s="77">
        <f t="shared" ca="1" si="503"/>
        <v>0</v>
      </c>
      <c r="S1154" s="77">
        <f t="shared" ca="1" si="503"/>
        <v>0</v>
      </c>
      <c r="T1154" s="77">
        <f t="shared" ca="1" si="503"/>
        <v>0</v>
      </c>
      <c r="U1154" s="77">
        <f t="shared" ca="1" si="503"/>
        <v>0</v>
      </c>
      <c r="V1154" s="77">
        <f t="shared" ca="1" si="503"/>
        <v>0</v>
      </c>
      <c r="W1154" s="77">
        <f t="shared" ca="1" si="503"/>
        <v>0</v>
      </c>
      <c r="X1154" s="77">
        <f t="shared" ca="1" si="503"/>
        <v>0</v>
      </c>
    </row>
    <row r="1155" spans="1:24" hidden="1">
      <c r="A1155" s="259"/>
      <c r="B1155" s="21"/>
      <c r="C1155" s="22"/>
      <c r="D1155" s="21"/>
      <c r="E1155" s="21"/>
      <c r="F1155" s="21"/>
      <c r="G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</row>
    <row r="1156" spans="1:24" hidden="1">
      <c r="A1156" s="259"/>
      <c r="B1156" s="20" t="s">
        <v>393</v>
      </c>
      <c r="C1156" s="21">
        <f>C1149+1</f>
        <v>166</v>
      </c>
      <c r="D1156" s="483">
        <f>D1149+1</f>
        <v>427</v>
      </c>
      <c r="E1156" s="21"/>
      <c r="F1156" s="21"/>
      <c r="G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</row>
    <row r="1157" spans="1:24" hidden="1">
      <c r="A1157" s="259"/>
      <c r="B1157" s="21" t="s">
        <v>414</v>
      </c>
      <c r="C1157" s="165">
        <f ca="1">IFERROR(YEAR(OFFSET($D$28,C1156,0)),0)</f>
        <v>0</v>
      </c>
      <c r="D1157" s="165">
        <f ca="1">IFERROR(MONTH(OFFSET($D$28,C1156,0)),0)</f>
        <v>0</v>
      </c>
      <c r="E1157" s="21">
        <f ca="1">12-$D1157</f>
        <v>12</v>
      </c>
      <c r="F1157" s="21"/>
      <c r="G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</row>
    <row r="1158" spans="1:24" hidden="1">
      <c r="A1158" s="259"/>
      <c r="B1158" s="21" t="s">
        <v>406</v>
      </c>
      <c r="C1158" s="245">
        <f ca="1">IF(OFFSET($F$28,C1156,0)&lt;0,0,OFFSET($F$28,C1156,0))</f>
        <v>0</v>
      </c>
      <c r="D1158" s="22" t="str">
        <f ca="1">OFFSET($C$28,C1156,0)</f>
        <v/>
      </c>
      <c r="E1158" s="22">
        <f ca="1">IF(D1158&gt;10,ROUND(($C1159/12)*$E1157,0),$C1158)</f>
        <v>0</v>
      </c>
      <c r="F1158" s="21"/>
      <c r="G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</row>
    <row r="1159" spans="1:24" hidden="1">
      <c r="A1159" s="259"/>
      <c r="B1159" s="21" t="s">
        <v>415</v>
      </c>
      <c r="C1159" s="245">
        <f ca="1">IF(ISBLANK(OFFSET($D$28,C1156,0)),0,IF(OFFSET($C$28,C1156,0)&gt;10,ROUND(C1158*am_wnip,0),IF(C1158&lt;0,0,C1158)))</f>
        <v>0</v>
      </c>
      <c r="D1159" s="21"/>
      <c r="E1159" s="21"/>
      <c r="F1159" s="21"/>
      <c r="G1159" s="21"/>
      <c r="I1159" s="21"/>
      <c r="J1159" s="483" cm="1">
        <f t="array" aca="1" ref="J1159" ca="1">OFFSET('Środki trwałe'!$C$195,'Rozliczenie dotacji'!D1156,,)</f>
        <v>0</v>
      </c>
      <c r="K1159" s="75">
        <f ca="1">ROUND(IF($C1157=LataProjekcji,$E1158,IF($C1157=LataProjekcji,$C1159,0)),0)</f>
        <v>0</v>
      </c>
      <c r="L1159" s="248">
        <f ca="1">ROUND(IF(OR(AND($C1157=LataProjekcji,$E1157&gt;0),AND($C1157=LataProjekcji,$E1157=0,$D1158&lt;=10)),$E1158,IF($C1157&lt;LataProjekcji,IF((SUM($K1159:K1159)+$C1159)&lt;$C1158,$C1159,$C1158-SUM($K1159:K1159)),0)),0)</f>
        <v>0</v>
      </c>
      <c r="M1159" s="248">
        <f ca="1">ROUND(IF(OR(AND($C1157=LataProjekcji,$E1157&gt;0),AND($C1157=LataProjekcji,$E1157=0,$D1158&lt;=10)),$E1158,IF($C1157&lt;LataProjekcji,IF((SUM($K1159:L1159)+$C1159)&lt;$C1158,$C1159,$C1158-SUM($K1159:L1159)),0)),0)</f>
        <v>0</v>
      </c>
      <c r="N1159" s="248">
        <f ca="1">ROUND(IF(OR(AND($C1157=LataProjekcji,$E1157&gt;0),AND($C1157=LataProjekcji,$E1157=0,$D1158&lt;=10)),$E1158,IF($C1157&lt;LataProjekcji,IF((SUM($K1159:M1159)+$C1159)&lt;$C1158,$C1159,$C1158-SUM($K1159:M1159)),0)),0)</f>
        <v>0</v>
      </c>
      <c r="O1159" s="248">
        <f ca="1">ROUND(IF(OR(AND($C1157=LataProjekcji,$E1157&gt;0),AND($C1157=LataProjekcji,$E1157=0,$D1158&lt;=10)),$E1158,IF($C1157&lt;LataProjekcji,IF((SUM($K1159:N1159)+$C1159)&lt;$C1158,$C1159,$C1158-SUM($K1159:N1159)),0)),0)</f>
        <v>0</v>
      </c>
      <c r="P1159" s="248">
        <f ca="1">ROUND(IF(OR(AND($C1157=LataProjekcji,$E1157&gt;0),AND($C1157=LataProjekcji,$E1157=0,$D1158&lt;=10)),$E1158,IF($C1157&lt;LataProjekcji,IF((SUM($K1159:O1159)+$C1159)&lt;$C1158,$C1159,$C1158-SUM($K1159:O1159)),0)),0)</f>
        <v>0</v>
      </c>
      <c r="Q1159" s="248">
        <f ca="1">ROUND(IF(OR(AND($C1157=LataProjekcji,$E1157&gt;0),AND($C1157=LataProjekcji,$E1157=0,$D1158&lt;=10)),$E1158,IF($C1157&lt;LataProjekcji,IF((SUM($K1159:P1159)+$C1159)&lt;$C1158,$C1159,$C1158-SUM($K1159:P1159)),0)),0)</f>
        <v>0</v>
      </c>
      <c r="R1159" s="248">
        <f ca="1">ROUND(IF(OR(AND($C1157=LataProjekcji,$E1157&gt;0),AND($C1157=LataProjekcji,$E1157=0,$D1158&lt;=10)),$E1158,IF($C1157&lt;LataProjekcji,IF((SUM($K1159:Q1159)+$C1159)&lt;$C1158,$C1159,$C1158-SUM($K1159:Q1159)),0)),0)</f>
        <v>0</v>
      </c>
      <c r="S1159" s="248">
        <f ca="1">ROUND(IF(OR(AND($C1157=LataProjekcji,$E1157&gt;0),AND($C1157=LataProjekcji,$E1157=0,$D1158&lt;=10)),$E1158,IF($C1157&lt;LataProjekcji,IF((SUM($K1159:R1159)+$C1159)&lt;$C1158,$C1159,$C1158-SUM($K1159:R1159)),0)),0)</f>
        <v>0</v>
      </c>
      <c r="T1159" s="248">
        <f ca="1">ROUND(IF(OR(AND($C1157=LataProjekcji,$E1157&gt;0),AND($C1157=LataProjekcji,$E1157=0,$D1158&lt;=10)),$E1158,IF($C1157&lt;LataProjekcji,IF((SUM($K1159:S1159)+$C1159)&lt;$C1158,$C1159,$C1158-SUM($K1159:S1159)),0)),0)</f>
        <v>0</v>
      </c>
      <c r="U1159" s="248">
        <f ca="1">ROUND(IF(OR(AND($C1157=LataProjekcji,$E1157&gt;0),AND($C1157=LataProjekcji,$E1157=0,$D1158&lt;=10)),$E1158,IF($C1157&lt;LataProjekcji,IF((SUM($K1159:T1159)+$C1159)&lt;$C1158,$C1159,$C1158-SUM($K1159:T1159)),0)),0)</f>
        <v>0</v>
      </c>
      <c r="V1159" s="248">
        <f ca="1">ROUND(IF(OR(AND($C1157=LataProjekcji,$E1157&gt;0),AND($C1157=LataProjekcji,$E1157=0,$D1158&lt;=10)),$E1158,IF($C1157&lt;LataProjekcji,IF((SUM($K1159:U1159)+$C1159)&lt;$C1158,$C1159,$C1158-SUM($K1159:U1159)),0)),0)</f>
        <v>0</v>
      </c>
      <c r="W1159" s="248">
        <f ca="1">ROUND(IF(OR(AND($C1157=LataProjekcji,$E1157&gt;0),AND($C1157=LataProjekcji,$E1157=0,$D1158&lt;=10)),$E1158,IF($C1157&lt;LataProjekcji,IF((SUM($K1159:V1159)+$C1159)&lt;$C1158,$C1159,$C1158-SUM($K1159:V1159)),0)),0)</f>
        <v>0</v>
      </c>
      <c r="X1159" s="248">
        <f ca="1">ROUND(IF(OR(AND($C1157=LataProjekcji,$E1157&gt;0),AND($C1157=LataProjekcji,$E1157=0,$D1158&lt;=10)),$E1158,IF($C1157&lt;LataProjekcji,IF((SUM($K1159:W1159)+$C1159)&lt;$C1158,$C1159,$C1158-SUM($K1159:W1159)),0)),0)</f>
        <v>0</v>
      </c>
    </row>
    <row r="1160" spans="1:24" hidden="1">
      <c r="A1160" s="259"/>
      <c r="B1160" s="21" t="s">
        <v>416</v>
      </c>
      <c r="C1160" s="22"/>
      <c r="D1160" s="21"/>
      <c r="E1160" s="21"/>
      <c r="F1160" s="21"/>
      <c r="G1160" s="21"/>
      <c r="I1160" s="21"/>
      <c r="J1160" s="21"/>
      <c r="K1160" s="22">
        <f ca="1">ROUND(K1159,0)</f>
        <v>0</v>
      </c>
      <c r="L1160" s="22">
        <f t="shared" ref="L1160:X1160" ca="1" si="504">ROUND(K1160+L1159,0)</f>
        <v>0</v>
      </c>
      <c r="M1160" s="22">
        <f t="shared" ca="1" si="504"/>
        <v>0</v>
      </c>
      <c r="N1160" s="22">
        <f t="shared" ca="1" si="504"/>
        <v>0</v>
      </c>
      <c r="O1160" s="22">
        <f t="shared" ca="1" si="504"/>
        <v>0</v>
      </c>
      <c r="P1160" s="22">
        <f t="shared" ca="1" si="504"/>
        <v>0</v>
      </c>
      <c r="Q1160" s="22">
        <f t="shared" ca="1" si="504"/>
        <v>0</v>
      </c>
      <c r="R1160" s="22">
        <f t="shared" ca="1" si="504"/>
        <v>0</v>
      </c>
      <c r="S1160" s="22">
        <f t="shared" ca="1" si="504"/>
        <v>0</v>
      </c>
      <c r="T1160" s="22">
        <f t="shared" ca="1" si="504"/>
        <v>0</v>
      </c>
      <c r="U1160" s="22">
        <f t="shared" ca="1" si="504"/>
        <v>0</v>
      </c>
      <c r="V1160" s="22">
        <f t="shared" ca="1" si="504"/>
        <v>0</v>
      </c>
      <c r="W1160" s="22">
        <f t="shared" ca="1" si="504"/>
        <v>0</v>
      </c>
      <c r="X1160" s="22">
        <f t="shared" ca="1" si="504"/>
        <v>0</v>
      </c>
    </row>
    <row r="1161" spans="1:24" hidden="1">
      <c r="A1161" s="259"/>
      <c r="B1161" s="21" t="s">
        <v>406</v>
      </c>
      <c r="C1161" s="22"/>
      <c r="D1161" s="21"/>
      <c r="E1161" s="21"/>
      <c r="F1161" s="21"/>
      <c r="G1161" s="21"/>
      <c r="I1161" s="21"/>
      <c r="J1161" s="21"/>
      <c r="K1161" s="77">
        <f t="shared" ref="K1161:X1161" ca="1" si="505">IF($C1157=LataProjekcji,ROUND($C1158-K1160,0),ROUND(IF(K1159=0,0,$C1158-K1160),0))</f>
        <v>0</v>
      </c>
      <c r="L1161" s="77">
        <f t="shared" ca="1" si="505"/>
        <v>0</v>
      </c>
      <c r="M1161" s="77">
        <f t="shared" ca="1" si="505"/>
        <v>0</v>
      </c>
      <c r="N1161" s="77">
        <f t="shared" ca="1" si="505"/>
        <v>0</v>
      </c>
      <c r="O1161" s="77">
        <f t="shared" ca="1" si="505"/>
        <v>0</v>
      </c>
      <c r="P1161" s="77">
        <f t="shared" ca="1" si="505"/>
        <v>0</v>
      </c>
      <c r="Q1161" s="77">
        <f t="shared" ca="1" si="505"/>
        <v>0</v>
      </c>
      <c r="R1161" s="77">
        <f t="shared" ca="1" si="505"/>
        <v>0</v>
      </c>
      <c r="S1161" s="77">
        <f t="shared" ca="1" si="505"/>
        <v>0</v>
      </c>
      <c r="T1161" s="77">
        <f t="shared" ca="1" si="505"/>
        <v>0</v>
      </c>
      <c r="U1161" s="77">
        <f t="shared" ca="1" si="505"/>
        <v>0</v>
      </c>
      <c r="V1161" s="77">
        <f t="shared" ca="1" si="505"/>
        <v>0</v>
      </c>
      <c r="W1161" s="77">
        <f t="shared" ca="1" si="505"/>
        <v>0</v>
      </c>
      <c r="X1161" s="77">
        <f t="shared" ca="1" si="505"/>
        <v>0</v>
      </c>
    </row>
    <row r="1162" spans="1:24" hidden="1">
      <c r="A1162" s="259"/>
      <c r="B1162" s="21"/>
      <c r="C1162" s="22"/>
      <c r="D1162" s="21"/>
      <c r="E1162" s="21"/>
      <c r="F1162" s="21"/>
      <c r="G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</row>
    <row r="1163" spans="1:24" hidden="1">
      <c r="A1163" s="259"/>
      <c r="B1163" s="20" t="s">
        <v>393</v>
      </c>
      <c r="C1163" s="21">
        <f>C1156+1</f>
        <v>167</v>
      </c>
      <c r="D1163" s="483">
        <f>D1156+1</f>
        <v>428</v>
      </c>
      <c r="E1163" s="21"/>
      <c r="F1163" s="21"/>
      <c r="G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</row>
    <row r="1164" spans="1:24" hidden="1">
      <c r="A1164" s="259"/>
      <c r="B1164" s="21" t="s">
        <v>414</v>
      </c>
      <c r="C1164" s="165">
        <f ca="1">IFERROR(YEAR(OFFSET($D$28,C1163,0)),0)</f>
        <v>0</v>
      </c>
      <c r="D1164" s="165">
        <f ca="1">IFERROR(MONTH(OFFSET($D$28,C1163,0)),0)</f>
        <v>0</v>
      </c>
      <c r="E1164" s="21">
        <f ca="1">12-$D1164</f>
        <v>12</v>
      </c>
      <c r="F1164" s="21"/>
      <c r="G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</row>
    <row r="1165" spans="1:24" hidden="1">
      <c r="A1165" s="259"/>
      <c r="B1165" s="21" t="s">
        <v>406</v>
      </c>
      <c r="C1165" s="245">
        <f ca="1">IF(OFFSET($F$28,C1163,0)&lt;0,0,OFFSET($F$28,C1163,0))</f>
        <v>0</v>
      </c>
      <c r="D1165" s="22" t="str">
        <f ca="1">OFFSET($C$28,C1163,0)</f>
        <v/>
      </c>
      <c r="E1165" s="22">
        <f ca="1">IF(D1165&gt;10,ROUND(($C1166/12)*$E1164,0),$C1165)</f>
        <v>0</v>
      </c>
      <c r="F1165" s="21"/>
      <c r="G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</row>
    <row r="1166" spans="1:24" hidden="1">
      <c r="A1166" s="259"/>
      <c r="B1166" s="21" t="s">
        <v>415</v>
      </c>
      <c r="C1166" s="245">
        <f ca="1">IF(ISBLANK(OFFSET($D$28,C1163,0)),0,IF(OFFSET($C$28,C1163,0)&gt;10,ROUND(C1165*am_wnip,0),IF(C1165&lt;0,0,C1165)))</f>
        <v>0</v>
      </c>
      <c r="D1166" s="21"/>
      <c r="E1166" s="21"/>
      <c r="F1166" s="21"/>
      <c r="G1166" s="21"/>
      <c r="I1166" s="21"/>
      <c r="J1166" s="483" cm="1">
        <f t="array" aca="1" ref="J1166" ca="1">OFFSET('Środki trwałe'!$C$195,'Rozliczenie dotacji'!D1163,,)</f>
        <v>0</v>
      </c>
      <c r="K1166" s="75">
        <f ca="1">ROUND(IF($C1164=LataProjekcji,$E1165,IF($C1164=LataProjekcji,$C1166,0)),0)</f>
        <v>0</v>
      </c>
      <c r="L1166" s="248">
        <f ca="1">ROUND(IF(OR(AND($C1164=LataProjekcji,$E1164&gt;0),AND($C1164=LataProjekcji,$E1164=0,$D1165&lt;=10)),$E1165,IF($C1164&lt;LataProjekcji,IF((SUM($K1166:K1166)+$C1166)&lt;$C1165,$C1166,$C1165-SUM($K1166:K1166)),0)),0)</f>
        <v>0</v>
      </c>
      <c r="M1166" s="248">
        <f ca="1">ROUND(IF(OR(AND($C1164=LataProjekcji,$E1164&gt;0),AND($C1164=LataProjekcji,$E1164=0,$D1165&lt;=10)),$E1165,IF($C1164&lt;LataProjekcji,IF((SUM($K1166:L1166)+$C1166)&lt;$C1165,$C1166,$C1165-SUM($K1166:L1166)),0)),0)</f>
        <v>0</v>
      </c>
      <c r="N1166" s="248">
        <f ca="1">ROUND(IF(OR(AND($C1164=LataProjekcji,$E1164&gt;0),AND($C1164=LataProjekcji,$E1164=0,$D1165&lt;=10)),$E1165,IF($C1164&lt;LataProjekcji,IF((SUM($K1166:M1166)+$C1166)&lt;$C1165,$C1166,$C1165-SUM($K1166:M1166)),0)),0)</f>
        <v>0</v>
      </c>
      <c r="O1166" s="248">
        <f ca="1">ROUND(IF(OR(AND($C1164=LataProjekcji,$E1164&gt;0),AND($C1164=LataProjekcji,$E1164=0,$D1165&lt;=10)),$E1165,IF($C1164&lt;LataProjekcji,IF((SUM($K1166:N1166)+$C1166)&lt;$C1165,$C1166,$C1165-SUM($K1166:N1166)),0)),0)</f>
        <v>0</v>
      </c>
      <c r="P1166" s="248">
        <f ca="1">ROUND(IF(OR(AND($C1164=LataProjekcji,$E1164&gt;0),AND($C1164=LataProjekcji,$E1164=0,$D1165&lt;=10)),$E1165,IF($C1164&lt;LataProjekcji,IF((SUM($K1166:O1166)+$C1166)&lt;$C1165,$C1166,$C1165-SUM($K1166:O1166)),0)),0)</f>
        <v>0</v>
      </c>
      <c r="Q1166" s="248">
        <f ca="1">ROUND(IF(OR(AND($C1164=LataProjekcji,$E1164&gt;0),AND($C1164=LataProjekcji,$E1164=0,$D1165&lt;=10)),$E1165,IF($C1164&lt;LataProjekcji,IF((SUM($K1166:P1166)+$C1166)&lt;$C1165,$C1166,$C1165-SUM($K1166:P1166)),0)),0)</f>
        <v>0</v>
      </c>
      <c r="R1166" s="248">
        <f ca="1">ROUND(IF(OR(AND($C1164=LataProjekcji,$E1164&gt;0),AND($C1164=LataProjekcji,$E1164=0,$D1165&lt;=10)),$E1165,IF($C1164&lt;LataProjekcji,IF((SUM($K1166:Q1166)+$C1166)&lt;$C1165,$C1166,$C1165-SUM($K1166:Q1166)),0)),0)</f>
        <v>0</v>
      </c>
      <c r="S1166" s="248">
        <f ca="1">ROUND(IF(OR(AND($C1164=LataProjekcji,$E1164&gt;0),AND($C1164=LataProjekcji,$E1164=0,$D1165&lt;=10)),$E1165,IF($C1164&lt;LataProjekcji,IF((SUM($K1166:R1166)+$C1166)&lt;$C1165,$C1166,$C1165-SUM($K1166:R1166)),0)),0)</f>
        <v>0</v>
      </c>
      <c r="T1166" s="248">
        <f ca="1">ROUND(IF(OR(AND($C1164=LataProjekcji,$E1164&gt;0),AND($C1164=LataProjekcji,$E1164=0,$D1165&lt;=10)),$E1165,IF($C1164&lt;LataProjekcji,IF((SUM($K1166:S1166)+$C1166)&lt;$C1165,$C1166,$C1165-SUM($K1166:S1166)),0)),0)</f>
        <v>0</v>
      </c>
      <c r="U1166" s="248">
        <f ca="1">ROUND(IF(OR(AND($C1164=LataProjekcji,$E1164&gt;0),AND($C1164=LataProjekcji,$E1164=0,$D1165&lt;=10)),$E1165,IF($C1164&lt;LataProjekcji,IF((SUM($K1166:T1166)+$C1166)&lt;$C1165,$C1166,$C1165-SUM($K1166:T1166)),0)),0)</f>
        <v>0</v>
      </c>
      <c r="V1166" s="248">
        <f ca="1">ROUND(IF(OR(AND($C1164=LataProjekcji,$E1164&gt;0),AND($C1164=LataProjekcji,$E1164=0,$D1165&lt;=10)),$E1165,IF($C1164&lt;LataProjekcji,IF((SUM($K1166:U1166)+$C1166)&lt;$C1165,$C1166,$C1165-SUM($K1166:U1166)),0)),0)</f>
        <v>0</v>
      </c>
      <c r="W1166" s="248">
        <f ca="1">ROUND(IF(OR(AND($C1164=LataProjekcji,$E1164&gt;0),AND($C1164=LataProjekcji,$E1164=0,$D1165&lt;=10)),$E1165,IF($C1164&lt;LataProjekcji,IF((SUM($K1166:V1166)+$C1166)&lt;$C1165,$C1166,$C1165-SUM($K1166:V1166)),0)),0)</f>
        <v>0</v>
      </c>
      <c r="X1166" s="248">
        <f ca="1">ROUND(IF(OR(AND($C1164=LataProjekcji,$E1164&gt;0),AND($C1164=LataProjekcji,$E1164=0,$D1165&lt;=10)),$E1165,IF($C1164&lt;LataProjekcji,IF((SUM($K1166:W1166)+$C1166)&lt;$C1165,$C1166,$C1165-SUM($K1166:W1166)),0)),0)</f>
        <v>0</v>
      </c>
    </row>
    <row r="1167" spans="1:24" hidden="1">
      <c r="A1167" s="259"/>
      <c r="B1167" s="21" t="s">
        <v>416</v>
      </c>
      <c r="C1167" s="22"/>
      <c r="D1167" s="21"/>
      <c r="E1167" s="21"/>
      <c r="F1167" s="21"/>
      <c r="G1167" s="21"/>
      <c r="I1167" s="21"/>
      <c r="J1167" s="21"/>
      <c r="K1167" s="22">
        <f ca="1">ROUND(K1166,0)</f>
        <v>0</v>
      </c>
      <c r="L1167" s="22">
        <f t="shared" ref="L1167:X1167" ca="1" si="506">ROUND(K1167+L1166,0)</f>
        <v>0</v>
      </c>
      <c r="M1167" s="22">
        <f t="shared" ca="1" si="506"/>
        <v>0</v>
      </c>
      <c r="N1167" s="22">
        <f t="shared" ca="1" si="506"/>
        <v>0</v>
      </c>
      <c r="O1167" s="22">
        <f t="shared" ca="1" si="506"/>
        <v>0</v>
      </c>
      <c r="P1167" s="22">
        <f t="shared" ca="1" si="506"/>
        <v>0</v>
      </c>
      <c r="Q1167" s="22">
        <f t="shared" ca="1" si="506"/>
        <v>0</v>
      </c>
      <c r="R1167" s="22">
        <f t="shared" ca="1" si="506"/>
        <v>0</v>
      </c>
      <c r="S1167" s="22">
        <f t="shared" ca="1" si="506"/>
        <v>0</v>
      </c>
      <c r="T1167" s="22">
        <f t="shared" ca="1" si="506"/>
        <v>0</v>
      </c>
      <c r="U1167" s="22">
        <f t="shared" ca="1" si="506"/>
        <v>0</v>
      </c>
      <c r="V1167" s="22">
        <f t="shared" ca="1" si="506"/>
        <v>0</v>
      </c>
      <c r="W1167" s="22">
        <f t="shared" ca="1" si="506"/>
        <v>0</v>
      </c>
      <c r="X1167" s="22">
        <f t="shared" ca="1" si="506"/>
        <v>0</v>
      </c>
    </row>
    <row r="1168" spans="1:24" hidden="1">
      <c r="A1168" s="259"/>
      <c r="B1168" s="21" t="s">
        <v>406</v>
      </c>
      <c r="C1168" s="22"/>
      <c r="D1168" s="21"/>
      <c r="E1168" s="21"/>
      <c r="F1168" s="21"/>
      <c r="G1168" s="21"/>
      <c r="I1168" s="21"/>
      <c r="J1168" s="21"/>
      <c r="K1168" s="77">
        <f t="shared" ref="K1168:X1168" ca="1" si="507">IF($C1164=LataProjekcji,ROUND($C1165-K1167,0),ROUND(IF(K1166=0,0,$C1165-K1167),0))</f>
        <v>0</v>
      </c>
      <c r="L1168" s="77">
        <f t="shared" ca="1" si="507"/>
        <v>0</v>
      </c>
      <c r="M1168" s="77">
        <f t="shared" ca="1" si="507"/>
        <v>0</v>
      </c>
      <c r="N1168" s="77">
        <f t="shared" ca="1" si="507"/>
        <v>0</v>
      </c>
      <c r="O1168" s="77">
        <f t="shared" ca="1" si="507"/>
        <v>0</v>
      </c>
      <c r="P1168" s="77">
        <f t="shared" ca="1" si="507"/>
        <v>0</v>
      </c>
      <c r="Q1168" s="77">
        <f t="shared" ca="1" si="507"/>
        <v>0</v>
      </c>
      <c r="R1168" s="77">
        <f t="shared" ca="1" si="507"/>
        <v>0</v>
      </c>
      <c r="S1168" s="77">
        <f t="shared" ca="1" si="507"/>
        <v>0</v>
      </c>
      <c r="T1168" s="77">
        <f t="shared" ca="1" si="507"/>
        <v>0</v>
      </c>
      <c r="U1168" s="77">
        <f t="shared" ca="1" si="507"/>
        <v>0</v>
      </c>
      <c r="V1168" s="77">
        <f t="shared" ca="1" si="507"/>
        <v>0</v>
      </c>
      <c r="W1168" s="77">
        <f t="shared" ca="1" si="507"/>
        <v>0</v>
      </c>
      <c r="X1168" s="77">
        <f t="shared" ca="1" si="507"/>
        <v>0</v>
      </c>
    </row>
    <row r="1169" spans="1:24" hidden="1">
      <c r="A1169" s="259"/>
      <c r="B1169" s="20"/>
      <c r="C1169" s="21"/>
      <c r="D1169" s="21"/>
      <c r="E1169" s="21"/>
      <c r="F1169" s="21"/>
      <c r="G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</row>
    <row r="1170" spans="1:24" hidden="1">
      <c r="A1170" s="259"/>
      <c r="B1170" s="20" t="s">
        <v>393</v>
      </c>
      <c r="C1170" s="21">
        <f>C1163+1</f>
        <v>168</v>
      </c>
      <c r="D1170" s="483">
        <f>D1163+1</f>
        <v>429</v>
      </c>
      <c r="E1170" s="21"/>
      <c r="F1170" s="21"/>
      <c r="G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</row>
    <row r="1171" spans="1:24" hidden="1">
      <c r="A1171" s="259"/>
      <c r="B1171" s="21" t="s">
        <v>414</v>
      </c>
      <c r="C1171" s="165">
        <f ca="1">IFERROR(YEAR(OFFSET($D$28,C1170,0)),0)</f>
        <v>0</v>
      </c>
      <c r="D1171" s="165">
        <f ca="1">IFERROR(MONTH(OFFSET($D$28,C1170,0)),0)</f>
        <v>0</v>
      </c>
      <c r="E1171" s="21">
        <f ca="1">12-$D1171</f>
        <v>12</v>
      </c>
      <c r="F1171" s="21"/>
      <c r="G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</row>
    <row r="1172" spans="1:24" hidden="1">
      <c r="A1172" s="259"/>
      <c r="B1172" s="21" t="s">
        <v>406</v>
      </c>
      <c r="C1172" s="245">
        <f ca="1">IF(OFFSET($F$28,C1170,0)&lt;0,0,OFFSET($F$28,C1170,0))</f>
        <v>0</v>
      </c>
      <c r="D1172" s="22" t="str">
        <f ca="1">OFFSET($C$28,C1170,0)</f>
        <v/>
      </c>
      <c r="E1172" s="22">
        <f ca="1">IF(D1172&gt;10,ROUND(($C1173/12)*$E1171,0),$C1172)</f>
        <v>0</v>
      </c>
      <c r="F1172" s="21"/>
      <c r="G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</row>
    <row r="1173" spans="1:24" hidden="1">
      <c r="A1173" s="259"/>
      <c r="B1173" s="21" t="s">
        <v>415</v>
      </c>
      <c r="C1173" s="245">
        <f ca="1">IF(ISBLANK(OFFSET($D$28,C1170,0)),0,IF(OFFSET($C$28,C1170,0)&gt;10,ROUND(C1172*am_wnip,0),IF(C1172&lt;0,0,C1172)))</f>
        <v>0</v>
      </c>
      <c r="D1173" s="21"/>
      <c r="E1173" s="21"/>
      <c r="F1173" s="21"/>
      <c r="G1173" s="21"/>
      <c r="I1173" s="21"/>
      <c r="J1173" s="483" cm="1">
        <f t="array" aca="1" ref="J1173" ca="1">OFFSET('Środki trwałe'!$C$195,'Rozliczenie dotacji'!D1170,,)</f>
        <v>0</v>
      </c>
      <c r="K1173" s="75">
        <f ca="1">ROUND(IF($C1171=LataProjekcji,$E1172,IF($C1171=LataProjekcji,$C1173,0)),0)</f>
        <v>0</v>
      </c>
      <c r="L1173" s="248">
        <f ca="1">ROUND(IF(OR(AND($C1171=LataProjekcji,$E1171&gt;0),AND($C1171=LataProjekcji,$E1171=0,$D1172&lt;=10)),$E1172,IF($C1171&lt;LataProjekcji,IF((SUM($K1173:K1173)+$C1173)&lt;$C1172,$C1173,$C1172-SUM($K1173:K1173)),0)),0)</f>
        <v>0</v>
      </c>
      <c r="M1173" s="248">
        <f ca="1">ROUND(IF(OR(AND($C1171=LataProjekcji,$E1171&gt;0),AND($C1171=LataProjekcji,$E1171=0,$D1172&lt;=10)),$E1172,IF($C1171&lt;LataProjekcji,IF((SUM($K1173:L1173)+$C1173)&lt;$C1172,$C1173,$C1172-SUM($K1173:L1173)),0)),0)</f>
        <v>0</v>
      </c>
      <c r="N1173" s="248">
        <f ca="1">ROUND(IF(OR(AND($C1171=LataProjekcji,$E1171&gt;0),AND($C1171=LataProjekcji,$E1171=0,$D1172&lt;=10)),$E1172,IF($C1171&lt;LataProjekcji,IF((SUM($K1173:M1173)+$C1173)&lt;$C1172,$C1173,$C1172-SUM($K1173:M1173)),0)),0)</f>
        <v>0</v>
      </c>
      <c r="O1173" s="248">
        <f ca="1">ROUND(IF(OR(AND($C1171=LataProjekcji,$E1171&gt;0),AND($C1171=LataProjekcji,$E1171=0,$D1172&lt;=10)),$E1172,IF($C1171&lt;LataProjekcji,IF((SUM($K1173:N1173)+$C1173)&lt;$C1172,$C1173,$C1172-SUM($K1173:N1173)),0)),0)</f>
        <v>0</v>
      </c>
      <c r="P1173" s="248">
        <f ca="1">ROUND(IF(OR(AND($C1171=LataProjekcji,$E1171&gt;0),AND($C1171=LataProjekcji,$E1171=0,$D1172&lt;=10)),$E1172,IF($C1171&lt;LataProjekcji,IF((SUM($K1173:O1173)+$C1173)&lt;$C1172,$C1173,$C1172-SUM($K1173:O1173)),0)),0)</f>
        <v>0</v>
      </c>
      <c r="Q1173" s="248">
        <f ca="1">ROUND(IF(OR(AND($C1171=LataProjekcji,$E1171&gt;0),AND($C1171=LataProjekcji,$E1171=0,$D1172&lt;=10)),$E1172,IF($C1171&lt;LataProjekcji,IF((SUM($K1173:P1173)+$C1173)&lt;$C1172,$C1173,$C1172-SUM($K1173:P1173)),0)),0)</f>
        <v>0</v>
      </c>
      <c r="R1173" s="248">
        <f ca="1">ROUND(IF(OR(AND($C1171=LataProjekcji,$E1171&gt;0),AND($C1171=LataProjekcji,$E1171=0,$D1172&lt;=10)),$E1172,IF($C1171&lt;LataProjekcji,IF((SUM($K1173:Q1173)+$C1173)&lt;$C1172,$C1173,$C1172-SUM($K1173:Q1173)),0)),0)</f>
        <v>0</v>
      </c>
      <c r="S1173" s="248">
        <f ca="1">ROUND(IF(OR(AND($C1171=LataProjekcji,$E1171&gt;0),AND($C1171=LataProjekcji,$E1171=0,$D1172&lt;=10)),$E1172,IF($C1171&lt;LataProjekcji,IF((SUM($K1173:R1173)+$C1173)&lt;$C1172,$C1173,$C1172-SUM($K1173:R1173)),0)),0)</f>
        <v>0</v>
      </c>
      <c r="T1173" s="248">
        <f ca="1">ROUND(IF(OR(AND($C1171=LataProjekcji,$E1171&gt;0),AND($C1171=LataProjekcji,$E1171=0,$D1172&lt;=10)),$E1172,IF($C1171&lt;LataProjekcji,IF((SUM($K1173:S1173)+$C1173)&lt;$C1172,$C1173,$C1172-SUM($K1173:S1173)),0)),0)</f>
        <v>0</v>
      </c>
      <c r="U1173" s="248">
        <f ca="1">ROUND(IF(OR(AND($C1171=LataProjekcji,$E1171&gt;0),AND($C1171=LataProjekcji,$E1171=0,$D1172&lt;=10)),$E1172,IF($C1171&lt;LataProjekcji,IF((SUM($K1173:T1173)+$C1173)&lt;$C1172,$C1173,$C1172-SUM($K1173:T1173)),0)),0)</f>
        <v>0</v>
      </c>
      <c r="V1173" s="248">
        <f ca="1">ROUND(IF(OR(AND($C1171=LataProjekcji,$E1171&gt;0),AND($C1171=LataProjekcji,$E1171=0,$D1172&lt;=10)),$E1172,IF($C1171&lt;LataProjekcji,IF((SUM($K1173:U1173)+$C1173)&lt;$C1172,$C1173,$C1172-SUM($K1173:U1173)),0)),0)</f>
        <v>0</v>
      </c>
      <c r="W1173" s="248">
        <f ca="1">ROUND(IF(OR(AND($C1171=LataProjekcji,$E1171&gt;0),AND($C1171=LataProjekcji,$E1171=0,$D1172&lt;=10)),$E1172,IF($C1171&lt;LataProjekcji,IF((SUM($K1173:V1173)+$C1173)&lt;$C1172,$C1173,$C1172-SUM($K1173:V1173)),0)),0)</f>
        <v>0</v>
      </c>
      <c r="X1173" s="248">
        <f ca="1">ROUND(IF(OR(AND($C1171=LataProjekcji,$E1171&gt;0),AND($C1171=LataProjekcji,$E1171=0,$D1172&lt;=10)),$E1172,IF($C1171&lt;LataProjekcji,IF((SUM($K1173:W1173)+$C1173)&lt;$C1172,$C1173,$C1172-SUM($K1173:W1173)),0)),0)</f>
        <v>0</v>
      </c>
    </row>
    <row r="1174" spans="1:24" hidden="1">
      <c r="A1174" s="259"/>
      <c r="B1174" s="21" t="s">
        <v>416</v>
      </c>
      <c r="C1174" s="22"/>
      <c r="D1174" s="21"/>
      <c r="E1174" s="21"/>
      <c r="F1174" s="21"/>
      <c r="G1174" s="21"/>
      <c r="I1174" s="21"/>
      <c r="J1174" s="21"/>
      <c r="K1174" s="22">
        <f ca="1">ROUND(K1173,0)</f>
        <v>0</v>
      </c>
      <c r="L1174" s="22">
        <f t="shared" ref="L1174:X1174" ca="1" si="508">ROUND(K1174+L1173,0)</f>
        <v>0</v>
      </c>
      <c r="M1174" s="22">
        <f t="shared" ca="1" si="508"/>
        <v>0</v>
      </c>
      <c r="N1174" s="22">
        <f t="shared" ca="1" si="508"/>
        <v>0</v>
      </c>
      <c r="O1174" s="22">
        <f t="shared" ca="1" si="508"/>
        <v>0</v>
      </c>
      <c r="P1174" s="22">
        <f t="shared" ca="1" si="508"/>
        <v>0</v>
      </c>
      <c r="Q1174" s="22">
        <f t="shared" ca="1" si="508"/>
        <v>0</v>
      </c>
      <c r="R1174" s="22">
        <f t="shared" ca="1" si="508"/>
        <v>0</v>
      </c>
      <c r="S1174" s="22">
        <f t="shared" ca="1" si="508"/>
        <v>0</v>
      </c>
      <c r="T1174" s="22">
        <f t="shared" ca="1" si="508"/>
        <v>0</v>
      </c>
      <c r="U1174" s="22">
        <f t="shared" ca="1" si="508"/>
        <v>0</v>
      </c>
      <c r="V1174" s="22">
        <f t="shared" ca="1" si="508"/>
        <v>0</v>
      </c>
      <c r="W1174" s="22">
        <f t="shared" ca="1" si="508"/>
        <v>0</v>
      </c>
      <c r="X1174" s="22">
        <f t="shared" ca="1" si="508"/>
        <v>0</v>
      </c>
    </row>
    <row r="1175" spans="1:24" hidden="1">
      <c r="A1175" s="259"/>
      <c r="B1175" s="21" t="s">
        <v>406</v>
      </c>
      <c r="C1175" s="22"/>
      <c r="D1175" s="21"/>
      <c r="E1175" s="21"/>
      <c r="F1175" s="21"/>
      <c r="G1175" s="21"/>
      <c r="I1175" s="21"/>
      <c r="J1175" s="21"/>
      <c r="K1175" s="77">
        <f t="shared" ref="K1175:X1175" ca="1" si="509">IF($C1171=LataProjekcji,ROUND($C1172-K1174,0),ROUND(IF(K1173=0,0,$C1172-K1174),0))</f>
        <v>0</v>
      </c>
      <c r="L1175" s="77">
        <f t="shared" ca="1" si="509"/>
        <v>0</v>
      </c>
      <c r="M1175" s="77">
        <f t="shared" ca="1" si="509"/>
        <v>0</v>
      </c>
      <c r="N1175" s="77">
        <f t="shared" ca="1" si="509"/>
        <v>0</v>
      </c>
      <c r="O1175" s="77">
        <f t="shared" ca="1" si="509"/>
        <v>0</v>
      </c>
      <c r="P1175" s="77">
        <f t="shared" ca="1" si="509"/>
        <v>0</v>
      </c>
      <c r="Q1175" s="77">
        <f t="shared" ca="1" si="509"/>
        <v>0</v>
      </c>
      <c r="R1175" s="77">
        <f t="shared" ca="1" si="509"/>
        <v>0</v>
      </c>
      <c r="S1175" s="77">
        <f t="shared" ca="1" si="509"/>
        <v>0</v>
      </c>
      <c r="T1175" s="77">
        <f t="shared" ca="1" si="509"/>
        <v>0</v>
      </c>
      <c r="U1175" s="77">
        <f t="shared" ca="1" si="509"/>
        <v>0</v>
      </c>
      <c r="V1175" s="77">
        <f t="shared" ca="1" si="509"/>
        <v>0</v>
      </c>
      <c r="W1175" s="77">
        <f t="shared" ca="1" si="509"/>
        <v>0</v>
      </c>
      <c r="X1175" s="77">
        <f t="shared" ca="1" si="509"/>
        <v>0</v>
      </c>
    </row>
    <row r="1176" spans="1:24" hidden="1">
      <c r="A1176" s="259"/>
      <c r="B1176" s="21"/>
      <c r="C1176" s="22"/>
      <c r="D1176" s="21"/>
      <c r="E1176" s="21"/>
      <c r="F1176" s="21"/>
      <c r="G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</row>
    <row r="1177" spans="1:24" hidden="1">
      <c r="A1177" s="259"/>
      <c r="B1177" s="20" t="s">
        <v>393</v>
      </c>
      <c r="C1177" s="21">
        <f>C1170+1</f>
        <v>169</v>
      </c>
      <c r="D1177" s="483">
        <f>D1170+1</f>
        <v>430</v>
      </c>
      <c r="E1177" s="21"/>
      <c r="F1177" s="21"/>
      <c r="G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</row>
    <row r="1178" spans="1:24" hidden="1">
      <c r="A1178" s="259"/>
      <c r="B1178" s="21" t="s">
        <v>414</v>
      </c>
      <c r="C1178" s="165">
        <f ca="1">IFERROR(YEAR(OFFSET($D$28,C1177,0)),0)</f>
        <v>0</v>
      </c>
      <c r="D1178" s="165">
        <f ca="1">IFERROR(MONTH(OFFSET($D$28,C1177,0)),0)</f>
        <v>0</v>
      </c>
      <c r="E1178" s="21">
        <f ca="1">12-$D1178</f>
        <v>12</v>
      </c>
      <c r="F1178" s="21"/>
      <c r="G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</row>
    <row r="1179" spans="1:24" hidden="1">
      <c r="A1179" s="259"/>
      <c r="B1179" s="21" t="s">
        <v>406</v>
      </c>
      <c r="C1179" s="245">
        <f ca="1">IF(OFFSET($F$28,C1177,0)&lt;0,0,OFFSET($F$28,C1177,0))</f>
        <v>0</v>
      </c>
      <c r="D1179" s="22" t="str">
        <f ca="1">OFFSET($C$28,C1177,0)</f>
        <v/>
      </c>
      <c r="E1179" s="22">
        <f ca="1">IF(D1179&gt;10,ROUND(($C1180/12)*$E1178,0),$C1179)</f>
        <v>0</v>
      </c>
      <c r="F1179" s="21"/>
      <c r="G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</row>
    <row r="1180" spans="1:24" hidden="1">
      <c r="A1180" s="259"/>
      <c r="B1180" s="21" t="s">
        <v>415</v>
      </c>
      <c r="C1180" s="245">
        <f ca="1">IF(ISBLANK(OFFSET($D$28,C1177,0)),0,IF(OFFSET($C$28,C1177,0)&gt;10,ROUND(C1179*am_wnip,0),IF(C1179&lt;0,0,C1179)))</f>
        <v>0</v>
      </c>
      <c r="D1180" s="21"/>
      <c r="E1180" s="21"/>
      <c r="F1180" s="21"/>
      <c r="G1180" s="21"/>
      <c r="I1180" s="21"/>
      <c r="J1180" s="483" cm="1">
        <f t="array" aca="1" ref="J1180" ca="1">OFFSET('Środki trwałe'!$C$195,'Rozliczenie dotacji'!D1177,,)</f>
        <v>0</v>
      </c>
      <c r="K1180" s="75">
        <f ca="1">ROUND(IF($C1178=LataProjekcji,$E1179,IF($C1178=LataProjekcji,$C1180,0)),0)</f>
        <v>0</v>
      </c>
      <c r="L1180" s="248">
        <f ca="1">ROUND(IF(OR(AND($C1178=LataProjekcji,$E1178&gt;0),AND($C1178=LataProjekcji,$E1178=0,$D1179&lt;=10)),$E1179,IF($C1178&lt;LataProjekcji,IF((SUM($K1180:K1180)+$C1180)&lt;$C1179,$C1180,$C1179-SUM($K1180:K1180)),0)),0)</f>
        <v>0</v>
      </c>
      <c r="M1180" s="248">
        <f ca="1">ROUND(IF(OR(AND($C1178=LataProjekcji,$E1178&gt;0),AND($C1178=LataProjekcji,$E1178=0,$D1179&lt;=10)),$E1179,IF($C1178&lt;LataProjekcji,IF((SUM($K1180:L1180)+$C1180)&lt;$C1179,$C1180,$C1179-SUM($K1180:L1180)),0)),0)</f>
        <v>0</v>
      </c>
      <c r="N1180" s="248">
        <f ca="1">ROUND(IF(OR(AND($C1178=LataProjekcji,$E1178&gt;0),AND($C1178=LataProjekcji,$E1178=0,$D1179&lt;=10)),$E1179,IF($C1178&lt;LataProjekcji,IF((SUM($K1180:M1180)+$C1180)&lt;$C1179,$C1180,$C1179-SUM($K1180:M1180)),0)),0)</f>
        <v>0</v>
      </c>
      <c r="O1180" s="248">
        <f ca="1">ROUND(IF(OR(AND($C1178=LataProjekcji,$E1178&gt;0),AND($C1178=LataProjekcji,$E1178=0,$D1179&lt;=10)),$E1179,IF($C1178&lt;LataProjekcji,IF((SUM($K1180:N1180)+$C1180)&lt;$C1179,$C1180,$C1179-SUM($K1180:N1180)),0)),0)</f>
        <v>0</v>
      </c>
      <c r="P1180" s="248">
        <f ca="1">ROUND(IF(OR(AND($C1178=LataProjekcji,$E1178&gt;0),AND($C1178=LataProjekcji,$E1178=0,$D1179&lt;=10)),$E1179,IF($C1178&lt;LataProjekcji,IF((SUM($K1180:O1180)+$C1180)&lt;$C1179,$C1180,$C1179-SUM($K1180:O1180)),0)),0)</f>
        <v>0</v>
      </c>
      <c r="Q1180" s="248">
        <f ca="1">ROUND(IF(OR(AND($C1178=LataProjekcji,$E1178&gt;0),AND($C1178=LataProjekcji,$E1178=0,$D1179&lt;=10)),$E1179,IF($C1178&lt;LataProjekcji,IF((SUM($K1180:P1180)+$C1180)&lt;$C1179,$C1180,$C1179-SUM($K1180:P1180)),0)),0)</f>
        <v>0</v>
      </c>
      <c r="R1180" s="248">
        <f ca="1">ROUND(IF(OR(AND($C1178=LataProjekcji,$E1178&gt;0),AND($C1178=LataProjekcji,$E1178=0,$D1179&lt;=10)),$E1179,IF($C1178&lt;LataProjekcji,IF((SUM($K1180:Q1180)+$C1180)&lt;$C1179,$C1180,$C1179-SUM($K1180:Q1180)),0)),0)</f>
        <v>0</v>
      </c>
      <c r="S1180" s="248">
        <f ca="1">ROUND(IF(OR(AND($C1178=LataProjekcji,$E1178&gt;0),AND($C1178=LataProjekcji,$E1178=0,$D1179&lt;=10)),$E1179,IF($C1178&lt;LataProjekcji,IF((SUM($K1180:R1180)+$C1180)&lt;$C1179,$C1180,$C1179-SUM($K1180:R1180)),0)),0)</f>
        <v>0</v>
      </c>
      <c r="T1180" s="248">
        <f ca="1">ROUND(IF(OR(AND($C1178=LataProjekcji,$E1178&gt;0),AND($C1178=LataProjekcji,$E1178=0,$D1179&lt;=10)),$E1179,IF($C1178&lt;LataProjekcji,IF((SUM($K1180:S1180)+$C1180)&lt;$C1179,$C1180,$C1179-SUM($K1180:S1180)),0)),0)</f>
        <v>0</v>
      </c>
      <c r="U1180" s="248">
        <f ca="1">ROUND(IF(OR(AND($C1178=LataProjekcji,$E1178&gt;0),AND($C1178=LataProjekcji,$E1178=0,$D1179&lt;=10)),$E1179,IF($C1178&lt;LataProjekcji,IF((SUM($K1180:T1180)+$C1180)&lt;$C1179,$C1180,$C1179-SUM($K1180:T1180)),0)),0)</f>
        <v>0</v>
      </c>
      <c r="V1180" s="248">
        <f ca="1">ROUND(IF(OR(AND($C1178=LataProjekcji,$E1178&gt;0),AND($C1178=LataProjekcji,$E1178=0,$D1179&lt;=10)),$E1179,IF($C1178&lt;LataProjekcji,IF((SUM($K1180:U1180)+$C1180)&lt;$C1179,$C1180,$C1179-SUM($K1180:U1180)),0)),0)</f>
        <v>0</v>
      </c>
      <c r="W1180" s="248">
        <f ca="1">ROUND(IF(OR(AND($C1178=LataProjekcji,$E1178&gt;0),AND($C1178=LataProjekcji,$E1178=0,$D1179&lt;=10)),$E1179,IF($C1178&lt;LataProjekcji,IF((SUM($K1180:V1180)+$C1180)&lt;$C1179,$C1180,$C1179-SUM($K1180:V1180)),0)),0)</f>
        <v>0</v>
      </c>
      <c r="X1180" s="248">
        <f ca="1">ROUND(IF(OR(AND($C1178=LataProjekcji,$E1178&gt;0),AND($C1178=LataProjekcji,$E1178=0,$D1179&lt;=10)),$E1179,IF($C1178&lt;LataProjekcji,IF((SUM($K1180:W1180)+$C1180)&lt;$C1179,$C1180,$C1179-SUM($K1180:W1180)),0)),0)</f>
        <v>0</v>
      </c>
    </row>
    <row r="1181" spans="1:24" hidden="1">
      <c r="A1181" s="259"/>
      <c r="B1181" s="21" t="s">
        <v>416</v>
      </c>
      <c r="C1181" s="22"/>
      <c r="D1181" s="21"/>
      <c r="E1181" s="21"/>
      <c r="F1181" s="21"/>
      <c r="G1181" s="21"/>
      <c r="I1181" s="21"/>
      <c r="J1181" s="21"/>
      <c r="K1181" s="22">
        <f ca="1">ROUND(K1180,0)</f>
        <v>0</v>
      </c>
      <c r="L1181" s="22">
        <f t="shared" ref="L1181:X1181" ca="1" si="510">ROUND(K1181+L1180,0)</f>
        <v>0</v>
      </c>
      <c r="M1181" s="22">
        <f t="shared" ca="1" si="510"/>
        <v>0</v>
      </c>
      <c r="N1181" s="22">
        <f t="shared" ca="1" si="510"/>
        <v>0</v>
      </c>
      <c r="O1181" s="22">
        <f t="shared" ca="1" si="510"/>
        <v>0</v>
      </c>
      <c r="P1181" s="22">
        <f t="shared" ca="1" si="510"/>
        <v>0</v>
      </c>
      <c r="Q1181" s="22">
        <f t="shared" ca="1" si="510"/>
        <v>0</v>
      </c>
      <c r="R1181" s="22">
        <f t="shared" ca="1" si="510"/>
        <v>0</v>
      </c>
      <c r="S1181" s="22">
        <f t="shared" ca="1" si="510"/>
        <v>0</v>
      </c>
      <c r="T1181" s="22">
        <f t="shared" ca="1" si="510"/>
        <v>0</v>
      </c>
      <c r="U1181" s="22">
        <f t="shared" ca="1" si="510"/>
        <v>0</v>
      </c>
      <c r="V1181" s="22">
        <f t="shared" ca="1" si="510"/>
        <v>0</v>
      </c>
      <c r="W1181" s="22">
        <f t="shared" ca="1" si="510"/>
        <v>0</v>
      </c>
      <c r="X1181" s="22">
        <f t="shared" ca="1" si="510"/>
        <v>0</v>
      </c>
    </row>
    <row r="1182" spans="1:24" hidden="1">
      <c r="A1182" s="259"/>
      <c r="B1182" s="21" t="s">
        <v>406</v>
      </c>
      <c r="C1182" s="22"/>
      <c r="D1182" s="21"/>
      <c r="E1182" s="21"/>
      <c r="F1182" s="21"/>
      <c r="G1182" s="21"/>
      <c r="I1182" s="21"/>
      <c r="J1182" s="21"/>
      <c r="K1182" s="77">
        <f t="shared" ref="K1182:X1182" ca="1" si="511">IF($C1178=LataProjekcji,ROUND($C1179-K1181,0),ROUND(IF(K1180=0,0,$C1179-K1181),0))</f>
        <v>0</v>
      </c>
      <c r="L1182" s="77">
        <f t="shared" ca="1" si="511"/>
        <v>0</v>
      </c>
      <c r="M1182" s="77">
        <f t="shared" ca="1" si="511"/>
        <v>0</v>
      </c>
      <c r="N1182" s="77">
        <f t="shared" ca="1" si="511"/>
        <v>0</v>
      </c>
      <c r="O1182" s="77">
        <f t="shared" ca="1" si="511"/>
        <v>0</v>
      </c>
      <c r="P1182" s="77">
        <f t="shared" ca="1" si="511"/>
        <v>0</v>
      </c>
      <c r="Q1182" s="77">
        <f t="shared" ca="1" si="511"/>
        <v>0</v>
      </c>
      <c r="R1182" s="77">
        <f t="shared" ca="1" si="511"/>
        <v>0</v>
      </c>
      <c r="S1182" s="77">
        <f t="shared" ca="1" si="511"/>
        <v>0</v>
      </c>
      <c r="T1182" s="77">
        <f t="shared" ca="1" si="511"/>
        <v>0</v>
      </c>
      <c r="U1182" s="77">
        <f t="shared" ca="1" si="511"/>
        <v>0</v>
      </c>
      <c r="V1182" s="77">
        <f t="shared" ca="1" si="511"/>
        <v>0</v>
      </c>
      <c r="W1182" s="77">
        <f t="shared" ca="1" si="511"/>
        <v>0</v>
      </c>
      <c r="X1182" s="77">
        <f t="shared" ca="1" si="511"/>
        <v>0</v>
      </c>
    </row>
    <row r="1183" spans="1:24" hidden="1">
      <c r="A1183" s="328"/>
      <c r="B1183" s="7"/>
      <c r="C1183" s="13"/>
    </row>
    <row r="1188" spans="1:24" hidden="1">
      <c r="A1188" s="165"/>
      <c r="B1188" s="7" t="s">
        <v>463</v>
      </c>
      <c r="K1188" s="507" t="str">
        <f>K25</f>
        <v>Uzupełnij dane</v>
      </c>
      <c r="L1188" s="507" t="str">
        <f t="shared" ref="L1188:X1188" si="512">L25</f>
        <v/>
      </c>
      <c r="M1188" s="507" t="str">
        <f t="shared" si="512"/>
        <v/>
      </c>
      <c r="N1188" s="507" t="str">
        <f t="shared" si="512"/>
        <v/>
      </c>
      <c r="O1188" s="507" t="str">
        <f t="shared" si="512"/>
        <v/>
      </c>
      <c r="P1188" s="507" t="str">
        <f t="shared" si="512"/>
        <v/>
      </c>
      <c r="Q1188" s="507" t="str">
        <f t="shared" si="512"/>
        <v/>
      </c>
      <c r="R1188" s="507" t="str">
        <f t="shared" si="512"/>
        <v/>
      </c>
      <c r="S1188" s="507" t="str">
        <f t="shared" si="512"/>
        <v/>
      </c>
      <c r="T1188" s="507" t="str">
        <f t="shared" si="512"/>
        <v/>
      </c>
      <c r="U1188" s="507" t="str">
        <f t="shared" si="512"/>
        <v/>
      </c>
      <c r="V1188" s="507" t="str">
        <f t="shared" si="512"/>
        <v/>
      </c>
      <c r="W1188" s="507" t="str">
        <f t="shared" si="512"/>
        <v/>
      </c>
      <c r="X1188" s="507" t="str">
        <f t="shared" si="512"/>
        <v/>
      </c>
    </row>
    <row r="1189" spans="1:24" hidden="1">
      <c r="A1189" s="165"/>
      <c r="B1189" s="14" t="s">
        <v>395</v>
      </c>
      <c r="C1189" s="15"/>
      <c r="D1189" s="15"/>
      <c r="E1189" s="15"/>
      <c r="F1189" s="15"/>
      <c r="G1189" s="15"/>
      <c r="H1189" s="326"/>
      <c r="I1189" s="15"/>
      <c r="J1189" s="15"/>
      <c r="K1189" s="16">
        <f ca="1">ROUND(SUM(K1190:K1191),0)</f>
        <v>0</v>
      </c>
      <c r="L1189" s="16">
        <f t="shared" ref="L1189:X1189" ca="1" si="513">ROUND(SUM(L1190:L1191),0)</f>
        <v>0</v>
      </c>
      <c r="M1189" s="16">
        <f t="shared" ca="1" si="513"/>
        <v>0</v>
      </c>
      <c r="N1189" s="16">
        <f t="shared" ca="1" si="513"/>
        <v>0</v>
      </c>
      <c r="O1189" s="16">
        <f t="shared" ca="1" si="513"/>
        <v>0</v>
      </c>
      <c r="P1189" s="16">
        <f t="shared" ca="1" si="513"/>
        <v>0</v>
      </c>
      <c r="Q1189" s="16">
        <f t="shared" ca="1" si="513"/>
        <v>0</v>
      </c>
      <c r="R1189" s="16">
        <f t="shared" ca="1" si="513"/>
        <v>0</v>
      </c>
      <c r="S1189" s="16">
        <f t="shared" ca="1" si="513"/>
        <v>0</v>
      </c>
      <c r="T1189" s="16">
        <f t="shared" ca="1" si="513"/>
        <v>0</v>
      </c>
      <c r="U1189" s="16">
        <f t="shared" ca="1" si="513"/>
        <v>0</v>
      </c>
      <c r="V1189" s="16">
        <f t="shared" ca="1" si="513"/>
        <v>0</v>
      </c>
      <c r="W1189" s="16">
        <f t="shared" ca="1" si="513"/>
        <v>0</v>
      </c>
      <c r="X1189" s="16">
        <f t="shared" ca="1" si="513"/>
        <v>0</v>
      </c>
    </row>
    <row r="1190" spans="1:24" hidden="1">
      <c r="A1190" s="165"/>
      <c r="B1190" s="8" t="s">
        <v>396</v>
      </c>
      <c r="K1190" s="5">
        <f t="shared" ref="K1190:X1190" ca="1" si="514">ROUND(K54,0)</f>
        <v>0</v>
      </c>
      <c r="L1190" s="5">
        <f t="shared" ca="1" si="514"/>
        <v>0</v>
      </c>
      <c r="M1190" s="5">
        <f t="shared" ca="1" si="514"/>
        <v>0</v>
      </c>
      <c r="N1190" s="5">
        <f t="shared" ca="1" si="514"/>
        <v>0</v>
      </c>
      <c r="O1190" s="5">
        <f t="shared" ca="1" si="514"/>
        <v>0</v>
      </c>
      <c r="P1190" s="5">
        <f t="shared" ca="1" si="514"/>
        <v>0</v>
      </c>
      <c r="Q1190" s="5">
        <f t="shared" ca="1" si="514"/>
        <v>0</v>
      </c>
      <c r="R1190" s="5">
        <f t="shared" ca="1" si="514"/>
        <v>0</v>
      </c>
      <c r="S1190" s="5">
        <f t="shared" ca="1" si="514"/>
        <v>0</v>
      </c>
      <c r="T1190" s="5">
        <f t="shared" ca="1" si="514"/>
        <v>0</v>
      </c>
      <c r="U1190" s="5">
        <f t="shared" ca="1" si="514"/>
        <v>0</v>
      </c>
      <c r="V1190" s="5">
        <f t="shared" ca="1" si="514"/>
        <v>0</v>
      </c>
      <c r="W1190" s="5">
        <f t="shared" ca="1" si="514"/>
        <v>0</v>
      </c>
      <c r="X1190" s="5">
        <f t="shared" ca="1" si="514"/>
        <v>0</v>
      </c>
    </row>
    <row r="1191" spans="1:24" hidden="1">
      <c r="A1191" s="165"/>
      <c r="B1191" s="8" t="s">
        <v>398</v>
      </c>
      <c r="K1191" s="5">
        <f t="shared" ref="K1191:X1191" ca="1" si="515">ROUND(K77,0)</f>
        <v>0</v>
      </c>
      <c r="L1191" s="5">
        <f t="shared" ca="1" si="515"/>
        <v>0</v>
      </c>
      <c r="M1191" s="5">
        <f t="shared" ca="1" si="515"/>
        <v>0</v>
      </c>
      <c r="N1191" s="5">
        <f t="shared" ca="1" si="515"/>
        <v>0</v>
      </c>
      <c r="O1191" s="5">
        <f t="shared" ca="1" si="515"/>
        <v>0</v>
      </c>
      <c r="P1191" s="5">
        <f t="shared" ca="1" si="515"/>
        <v>0</v>
      </c>
      <c r="Q1191" s="5">
        <f t="shared" ca="1" si="515"/>
        <v>0</v>
      </c>
      <c r="R1191" s="5">
        <f t="shared" ca="1" si="515"/>
        <v>0</v>
      </c>
      <c r="S1191" s="5">
        <f t="shared" ca="1" si="515"/>
        <v>0</v>
      </c>
      <c r="T1191" s="5">
        <f t="shared" ca="1" si="515"/>
        <v>0</v>
      </c>
      <c r="U1191" s="5">
        <f t="shared" ca="1" si="515"/>
        <v>0</v>
      </c>
      <c r="V1191" s="5">
        <f t="shared" ca="1" si="515"/>
        <v>0</v>
      </c>
      <c r="W1191" s="5">
        <f t="shared" ca="1" si="515"/>
        <v>0</v>
      </c>
      <c r="X1191" s="5">
        <f t="shared" ca="1" si="515"/>
        <v>0</v>
      </c>
    </row>
    <row r="1192" spans="1:24" hidden="1">
      <c r="A1192" s="165"/>
      <c r="B1192" s="14" t="s">
        <v>399</v>
      </c>
      <c r="C1192" s="15"/>
      <c r="D1192" s="15"/>
      <c r="E1192" s="15"/>
      <c r="F1192" s="15"/>
      <c r="G1192" s="15"/>
      <c r="H1192" s="326"/>
      <c r="I1192" s="15"/>
      <c r="J1192" s="15"/>
      <c r="K1192" s="16">
        <f ca="1">ROUND(SUM(K1193:K1197),0)</f>
        <v>0</v>
      </c>
      <c r="L1192" s="16">
        <f t="shared" ref="L1192:X1192" ca="1" si="516">ROUND(SUM(L1193:L1197),0)</f>
        <v>0</v>
      </c>
      <c r="M1192" s="16">
        <f t="shared" ca="1" si="516"/>
        <v>0</v>
      </c>
      <c r="N1192" s="16">
        <f t="shared" ca="1" si="516"/>
        <v>0</v>
      </c>
      <c r="O1192" s="16">
        <f t="shared" ca="1" si="516"/>
        <v>0</v>
      </c>
      <c r="P1192" s="16">
        <f t="shared" ca="1" si="516"/>
        <v>0</v>
      </c>
      <c r="Q1192" s="16">
        <f t="shared" ca="1" si="516"/>
        <v>0</v>
      </c>
      <c r="R1192" s="16">
        <f t="shared" ca="1" si="516"/>
        <v>0</v>
      </c>
      <c r="S1192" s="16">
        <f t="shared" ca="1" si="516"/>
        <v>0</v>
      </c>
      <c r="T1192" s="16">
        <f t="shared" ca="1" si="516"/>
        <v>0</v>
      </c>
      <c r="U1192" s="16">
        <f t="shared" ca="1" si="516"/>
        <v>0</v>
      </c>
      <c r="V1192" s="16">
        <f t="shared" ca="1" si="516"/>
        <v>0</v>
      </c>
      <c r="W1192" s="16">
        <f t="shared" ca="1" si="516"/>
        <v>0</v>
      </c>
      <c r="X1192" s="16">
        <f t="shared" ca="1" si="516"/>
        <v>0</v>
      </c>
    </row>
    <row r="1193" spans="1:24" hidden="1">
      <c r="A1193" s="165"/>
      <c r="B1193" s="8" t="s">
        <v>400</v>
      </c>
      <c r="K1193" s="5">
        <f t="shared" ref="K1193:X1193" ca="1" si="517">ROUND(K90,0)</f>
        <v>0</v>
      </c>
      <c r="L1193" s="5">
        <f t="shared" ca="1" si="517"/>
        <v>0</v>
      </c>
      <c r="M1193" s="5">
        <f t="shared" ca="1" si="517"/>
        <v>0</v>
      </c>
      <c r="N1193" s="5">
        <f t="shared" ca="1" si="517"/>
        <v>0</v>
      </c>
      <c r="O1193" s="5">
        <f t="shared" ca="1" si="517"/>
        <v>0</v>
      </c>
      <c r="P1193" s="5">
        <f t="shared" ca="1" si="517"/>
        <v>0</v>
      </c>
      <c r="Q1193" s="5">
        <f t="shared" ca="1" si="517"/>
        <v>0</v>
      </c>
      <c r="R1193" s="5">
        <f t="shared" ca="1" si="517"/>
        <v>0</v>
      </c>
      <c r="S1193" s="5">
        <f t="shared" ca="1" si="517"/>
        <v>0</v>
      </c>
      <c r="T1193" s="5">
        <f t="shared" ca="1" si="517"/>
        <v>0</v>
      </c>
      <c r="U1193" s="5">
        <f t="shared" ca="1" si="517"/>
        <v>0</v>
      </c>
      <c r="V1193" s="5">
        <f t="shared" ca="1" si="517"/>
        <v>0</v>
      </c>
      <c r="W1193" s="5">
        <f t="shared" ca="1" si="517"/>
        <v>0</v>
      </c>
      <c r="X1193" s="5">
        <f t="shared" ca="1" si="517"/>
        <v>0</v>
      </c>
    </row>
    <row r="1194" spans="1:24" hidden="1">
      <c r="A1194" s="165"/>
      <c r="B1194" s="8" t="s">
        <v>401</v>
      </c>
      <c r="K1194" s="5">
        <f t="shared" ref="K1194:X1194" ca="1" si="518">ROUND(K113,0)</f>
        <v>0</v>
      </c>
      <c r="L1194" s="5">
        <f t="shared" ca="1" si="518"/>
        <v>0</v>
      </c>
      <c r="M1194" s="5">
        <f t="shared" ca="1" si="518"/>
        <v>0</v>
      </c>
      <c r="N1194" s="5">
        <f t="shared" ca="1" si="518"/>
        <v>0</v>
      </c>
      <c r="O1194" s="5">
        <f t="shared" ca="1" si="518"/>
        <v>0</v>
      </c>
      <c r="P1194" s="5">
        <f t="shared" ca="1" si="518"/>
        <v>0</v>
      </c>
      <c r="Q1194" s="5">
        <f t="shared" ca="1" si="518"/>
        <v>0</v>
      </c>
      <c r="R1194" s="5">
        <f t="shared" ca="1" si="518"/>
        <v>0</v>
      </c>
      <c r="S1194" s="5">
        <f t="shared" ca="1" si="518"/>
        <v>0</v>
      </c>
      <c r="T1194" s="5">
        <f t="shared" ca="1" si="518"/>
        <v>0</v>
      </c>
      <c r="U1194" s="5">
        <f t="shared" ca="1" si="518"/>
        <v>0</v>
      </c>
      <c r="V1194" s="5">
        <f t="shared" ca="1" si="518"/>
        <v>0</v>
      </c>
      <c r="W1194" s="5">
        <f t="shared" ca="1" si="518"/>
        <v>0</v>
      </c>
      <c r="X1194" s="5">
        <f t="shared" ca="1" si="518"/>
        <v>0</v>
      </c>
    </row>
    <row r="1195" spans="1:24" hidden="1">
      <c r="A1195" s="165"/>
      <c r="B1195" s="8" t="s">
        <v>402</v>
      </c>
      <c r="K1195" s="5">
        <f t="shared" ref="K1195:X1195" ca="1" si="519">ROUND(K166,0)</f>
        <v>0</v>
      </c>
      <c r="L1195" s="5">
        <f t="shared" ca="1" si="519"/>
        <v>0</v>
      </c>
      <c r="M1195" s="5">
        <f t="shared" ca="1" si="519"/>
        <v>0</v>
      </c>
      <c r="N1195" s="5">
        <f t="shared" ca="1" si="519"/>
        <v>0</v>
      </c>
      <c r="O1195" s="5">
        <f t="shared" ca="1" si="519"/>
        <v>0</v>
      </c>
      <c r="P1195" s="5">
        <f t="shared" ca="1" si="519"/>
        <v>0</v>
      </c>
      <c r="Q1195" s="5">
        <f t="shared" ca="1" si="519"/>
        <v>0</v>
      </c>
      <c r="R1195" s="5">
        <f t="shared" ca="1" si="519"/>
        <v>0</v>
      </c>
      <c r="S1195" s="5">
        <f t="shared" ca="1" si="519"/>
        <v>0</v>
      </c>
      <c r="T1195" s="5">
        <f t="shared" ca="1" si="519"/>
        <v>0</v>
      </c>
      <c r="U1195" s="5">
        <f t="shared" ca="1" si="519"/>
        <v>0</v>
      </c>
      <c r="V1195" s="5">
        <f t="shared" ca="1" si="519"/>
        <v>0</v>
      </c>
      <c r="W1195" s="5">
        <f t="shared" ca="1" si="519"/>
        <v>0</v>
      </c>
      <c r="X1195" s="5">
        <f t="shared" ca="1" si="519"/>
        <v>0</v>
      </c>
    </row>
    <row r="1196" spans="1:24" hidden="1">
      <c r="A1196" s="165"/>
      <c r="B1196" s="8" t="s">
        <v>403</v>
      </c>
      <c r="K1196" s="5">
        <f t="shared" ref="K1196:X1196" ca="1" si="520">ROUND(K184,0)</f>
        <v>0</v>
      </c>
      <c r="L1196" s="5">
        <f t="shared" ca="1" si="520"/>
        <v>0</v>
      </c>
      <c r="M1196" s="5">
        <f t="shared" ca="1" si="520"/>
        <v>0</v>
      </c>
      <c r="N1196" s="5">
        <f t="shared" ca="1" si="520"/>
        <v>0</v>
      </c>
      <c r="O1196" s="5">
        <f t="shared" ca="1" si="520"/>
        <v>0</v>
      </c>
      <c r="P1196" s="5">
        <f t="shared" ca="1" si="520"/>
        <v>0</v>
      </c>
      <c r="Q1196" s="5">
        <f t="shared" ca="1" si="520"/>
        <v>0</v>
      </c>
      <c r="R1196" s="5">
        <f t="shared" ca="1" si="520"/>
        <v>0</v>
      </c>
      <c r="S1196" s="5">
        <f t="shared" ca="1" si="520"/>
        <v>0</v>
      </c>
      <c r="T1196" s="5">
        <f t="shared" ca="1" si="520"/>
        <v>0</v>
      </c>
      <c r="U1196" s="5">
        <f t="shared" ca="1" si="520"/>
        <v>0</v>
      </c>
      <c r="V1196" s="5">
        <f t="shared" ca="1" si="520"/>
        <v>0</v>
      </c>
      <c r="W1196" s="5">
        <f t="shared" ca="1" si="520"/>
        <v>0</v>
      </c>
      <c r="X1196" s="5">
        <f t="shared" ca="1" si="520"/>
        <v>0</v>
      </c>
    </row>
    <row r="1197" spans="1:24" hidden="1">
      <c r="A1197" s="165"/>
      <c r="B1197" s="8" t="s">
        <v>404</v>
      </c>
      <c r="K1197" s="5">
        <f t="shared" ref="K1197:X1197" ca="1" si="521">ROUND(K202,0)</f>
        <v>0</v>
      </c>
      <c r="L1197" s="5">
        <f t="shared" ca="1" si="521"/>
        <v>0</v>
      </c>
      <c r="M1197" s="5">
        <f t="shared" ca="1" si="521"/>
        <v>0</v>
      </c>
      <c r="N1197" s="5">
        <f t="shared" ca="1" si="521"/>
        <v>0</v>
      </c>
      <c r="O1197" s="5">
        <f t="shared" ca="1" si="521"/>
        <v>0</v>
      </c>
      <c r="P1197" s="5">
        <f t="shared" ca="1" si="521"/>
        <v>0</v>
      </c>
      <c r="Q1197" s="5">
        <f t="shared" ca="1" si="521"/>
        <v>0</v>
      </c>
      <c r="R1197" s="5">
        <f t="shared" ca="1" si="521"/>
        <v>0</v>
      </c>
      <c r="S1197" s="5">
        <f t="shared" ca="1" si="521"/>
        <v>0</v>
      </c>
      <c r="T1197" s="5">
        <f t="shared" ca="1" si="521"/>
        <v>0</v>
      </c>
      <c r="U1197" s="5">
        <f t="shared" ca="1" si="521"/>
        <v>0</v>
      </c>
      <c r="V1197" s="5">
        <f t="shared" ca="1" si="521"/>
        <v>0</v>
      </c>
      <c r="W1197" s="5">
        <f t="shared" ca="1" si="521"/>
        <v>0</v>
      </c>
      <c r="X1197" s="5">
        <f t="shared" ca="1" si="521"/>
        <v>0</v>
      </c>
    </row>
    <row r="1198" spans="1:24" hidden="1">
      <c r="A1198" s="165"/>
    </row>
    <row r="1199" spans="1:24" hidden="1">
      <c r="A1199" s="165"/>
    </row>
    <row r="1200" spans="1:24" hidden="1">
      <c r="A1200" s="165"/>
      <c r="B1200" s="7" t="s">
        <v>464</v>
      </c>
    </row>
    <row r="1201" spans="1:24" hidden="1">
      <c r="A1201" s="165"/>
      <c r="B1201" s="14" t="s">
        <v>395</v>
      </c>
      <c r="K1201" s="16">
        <f ca="1">ROUND(SUM(K1202:K1203),0)</f>
        <v>0</v>
      </c>
      <c r="L1201" s="16">
        <f t="shared" ref="L1201:X1201" ca="1" si="522">ROUND(SUM(L1202:L1203),0)</f>
        <v>0</v>
      </c>
      <c r="M1201" s="16">
        <f t="shared" ca="1" si="522"/>
        <v>0</v>
      </c>
      <c r="N1201" s="16">
        <f t="shared" ca="1" si="522"/>
        <v>0</v>
      </c>
      <c r="O1201" s="16">
        <f t="shared" ca="1" si="522"/>
        <v>0</v>
      </c>
      <c r="P1201" s="16">
        <f t="shared" ca="1" si="522"/>
        <v>0</v>
      </c>
      <c r="Q1201" s="16">
        <f t="shared" ca="1" si="522"/>
        <v>0</v>
      </c>
      <c r="R1201" s="16">
        <f t="shared" ca="1" si="522"/>
        <v>0</v>
      </c>
      <c r="S1201" s="16">
        <f t="shared" ca="1" si="522"/>
        <v>0</v>
      </c>
      <c r="T1201" s="16">
        <f t="shared" ca="1" si="522"/>
        <v>0</v>
      </c>
      <c r="U1201" s="16">
        <f t="shared" ca="1" si="522"/>
        <v>0</v>
      </c>
      <c r="V1201" s="16">
        <f t="shared" ca="1" si="522"/>
        <v>0</v>
      </c>
      <c r="W1201" s="16">
        <f t="shared" ca="1" si="522"/>
        <v>0</v>
      </c>
      <c r="X1201" s="16">
        <f t="shared" ca="1" si="522"/>
        <v>0</v>
      </c>
    </row>
    <row r="1202" spans="1:24" hidden="1">
      <c r="A1202" s="165"/>
      <c r="B1202" s="8" t="s">
        <v>396</v>
      </c>
      <c r="K1202" s="5">
        <f t="shared" ref="K1202:X1202" ca="1" si="523">ROUND(K50,0)</f>
        <v>0</v>
      </c>
      <c r="L1202" s="5">
        <f t="shared" ca="1" si="523"/>
        <v>0</v>
      </c>
      <c r="M1202" s="5">
        <f t="shared" ca="1" si="523"/>
        <v>0</v>
      </c>
      <c r="N1202" s="5">
        <f t="shared" ca="1" si="523"/>
        <v>0</v>
      </c>
      <c r="O1202" s="5">
        <f t="shared" ca="1" si="523"/>
        <v>0</v>
      </c>
      <c r="P1202" s="5">
        <f t="shared" ca="1" si="523"/>
        <v>0</v>
      </c>
      <c r="Q1202" s="5">
        <f t="shared" ca="1" si="523"/>
        <v>0</v>
      </c>
      <c r="R1202" s="5">
        <f t="shared" ca="1" si="523"/>
        <v>0</v>
      </c>
      <c r="S1202" s="5">
        <f t="shared" ca="1" si="523"/>
        <v>0</v>
      </c>
      <c r="T1202" s="5">
        <f t="shared" ca="1" si="523"/>
        <v>0</v>
      </c>
      <c r="U1202" s="5">
        <f t="shared" ca="1" si="523"/>
        <v>0</v>
      </c>
      <c r="V1202" s="5">
        <f t="shared" ca="1" si="523"/>
        <v>0</v>
      </c>
      <c r="W1202" s="5">
        <f t="shared" ca="1" si="523"/>
        <v>0</v>
      </c>
      <c r="X1202" s="5">
        <f t="shared" ca="1" si="523"/>
        <v>0</v>
      </c>
    </row>
    <row r="1203" spans="1:24" hidden="1">
      <c r="A1203" s="165"/>
      <c r="B1203" s="8" t="s">
        <v>398</v>
      </c>
      <c r="K1203" s="5">
        <f t="shared" ref="K1203:X1203" si="524">ROUND(K73,0)</f>
        <v>0</v>
      </c>
      <c r="L1203" s="5">
        <f t="shared" si="524"/>
        <v>0</v>
      </c>
      <c r="M1203" s="5">
        <f t="shared" si="524"/>
        <v>0</v>
      </c>
      <c r="N1203" s="5">
        <f t="shared" si="524"/>
        <v>0</v>
      </c>
      <c r="O1203" s="5">
        <f t="shared" si="524"/>
        <v>0</v>
      </c>
      <c r="P1203" s="5">
        <f t="shared" si="524"/>
        <v>0</v>
      </c>
      <c r="Q1203" s="5">
        <f t="shared" si="524"/>
        <v>0</v>
      </c>
      <c r="R1203" s="5">
        <f t="shared" si="524"/>
        <v>0</v>
      </c>
      <c r="S1203" s="5">
        <f t="shared" si="524"/>
        <v>0</v>
      </c>
      <c r="T1203" s="5">
        <f t="shared" si="524"/>
        <v>0</v>
      </c>
      <c r="U1203" s="5">
        <f t="shared" si="524"/>
        <v>0</v>
      </c>
      <c r="V1203" s="5">
        <f t="shared" si="524"/>
        <v>0</v>
      </c>
      <c r="W1203" s="5">
        <f t="shared" si="524"/>
        <v>0</v>
      </c>
      <c r="X1203" s="5">
        <f t="shared" si="524"/>
        <v>0</v>
      </c>
    </row>
    <row r="1204" spans="1:24" hidden="1">
      <c r="A1204" s="165"/>
      <c r="B1204" s="14" t="s">
        <v>399</v>
      </c>
      <c r="K1204" s="16">
        <f>ROUND(SUM(K1205:K1209),0)</f>
        <v>0</v>
      </c>
      <c r="L1204" s="16">
        <f t="shared" ref="L1204:X1204" si="525">ROUND(SUM(L1205:L1209),0)</f>
        <v>0</v>
      </c>
      <c r="M1204" s="16">
        <f t="shared" si="525"/>
        <v>0</v>
      </c>
      <c r="N1204" s="16">
        <f t="shared" si="525"/>
        <v>0</v>
      </c>
      <c r="O1204" s="16">
        <f t="shared" si="525"/>
        <v>0</v>
      </c>
      <c r="P1204" s="16">
        <f t="shared" si="525"/>
        <v>0</v>
      </c>
      <c r="Q1204" s="16">
        <f t="shared" si="525"/>
        <v>0</v>
      </c>
      <c r="R1204" s="16">
        <f t="shared" si="525"/>
        <v>0</v>
      </c>
      <c r="S1204" s="16">
        <f t="shared" si="525"/>
        <v>0</v>
      </c>
      <c r="T1204" s="16">
        <f t="shared" si="525"/>
        <v>0</v>
      </c>
      <c r="U1204" s="16">
        <f t="shared" si="525"/>
        <v>0</v>
      </c>
      <c r="V1204" s="16">
        <f t="shared" si="525"/>
        <v>0</v>
      </c>
      <c r="W1204" s="16">
        <f t="shared" si="525"/>
        <v>0</v>
      </c>
      <c r="X1204" s="16">
        <f t="shared" si="525"/>
        <v>0</v>
      </c>
    </row>
    <row r="1205" spans="1:24" hidden="1">
      <c r="A1205" s="165"/>
      <c r="B1205" s="8" t="s">
        <v>400</v>
      </c>
      <c r="K1205" s="5">
        <f t="shared" ref="K1205:X1205" si="526">ROUND(K86,0)</f>
        <v>0</v>
      </c>
      <c r="L1205" s="5">
        <f t="shared" si="526"/>
        <v>0</v>
      </c>
      <c r="M1205" s="5">
        <f t="shared" si="526"/>
        <v>0</v>
      </c>
      <c r="N1205" s="5">
        <f t="shared" si="526"/>
        <v>0</v>
      </c>
      <c r="O1205" s="5">
        <f t="shared" si="526"/>
        <v>0</v>
      </c>
      <c r="P1205" s="5">
        <f t="shared" si="526"/>
        <v>0</v>
      </c>
      <c r="Q1205" s="5">
        <f t="shared" si="526"/>
        <v>0</v>
      </c>
      <c r="R1205" s="5">
        <f t="shared" si="526"/>
        <v>0</v>
      </c>
      <c r="S1205" s="5">
        <f t="shared" si="526"/>
        <v>0</v>
      </c>
      <c r="T1205" s="5">
        <f t="shared" si="526"/>
        <v>0</v>
      </c>
      <c r="U1205" s="5">
        <f t="shared" si="526"/>
        <v>0</v>
      </c>
      <c r="V1205" s="5">
        <f t="shared" si="526"/>
        <v>0</v>
      </c>
      <c r="W1205" s="5">
        <f t="shared" si="526"/>
        <v>0</v>
      </c>
      <c r="X1205" s="5">
        <f t="shared" si="526"/>
        <v>0</v>
      </c>
    </row>
    <row r="1206" spans="1:24" hidden="1">
      <c r="A1206" s="165"/>
      <c r="B1206" s="8" t="s">
        <v>401</v>
      </c>
      <c r="K1206" s="5">
        <f t="shared" ref="K1206:X1206" si="527">ROUND(K109,)</f>
        <v>0</v>
      </c>
      <c r="L1206" s="5">
        <f t="shared" si="527"/>
        <v>0</v>
      </c>
      <c r="M1206" s="5">
        <f t="shared" si="527"/>
        <v>0</v>
      </c>
      <c r="N1206" s="5">
        <f t="shared" si="527"/>
        <v>0</v>
      </c>
      <c r="O1206" s="5">
        <f t="shared" si="527"/>
        <v>0</v>
      </c>
      <c r="P1206" s="5">
        <f t="shared" si="527"/>
        <v>0</v>
      </c>
      <c r="Q1206" s="5">
        <f t="shared" si="527"/>
        <v>0</v>
      </c>
      <c r="R1206" s="5">
        <f t="shared" si="527"/>
        <v>0</v>
      </c>
      <c r="S1206" s="5">
        <f t="shared" si="527"/>
        <v>0</v>
      </c>
      <c r="T1206" s="5">
        <f t="shared" si="527"/>
        <v>0</v>
      </c>
      <c r="U1206" s="5">
        <f t="shared" si="527"/>
        <v>0</v>
      </c>
      <c r="V1206" s="5">
        <f t="shared" si="527"/>
        <v>0</v>
      </c>
      <c r="W1206" s="5">
        <f t="shared" si="527"/>
        <v>0</v>
      </c>
      <c r="X1206" s="5">
        <f t="shared" si="527"/>
        <v>0</v>
      </c>
    </row>
    <row r="1207" spans="1:24" hidden="1">
      <c r="A1207" s="165"/>
      <c r="B1207" s="8" t="s">
        <v>402</v>
      </c>
      <c r="K1207" s="5">
        <f t="shared" ref="K1207:X1207" si="528">ROUND(K162,0)</f>
        <v>0</v>
      </c>
      <c r="L1207" s="5">
        <f t="shared" si="528"/>
        <v>0</v>
      </c>
      <c r="M1207" s="5">
        <f t="shared" si="528"/>
        <v>0</v>
      </c>
      <c r="N1207" s="5">
        <f t="shared" si="528"/>
        <v>0</v>
      </c>
      <c r="O1207" s="5">
        <f t="shared" si="528"/>
        <v>0</v>
      </c>
      <c r="P1207" s="5">
        <f t="shared" si="528"/>
        <v>0</v>
      </c>
      <c r="Q1207" s="5">
        <f t="shared" si="528"/>
        <v>0</v>
      </c>
      <c r="R1207" s="5">
        <f t="shared" si="528"/>
        <v>0</v>
      </c>
      <c r="S1207" s="5">
        <f t="shared" si="528"/>
        <v>0</v>
      </c>
      <c r="T1207" s="5">
        <f t="shared" si="528"/>
        <v>0</v>
      </c>
      <c r="U1207" s="5">
        <f t="shared" si="528"/>
        <v>0</v>
      </c>
      <c r="V1207" s="5">
        <f t="shared" si="528"/>
        <v>0</v>
      </c>
      <c r="W1207" s="5">
        <f t="shared" si="528"/>
        <v>0</v>
      </c>
      <c r="X1207" s="5">
        <f t="shared" si="528"/>
        <v>0</v>
      </c>
    </row>
    <row r="1208" spans="1:24" hidden="1">
      <c r="A1208" s="165"/>
      <c r="B1208" s="8" t="s">
        <v>403</v>
      </c>
      <c r="K1208" s="5">
        <f t="shared" ref="K1208:X1208" si="529">ROUND(K180,0)</f>
        <v>0</v>
      </c>
      <c r="L1208" s="5">
        <f t="shared" si="529"/>
        <v>0</v>
      </c>
      <c r="M1208" s="5">
        <f t="shared" si="529"/>
        <v>0</v>
      </c>
      <c r="N1208" s="5">
        <f t="shared" si="529"/>
        <v>0</v>
      </c>
      <c r="O1208" s="5">
        <f t="shared" si="529"/>
        <v>0</v>
      </c>
      <c r="P1208" s="5">
        <f t="shared" si="529"/>
        <v>0</v>
      </c>
      <c r="Q1208" s="5">
        <f t="shared" si="529"/>
        <v>0</v>
      </c>
      <c r="R1208" s="5">
        <f t="shared" si="529"/>
        <v>0</v>
      </c>
      <c r="S1208" s="5">
        <f t="shared" si="529"/>
        <v>0</v>
      </c>
      <c r="T1208" s="5">
        <f t="shared" si="529"/>
        <v>0</v>
      </c>
      <c r="U1208" s="5">
        <f t="shared" si="529"/>
        <v>0</v>
      </c>
      <c r="V1208" s="5">
        <f t="shared" si="529"/>
        <v>0</v>
      </c>
      <c r="W1208" s="5">
        <f t="shared" si="529"/>
        <v>0</v>
      </c>
      <c r="X1208" s="5">
        <f t="shared" si="529"/>
        <v>0</v>
      </c>
    </row>
    <row r="1209" spans="1:24" hidden="1">
      <c r="A1209" s="165"/>
      <c r="B1209" s="8" t="s">
        <v>404</v>
      </c>
      <c r="K1209" s="5">
        <f t="shared" ref="K1209:X1209" si="530">ROUND(K198,0)</f>
        <v>0</v>
      </c>
      <c r="L1209" s="5">
        <f t="shared" si="530"/>
        <v>0</v>
      </c>
      <c r="M1209" s="5">
        <f t="shared" si="530"/>
        <v>0</v>
      </c>
      <c r="N1209" s="5">
        <f t="shared" si="530"/>
        <v>0</v>
      </c>
      <c r="O1209" s="5">
        <f t="shared" si="530"/>
        <v>0</v>
      </c>
      <c r="P1209" s="5">
        <f t="shared" si="530"/>
        <v>0</v>
      </c>
      <c r="Q1209" s="5">
        <f t="shared" si="530"/>
        <v>0</v>
      </c>
      <c r="R1209" s="5">
        <f t="shared" si="530"/>
        <v>0</v>
      </c>
      <c r="S1209" s="5">
        <f t="shared" si="530"/>
        <v>0</v>
      </c>
      <c r="T1209" s="5">
        <f t="shared" si="530"/>
        <v>0</v>
      </c>
      <c r="U1209" s="5">
        <f t="shared" si="530"/>
        <v>0</v>
      </c>
      <c r="V1209" s="5">
        <f t="shared" si="530"/>
        <v>0</v>
      </c>
      <c r="W1209" s="5">
        <f t="shared" si="530"/>
        <v>0</v>
      </c>
      <c r="X1209" s="5">
        <f t="shared" si="530"/>
        <v>0</v>
      </c>
    </row>
    <row r="1210" spans="1:24" hidden="1">
      <c r="A1210" s="165"/>
      <c r="B1210" s="7" t="s">
        <v>465</v>
      </c>
      <c r="K1210" s="13">
        <f ca="1">ROUND(K1204+K1201,0)</f>
        <v>0</v>
      </c>
      <c r="L1210" s="13">
        <f t="shared" ref="L1210:X1210" ca="1" si="531">ROUND(L1204+L1201,0)</f>
        <v>0</v>
      </c>
      <c r="M1210" s="13">
        <f t="shared" ca="1" si="531"/>
        <v>0</v>
      </c>
      <c r="N1210" s="13">
        <f t="shared" ca="1" si="531"/>
        <v>0</v>
      </c>
      <c r="O1210" s="13">
        <f t="shared" ca="1" si="531"/>
        <v>0</v>
      </c>
      <c r="P1210" s="13">
        <f t="shared" ca="1" si="531"/>
        <v>0</v>
      </c>
      <c r="Q1210" s="13">
        <f t="shared" ca="1" si="531"/>
        <v>0</v>
      </c>
      <c r="R1210" s="13">
        <f t="shared" ca="1" si="531"/>
        <v>0</v>
      </c>
      <c r="S1210" s="13">
        <f t="shared" ca="1" si="531"/>
        <v>0</v>
      </c>
      <c r="T1210" s="13">
        <f t="shared" ca="1" si="531"/>
        <v>0</v>
      </c>
      <c r="U1210" s="13">
        <f t="shared" ca="1" si="531"/>
        <v>0</v>
      </c>
      <c r="V1210" s="13">
        <f t="shared" ca="1" si="531"/>
        <v>0</v>
      </c>
      <c r="W1210" s="13">
        <f t="shared" ca="1" si="531"/>
        <v>0</v>
      </c>
      <c r="X1210" s="13">
        <f t="shared" ca="1" si="531"/>
        <v>0</v>
      </c>
    </row>
    <row r="1211" spans="1:24" hidden="1">
      <c r="A1211" s="165"/>
      <c r="B1211" s="7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</row>
    <row r="1212" spans="1:24" hidden="1">
      <c r="A1212" s="165"/>
      <c r="B1212" s="7" t="s">
        <v>466</v>
      </c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</row>
    <row r="1213" spans="1:24" hidden="1">
      <c r="A1213" s="165"/>
      <c r="B1213" s="8" t="s">
        <v>467</v>
      </c>
      <c r="K1213" s="5">
        <f ca="1">K1201</f>
        <v>0</v>
      </c>
      <c r="L1213" s="5">
        <f t="shared" ref="L1213:X1213" ca="1" si="532">L1201</f>
        <v>0</v>
      </c>
      <c r="M1213" s="5">
        <f t="shared" ca="1" si="532"/>
        <v>0</v>
      </c>
      <c r="N1213" s="5">
        <f t="shared" ca="1" si="532"/>
        <v>0</v>
      </c>
      <c r="O1213" s="5">
        <f t="shared" ca="1" si="532"/>
        <v>0</v>
      </c>
      <c r="P1213" s="5">
        <f t="shared" ca="1" si="532"/>
        <v>0</v>
      </c>
      <c r="Q1213" s="5">
        <f t="shared" ca="1" si="532"/>
        <v>0</v>
      </c>
      <c r="R1213" s="5">
        <f t="shared" ca="1" si="532"/>
        <v>0</v>
      </c>
      <c r="S1213" s="5">
        <f t="shared" ca="1" si="532"/>
        <v>0</v>
      </c>
      <c r="T1213" s="5">
        <f t="shared" ca="1" si="532"/>
        <v>0</v>
      </c>
      <c r="U1213" s="5">
        <f t="shared" ca="1" si="532"/>
        <v>0</v>
      </c>
      <c r="V1213" s="5">
        <f t="shared" ca="1" si="532"/>
        <v>0</v>
      </c>
      <c r="W1213" s="5">
        <f t="shared" ca="1" si="532"/>
        <v>0</v>
      </c>
      <c r="X1213" s="5">
        <f t="shared" ca="1" si="532"/>
        <v>0</v>
      </c>
    </row>
    <row r="1214" spans="1:24" hidden="1">
      <c r="A1214" s="165"/>
      <c r="B1214" s="8" t="s">
        <v>468</v>
      </c>
      <c r="K1214" s="5">
        <f t="shared" ref="K1214:X1214" si="533">K1204</f>
        <v>0</v>
      </c>
      <c r="L1214" s="5">
        <f t="shared" si="533"/>
        <v>0</v>
      </c>
      <c r="M1214" s="5">
        <f t="shared" si="533"/>
        <v>0</v>
      </c>
      <c r="N1214" s="5">
        <f t="shared" si="533"/>
        <v>0</v>
      </c>
      <c r="O1214" s="5">
        <f t="shared" si="533"/>
        <v>0</v>
      </c>
      <c r="P1214" s="5">
        <f t="shared" si="533"/>
        <v>0</v>
      </c>
      <c r="Q1214" s="5">
        <f t="shared" si="533"/>
        <v>0</v>
      </c>
      <c r="R1214" s="5">
        <f t="shared" si="533"/>
        <v>0</v>
      </c>
      <c r="S1214" s="5">
        <f t="shared" si="533"/>
        <v>0</v>
      </c>
      <c r="T1214" s="5">
        <f t="shared" si="533"/>
        <v>0</v>
      </c>
      <c r="U1214" s="5">
        <f t="shared" si="533"/>
        <v>0</v>
      </c>
      <c r="V1214" s="5">
        <f t="shared" si="533"/>
        <v>0</v>
      </c>
      <c r="W1214" s="5">
        <f t="shared" si="533"/>
        <v>0</v>
      </c>
      <c r="X1214" s="5">
        <f t="shared" si="533"/>
        <v>0</v>
      </c>
    </row>
    <row r="1215" spans="1:24" hidden="1">
      <c r="A1215" s="165"/>
      <c r="B1215" s="8" t="s">
        <v>469</v>
      </c>
      <c r="K1215" s="5">
        <f t="shared" ref="K1215:X1215" si="534">K250</f>
        <v>0</v>
      </c>
      <c r="L1215" s="5">
        <f t="shared" si="534"/>
        <v>0</v>
      </c>
      <c r="M1215" s="5">
        <f t="shared" si="534"/>
        <v>0</v>
      </c>
      <c r="N1215" s="5">
        <f t="shared" si="534"/>
        <v>0</v>
      </c>
      <c r="O1215" s="5">
        <f t="shared" si="534"/>
        <v>0</v>
      </c>
      <c r="P1215" s="5">
        <f t="shared" si="534"/>
        <v>0</v>
      </c>
      <c r="Q1215" s="5">
        <f t="shared" si="534"/>
        <v>0</v>
      </c>
      <c r="R1215" s="5">
        <f t="shared" si="534"/>
        <v>0</v>
      </c>
      <c r="S1215" s="5">
        <f t="shared" si="534"/>
        <v>0</v>
      </c>
      <c r="T1215" s="5">
        <f t="shared" si="534"/>
        <v>0</v>
      </c>
      <c r="U1215" s="5">
        <f t="shared" si="534"/>
        <v>0</v>
      </c>
      <c r="V1215" s="5">
        <f t="shared" si="534"/>
        <v>0</v>
      </c>
      <c r="W1215" s="5">
        <f t="shared" si="534"/>
        <v>0</v>
      </c>
      <c r="X1215" s="5">
        <f t="shared" si="534"/>
        <v>0</v>
      </c>
    </row>
    <row r="1216" spans="1:24" hidden="1">
      <c r="A1216" s="165"/>
      <c r="B1216" s="7" t="s">
        <v>335</v>
      </c>
      <c r="K1216" s="13">
        <f ca="1">SUM(K1213:K1215)</f>
        <v>0</v>
      </c>
      <c r="L1216" s="13">
        <f t="shared" ref="L1216:X1216" ca="1" si="535">SUM(L1213:L1215)</f>
        <v>0</v>
      </c>
      <c r="M1216" s="13">
        <f t="shared" ca="1" si="535"/>
        <v>0</v>
      </c>
      <c r="N1216" s="13">
        <f ca="1">SUM(N1213:N1215)</f>
        <v>0</v>
      </c>
      <c r="O1216" s="13">
        <f t="shared" ca="1" si="535"/>
        <v>0</v>
      </c>
      <c r="P1216" s="13">
        <f t="shared" ca="1" si="535"/>
        <v>0</v>
      </c>
      <c r="Q1216" s="13">
        <f t="shared" ca="1" si="535"/>
        <v>0</v>
      </c>
      <c r="R1216" s="13">
        <f t="shared" ca="1" si="535"/>
        <v>0</v>
      </c>
      <c r="S1216" s="13">
        <f t="shared" ca="1" si="535"/>
        <v>0</v>
      </c>
      <c r="T1216" s="13">
        <f t="shared" ca="1" si="535"/>
        <v>0</v>
      </c>
      <c r="U1216" s="13">
        <f t="shared" ca="1" si="535"/>
        <v>0</v>
      </c>
      <c r="V1216" s="13">
        <f t="shared" ca="1" si="535"/>
        <v>0</v>
      </c>
      <c r="W1216" s="13">
        <f t="shared" ca="1" si="535"/>
        <v>0</v>
      </c>
      <c r="X1216" s="13">
        <f t="shared" ca="1" si="535"/>
        <v>0</v>
      </c>
    </row>
    <row r="1217" spans="1:24" hidden="1">
      <c r="A1217" s="259"/>
      <c r="B1217" s="7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</row>
    <row r="1218" spans="1:24" hidden="1">
      <c r="A1218" s="259"/>
      <c r="B1218" s="7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</row>
  </sheetData>
  <sheetProtection algorithmName="SHA-512" hashValue="XytPqCyqg1N01oCpD517WbU4iZFmxl7yZdYpdlZxxk6HDom/CwAnSaiuZQYvjoYnyzKjBhof9ao8Ui/oa6xAGA==" saltValue="95tLAio8qaiyIUYmUYbzcA==" spinCount="100000" sheet="1" objects="1" scenarios="1"/>
  <mergeCells count="1">
    <mergeCell ref="B2:E3"/>
  </mergeCells>
  <conditionalFormatting sqref="F28:F29">
    <cfRule type="cellIs" dxfId="412" priority="67" operator="equal">
      <formula>0</formula>
    </cfRule>
  </conditionalFormatting>
  <conditionalFormatting sqref="E28">
    <cfRule type="cellIs" dxfId="411" priority="66" operator="equal">
      <formula>0</formula>
    </cfRule>
  </conditionalFormatting>
  <conditionalFormatting sqref="F58:F72">
    <cfRule type="cellIs" dxfId="410" priority="65" operator="equal">
      <formula>0</formula>
    </cfRule>
  </conditionalFormatting>
  <conditionalFormatting sqref="E58:E72">
    <cfRule type="cellIs" dxfId="409" priority="64" operator="equal">
      <formula>0</formula>
    </cfRule>
  </conditionalFormatting>
  <conditionalFormatting sqref="F81:F85">
    <cfRule type="cellIs" dxfId="408" priority="63" operator="equal">
      <formula>0</formula>
    </cfRule>
  </conditionalFormatting>
  <conditionalFormatting sqref="F117:F155">
    <cfRule type="cellIs" dxfId="407" priority="61" operator="equal">
      <formula>0</formula>
    </cfRule>
  </conditionalFormatting>
  <conditionalFormatting sqref="E118:E155">
    <cfRule type="cellIs" dxfId="406" priority="60" operator="equal">
      <formula>0</formula>
    </cfRule>
  </conditionalFormatting>
  <conditionalFormatting sqref="F170:F179">
    <cfRule type="cellIs" dxfId="405" priority="59" operator="equal">
      <formula>0</formula>
    </cfRule>
  </conditionalFormatting>
  <conditionalFormatting sqref="E171:E179">
    <cfRule type="cellIs" dxfId="404" priority="58" operator="equal">
      <formula>0</formula>
    </cfRule>
  </conditionalFormatting>
  <conditionalFormatting sqref="F188:F197">
    <cfRule type="cellIs" dxfId="403" priority="57" operator="equal">
      <formula>0</formula>
    </cfRule>
  </conditionalFormatting>
  <conditionalFormatting sqref="E189:E197">
    <cfRule type="cellIs" dxfId="402" priority="56" operator="equal">
      <formula>0</formula>
    </cfRule>
  </conditionalFormatting>
  <conditionalFormatting sqref="F94:F103">
    <cfRule type="cellIs" dxfId="401" priority="55" operator="equal">
      <formula>0</formula>
    </cfRule>
  </conditionalFormatting>
  <conditionalFormatting sqref="C104:C108">
    <cfRule type="cellIs" dxfId="400" priority="39" operator="equal">
      <formula>0</formula>
    </cfRule>
  </conditionalFormatting>
  <conditionalFormatting sqref="F104">
    <cfRule type="cellIs" dxfId="399" priority="49" operator="equal">
      <formula>0</formula>
    </cfRule>
  </conditionalFormatting>
  <conditionalFormatting sqref="F105">
    <cfRule type="cellIs" dxfId="398" priority="47" operator="equal">
      <formula>0</formula>
    </cfRule>
  </conditionalFormatting>
  <conditionalFormatting sqref="F106">
    <cfRule type="cellIs" dxfId="397" priority="45" operator="equal">
      <formula>0</formula>
    </cfRule>
  </conditionalFormatting>
  <conditionalFormatting sqref="F107">
    <cfRule type="cellIs" dxfId="396" priority="43" operator="equal">
      <formula>0</formula>
    </cfRule>
  </conditionalFormatting>
  <conditionalFormatting sqref="F108">
    <cfRule type="cellIs" dxfId="395" priority="41" operator="equal">
      <formula>0</formula>
    </cfRule>
  </conditionalFormatting>
  <conditionalFormatting sqref="B104:B108">
    <cfRule type="containsText" dxfId="394" priority="38" operator="containsText" text="zrealizowane">
      <formula>NOT(ISERROR(SEARCH("zrealizowane",B104)))</formula>
    </cfRule>
  </conditionalFormatting>
  <conditionalFormatting sqref="F158:F161">
    <cfRule type="cellIs" dxfId="393" priority="37" operator="equal">
      <formula>0</formula>
    </cfRule>
  </conditionalFormatting>
  <conditionalFormatting sqref="E158:E161">
    <cfRule type="cellIs" dxfId="392" priority="36" operator="equal">
      <formula>0</formula>
    </cfRule>
  </conditionalFormatting>
  <conditionalFormatting sqref="F156">
    <cfRule type="cellIs" dxfId="391" priority="35" operator="equal">
      <formula>0</formula>
    </cfRule>
  </conditionalFormatting>
  <conditionalFormatting sqref="E156:E161">
    <cfRule type="cellIs" dxfId="390" priority="34" operator="equal">
      <formula>0</formula>
    </cfRule>
  </conditionalFormatting>
  <conditionalFormatting sqref="F157">
    <cfRule type="cellIs" dxfId="389" priority="33" operator="equal">
      <formula>0</formula>
    </cfRule>
  </conditionalFormatting>
  <conditionalFormatting sqref="E157">
    <cfRule type="cellIs" dxfId="388" priority="32" operator="equal">
      <formula>0</formula>
    </cfRule>
  </conditionalFormatting>
  <conditionalFormatting sqref="C157:C161">
    <cfRule type="cellIs" dxfId="387" priority="31" operator="equal">
      <formula>0</formula>
    </cfRule>
  </conditionalFormatting>
  <conditionalFormatting sqref="B157:B161">
    <cfRule type="containsText" dxfId="386" priority="30" operator="containsText" text="zrealizowane">
      <formula>NOT(ISERROR(SEARCH("zrealizowane",B157)))</formula>
    </cfRule>
  </conditionalFormatting>
  <conditionalFormatting sqref="E81:E85">
    <cfRule type="cellIs" dxfId="385" priority="29" operator="equal">
      <formula>0</formula>
    </cfRule>
  </conditionalFormatting>
  <conditionalFormatting sqref="E94:E108">
    <cfRule type="cellIs" dxfId="384" priority="28" operator="equal">
      <formula>0</formula>
    </cfRule>
  </conditionalFormatting>
  <conditionalFormatting sqref="E117">
    <cfRule type="cellIs" dxfId="383" priority="27" operator="equal">
      <formula>0</formula>
    </cfRule>
  </conditionalFormatting>
  <conditionalFormatting sqref="E170">
    <cfRule type="cellIs" dxfId="382" priority="26" operator="equal">
      <formula>0</formula>
    </cfRule>
  </conditionalFormatting>
  <conditionalFormatting sqref="E188">
    <cfRule type="cellIs" dxfId="381" priority="25" operator="equal">
      <formula>0</formula>
    </cfRule>
  </conditionalFormatting>
  <conditionalFormatting sqref="G58:G72">
    <cfRule type="expression" dxfId="380" priority="24">
      <formula>G58=0</formula>
    </cfRule>
  </conditionalFormatting>
  <conditionalFormatting sqref="G81:G85">
    <cfRule type="expression" dxfId="379" priority="23">
      <formula>G81=0</formula>
    </cfRule>
  </conditionalFormatting>
  <conditionalFormatting sqref="G94:G108">
    <cfRule type="expression" dxfId="378" priority="22">
      <formula>G94=0</formula>
    </cfRule>
  </conditionalFormatting>
  <conditionalFormatting sqref="G117:G161">
    <cfRule type="expression" dxfId="377" priority="21">
      <formula>G117=0</formula>
    </cfRule>
  </conditionalFormatting>
  <conditionalFormatting sqref="G170:G179">
    <cfRule type="expression" dxfId="376" priority="20">
      <formula>G170=0</formula>
    </cfRule>
  </conditionalFormatting>
  <conditionalFormatting sqref="G188:G197">
    <cfRule type="expression" dxfId="375" priority="19">
      <formula>G188=0</formula>
    </cfRule>
  </conditionalFormatting>
  <conditionalFormatting sqref="E29:E49">
    <cfRule type="cellIs" dxfId="374" priority="7" operator="equal">
      <formula>0</formula>
    </cfRule>
  </conditionalFormatting>
  <conditionalFormatting sqref="F30:F49">
    <cfRule type="cellIs" dxfId="373" priority="6" operator="equal">
      <formula>0</formula>
    </cfRule>
  </conditionalFormatting>
  <conditionalFormatting sqref="G28:G49">
    <cfRule type="expression" dxfId="372" priority="4">
      <formula>G28=0</formula>
    </cfRule>
  </conditionalFormatting>
  <conditionalFormatting sqref="C206:C245 G206:G245">
    <cfRule type="cellIs" dxfId="371" priority="3" operator="equal">
      <formula>0</formula>
    </cfRule>
  </conditionalFormatting>
  <conditionalFormatting sqref="K15:X19">
    <cfRule type="expression" dxfId="370" priority="1">
      <formula>AND(K$12&gt;Koniec_Projekt,K$12&lt;=Koniec)</formula>
    </cfRule>
    <cfRule type="expression" dxfId="369" priority="2">
      <formula>K$12&lt;=Koniec</formula>
    </cfRule>
  </conditionalFormatting>
  <dataValidations disablePrompts="1" count="3">
    <dataValidation operator="equal" allowBlank="1" showInputMessage="1" showErrorMessage="1" sqref="D206" xr:uid="{8CEFAB42-81BE-4764-945B-56648CCDD67A}"/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206:H245" xr:uid="{45C31C15-535A-407D-8CA1-E480DACBE9DC}">
      <formula1>AND(H206&gt;0,H206&lt;=1,$F206="tak",$G206="nie")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206:F245" xr:uid="{BCA8FF72-2072-4779-8A64-0CF555FFC462}">
      <formula1>tak_nie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&amp;L&amp;F&amp;CStrona &amp;P z &amp;N&amp;RData i godzina wydruku: &amp;D &amp;T</oddFooter>
  </headerFooter>
  <rowBreaks count="7" manualBreakCount="7">
    <brk id="56" min="1" max="23" man="1"/>
    <brk id="79" min="1" max="23" man="1"/>
    <brk id="115" min="1" max="23" man="1"/>
    <brk id="168" min="1" max="23" man="1"/>
    <brk id="204" min="1" max="23" man="1"/>
    <brk id="246" min="1" max="23" man="1"/>
    <brk id="259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91440</xdr:rowOff>
                  </from>
                  <to>
                    <xdr:col>13</xdr:col>
                    <xdr:colOff>175260</xdr:colOff>
                    <xdr:row>10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Y201"/>
  <sheetViews>
    <sheetView showGridLines="0" workbookViewId="0"/>
  </sheetViews>
  <sheetFormatPr defaultColWidth="0" defaultRowHeight="12" zeroHeight="1"/>
  <cols>
    <col min="1" max="1" width="2.85546875" style="1" customWidth="1"/>
    <col min="2" max="2" width="45.7109375" style="1" bestFit="1" customWidth="1"/>
    <col min="3" max="6" width="9.28515625" style="1" hidden="1" customWidth="1"/>
    <col min="7" max="24" width="12.85546875" style="1" customWidth="1"/>
    <col min="25" max="25" width="2.85546875" style="1" customWidth="1"/>
    <col min="26" max="16384" width="9.28515625" style="1" hidden="1"/>
  </cols>
  <sheetData>
    <row r="1" spans="2:24"/>
    <row r="2" spans="2:24" ht="12" customHeight="1">
      <c r="B2" s="543" t="str">
        <f>'Rozliczenie dotacji'!$B$2:$E$3</f>
        <v>Wstaw nazwę firmy w zakładce Dane Firmy</v>
      </c>
      <c r="C2" s="543"/>
      <c r="D2" s="543"/>
      <c r="E2" s="543"/>
      <c r="F2" s="543"/>
      <c r="G2" s="543"/>
      <c r="H2" s="543"/>
      <c r="I2" s="543"/>
      <c r="J2" s="543"/>
      <c r="K2" s="543"/>
    </row>
    <row r="3" spans="2:24" ht="12" customHeight="1">
      <c r="B3" s="544"/>
      <c r="C3" s="544"/>
      <c r="D3" s="544"/>
      <c r="E3" s="544"/>
      <c r="F3" s="544"/>
      <c r="G3" s="544"/>
      <c r="H3" s="544"/>
      <c r="I3" s="544"/>
      <c r="J3" s="544"/>
      <c r="K3" s="544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4">
      <c r="B12" s="23" t="s">
        <v>470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3" t="s">
        <v>471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</row>
    <row r="15" spans="2:24" ht="36" customHeight="1">
      <c r="B15" s="20"/>
    </row>
    <row r="16" spans="2:24">
      <c r="B16" s="204" t="s">
        <v>472</v>
      </c>
      <c r="C16" s="30"/>
      <c r="D16" s="30"/>
      <c r="E16" s="30"/>
      <c r="F16" s="30"/>
      <c r="G16" s="31">
        <f>ROUND(IFERROR('Ocena kondycji finansowej'!G66,0),0)</f>
        <v>0</v>
      </c>
      <c r="H16" s="31">
        <f>ROUND(IFERROR('Ocena kondycji finansowej'!H66,0),0)</f>
        <v>0</v>
      </c>
      <c r="I16" s="31">
        <f>ROUND(IFERROR('Ocena kondycji finansowej'!I66,0),0)</f>
        <v>0</v>
      </c>
      <c r="J16" s="31">
        <f>ROUND(IFERROR('Ocena kondycji finansowej'!J66,0),0)</f>
        <v>0</v>
      </c>
      <c r="K16" s="31">
        <f t="shared" ref="K16:X16" ca="1" si="1">IF($G$193=1,IFERROR(ROUND((K199/K18)*K19,0),0),0)</f>
        <v>0</v>
      </c>
      <c r="L16" s="31">
        <f t="shared" ca="1" si="1"/>
        <v>0</v>
      </c>
      <c r="M16" s="31">
        <f t="shared" ca="1" si="1"/>
        <v>0</v>
      </c>
      <c r="N16" s="31">
        <f t="shared" ca="1" si="1"/>
        <v>0</v>
      </c>
      <c r="O16" s="31">
        <f t="shared" ca="1" si="1"/>
        <v>0</v>
      </c>
      <c r="P16" s="31">
        <f t="shared" ca="1" si="1"/>
        <v>0</v>
      </c>
      <c r="Q16" s="31">
        <f t="shared" ca="1" si="1"/>
        <v>0</v>
      </c>
      <c r="R16" s="31">
        <f t="shared" ca="1" si="1"/>
        <v>0</v>
      </c>
      <c r="S16" s="31">
        <f t="shared" ca="1" si="1"/>
        <v>0</v>
      </c>
      <c r="T16" s="31">
        <f t="shared" ca="1" si="1"/>
        <v>0</v>
      </c>
      <c r="U16" s="31">
        <f t="shared" ca="1" si="1"/>
        <v>0</v>
      </c>
      <c r="V16" s="31">
        <f t="shared" ca="1" si="1"/>
        <v>0</v>
      </c>
      <c r="W16" s="31">
        <f t="shared" ca="1" si="1"/>
        <v>0</v>
      </c>
      <c r="X16" s="31">
        <f t="shared" ca="1" si="1"/>
        <v>0</v>
      </c>
    </row>
    <row r="17" spans="2:24">
      <c r="B17" s="104" t="s">
        <v>473</v>
      </c>
      <c r="C17" s="102"/>
      <c r="D17" s="102"/>
      <c r="E17" s="102"/>
      <c r="F17" s="102"/>
      <c r="G17" s="102" t="str">
        <f ca="1">'Ocena kondycji finansowej'!G145</f>
        <v>bd.</v>
      </c>
      <c r="H17" s="102" t="str">
        <f ca="1">'Ocena kondycji finansowej'!H145</f>
        <v>bd.</v>
      </c>
      <c r="I17" s="102" t="str">
        <f ca="1">'Ocena kondycji finansowej'!I145</f>
        <v>bd.</v>
      </c>
      <c r="J17" s="102" t="str">
        <f>'Ocena kondycji finansowej'!J145</f>
        <v>bd.</v>
      </c>
      <c r="K17" s="102" t="str">
        <f ca="1">IF($G$193=1,'Ocena kondycji finansowej'!K145,0)</f>
        <v>bd.</v>
      </c>
      <c r="L17" s="102" t="str">
        <f ca="1">IF($G$193=1,'Ocena kondycji finansowej'!L145,0)</f>
        <v>bd.</v>
      </c>
      <c r="M17" s="102" t="str">
        <f ca="1">IF($G$193=1,'Ocena kondycji finansowej'!M145,0)</f>
        <v>bd.</v>
      </c>
      <c r="N17" s="102" t="str">
        <f ca="1">IF($G$193=1,'Ocena kondycji finansowej'!N145,0)</f>
        <v>bd.</v>
      </c>
      <c r="O17" s="102" t="str">
        <f ca="1">IF($G$193=1,'Ocena kondycji finansowej'!O145,0)</f>
        <v>bd.</v>
      </c>
      <c r="P17" s="102" t="str">
        <f ca="1">IF($G$193=1,'Ocena kondycji finansowej'!P145,0)</f>
        <v>bd.</v>
      </c>
      <c r="Q17" s="102" t="str">
        <f ca="1">IF($G$193=1,'Ocena kondycji finansowej'!Q145,0)</f>
        <v>bd.</v>
      </c>
      <c r="R17" s="102" t="str">
        <f ca="1">IF($G$193=1,'Ocena kondycji finansowej'!R145,0)</f>
        <v>bd.</v>
      </c>
      <c r="S17" s="102" t="str">
        <f ca="1">IF($G$193=1,'Ocena kondycji finansowej'!S145,0)</f>
        <v>bd.</v>
      </c>
      <c r="T17" s="102" t="str">
        <f ca="1">IF($G$193=1,'Ocena kondycji finansowej'!T145,0)</f>
        <v>bd.</v>
      </c>
      <c r="U17" s="102" t="str">
        <f ca="1">IF($G$193=1,'Ocena kondycji finansowej'!U145,0)</f>
        <v>bd.</v>
      </c>
      <c r="V17" s="102" t="str">
        <f ca="1">IF($G$193=1,'Ocena kondycji finansowej'!V145,0)</f>
        <v>bd.</v>
      </c>
      <c r="W17" s="102" t="str">
        <f ca="1">IF($G$193=1,'Ocena kondycji finansowej'!W145,0)</f>
        <v>bd.</v>
      </c>
      <c r="X17" s="102" t="str">
        <f ca="1">IF($G$193=1,'Ocena kondycji finansowej'!X145,0)</f>
        <v>bd.</v>
      </c>
    </row>
    <row r="18" spans="2:24">
      <c r="B18" s="37" t="s">
        <v>474</v>
      </c>
      <c r="C18" s="52"/>
      <c r="D18" s="52"/>
      <c r="E18" s="52"/>
      <c r="F18" s="52"/>
      <c r="G18" s="52">
        <f t="shared" ref="G18:X18" ca="1" si="2">dni</f>
        <v>365</v>
      </c>
      <c r="H18" s="52">
        <f t="shared" ca="1" si="2"/>
        <v>365</v>
      </c>
      <c r="I18" s="52">
        <f t="shared" ca="1" si="2"/>
        <v>365</v>
      </c>
      <c r="J18" s="52" t="str">
        <f t="shared" si="2"/>
        <v/>
      </c>
      <c r="K18" s="52" t="str">
        <f t="shared" si="2"/>
        <v/>
      </c>
      <c r="L18" s="52" t="str">
        <f t="shared" si="2"/>
        <v/>
      </c>
      <c r="M18" s="52" t="str">
        <f t="shared" si="2"/>
        <v/>
      </c>
      <c r="N18" s="52" t="str">
        <f t="shared" si="2"/>
        <v/>
      </c>
      <c r="O18" s="52" t="str">
        <f t="shared" si="2"/>
        <v/>
      </c>
      <c r="P18" s="52" t="str">
        <f t="shared" si="2"/>
        <v/>
      </c>
      <c r="Q18" s="52" t="str">
        <f t="shared" si="2"/>
        <v/>
      </c>
      <c r="R18" s="52" t="str">
        <f t="shared" si="2"/>
        <v/>
      </c>
      <c r="S18" s="52" t="str">
        <f t="shared" si="2"/>
        <v/>
      </c>
      <c r="T18" s="52" t="str">
        <f t="shared" si="2"/>
        <v/>
      </c>
      <c r="U18" s="52" t="str">
        <f t="shared" si="2"/>
        <v/>
      </c>
      <c r="V18" s="52" t="str">
        <f t="shared" si="2"/>
        <v/>
      </c>
      <c r="W18" s="52" t="str">
        <f t="shared" si="2"/>
        <v/>
      </c>
      <c r="X18" s="52" t="str">
        <f t="shared" si="2"/>
        <v/>
      </c>
    </row>
    <row r="19" spans="2:24">
      <c r="B19" s="37" t="s">
        <v>667</v>
      </c>
      <c r="C19" s="52"/>
      <c r="D19" s="52"/>
      <c r="E19" s="52"/>
      <c r="F19" s="52"/>
      <c r="G19" s="33">
        <f>ROUND(('Ocena kondycji finansowej'!G20-'Ocena kondycji finansowej'!G21),0)</f>
        <v>0</v>
      </c>
      <c r="H19" s="33">
        <f>ROUND(('Ocena kondycji finansowej'!H20-'Ocena kondycji finansowej'!H21),0)</f>
        <v>0</v>
      </c>
      <c r="I19" s="33">
        <f>ROUND(('Ocena kondycji finansowej'!I20-'Ocena kondycji finansowej'!I21),0)</f>
        <v>0</v>
      </c>
      <c r="J19" s="33">
        <f>ROUND(('Ocena kondycji finansowej'!J20-'Ocena kondycji finansowej'!J21),0)</f>
        <v>0</v>
      </c>
      <c r="K19" s="33">
        <f ca="1">ROUND(('Ocena kondycji finansowej'!K20-'Ocena kondycji finansowej'!K21),0)</f>
        <v>0</v>
      </c>
      <c r="L19" s="33">
        <f ca="1">ROUND(('Ocena kondycji finansowej'!L20-'Ocena kondycji finansowej'!L21),0)</f>
        <v>0</v>
      </c>
      <c r="M19" s="33">
        <f ca="1">ROUND(('Ocena kondycji finansowej'!M20-'Ocena kondycji finansowej'!M21),0)</f>
        <v>0</v>
      </c>
      <c r="N19" s="33">
        <f ca="1">ROUND(('Ocena kondycji finansowej'!N20-'Ocena kondycji finansowej'!N21),0)</f>
        <v>0</v>
      </c>
      <c r="O19" s="33">
        <f ca="1">ROUND(('Ocena kondycji finansowej'!O20-'Ocena kondycji finansowej'!O21),0)</f>
        <v>0</v>
      </c>
      <c r="P19" s="33">
        <f ca="1">ROUND(('Ocena kondycji finansowej'!P20-'Ocena kondycji finansowej'!P21),0)</f>
        <v>0</v>
      </c>
      <c r="Q19" s="33">
        <f ca="1">ROUND(('Ocena kondycji finansowej'!Q20-'Ocena kondycji finansowej'!Q21),0)</f>
        <v>0</v>
      </c>
      <c r="R19" s="33">
        <f ca="1">ROUND(('Ocena kondycji finansowej'!R20-'Ocena kondycji finansowej'!R21),0)</f>
        <v>0</v>
      </c>
      <c r="S19" s="33">
        <f ca="1">ROUND(('Ocena kondycji finansowej'!S20-'Ocena kondycji finansowej'!S21),0)</f>
        <v>0</v>
      </c>
      <c r="T19" s="33">
        <f ca="1">ROUND(('Ocena kondycji finansowej'!T20-'Ocena kondycji finansowej'!T21),0)</f>
        <v>0</v>
      </c>
      <c r="U19" s="33">
        <f ca="1">ROUND(('Ocena kondycji finansowej'!U20-'Ocena kondycji finansowej'!U21),0)</f>
        <v>0</v>
      </c>
      <c r="V19" s="33">
        <f ca="1">ROUND(('Ocena kondycji finansowej'!V20-'Ocena kondycji finansowej'!V21),0)</f>
        <v>0</v>
      </c>
      <c r="W19" s="33">
        <f ca="1">ROUND(('Ocena kondycji finansowej'!W20-'Ocena kondycji finansowej'!W21),0)</f>
        <v>0</v>
      </c>
      <c r="X19" s="33">
        <f ca="1">ROUND(('Ocena kondycji finansowej'!X20-'Ocena kondycji finansowej'!X21),0)</f>
        <v>0</v>
      </c>
    </row>
    <row r="20" spans="2:24"/>
    <row r="21" spans="2:24">
      <c r="B21" s="204" t="s">
        <v>475</v>
      </c>
      <c r="C21" s="30"/>
      <c r="D21" s="30"/>
      <c r="E21" s="30"/>
      <c r="F21" s="30"/>
      <c r="G21" s="31">
        <f>ROUND(G16,0)</f>
        <v>0</v>
      </c>
      <c r="H21" s="31">
        <f>ROUND(H16,0)</f>
        <v>0</v>
      </c>
      <c r="I21" s="31">
        <f>ROUND(I16,0)</f>
        <v>0</v>
      </c>
      <c r="J21" s="31">
        <f>ROUND(J16,0)</f>
        <v>0</v>
      </c>
      <c r="K21" s="31">
        <f t="shared" ref="K21:X21" si="3">IF($G$193=2,IFERROR(ROUND((K22/K23)*(SUM(K24:K24)),0),0),0)</f>
        <v>0</v>
      </c>
      <c r="L21" s="31">
        <f t="shared" si="3"/>
        <v>0</v>
      </c>
      <c r="M21" s="31">
        <f t="shared" si="3"/>
        <v>0</v>
      </c>
      <c r="N21" s="31">
        <f t="shared" si="3"/>
        <v>0</v>
      </c>
      <c r="O21" s="31">
        <f t="shared" si="3"/>
        <v>0</v>
      </c>
      <c r="P21" s="31">
        <f t="shared" si="3"/>
        <v>0</v>
      </c>
      <c r="Q21" s="31">
        <f t="shared" si="3"/>
        <v>0</v>
      </c>
      <c r="R21" s="31">
        <f t="shared" si="3"/>
        <v>0</v>
      </c>
      <c r="S21" s="31">
        <f t="shared" si="3"/>
        <v>0</v>
      </c>
      <c r="T21" s="31">
        <f t="shared" si="3"/>
        <v>0</v>
      </c>
      <c r="U21" s="31">
        <f t="shared" si="3"/>
        <v>0</v>
      </c>
      <c r="V21" s="31">
        <f t="shared" si="3"/>
        <v>0</v>
      </c>
      <c r="W21" s="31">
        <f t="shared" si="3"/>
        <v>0</v>
      </c>
      <c r="X21" s="31">
        <f t="shared" si="3"/>
        <v>0</v>
      </c>
    </row>
    <row r="22" spans="2:24">
      <c r="B22" s="94" t="s">
        <v>473</v>
      </c>
      <c r="C22" s="19"/>
      <c r="D22" s="19"/>
      <c r="E22" s="19"/>
      <c r="F22" s="19"/>
      <c r="G22" s="19" t="str">
        <f ca="1">G17</f>
        <v>bd.</v>
      </c>
      <c r="H22" s="19" t="str">
        <f ca="1">H17</f>
        <v>bd.</v>
      </c>
      <c r="I22" s="19" t="str">
        <f ca="1">I17</f>
        <v>bd.</v>
      </c>
      <c r="J22" s="19" t="str">
        <f>J17</f>
        <v>bd.</v>
      </c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</row>
    <row r="23" spans="2:24">
      <c r="B23" s="37" t="s">
        <v>474</v>
      </c>
      <c r="C23" s="52"/>
      <c r="D23" s="52"/>
      <c r="E23" s="52"/>
      <c r="F23" s="52"/>
      <c r="G23" s="52">
        <f ca="1">G18</f>
        <v>365</v>
      </c>
      <c r="H23" s="52">
        <f t="shared" ref="H23:X23" ca="1" si="4">H18</f>
        <v>365</v>
      </c>
      <c r="I23" s="52">
        <f t="shared" ca="1" si="4"/>
        <v>365</v>
      </c>
      <c r="J23" s="52" t="str">
        <f t="shared" si="4"/>
        <v/>
      </c>
      <c r="K23" s="52" t="str">
        <f t="shared" si="4"/>
        <v/>
      </c>
      <c r="L23" s="52" t="str">
        <f t="shared" si="4"/>
        <v/>
      </c>
      <c r="M23" s="52" t="str">
        <f t="shared" si="4"/>
        <v/>
      </c>
      <c r="N23" s="52" t="str">
        <f t="shared" si="4"/>
        <v/>
      </c>
      <c r="O23" s="52" t="str">
        <f t="shared" si="4"/>
        <v/>
      </c>
      <c r="P23" s="52" t="str">
        <f t="shared" si="4"/>
        <v/>
      </c>
      <c r="Q23" s="52" t="str">
        <f t="shared" si="4"/>
        <v/>
      </c>
      <c r="R23" s="52" t="str">
        <f t="shared" si="4"/>
        <v/>
      </c>
      <c r="S23" s="52" t="str">
        <f t="shared" si="4"/>
        <v/>
      </c>
      <c r="T23" s="52" t="str">
        <f t="shared" si="4"/>
        <v/>
      </c>
      <c r="U23" s="52" t="str">
        <f t="shared" si="4"/>
        <v/>
      </c>
      <c r="V23" s="52" t="str">
        <f t="shared" si="4"/>
        <v/>
      </c>
      <c r="W23" s="52" t="str">
        <f t="shared" si="4"/>
        <v/>
      </c>
      <c r="X23" s="52" t="str">
        <f t="shared" si="4"/>
        <v/>
      </c>
    </row>
    <row r="24" spans="2:24">
      <c r="B24" s="37" t="s">
        <v>667</v>
      </c>
      <c r="C24" s="52"/>
      <c r="D24" s="52"/>
      <c r="E24" s="52"/>
      <c r="F24" s="52"/>
      <c r="G24" s="33">
        <f>G19</f>
        <v>0</v>
      </c>
      <c r="H24" s="33">
        <f t="shared" ref="H24:X24" si="5">H19</f>
        <v>0</v>
      </c>
      <c r="I24" s="33">
        <f t="shared" si="5"/>
        <v>0</v>
      </c>
      <c r="J24" s="33">
        <f t="shared" si="5"/>
        <v>0</v>
      </c>
      <c r="K24" s="33">
        <f t="shared" ca="1" si="5"/>
        <v>0</v>
      </c>
      <c r="L24" s="33">
        <f t="shared" ca="1" si="5"/>
        <v>0</v>
      </c>
      <c r="M24" s="33">
        <f t="shared" ca="1" si="5"/>
        <v>0</v>
      </c>
      <c r="N24" s="33">
        <f t="shared" ca="1" si="5"/>
        <v>0</v>
      </c>
      <c r="O24" s="33">
        <f t="shared" ca="1" si="5"/>
        <v>0</v>
      </c>
      <c r="P24" s="33">
        <f t="shared" ca="1" si="5"/>
        <v>0</v>
      </c>
      <c r="Q24" s="33">
        <f t="shared" ca="1" si="5"/>
        <v>0</v>
      </c>
      <c r="R24" s="33">
        <f t="shared" ca="1" si="5"/>
        <v>0</v>
      </c>
      <c r="S24" s="33">
        <f t="shared" ca="1" si="5"/>
        <v>0</v>
      </c>
      <c r="T24" s="33">
        <f t="shared" ca="1" si="5"/>
        <v>0</v>
      </c>
      <c r="U24" s="33">
        <f t="shared" ca="1" si="5"/>
        <v>0</v>
      </c>
      <c r="V24" s="33">
        <f t="shared" ca="1" si="5"/>
        <v>0</v>
      </c>
      <c r="W24" s="33">
        <f t="shared" ca="1" si="5"/>
        <v>0</v>
      </c>
      <c r="X24" s="33">
        <f t="shared" ca="1" si="5"/>
        <v>0</v>
      </c>
    </row>
    <row r="25" spans="2:24"/>
    <row r="26" spans="2:24">
      <c r="B26" s="29" t="s">
        <v>476</v>
      </c>
      <c r="C26" s="30"/>
      <c r="D26" s="30"/>
      <c r="E26" s="30"/>
      <c r="F26" s="30"/>
      <c r="G26" s="31">
        <f>ROUND(G16,0)</f>
        <v>0</v>
      </c>
      <c r="H26" s="31">
        <f>ROUND(H16,0)</f>
        <v>0</v>
      </c>
      <c r="I26" s="31">
        <f>ROUND(I16,0)</f>
        <v>0</v>
      </c>
      <c r="J26" s="31">
        <f>ROUND(J16,0)</f>
        <v>0</v>
      </c>
      <c r="K26" s="31">
        <f ca="1">ROUND(IF($G$193=1,K16,K21),0)</f>
        <v>0</v>
      </c>
      <c r="L26" s="31">
        <f t="shared" ref="L26:X26" ca="1" si="6">ROUND(IF($G$193=1,L16,L21),0)</f>
        <v>0</v>
      </c>
      <c r="M26" s="31">
        <f t="shared" ca="1" si="6"/>
        <v>0</v>
      </c>
      <c r="N26" s="31">
        <f t="shared" ca="1" si="6"/>
        <v>0</v>
      </c>
      <c r="O26" s="31">
        <f t="shared" ca="1" si="6"/>
        <v>0</v>
      </c>
      <c r="P26" s="31">
        <f t="shared" ca="1" si="6"/>
        <v>0</v>
      </c>
      <c r="Q26" s="31">
        <f t="shared" ca="1" si="6"/>
        <v>0</v>
      </c>
      <c r="R26" s="31">
        <f t="shared" ca="1" si="6"/>
        <v>0</v>
      </c>
      <c r="S26" s="31">
        <f t="shared" ca="1" si="6"/>
        <v>0</v>
      </c>
      <c r="T26" s="31">
        <f t="shared" ca="1" si="6"/>
        <v>0</v>
      </c>
      <c r="U26" s="31">
        <f t="shared" ca="1" si="6"/>
        <v>0</v>
      </c>
      <c r="V26" s="31">
        <f t="shared" ca="1" si="6"/>
        <v>0</v>
      </c>
      <c r="W26" s="31">
        <f t="shared" ca="1" si="6"/>
        <v>0</v>
      </c>
      <c r="X26" s="31">
        <f t="shared" ca="1" si="6"/>
        <v>0</v>
      </c>
    </row>
    <row r="27" spans="2:24"/>
    <row r="28" spans="2:24"/>
    <row r="29" spans="2:24">
      <c r="B29" s="233" t="s">
        <v>477</v>
      </c>
      <c r="C29" s="234"/>
      <c r="D29" s="234"/>
      <c r="E29" s="234"/>
      <c r="F29" s="234"/>
      <c r="G29" s="235">
        <f t="shared" ref="G29:X29" ca="1" si="7">LataProjekcji</f>
        <v>0</v>
      </c>
      <c r="H29" s="235">
        <f t="shared" ca="1" si="7"/>
        <v>0</v>
      </c>
      <c r="I29" s="235">
        <f t="shared" ca="1" si="7"/>
        <v>0</v>
      </c>
      <c r="J29" s="237" t="str">
        <f t="shared" si="7"/>
        <v/>
      </c>
      <c r="K29" s="235" t="str">
        <f t="shared" si="7"/>
        <v>Uzupełnij dane</v>
      </c>
      <c r="L29" s="235" t="str">
        <f t="shared" si="7"/>
        <v/>
      </c>
      <c r="M29" s="235" t="str">
        <f t="shared" si="7"/>
        <v/>
      </c>
      <c r="N29" s="235" t="str">
        <f t="shared" si="7"/>
        <v/>
      </c>
      <c r="O29" s="235" t="str">
        <f t="shared" si="7"/>
        <v/>
      </c>
      <c r="P29" s="235" t="str">
        <f t="shared" si="7"/>
        <v/>
      </c>
      <c r="Q29" s="235" t="str">
        <f t="shared" si="7"/>
        <v/>
      </c>
      <c r="R29" s="235" t="str">
        <f t="shared" si="7"/>
        <v/>
      </c>
      <c r="S29" s="235" t="str">
        <f t="shared" si="7"/>
        <v/>
      </c>
      <c r="T29" s="235" t="str">
        <f t="shared" si="7"/>
        <v/>
      </c>
      <c r="U29" s="235" t="str">
        <f t="shared" si="7"/>
        <v/>
      </c>
      <c r="V29" s="235" t="str">
        <f t="shared" si="7"/>
        <v/>
      </c>
      <c r="W29" s="235" t="str">
        <f t="shared" si="7"/>
        <v/>
      </c>
      <c r="X29" s="235" t="str">
        <f t="shared" si="7"/>
        <v/>
      </c>
    </row>
    <row r="30" spans="2:24" ht="36" customHeight="1">
      <c r="B30" s="20"/>
    </row>
    <row r="31" spans="2:24">
      <c r="B31" s="204" t="s">
        <v>472</v>
      </c>
      <c r="C31" s="30"/>
      <c r="D31" s="30"/>
      <c r="E31" s="30"/>
      <c r="F31" s="30"/>
      <c r="G31" s="31">
        <f>ROUND('Ocena kondycji finansowej'!G67,0)</f>
        <v>0</v>
      </c>
      <c r="H31" s="31">
        <f>ROUND('Ocena kondycji finansowej'!H67,0)</f>
        <v>0</v>
      </c>
      <c r="I31" s="31">
        <f>ROUND('Ocena kondycji finansowej'!I67,0)</f>
        <v>0</v>
      </c>
      <c r="J31" s="31">
        <f>ROUND('Ocena kondycji finansowej'!J67,0)</f>
        <v>0</v>
      </c>
      <c r="K31" s="31">
        <f t="shared" ref="K31:X31" ca="1" si="8">IF($G$194=1,IFERROR(ROUND((K200/K33)*(K34),0),0),0)</f>
        <v>0</v>
      </c>
      <c r="L31" s="31">
        <f t="shared" ca="1" si="8"/>
        <v>0</v>
      </c>
      <c r="M31" s="31">
        <f t="shared" ca="1" si="8"/>
        <v>0</v>
      </c>
      <c r="N31" s="31">
        <f t="shared" ca="1" si="8"/>
        <v>0</v>
      </c>
      <c r="O31" s="31">
        <f t="shared" ca="1" si="8"/>
        <v>0</v>
      </c>
      <c r="P31" s="31">
        <f t="shared" ca="1" si="8"/>
        <v>0</v>
      </c>
      <c r="Q31" s="31">
        <f t="shared" ca="1" si="8"/>
        <v>0</v>
      </c>
      <c r="R31" s="31">
        <f t="shared" ca="1" si="8"/>
        <v>0</v>
      </c>
      <c r="S31" s="31">
        <f t="shared" ca="1" si="8"/>
        <v>0</v>
      </c>
      <c r="T31" s="31">
        <f t="shared" ca="1" si="8"/>
        <v>0</v>
      </c>
      <c r="U31" s="31">
        <f t="shared" ca="1" si="8"/>
        <v>0</v>
      </c>
      <c r="V31" s="31">
        <f t="shared" ca="1" si="8"/>
        <v>0</v>
      </c>
      <c r="W31" s="31">
        <f t="shared" ca="1" si="8"/>
        <v>0</v>
      </c>
      <c r="X31" s="31">
        <f t="shared" ca="1" si="8"/>
        <v>0</v>
      </c>
    </row>
    <row r="32" spans="2:24">
      <c r="B32" s="104" t="s">
        <v>478</v>
      </c>
      <c r="C32" s="102"/>
      <c r="D32" s="102"/>
      <c r="E32" s="102"/>
      <c r="F32" s="102"/>
      <c r="G32" s="102" t="str">
        <f ca="1">'Ocena kondycji finansowej'!G146</f>
        <v>bd.</v>
      </c>
      <c r="H32" s="102" t="str">
        <f ca="1">'Ocena kondycji finansowej'!H146</f>
        <v>bd.</v>
      </c>
      <c r="I32" s="102" t="str">
        <f ca="1">'Ocena kondycji finansowej'!I146</f>
        <v>bd.</v>
      </c>
      <c r="J32" s="102" t="str">
        <f>'Ocena kondycji finansowej'!J146</f>
        <v>bd.</v>
      </c>
      <c r="K32" s="102" t="str">
        <f ca="1">IF($G$194=1,'Ocena kondycji finansowej'!K146,0)</f>
        <v>bd.</v>
      </c>
      <c r="L32" s="102" t="str">
        <f ca="1">IF($G$194=1,'Ocena kondycji finansowej'!L146,0)</f>
        <v>bd.</v>
      </c>
      <c r="M32" s="102" t="str">
        <f ca="1">IF($G$194=1,'Ocena kondycji finansowej'!M146,0)</f>
        <v>bd.</v>
      </c>
      <c r="N32" s="102" t="str">
        <f ca="1">IF($G$194=1,'Ocena kondycji finansowej'!N146,0)</f>
        <v>bd.</v>
      </c>
      <c r="O32" s="102" t="str">
        <f ca="1">IF($G$194=1,'Ocena kondycji finansowej'!O146,0)</f>
        <v>bd.</v>
      </c>
      <c r="P32" s="102" t="str">
        <f ca="1">IF($G$194=1,'Ocena kondycji finansowej'!P146,0)</f>
        <v>bd.</v>
      </c>
      <c r="Q32" s="102" t="str">
        <f ca="1">IF($G$194=1,'Ocena kondycji finansowej'!Q146,0)</f>
        <v>bd.</v>
      </c>
      <c r="R32" s="102" t="str">
        <f ca="1">IF($G$194=1,'Ocena kondycji finansowej'!R146,0)</f>
        <v>bd.</v>
      </c>
      <c r="S32" s="102" t="str">
        <f ca="1">IF($G$194=1,'Ocena kondycji finansowej'!S146,0)</f>
        <v>bd.</v>
      </c>
      <c r="T32" s="102" t="str">
        <f ca="1">IF($G$194=1,'Ocena kondycji finansowej'!T146,0)</f>
        <v>bd.</v>
      </c>
      <c r="U32" s="102" t="str">
        <f ca="1">IF($G$194=1,'Ocena kondycji finansowej'!U146,0)</f>
        <v>bd.</v>
      </c>
      <c r="V32" s="102" t="str">
        <f ca="1">IF($G$194=1,'Ocena kondycji finansowej'!V146,0)</f>
        <v>bd.</v>
      </c>
      <c r="W32" s="102" t="str">
        <f ca="1">IF($G$194=1,'Ocena kondycji finansowej'!W146,0)</f>
        <v>bd.</v>
      </c>
      <c r="X32" s="102" t="str">
        <f ca="1">IF($G$194=1,'Ocena kondycji finansowej'!X146,0)</f>
        <v>bd.</v>
      </c>
    </row>
    <row r="33" spans="2:24">
      <c r="B33" s="37" t="s">
        <v>474</v>
      </c>
      <c r="C33" s="52"/>
      <c r="D33" s="52"/>
      <c r="E33" s="52"/>
      <c r="F33" s="52"/>
      <c r="G33" s="52">
        <f t="shared" ref="G33:X33" ca="1" si="9">dni</f>
        <v>365</v>
      </c>
      <c r="H33" s="52">
        <f t="shared" ca="1" si="9"/>
        <v>365</v>
      </c>
      <c r="I33" s="52">
        <f t="shared" ca="1" si="9"/>
        <v>365</v>
      </c>
      <c r="J33" s="52" t="str">
        <f t="shared" si="9"/>
        <v/>
      </c>
      <c r="K33" s="52" t="str">
        <f t="shared" si="9"/>
        <v/>
      </c>
      <c r="L33" s="52" t="str">
        <f t="shared" si="9"/>
        <v/>
      </c>
      <c r="M33" s="52" t="str">
        <f t="shared" si="9"/>
        <v/>
      </c>
      <c r="N33" s="52" t="str">
        <f t="shared" si="9"/>
        <v/>
      </c>
      <c r="O33" s="52" t="str">
        <f t="shared" si="9"/>
        <v/>
      </c>
      <c r="P33" s="52" t="str">
        <f t="shared" si="9"/>
        <v/>
      </c>
      <c r="Q33" s="52" t="str">
        <f t="shared" si="9"/>
        <v/>
      </c>
      <c r="R33" s="52" t="str">
        <f t="shared" si="9"/>
        <v/>
      </c>
      <c r="S33" s="52" t="str">
        <f t="shared" si="9"/>
        <v/>
      </c>
      <c r="T33" s="52" t="str">
        <f t="shared" si="9"/>
        <v/>
      </c>
      <c r="U33" s="52" t="str">
        <f t="shared" si="9"/>
        <v/>
      </c>
      <c r="V33" s="52" t="str">
        <f t="shared" si="9"/>
        <v/>
      </c>
      <c r="W33" s="52" t="str">
        <f t="shared" si="9"/>
        <v/>
      </c>
      <c r="X33" s="52" t="str">
        <f t="shared" si="9"/>
        <v/>
      </c>
    </row>
    <row r="34" spans="2:24">
      <c r="B34" s="37" t="s">
        <v>479</v>
      </c>
      <c r="C34" s="52"/>
      <c r="D34" s="52"/>
      <c r="E34" s="52"/>
      <c r="F34" s="52"/>
      <c r="G34" s="33">
        <f>'Ocena kondycji finansowej'!G15</f>
        <v>0</v>
      </c>
      <c r="H34" s="33">
        <f>'Ocena kondycji finansowej'!H15</f>
        <v>0</v>
      </c>
      <c r="I34" s="33">
        <f>'Ocena kondycji finansowej'!I15</f>
        <v>0</v>
      </c>
      <c r="J34" s="33">
        <f>'Ocena kondycji finansowej'!J15</f>
        <v>0</v>
      </c>
      <c r="K34" s="33">
        <f>'Ocena kondycji finansowej'!K15</f>
        <v>0</v>
      </c>
      <c r="L34" s="33">
        <f>'Ocena kondycji finansowej'!L15</f>
        <v>0</v>
      </c>
      <c r="M34" s="33">
        <f>'Ocena kondycji finansowej'!M15</f>
        <v>0</v>
      </c>
      <c r="N34" s="33">
        <f>'Ocena kondycji finansowej'!N15</f>
        <v>0</v>
      </c>
      <c r="O34" s="33">
        <f>'Ocena kondycji finansowej'!O15</f>
        <v>0</v>
      </c>
      <c r="P34" s="33">
        <f>'Ocena kondycji finansowej'!P15</f>
        <v>0</v>
      </c>
      <c r="Q34" s="33">
        <f>'Ocena kondycji finansowej'!Q15</f>
        <v>0</v>
      </c>
      <c r="R34" s="33">
        <f>'Ocena kondycji finansowej'!R15</f>
        <v>0</v>
      </c>
      <c r="S34" s="33">
        <f>'Ocena kondycji finansowej'!S15</f>
        <v>0</v>
      </c>
      <c r="T34" s="33">
        <f>'Ocena kondycji finansowej'!T15</f>
        <v>0</v>
      </c>
      <c r="U34" s="33">
        <f>'Ocena kondycji finansowej'!U15</f>
        <v>0</v>
      </c>
      <c r="V34" s="33">
        <f>'Ocena kondycji finansowej'!V15</f>
        <v>0</v>
      </c>
      <c r="W34" s="33">
        <f>'Ocena kondycji finansowej'!W15</f>
        <v>0</v>
      </c>
      <c r="X34" s="33">
        <f>'Ocena kondycji finansowej'!X15</f>
        <v>0</v>
      </c>
    </row>
    <row r="35" spans="2:24"/>
    <row r="36" spans="2:24">
      <c r="B36" s="204" t="s">
        <v>475</v>
      </c>
      <c r="C36" s="30"/>
      <c r="D36" s="30"/>
      <c r="E36" s="30"/>
      <c r="F36" s="30"/>
      <c r="G36" s="31">
        <f>ROUND(G31,0)</f>
        <v>0</v>
      </c>
      <c r="H36" s="31">
        <f>ROUND(H31,0)</f>
        <v>0</v>
      </c>
      <c r="I36" s="31">
        <f>ROUND(I31,0)</f>
        <v>0</v>
      </c>
      <c r="J36" s="31">
        <f>ROUND(J31,0)</f>
        <v>0</v>
      </c>
      <c r="K36" s="31">
        <f>IF($G$194=2,IFERROR(ROUND((K37/K38)*(K39),0),0),0)</f>
        <v>0</v>
      </c>
      <c r="L36" s="31">
        <f t="shared" ref="L36:X36" si="10">IF($G$194=2,IFERROR(ROUND((L37/L38)*(L39),0),0),0)</f>
        <v>0</v>
      </c>
      <c r="M36" s="31">
        <f t="shared" si="10"/>
        <v>0</v>
      </c>
      <c r="N36" s="31">
        <f t="shared" si="10"/>
        <v>0</v>
      </c>
      <c r="O36" s="31">
        <f t="shared" si="10"/>
        <v>0</v>
      </c>
      <c r="P36" s="31">
        <f t="shared" si="10"/>
        <v>0</v>
      </c>
      <c r="Q36" s="31">
        <f t="shared" si="10"/>
        <v>0</v>
      </c>
      <c r="R36" s="31">
        <f t="shared" si="10"/>
        <v>0</v>
      </c>
      <c r="S36" s="31">
        <f t="shared" si="10"/>
        <v>0</v>
      </c>
      <c r="T36" s="31">
        <f t="shared" si="10"/>
        <v>0</v>
      </c>
      <c r="U36" s="31">
        <f t="shared" si="10"/>
        <v>0</v>
      </c>
      <c r="V36" s="31">
        <f t="shared" si="10"/>
        <v>0</v>
      </c>
      <c r="W36" s="31">
        <f t="shared" si="10"/>
        <v>0</v>
      </c>
      <c r="X36" s="31">
        <f t="shared" si="10"/>
        <v>0</v>
      </c>
    </row>
    <row r="37" spans="2:24">
      <c r="B37" s="94" t="s">
        <v>478</v>
      </c>
      <c r="C37" s="19"/>
      <c r="D37" s="19"/>
      <c r="E37" s="19"/>
      <c r="F37" s="19"/>
      <c r="G37" s="19" t="str">
        <f t="shared" ref="G37:J38" ca="1" si="11">G32</f>
        <v>bd.</v>
      </c>
      <c r="H37" s="19" t="str">
        <f t="shared" ca="1" si="11"/>
        <v>bd.</v>
      </c>
      <c r="I37" s="19" t="str">
        <f t="shared" ca="1" si="11"/>
        <v>bd.</v>
      </c>
      <c r="J37" s="19" t="str">
        <f t="shared" si="11"/>
        <v>bd.</v>
      </c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</row>
    <row r="38" spans="2:24">
      <c r="B38" s="37" t="s">
        <v>474</v>
      </c>
      <c r="C38" s="52"/>
      <c r="D38" s="52"/>
      <c r="E38" s="52"/>
      <c r="F38" s="52"/>
      <c r="G38" s="52">
        <f t="shared" ca="1" si="11"/>
        <v>365</v>
      </c>
      <c r="H38" s="52">
        <f t="shared" ca="1" si="11"/>
        <v>365</v>
      </c>
      <c r="I38" s="52">
        <f t="shared" ca="1" si="11"/>
        <v>365</v>
      </c>
      <c r="J38" s="52" t="str">
        <f t="shared" si="11"/>
        <v/>
      </c>
      <c r="K38" s="52" t="str">
        <f t="shared" ref="K38:X38" si="12">K33</f>
        <v/>
      </c>
      <c r="L38" s="52" t="str">
        <f t="shared" si="12"/>
        <v/>
      </c>
      <c r="M38" s="52" t="str">
        <f t="shared" si="12"/>
        <v/>
      </c>
      <c r="N38" s="52" t="str">
        <f t="shared" si="12"/>
        <v/>
      </c>
      <c r="O38" s="52" t="str">
        <f t="shared" si="12"/>
        <v/>
      </c>
      <c r="P38" s="52" t="str">
        <f t="shared" si="12"/>
        <v/>
      </c>
      <c r="Q38" s="52" t="str">
        <f t="shared" si="12"/>
        <v/>
      </c>
      <c r="R38" s="52" t="str">
        <f t="shared" si="12"/>
        <v/>
      </c>
      <c r="S38" s="52" t="str">
        <f t="shared" si="12"/>
        <v/>
      </c>
      <c r="T38" s="52" t="str">
        <f t="shared" si="12"/>
        <v/>
      </c>
      <c r="U38" s="52" t="str">
        <f t="shared" si="12"/>
        <v/>
      </c>
      <c r="V38" s="52" t="str">
        <f t="shared" si="12"/>
        <v/>
      </c>
      <c r="W38" s="52" t="str">
        <f t="shared" si="12"/>
        <v/>
      </c>
      <c r="X38" s="52" t="str">
        <f t="shared" si="12"/>
        <v/>
      </c>
    </row>
    <row r="39" spans="2:24">
      <c r="B39" s="37" t="s">
        <v>479</v>
      </c>
      <c r="C39" s="52"/>
      <c r="D39" s="52"/>
      <c r="E39" s="52"/>
      <c r="F39" s="52"/>
      <c r="G39" s="33">
        <f>G34</f>
        <v>0</v>
      </c>
      <c r="H39" s="33">
        <f t="shared" ref="H39:X39" si="13">H34</f>
        <v>0</v>
      </c>
      <c r="I39" s="33">
        <f t="shared" si="13"/>
        <v>0</v>
      </c>
      <c r="J39" s="33">
        <f t="shared" si="13"/>
        <v>0</v>
      </c>
      <c r="K39" s="33">
        <f t="shared" si="13"/>
        <v>0</v>
      </c>
      <c r="L39" s="33">
        <f t="shared" si="13"/>
        <v>0</v>
      </c>
      <c r="M39" s="33">
        <f t="shared" si="13"/>
        <v>0</v>
      </c>
      <c r="N39" s="33">
        <f t="shared" si="13"/>
        <v>0</v>
      </c>
      <c r="O39" s="33">
        <f t="shared" si="13"/>
        <v>0</v>
      </c>
      <c r="P39" s="33">
        <f t="shared" si="13"/>
        <v>0</v>
      </c>
      <c r="Q39" s="33">
        <f t="shared" si="13"/>
        <v>0</v>
      </c>
      <c r="R39" s="33">
        <f t="shared" si="13"/>
        <v>0</v>
      </c>
      <c r="S39" s="33">
        <f t="shared" si="13"/>
        <v>0</v>
      </c>
      <c r="T39" s="33">
        <f t="shared" si="13"/>
        <v>0</v>
      </c>
      <c r="U39" s="33">
        <f t="shared" si="13"/>
        <v>0</v>
      </c>
      <c r="V39" s="33">
        <f t="shared" si="13"/>
        <v>0</v>
      </c>
      <c r="W39" s="33">
        <f t="shared" si="13"/>
        <v>0</v>
      </c>
      <c r="X39" s="33">
        <f t="shared" si="13"/>
        <v>0</v>
      </c>
    </row>
    <row r="40" spans="2:24"/>
    <row r="41" spans="2:24">
      <c r="B41" s="29" t="s">
        <v>480</v>
      </c>
      <c r="C41" s="30"/>
      <c r="D41" s="30"/>
      <c r="E41" s="30"/>
      <c r="F41" s="30"/>
      <c r="G41" s="31">
        <f>ROUND(G31,0)</f>
        <v>0</v>
      </c>
      <c r="H41" s="31">
        <f>ROUND(H31,0)</f>
        <v>0</v>
      </c>
      <c r="I41" s="31">
        <f>ROUND(I31,0)</f>
        <v>0</v>
      </c>
      <c r="J41" s="31">
        <f>ROUND(J31,0)</f>
        <v>0</v>
      </c>
      <c r="K41" s="31">
        <f t="shared" ref="K41:X41" ca="1" si="14">ROUND(IF($G$194=1,K31,K36),0)</f>
        <v>0</v>
      </c>
      <c r="L41" s="31">
        <f t="shared" ca="1" si="14"/>
        <v>0</v>
      </c>
      <c r="M41" s="31">
        <f t="shared" ca="1" si="14"/>
        <v>0</v>
      </c>
      <c r="N41" s="31">
        <f t="shared" ca="1" si="14"/>
        <v>0</v>
      </c>
      <c r="O41" s="31">
        <f t="shared" ca="1" si="14"/>
        <v>0</v>
      </c>
      <c r="P41" s="31">
        <f t="shared" ca="1" si="14"/>
        <v>0</v>
      </c>
      <c r="Q41" s="31">
        <f t="shared" ca="1" si="14"/>
        <v>0</v>
      </c>
      <c r="R41" s="31">
        <f t="shared" ca="1" si="14"/>
        <v>0</v>
      </c>
      <c r="S41" s="31">
        <f t="shared" ca="1" si="14"/>
        <v>0</v>
      </c>
      <c r="T41" s="31">
        <f t="shared" ca="1" si="14"/>
        <v>0</v>
      </c>
      <c r="U41" s="31">
        <f t="shared" ca="1" si="14"/>
        <v>0</v>
      </c>
      <c r="V41" s="31">
        <f t="shared" ca="1" si="14"/>
        <v>0</v>
      </c>
      <c r="W41" s="31">
        <f t="shared" ca="1" si="14"/>
        <v>0</v>
      </c>
      <c r="X41" s="31">
        <f t="shared" ca="1" si="14"/>
        <v>0</v>
      </c>
    </row>
    <row r="42" spans="2:24"/>
    <row r="43" spans="2:24"/>
    <row r="44" spans="2:24">
      <c r="B44" s="233" t="s">
        <v>481</v>
      </c>
      <c r="C44" s="234"/>
      <c r="D44" s="234"/>
      <c r="E44" s="234"/>
      <c r="F44" s="234"/>
      <c r="G44" s="235">
        <f t="shared" ref="G44:X44" ca="1" si="15">LataProjekcji</f>
        <v>0</v>
      </c>
      <c r="H44" s="235">
        <f t="shared" ca="1" si="15"/>
        <v>0</v>
      </c>
      <c r="I44" s="235">
        <f t="shared" ca="1" si="15"/>
        <v>0</v>
      </c>
      <c r="J44" s="237" t="str">
        <f t="shared" si="15"/>
        <v/>
      </c>
      <c r="K44" s="235" t="str">
        <f t="shared" si="15"/>
        <v>Uzupełnij dane</v>
      </c>
      <c r="L44" s="235" t="str">
        <f t="shared" si="15"/>
        <v/>
      </c>
      <c r="M44" s="235" t="str">
        <f t="shared" si="15"/>
        <v/>
      </c>
      <c r="N44" s="235" t="str">
        <f t="shared" si="15"/>
        <v/>
      </c>
      <c r="O44" s="235" t="str">
        <f t="shared" si="15"/>
        <v/>
      </c>
      <c r="P44" s="235" t="str">
        <f t="shared" si="15"/>
        <v/>
      </c>
      <c r="Q44" s="235" t="str">
        <f t="shared" si="15"/>
        <v/>
      </c>
      <c r="R44" s="235" t="str">
        <f t="shared" si="15"/>
        <v/>
      </c>
      <c r="S44" s="235" t="str">
        <f t="shared" si="15"/>
        <v/>
      </c>
      <c r="T44" s="235" t="str">
        <f t="shared" si="15"/>
        <v/>
      </c>
      <c r="U44" s="235" t="str">
        <f t="shared" si="15"/>
        <v/>
      </c>
      <c r="V44" s="235" t="str">
        <f t="shared" si="15"/>
        <v/>
      </c>
      <c r="W44" s="235" t="str">
        <f t="shared" si="15"/>
        <v/>
      </c>
      <c r="X44" s="235" t="str">
        <f t="shared" si="15"/>
        <v/>
      </c>
    </row>
    <row r="45" spans="2:24" ht="36" customHeight="1">
      <c r="B45" s="20"/>
    </row>
    <row r="46" spans="2:24">
      <c r="B46" s="204" t="s">
        <v>472</v>
      </c>
      <c r="C46" s="30"/>
      <c r="D46" s="30"/>
      <c r="E46" s="30"/>
      <c r="F46" s="30"/>
      <c r="G46" s="31">
        <f>ROUND('Ocena kondycji finansowej'!G88,0)</f>
        <v>0</v>
      </c>
      <c r="H46" s="31">
        <f>ROUND('Ocena kondycji finansowej'!H88,0)</f>
        <v>0</v>
      </c>
      <c r="I46" s="31">
        <f>ROUND('Ocena kondycji finansowej'!I88,0)</f>
        <v>0</v>
      </c>
      <c r="J46" s="31">
        <f>ROUND('Ocena kondycji finansowej'!J88,0)</f>
        <v>0</v>
      </c>
      <c r="K46" s="31">
        <f t="shared" ref="K46:X46" ca="1" si="16">IF($G$195=1,IFERROR(ROUND((K201*K49)/K48,0),0),0)</f>
        <v>0</v>
      </c>
      <c r="L46" s="31">
        <f t="shared" ca="1" si="16"/>
        <v>0</v>
      </c>
      <c r="M46" s="31">
        <f t="shared" ca="1" si="16"/>
        <v>0</v>
      </c>
      <c r="N46" s="31">
        <f t="shared" ca="1" si="16"/>
        <v>0</v>
      </c>
      <c r="O46" s="31">
        <f t="shared" ca="1" si="16"/>
        <v>0</v>
      </c>
      <c r="P46" s="31">
        <f t="shared" ca="1" si="16"/>
        <v>0</v>
      </c>
      <c r="Q46" s="31">
        <f t="shared" ca="1" si="16"/>
        <v>0</v>
      </c>
      <c r="R46" s="31">
        <f t="shared" ca="1" si="16"/>
        <v>0</v>
      </c>
      <c r="S46" s="31">
        <f t="shared" ca="1" si="16"/>
        <v>0</v>
      </c>
      <c r="T46" s="31">
        <f t="shared" ca="1" si="16"/>
        <v>0</v>
      </c>
      <c r="U46" s="31">
        <f t="shared" ca="1" si="16"/>
        <v>0</v>
      </c>
      <c r="V46" s="31">
        <f t="shared" ca="1" si="16"/>
        <v>0</v>
      </c>
      <c r="W46" s="31">
        <f t="shared" ca="1" si="16"/>
        <v>0</v>
      </c>
      <c r="X46" s="31">
        <f t="shared" ca="1" si="16"/>
        <v>0</v>
      </c>
    </row>
    <row r="47" spans="2:24">
      <c r="B47" s="104" t="s">
        <v>482</v>
      </c>
      <c r="C47" s="102"/>
      <c r="D47" s="102"/>
      <c r="E47" s="102"/>
      <c r="F47" s="102"/>
      <c r="G47" s="102" t="str">
        <f ca="1">'Ocena kondycji finansowej'!G147</f>
        <v>bd.</v>
      </c>
      <c r="H47" s="102" t="str">
        <f ca="1">'Ocena kondycji finansowej'!H147</f>
        <v>bd.</v>
      </c>
      <c r="I47" s="102" t="str">
        <f ca="1">'Ocena kondycji finansowej'!I147</f>
        <v>bd.</v>
      </c>
      <c r="J47" s="102" t="str">
        <f>'Ocena kondycji finansowej'!J147</f>
        <v>bd.</v>
      </c>
      <c r="K47" s="102" t="str">
        <f ca="1">IF($G$195=1,'Ocena kondycji finansowej'!K147,0)</f>
        <v>bd.</v>
      </c>
      <c r="L47" s="102" t="str">
        <f ca="1">IF($G$195=1,'Ocena kondycji finansowej'!L147,0)</f>
        <v>bd.</v>
      </c>
      <c r="M47" s="102" t="str">
        <f ca="1">IF($G$195=1,'Ocena kondycji finansowej'!M147,0)</f>
        <v>bd.</v>
      </c>
      <c r="N47" s="102" t="str">
        <f ca="1">IF($G$195=1,'Ocena kondycji finansowej'!N147,0)</f>
        <v>bd.</v>
      </c>
      <c r="O47" s="102" t="str">
        <f ca="1">IF($G$195=1,'Ocena kondycji finansowej'!O147,0)</f>
        <v>bd.</v>
      </c>
      <c r="P47" s="102" t="str">
        <f ca="1">IF($G$195=1,'Ocena kondycji finansowej'!P147,0)</f>
        <v>bd.</v>
      </c>
      <c r="Q47" s="102" t="str">
        <f ca="1">IF($G$195=1,'Ocena kondycji finansowej'!Q147,0)</f>
        <v>bd.</v>
      </c>
      <c r="R47" s="102" t="str">
        <f ca="1">IF($G$195=1,'Ocena kondycji finansowej'!R147,0)</f>
        <v>bd.</v>
      </c>
      <c r="S47" s="102" t="str">
        <f ca="1">IF($G$195=1,'Ocena kondycji finansowej'!S147,0)</f>
        <v>bd.</v>
      </c>
      <c r="T47" s="102" t="str">
        <f ca="1">IF($G$195=1,'Ocena kondycji finansowej'!T147,0)</f>
        <v>bd.</v>
      </c>
      <c r="U47" s="102" t="str">
        <f ca="1">IF($G$195=1,'Ocena kondycji finansowej'!U147,0)</f>
        <v>bd.</v>
      </c>
      <c r="V47" s="102" t="str">
        <f ca="1">IF($G$195=1,'Ocena kondycji finansowej'!V147,0)</f>
        <v>bd.</v>
      </c>
      <c r="W47" s="102" t="str">
        <f ca="1">IF($G$195=1,'Ocena kondycji finansowej'!W147,0)</f>
        <v>bd.</v>
      </c>
      <c r="X47" s="102" t="str">
        <f ca="1">IF($G$195=1,'Ocena kondycji finansowej'!X147,0)</f>
        <v>bd.</v>
      </c>
    </row>
    <row r="48" spans="2:24">
      <c r="B48" s="37" t="s">
        <v>474</v>
      </c>
      <c r="C48" s="52"/>
      <c r="D48" s="52"/>
      <c r="E48" s="52"/>
      <c r="F48" s="52"/>
      <c r="G48" s="52">
        <f t="shared" ref="G48:X48" ca="1" si="17">dni</f>
        <v>365</v>
      </c>
      <c r="H48" s="52">
        <f t="shared" ca="1" si="17"/>
        <v>365</v>
      </c>
      <c r="I48" s="52">
        <f t="shared" ca="1" si="17"/>
        <v>365</v>
      </c>
      <c r="J48" s="52" t="str">
        <f t="shared" si="17"/>
        <v/>
      </c>
      <c r="K48" s="52" t="str">
        <f t="shared" si="17"/>
        <v/>
      </c>
      <c r="L48" s="52" t="str">
        <f t="shared" si="17"/>
        <v/>
      </c>
      <c r="M48" s="52" t="str">
        <f t="shared" si="17"/>
        <v/>
      </c>
      <c r="N48" s="52" t="str">
        <f t="shared" si="17"/>
        <v/>
      </c>
      <c r="O48" s="52" t="str">
        <f t="shared" si="17"/>
        <v/>
      </c>
      <c r="P48" s="52" t="str">
        <f t="shared" si="17"/>
        <v/>
      </c>
      <c r="Q48" s="52" t="str">
        <f t="shared" si="17"/>
        <v/>
      </c>
      <c r="R48" s="52" t="str">
        <f t="shared" si="17"/>
        <v/>
      </c>
      <c r="S48" s="52" t="str">
        <f t="shared" si="17"/>
        <v/>
      </c>
      <c r="T48" s="52" t="str">
        <f t="shared" si="17"/>
        <v/>
      </c>
      <c r="U48" s="52" t="str">
        <f t="shared" si="17"/>
        <v/>
      </c>
      <c r="V48" s="52" t="str">
        <f t="shared" si="17"/>
        <v/>
      </c>
      <c r="W48" s="52" t="str">
        <f t="shared" si="17"/>
        <v/>
      </c>
      <c r="X48" s="52" t="str">
        <f t="shared" si="17"/>
        <v/>
      </c>
    </row>
    <row r="49" spans="2:24">
      <c r="B49" s="37" t="s">
        <v>667</v>
      </c>
      <c r="C49" s="52"/>
      <c r="D49" s="52"/>
      <c r="E49" s="52"/>
      <c r="F49" s="52"/>
      <c r="G49" s="33">
        <f>ROUND(('Ocena kondycji finansowej'!G20-'Ocena kondycji finansowej'!G21),0)</f>
        <v>0</v>
      </c>
      <c r="H49" s="33">
        <f>ROUND(('Ocena kondycji finansowej'!H20-'Ocena kondycji finansowej'!H21),0)</f>
        <v>0</v>
      </c>
      <c r="I49" s="33">
        <f>ROUND(('Ocena kondycji finansowej'!I20-'Ocena kondycji finansowej'!I21),0)</f>
        <v>0</v>
      </c>
      <c r="J49" s="33">
        <f>ROUND(('Ocena kondycji finansowej'!J20-'Ocena kondycji finansowej'!J21),0)</f>
        <v>0</v>
      </c>
      <c r="K49" s="33">
        <f ca="1">ROUND(('Ocena kondycji finansowej'!K20-'Ocena kondycji finansowej'!K21),0)</f>
        <v>0</v>
      </c>
      <c r="L49" s="33">
        <f ca="1">ROUND(('Ocena kondycji finansowej'!L20-'Ocena kondycji finansowej'!L21),0)</f>
        <v>0</v>
      </c>
      <c r="M49" s="33">
        <f ca="1">ROUND(('Ocena kondycji finansowej'!M20-'Ocena kondycji finansowej'!M21),0)</f>
        <v>0</v>
      </c>
      <c r="N49" s="33">
        <f ca="1">ROUND(('Ocena kondycji finansowej'!N20-'Ocena kondycji finansowej'!N21),0)</f>
        <v>0</v>
      </c>
      <c r="O49" s="33">
        <f ca="1">ROUND(('Ocena kondycji finansowej'!O20-'Ocena kondycji finansowej'!O21),0)</f>
        <v>0</v>
      </c>
      <c r="P49" s="33">
        <f ca="1">ROUND(('Ocena kondycji finansowej'!P20-'Ocena kondycji finansowej'!P21),0)</f>
        <v>0</v>
      </c>
      <c r="Q49" s="33">
        <f ca="1">ROUND(('Ocena kondycji finansowej'!Q20-'Ocena kondycji finansowej'!Q21),0)</f>
        <v>0</v>
      </c>
      <c r="R49" s="33">
        <f ca="1">ROUND(('Ocena kondycji finansowej'!R20-'Ocena kondycji finansowej'!R21),0)</f>
        <v>0</v>
      </c>
      <c r="S49" s="33">
        <f ca="1">ROUND(('Ocena kondycji finansowej'!S20-'Ocena kondycji finansowej'!S21),0)</f>
        <v>0</v>
      </c>
      <c r="T49" s="33">
        <f ca="1">ROUND(('Ocena kondycji finansowej'!T20-'Ocena kondycji finansowej'!T21),0)</f>
        <v>0</v>
      </c>
      <c r="U49" s="33">
        <f ca="1">ROUND(('Ocena kondycji finansowej'!U20-'Ocena kondycji finansowej'!U21),0)</f>
        <v>0</v>
      </c>
      <c r="V49" s="33">
        <f ca="1">ROUND(('Ocena kondycji finansowej'!V20-'Ocena kondycji finansowej'!V21),0)</f>
        <v>0</v>
      </c>
      <c r="W49" s="33">
        <f ca="1">ROUND(('Ocena kondycji finansowej'!W20-'Ocena kondycji finansowej'!W21),0)</f>
        <v>0</v>
      </c>
      <c r="X49" s="33">
        <f ca="1">ROUND(('Ocena kondycji finansowej'!X20-'Ocena kondycji finansowej'!X21),0)</f>
        <v>0</v>
      </c>
    </row>
    <row r="50" spans="2:24"/>
    <row r="51" spans="2:24">
      <c r="B51" s="204" t="s">
        <v>475</v>
      </c>
      <c r="C51" s="30"/>
      <c r="D51" s="30"/>
      <c r="E51" s="30"/>
      <c r="F51" s="30"/>
      <c r="G51" s="31">
        <f>ROUND(G46,0)</f>
        <v>0</v>
      </c>
      <c r="H51" s="31">
        <f>ROUND(H46,0)</f>
        <v>0</v>
      </c>
      <c r="I51" s="31">
        <f>ROUND(I46,0)</f>
        <v>0</v>
      </c>
      <c r="J51" s="31">
        <f>ROUND(J46,0)</f>
        <v>0</v>
      </c>
      <c r="K51" s="31">
        <f t="shared" ref="K51:X51" si="18">IF($G$195=2,IFERROR(ROUND(K52*(SUM(K54:K54))/K53,0),0),)</f>
        <v>0</v>
      </c>
      <c r="L51" s="31">
        <f>IF($G$195=2,IFERROR(ROUND(L52*(SUM(L54:L54))/L53,0),0),)</f>
        <v>0</v>
      </c>
      <c r="M51" s="31">
        <f t="shared" si="18"/>
        <v>0</v>
      </c>
      <c r="N51" s="31">
        <f t="shared" si="18"/>
        <v>0</v>
      </c>
      <c r="O51" s="31">
        <f t="shared" si="18"/>
        <v>0</v>
      </c>
      <c r="P51" s="31">
        <f t="shared" si="18"/>
        <v>0</v>
      </c>
      <c r="Q51" s="31">
        <f t="shared" si="18"/>
        <v>0</v>
      </c>
      <c r="R51" s="31">
        <f t="shared" si="18"/>
        <v>0</v>
      </c>
      <c r="S51" s="31">
        <f t="shared" si="18"/>
        <v>0</v>
      </c>
      <c r="T51" s="31">
        <f t="shared" si="18"/>
        <v>0</v>
      </c>
      <c r="U51" s="31">
        <f t="shared" si="18"/>
        <v>0</v>
      </c>
      <c r="V51" s="31">
        <f t="shared" si="18"/>
        <v>0</v>
      </c>
      <c r="W51" s="31">
        <f t="shared" si="18"/>
        <v>0</v>
      </c>
      <c r="X51" s="31">
        <f t="shared" si="18"/>
        <v>0</v>
      </c>
    </row>
    <row r="52" spans="2:24">
      <c r="B52" s="94" t="s">
        <v>482</v>
      </c>
      <c r="C52" s="19"/>
      <c r="D52" s="19"/>
      <c r="E52" s="19"/>
      <c r="F52" s="19"/>
      <c r="G52" s="19" t="str">
        <f ca="1">G47</f>
        <v>bd.</v>
      </c>
      <c r="H52" s="19" t="str">
        <f ca="1">H47</f>
        <v>bd.</v>
      </c>
      <c r="I52" s="19" t="str">
        <f ca="1">I47</f>
        <v>bd.</v>
      </c>
      <c r="J52" s="19" t="str">
        <f>J47</f>
        <v>bd.</v>
      </c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</row>
    <row r="53" spans="2:24">
      <c r="B53" s="37" t="s">
        <v>474</v>
      </c>
      <c r="C53" s="52"/>
      <c r="D53" s="52"/>
      <c r="E53" s="52"/>
      <c r="F53" s="52"/>
      <c r="G53" s="52">
        <f ca="1">G48</f>
        <v>365</v>
      </c>
      <c r="H53" s="52">
        <f t="shared" ref="H53:X53" ca="1" si="19">H48</f>
        <v>365</v>
      </c>
      <c r="I53" s="52">
        <f t="shared" ca="1" si="19"/>
        <v>365</v>
      </c>
      <c r="J53" s="52" t="str">
        <f t="shared" si="19"/>
        <v/>
      </c>
      <c r="K53" s="52" t="str">
        <f t="shared" si="19"/>
        <v/>
      </c>
      <c r="L53" s="52" t="str">
        <f t="shared" si="19"/>
        <v/>
      </c>
      <c r="M53" s="52" t="str">
        <f t="shared" si="19"/>
        <v/>
      </c>
      <c r="N53" s="52" t="str">
        <f t="shared" si="19"/>
        <v/>
      </c>
      <c r="O53" s="52" t="str">
        <f t="shared" si="19"/>
        <v/>
      </c>
      <c r="P53" s="52" t="str">
        <f t="shared" si="19"/>
        <v/>
      </c>
      <c r="Q53" s="52" t="str">
        <f t="shared" si="19"/>
        <v/>
      </c>
      <c r="R53" s="52" t="str">
        <f t="shared" si="19"/>
        <v/>
      </c>
      <c r="S53" s="52" t="str">
        <f t="shared" si="19"/>
        <v/>
      </c>
      <c r="T53" s="52" t="str">
        <f t="shared" si="19"/>
        <v/>
      </c>
      <c r="U53" s="52" t="str">
        <f t="shared" si="19"/>
        <v/>
      </c>
      <c r="V53" s="52" t="str">
        <f t="shared" si="19"/>
        <v/>
      </c>
      <c r="W53" s="52" t="str">
        <f t="shared" si="19"/>
        <v/>
      </c>
      <c r="X53" s="52" t="str">
        <f t="shared" si="19"/>
        <v/>
      </c>
    </row>
    <row r="54" spans="2:24">
      <c r="B54" s="37" t="s">
        <v>667</v>
      </c>
      <c r="C54" s="52"/>
      <c r="D54" s="52"/>
      <c r="E54" s="52"/>
      <c r="F54" s="52"/>
      <c r="G54" s="33">
        <f>G49</f>
        <v>0</v>
      </c>
      <c r="H54" s="33">
        <f t="shared" ref="H54:X54" si="20">H49</f>
        <v>0</v>
      </c>
      <c r="I54" s="33">
        <f t="shared" si="20"/>
        <v>0</v>
      </c>
      <c r="J54" s="33">
        <f t="shared" si="20"/>
        <v>0</v>
      </c>
      <c r="K54" s="33">
        <f t="shared" ca="1" si="20"/>
        <v>0</v>
      </c>
      <c r="L54" s="33">
        <f ca="1">L49</f>
        <v>0</v>
      </c>
      <c r="M54" s="33">
        <f t="shared" ca="1" si="20"/>
        <v>0</v>
      </c>
      <c r="N54" s="33">
        <f t="shared" ca="1" si="20"/>
        <v>0</v>
      </c>
      <c r="O54" s="33">
        <f t="shared" ca="1" si="20"/>
        <v>0</v>
      </c>
      <c r="P54" s="33">
        <f t="shared" ca="1" si="20"/>
        <v>0</v>
      </c>
      <c r="Q54" s="33">
        <f t="shared" ca="1" si="20"/>
        <v>0</v>
      </c>
      <c r="R54" s="33">
        <f t="shared" ca="1" si="20"/>
        <v>0</v>
      </c>
      <c r="S54" s="33">
        <f t="shared" ca="1" si="20"/>
        <v>0</v>
      </c>
      <c r="T54" s="33">
        <f t="shared" ca="1" si="20"/>
        <v>0</v>
      </c>
      <c r="U54" s="33">
        <f t="shared" ca="1" si="20"/>
        <v>0</v>
      </c>
      <c r="V54" s="33">
        <f t="shared" ca="1" si="20"/>
        <v>0</v>
      </c>
      <c r="W54" s="33">
        <f t="shared" ca="1" si="20"/>
        <v>0</v>
      </c>
      <c r="X54" s="33">
        <f t="shared" ca="1" si="20"/>
        <v>0</v>
      </c>
    </row>
    <row r="55" spans="2:24"/>
    <row r="56" spans="2:24">
      <c r="B56" s="29" t="s">
        <v>483</v>
      </c>
      <c r="C56" s="30"/>
      <c r="D56" s="30"/>
      <c r="E56" s="30"/>
      <c r="F56" s="30"/>
      <c r="G56" s="31">
        <f>ROUND(G46,0)</f>
        <v>0</v>
      </c>
      <c r="H56" s="31">
        <f>ROUND(H46,0)</f>
        <v>0</v>
      </c>
      <c r="I56" s="31">
        <f>ROUND(I46,0)</f>
        <v>0</v>
      </c>
      <c r="J56" s="31">
        <f>ROUND(J46,0)</f>
        <v>0</v>
      </c>
      <c r="K56" s="31">
        <f t="shared" ref="K56:X56" ca="1" si="21">ROUND(IF($G$195=1,K46,K51),0)</f>
        <v>0</v>
      </c>
      <c r="L56" s="31">
        <f ca="1">ROUND(IF($G$195=1,L46,L51),0)</f>
        <v>0</v>
      </c>
      <c r="M56" s="31">
        <f t="shared" ca="1" si="21"/>
        <v>0</v>
      </c>
      <c r="N56" s="31">
        <f t="shared" ca="1" si="21"/>
        <v>0</v>
      </c>
      <c r="O56" s="31">
        <f t="shared" ca="1" si="21"/>
        <v>0</v>
      </c>
      <c r="P56" s="31">
        <f t="shared" ca="1" si="21"/>
        <v>0</v>
      </c>
      <c r="Q56" s="31">
        <f t="shared" ca="1" si="21"/>
        <v>0</v>
      </c>
      <c r="R56" s="31">
        <f t="shared" ca="1" si="21"/>
        <v>0</v>
      </c>
      <c r="S56" s="31">
        <f t="shared" ca="1" si="21"/>
        <v>0</v>
      </c>
      <c r="T56" s="31">
        <f t="shared" ca="1" si="21"/>
        <v>0</v>
      </c>
      <c r="U56" s="31">
        <f t="shared" ca="1" si="21"/>
        <v>0</v>
      </c>
      <c r="V56" s="31">
        <f t="shared" ca="1" si="21"/>
        <v>0</v>
      </c>
      <c r="W56" s="31">
        <f t="shared" ca="1" si="21"/>
        <v>0</v>
      </c>
      <c r="X56" s="31">
        <f t="shared" ca="1" si="21"/>
        <v>0</v>
      </c>
    </row>
    <row r="57" spans="2:24"/>
    <row r="58" spans="2:24"/>
    <row r="59" spans="2:24">
      <c r="B59" s="7" t="s">
        <v>484</v>
      </c>
      <c r="G59" s="13">
        <f t="shared" ref="G59:X59" si="22">ROUND(G26+G41-G56,0)</f>
        <v>0</v>
      </c>
      <c r="H59" s="13">
        <f t="shared" si="22"/>
        <v>0</v>
      </c>
      <c r="I59" s="13">
        <f t="shared" si="22"/>
        <v>0</v>
      </c>
      <c r="J59" s="13">
        <f t="shared" si="22"/>
        <v>0</v>
      </c>
      <c r="K59" s="13">
        <f t="shared" ca="1" si="22"/>
        <v>0</v>
      </c>
      <c r="L59" s="13">
        <f t="shared" ca="1" si="22"/>
        <v>0</v>
      </c>
      <c r="M59" s="13">
        <f t="shared" ca="1" si="22"/>
        <v>0</v>
      </c>
      <c r="N59" s="13">
        <f t="shared" ca="1" si="22"/>
        <v>0</v>
      </c>
      <c r="O59" s="13">
        <f t="shared" ca="1" si="22"/>
        <v>0</v>
      </c>
      <c r="P59" s="13">
        <f t="shared" ca="1" si="22"/>
        <v>0</v>
      </c>
      <c r="Q59" s="13">
        <f t="shared" ca="1" si="22"/>
        <v>0</v>
      </c>
      <c r="R59" s="13">
        <f t="shared" ca="1" si="22"/>
        <v>0</v>
      </c>
      <c r="S59" s="13">
        <f t="shared" ca="1" si="22"/>
        <v>0</v>
      </c>
      <c r="T59" s="13">
        <f t="shared" ca="1" si="22"/>
        <v>0</v>
      </c>
      <c r="U59" s="13">
        <f t="shared" ca="1" si="22"/>
        <v>0</v>
      </c>
      <c r="V59" s="13">
        <f t="shared" ca="1" si="22"/>
        <v>0</v>
      </c>
      <c r="W59" s="13">
        <f t="shared" ca="1" si="22"/>
        <v>0</v>
      </c>
      <c r="X59" s="13">
        <f t="shared" ca="1" si="22"/>
        <v>0</v>
      </c>
    </row>
    <row r="60" spans="2:24">
      <c r="B60" s="1" t="s">
        <v>485</v>
      </c>
      <c r="H60" s="5">
        <f>ROUND(G59-H59,0)</f>
        <v>0</v>
      </c>
      <c r="I60" s="5">
        <f>ROUND(H59-I59,0)</f>
        <v>0</v>
      </c>
      <c r="J60" s="5">
        <f>IF(Rok_n="",0,ROUND(I59-J59,0))</f>
        <v>0</v>
      </c>
      <c r="K60" s="5">
        <f ca="1">ROUND(J59-K59,0)</f>
        <v>0</v>
      </c>
      <c r="L60" s="5">
        <f t="shared" ref="L60:X60" ca="1" si="23">ROUND(K59-L59,0)</f>
        <v>0</v>
      </c>
      <c r="M60" s="5">
        <f t="shared" ca="1" si="23"/>
        <v>0</v>
      </c>
      <c r="N60" s="5">
        <f t="shared" ca="1" si="23"/>
        <v>0</v>
      </c>
      <c r="O60" s="5">
        <f t="shared" ca="1" si="23"/>
        <v>0</v>
      </c>
      <c r="P60" s="5">
        <f t="shared" ca="1" si="23"/>
        <v>0</v>
      </c>
      <c r="Q60" s="5">
        <f t="shared" ca="1" si="23"/>
        <v>0</v>
      </c>
      <c r="R60" s="5">
        <f t="shared" ca="1" si="23"/>
        <v>0</v>
      </c>
      <c r="S60" s="5">
        <f t="shared" ca="1" si="23"/>
        <v>0</v>
      </c>
      <c r="T60" s="5">
        <f t="shared" ca="1" si="23"/>
        <v>0</v>
      </c>
      <c r="U60" s="5">
        <f t="shared" ca="1" si="23"/>
        <v>0</v>
      </c>
      <c r="V60" s="5">
        <f t="shared" ca="1" si="23"/>
        <v>0</v>
      </c>
      <c r="W60" s="5">
        <f t="shared" ca="1" si="23"/>
        <v>0</v>
      </c>
      <c r="X60" s="5">
        <f t="shared" ca="1" si="23"/>
        <v>0</v>
      </c>
    </row>
    <row r="61" spans="2:24"/>
    <row r="62" spans="2:24"/>
    <row r="63" spans="2:24" ht="14.4">
      <c r="B63" s="32" t="s">
        <v>294</v>
      </c>
      <c r="C63" s="32"/>
      <c r="D63" s="32"/>
      <c r="E63" s="32"/>
      <c r="F63" s="32"/>
      <c r="G63" s="32">
        <f t="shared" ref="G63:X63" ca="1" si="24">LataProjekcji</f>
        <v>0</v>
      </c>
      <c r="H63" s="32">
        <f t="shared" ca="1" si="24"/>
        <v>0</v>
      </c>
      <c r="I63" s="32">
        <f t="shared" ca="1" si="24"/>
        <v>0</v>
      </c>
      <c r="J63" s="47" t="str">
        <f t="shared" si="24"/>
        <v/>
      </c>
      <c r="K63" s="32" t="str">
        <f t="shared" si="24"/>
        <v>Uzupełnij dane</v>
      </c>
      <c r="L63" s="32" t="str">
        <f t="shared" si="24"/>
        <v/>
      </c>
      <c r="M63" s="32" t="str">
        <f t="shared" si="24"/>
        <v/>
      </c>
      <c r="N63" s="32" t="str">
        <f t="shared" si="24"/>
        <v/>
      </c>
      <c r="O63" s="32" t="str">
        <f t="shared" si="24"/>
        <v/>
      </c>
      <c r="P63" s="32" t="str">
        <f t="shared" si="24"/>
        <v/>
      </c>
      <c r="Q63" s="32" t="str">
        <f t="shared" si="24"/>
        <v/>
      </c>
      <c r="R63" s="32" t="str">
        <f t="shared" si="24"/>
        <v/>
      </c>
      <c r="S63" s="32" t="str">
        <f t="shared" si="24"/>
        <v/>
      </c>
      <c r="T63" s="32" t="str">
        <f t="shared" si="24"/>
        <v/>
      </c>
      <c r="U63" s="32" t="str">
        <f t="shared" si="24"/>
        <v/>
      </c>
      <c r="V63" s="32" t="str">
        <f t="shared" si="24"/>
        <v/>
      </c>
      <c r="W63" s="32" t="str">
        <f t="shared" si="24"/>
        <v/>
      </c>
      <c r="X63" s="32" t="str">
        <f t="shared" si="24"/>
        <v/>
      </c>
    </row>
    <row r="64" spans="2:24"/>
    <row r="65" spans="2:24">
      <c r="B65" s="236" t="s">
        <v>471</v>
      </c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</row>
    <row r="66" spans="2:24">
      <c r="B66" s="205" t="s">
        <v>472</v>
      </c>
      <c r="C66" s="206"/>
      <c r="D66" s="206"/>
      <c r="E66" s="206"/>
      <c r="F66" s="206"/>
      <c r="G66" s="207"/>
      <c r="H66" s="207"/>
      <c r="I66" s="207"/>
      <c r="J66" s="207"/>
      <c r="K66" s="208">
        <f ca="1">IFERROR(ROUND((K67/K68)*K69,0),0)</f>
        <v>0</v>
      </c>
      <c r="L66" s="208">
        <f t="shared" ref="L66:X66" ca="1" si="25">IFERROR(ROUND((L67/L68)*L69,0),0)</f>
        <v>0</v>
      </c>
      <c r="M66" s="208">
        <f t="shared" ca="1" si="25"/>
        <v>0</v>
      </c>
      <c r="N66" s="208">
        <f t="shared" ca="1" si="25"/>
        <v>0</v>
      </c>
      <c r="O66" s="208">
        <f t="shared" ca="1" si="25"/>
        <v>0</v>
      </c>
      <c r="P66" s="208">
        <f t="shared" ca="1" si="25"/>
        <v>0</v>
      </c>
      <c r="Q66" s="208">
        <f t="shared" ca="1" si="25"/>
        <v>0</v>
      </c>
      <c r="R66" s="208">
        <f t="shared" ca="1" si="25"/>
        <v>0</v>
      </c>
      <c r="S66" s="208">
        <f t="shared" ca="1" si="25"/>
        <v>0</v>
      </c>
      <c r="T66" s="208">
        <f t="shared" ca="1" si="25"/>
        <v>0</v>
      </c>
      <c r="U66" s="208">
        <f t="shared" ca="1" si="25"/>
        <v>0</v>
      </c>
      <c r="V66" s="208">
        <f t="shared" ca="1" si="25"/>
        <v>0</v>
      </c>
      <c r="W66" s="208">
        <f t="shared" ca="1" si="25"/>
        <v>0</v>
      </c>
      <c r="X66" s="208">
        <f t="shared" ca="1" si="25"/>
        <v>0</v>
      </c>
    </row>
    <row r="67" spans="2:24">
      <c r="B67" s="209" t="s">
        <v>473</v>
      </c>
      <c r="C67" s="210"/>
      <c r="D67" s="210"/>
      <c r="E67" s="210"/>
      <c r="F67" s="210"/>
      <c r="G67" s="210"/>
      <c r="H67" s="210"/>
      <c r="I67" s="210"/>
      <c r="J67" s="210"/>
      <c r="K67" s="211" t="str">
        <f>IF(ISBLANK(Założenia!K44),"",Założenia!K44)</f>
        <v/>
      </c>
      <c r="L67" s="211" t="str">
        <f>IF(ISBLANK(Założenia!L44),"",Założenia!L44)</f>
        <v/>
      </c>
      <c r="M67" s="211" t="str">
        <f>IF(ISBLANK(Założenia!M44),"",Założenia!M44)</f>
        <v/>
      </c>
      <c r="N67" s="211" t="str">
        <f>IF(ISBLANK(Założenia!N44),"",Założenia!N44)</f>
        <v/>
      </c>
      <c r="O67" s="211" t="str">
        <f>IF(ISBLANK(Założenia!O44),"",Założenia!O44)</f>
        <v/>
      </c>
      <c r="P67" s="211" t="str">
        <f>IF(ISBLANK(Założenia!P44),"",Założenia!P44)</f>
        <v/>
      </c>
      <c r="Q67" s="211" t="str">
        <f>IF(ISBLANK(Założenia!Q44),"",Założenia!Q44)</f>
        <v/>
      </c>
      <c r="R67" s="211" t="str">
        <f>IF(ISBLANK(Założenia!R44),"",Założenia!R44)</f>
        <v/>
      </c>
      <c r="S67" s="211" t="str">
        <f>IF(ISBLANK(Założenia!S44),"",Założenia!S44)</f>
        <v/>
      </c>
      <c r="T67" s="211" t="str">
        <f>IF(ISBLANK(Założenia!T44),"",Założenia!T44)</f>
        <v/>
      </c>
      <c r="U67" s="211" t="str">
        <f>IF(ISBLANK(Założenia!U44),"",Założenia!U44)</f>
        <v/>
      </c>
      <c r="V67" s="211" t="str">
        <f>IF(ISBLANK(Założenia!V44),"",Założenia!V44)</f>
        <v/>
      </c>
      <c r="W67" s="211" t="str">
        <f>IF(ISBLANK(Założenia!W44),"",Założenia!W44)</f>
        <v/>
      </c>
      <c r="X67" s="211" t="str">
        <f>IF(ISBLANK(Założenia!X44),"",Założenia!X44)</f>
        <v/>
      </c>
    </row>
    <row r="68" spans="2:24">
      <c r="B68" s="37" t="s">
        <v>474</v>
      </c>
      <c r="C68" s="52"/>
      <c r="D68" s="52"/>
      <c r="E68" s="52"/>
      <c r="F68" s="52"/>
      <c r="G68" s="52"/>
      <c r="H68" s="52"/>
      <c r="I68" s="52"/>
      <c r="J68" s="52"/>
      <c r="K68" s="52" t="str">
        <f t="shared" ref="K68:X68" si="26">dni</f>
        <v/>
      </c>
      <c r="L68" s="52" t="str">
        <f t="shared" si="26"/>
        <v/>
      </c>
      <c r="M68" s="52" t="str">
        <f t="shared" si="26"/>
        <v/>
      </c>
      <c r="N68" s="52" t="str">
        <f t="shared" si="26"/>
        <v/>
      </c>
      <c r="O68" s="52" t="str">
        <f t="shared" si="26"/>
        <v/>
      </c>
      <c r="P68" s="52" t="str">
        <f t="shared" si="26"/>
        <v/>
      </c>
      <c r="Q68" s="52" t="str">
        <f t="shared" si="26"/>
        <v/>
      </c>
      <c r="R68" s="52" t="str">
        <f t="shared" si="26"/>
        <v/>
      </c>
      <c r="S68" s="52" t="str">
        <f t="shared" si="26"/>
        <v/>
      </c>
      <c r="T68" s="52" t="str">
        <f t="shared" si="26"/>
        <v/>
      </c>
      <c r="U68" s="52" t="str">
        <f t="shared" si="26"/>
        <v/>
      </c>
      <c r="V68" s="52" t="str">
        <f t="shared" si="26"/>
        <v/>
      </c>
      <c r="W68" s="52" t="str">
        <f t="shared" si="26"/>
        <v/>
      </c>
      <c r="X68" s="52" t="str">
        <f t="shared" si="26"/>
        <v/>
      </c>
    </row>
    <row r="69" spans="2:24">
      <c r="B69" s="37" t="s">
        <v>667</v>
      </c>
      <c r="C69" s="212"/>
      <c r="D69" s="212"/>
      <c r="E69" s="212"/>
      <c r="F69" s="212"/>
      <c r="G69" s="33"/>
      <c r="H69" s="33"/>
      <c r="I69" s="33"/>
      <c r="J69" s="33"/>
      <c r="K69" s="33">
        <f ca="1">ROUND(('Ocena kondycji finansowej'!K164-'Ocena kondycji finansowej'!K165),0)</f>
        <v>0</v>
      </c>
      <c r="L69" s="33">
        <f ca="1">ROUND(('Ocena kondycji finansowej'!L164-'Ocena kondycji finansowej'!L165),0)</f>
        <v>0</v>
      </c>
      <c r="M69" s="33">
        <f ca="1">ROUND(('Ocena kondycji finansowej'!M164-'Ocena kondycji finansowej'!M165),0)</f>
        <v>0</v>
      </c>
      <c r="N69" s="33">
        <f ca="1">ROUND(('Ocena kondycji finansowej'!N164-'Ocena kondycji finansowej'!N165),0)</f>
        <v>0</v>
      </c>
      <c r="O69" s="33">
        <f ca="1">ROUND(('Ocena kondycji finansowej'!O164-'Ocena kondycji finansowej'!O165),0)</f>
        <v>0</v>
      </c>
      <c r="P69" s="33">
        <f ca="1">ROUND(('Ocena kondycji finansowej'!P164-'Ocena kondycji finansowej'!P165),0)</f>
        <v>0</v>
      </c>
      <c r="Q69" s="33">
        <f ca="1">ROUND(('Ocena kondycji finansowej'!Q164-'Ocena kondycji finansowej'!Q165),0)</f>
        <v>0</v>
      </c>
      <c r="R69" s="33">
        <f ca="1">ROUND(('Ocena kondycji finansowej'!R164-'Ocena kondycji finansowej'!R165),0)</f>
        <v>0</v>
      </c>
      <c r="S69" s="33">
        <f ca="1">ROUND(('Ocena kondycji finansowej'!S164-'Ocena kondycji finansowej'!S165),0)</f>
        <v>0</v>
      </c>
      <c r="T69" s="33">
        <f ca="1">ROUND(('Ocena kondycji finansowej'!T164-'Ocena kondycji finansowej'!T165),0)</f>
        <v>0</v>
      </c>
      <c r="U69" s="33">
        <f ca="1">ROUND(('Ocena kondycji finansowej'!U164-'Ocena kondycji finansowej'!U165),0)</f>
        <v>0</v>
      </c>
      <c r="V69" s="33">
        <f ca="1">ROUND(('Ocena kondycji finansowej'!V164-'Ocena kondycji finansowej'!V165),0)</f>
        <v>0</v>
      </c>
      <c r="W69" s="33">
        <f ca="1">ROUND(('Ocena kondycji finansowej'!W164-'Ocena kondycji finansowej'!W165),0)</f>
        <v>0</v>
      </c>
      <c r="X69" s="33">
        <f ca="1">ROUND(('Ocena kondycji finansowej'!X164-'Ocena kondycji finansowej'!X165),0)</f>
        <v>0</v>
      </c>
    </row>
    <row r="70" spans="2:24"/>
    <row r="71" spans="2:24">
      <c r="B71" s="29" t="s">
        <v>476</v>
      </c>
      <c r="C71" s="30"/>
      <c r="D71" s="30"/>
      <c r="E71" s="30"/>
      <c r="F71" s="30"/>
      <c r="G71" s="31"/>
      <c r="H71" s="31"/>
      <c r="I71" s="31"/>
      <c r="J71" s="31"/>
      <c r="K71" s="31">
        <f ca="1">ROUND(K66,0)</f>
        <v>0</v>
      </c>
      <c r="L71" s="31">
        <f t="shared" ref="L71:X71" ca="1" si="27">ROUND(L66,0)</f>
        <v>0</v>
      </c>
      <c r="M71" s="31">
        <f t="shared" ca="1" si="27"/>
        <v>0</v>
      </c>
      <c r="N71" s="31">
        <f t="shared" ca="1" si="27"/>
        <v>0</v>
      </c>
      <c r="O71" s="31">
        <f t="shared" ca="1" si="27"/>
        <v>0</v>
      </c>
      <c r="P71" s="31">
        <f t="shared" ca="1" si="27"/>
        <v>0</v>
      </c>
      <c r="Q71" s="31">
        <f t="shared" ca="1" si="27"/>
        <v>0</v>
      </c>
      <c r="R71" s="31">
        <f t="shared" ca="1" si="27"/>
        <v>0</v>
      </c>
      <c r="S71" s="31">
        <f t="shared" ca="1" si="27"/>
        <v>0</v>
      </c>
      <c r="T71" s="31">
        <f t="shared" ca="1" si="27"/>
        <v>0</v>
      </c>
      <c r="U71" s="31">
        <f t="shared" ca="1" si="27"/>
        <v>0</v>
      </c>
      <c r="V71" s="31">
        <f t="shared" ca="1" si="27"/>
        <v>0</v>
      </c>
      <c r="W71" s="31">
        <f t="shared" ca="1" si="27"/>
        <v>0</v>
      </c>
      <c r="X71" s="31">
        <f t="shared" ca="1" si="27"/>
        <v>0</v>
      </c>
    </row>
    <row r="72" spans="2:24">
      <c r="L72" s="5"/>
    </row>
    <row r="73" spans="2:24"/>
    <row r="74" spans="2:24">
      <c r="B74" s="236" t="s">
        <v>477</v>
      </c>
      <c r="C74" s="231"/>
      <c r="D74" s="231"/>
      <c r="E74" s="231"/>
      <c r="F74" s="231"/>
      <c r="G74" s="232">
        <f t="shared" ref="G74:X74" ca="1" si="28">LataProjekcji</f>
        <v>0</v>
      </c>
      <c r="H74" s="232">
        <f t="shared" ca="1" si="28"/>
        <v>0</v>
      </c>
      <c r="I74" s="232">
        <f t="shared" ca="1" si="28"/>
        <v>0</v>
      </c>
      <c r="J74" s="238" t="str">
        <f t="shared" si="28"/>
        <v/>
      </c>
      <c r="K74" s="232" t="str">
        <f t="shared" si="28"/>
        <v>Uzupełnij dane</v>
      </c>
      <c r="L74" s="232" t="str">
        <f t="shared" si="28"/>
        <v/>
      </c>
      <c r="M74" s="232" t="str">
        <f t="shared" si="28"/>
        <v/>
      </c>
      <c r="N74" s="232" t="str">
        <f t="shared" si="28"/>
        <v/>
      </c>
      <c r="O74" s="232" t="str">
        <f t="shared" si="28"/>
        <v/>
      </c>
      <c r="P74" s="232" t="str">
        <f t="shared" si="28"/>
        <v/>
      </c>
      <c r="Q74" s="232" t="str">
        <f t="shared" si="28"/>
        <v/>
      </c>
      <c r="R74" s="232" t="str">
        <f t="shared" si="28"/>
        <v/>
      </c>
      <c r="S74" s="232" t="str">
        <f t="shared" si="28"/>
        <v/>
      </c>
      <c r="T74" s="232" t="str">
        <f t="shared" si="28"/>
        <v/>
      </c>
      <c r="U74" s="232" t="str">
        <f t="shared" si="28"/>
        <v/>
      </c>
      <c r="V74" s="232" t="str">
        <f t="shared" si="28"/>
        <v/>
      </c>
      <c r="W74" s="232" t="str">
        <f t="shared" si="28"/>
        <v/>
      </c>
      <c r="X74" s="232" t="str">
        <f t="shared" si="28"/>
        <v/>
      </c>
    </row>
    <row r="75" spans="2:24">
      <c r="B75" s="205" t="s">
        <v>472</v>
      </c>
      <c r="C75" s="206"/>
      <c r="D75" s="206"/>
      <c r="E75" s="206"/>
      <c r="F75" s="206"/>
      <c r="G75" s="207"/>
      <c r="H75" s="207"/>
      <c r="I75" s="207"/>
      <c r="J75" s="207"/>
      <c r="K75" s="208">
        <f>IFERROR(ROUND((K76/K77)*K78,0),0)</f>
        <v>0</v>
      </c>
      <c r="L75" s="208">
        <f t="shared" ref="L75:X75" si="29">IFERROR(ROUND((L76/L77)*L78,0),0)</f>
        <v>0</v>
      </c>
      <c r="M75" s="208">
        <f t="shared" si="29"/>
        <v>0</v>
      </c>
      <c r="N75" s="208">
        <f t="shared" si="29"/>
        <v>0</v>
      </c>
      <c r="O75" s="208">
        <f t="shared" si="29"/>
        <v>0</v>
      </c>
      <c r="P75" s="208">
        <f t="shared" si="29"/>
        <v>0</v>
      </c>
      <c r="Q75" s="208">
        <f t="shared" si="29"/>
        <v>0</v>
      </c>
      <c r="R75" s="208">
        <f t="shared" si="29"/>
        <v>0</v>
      </c>
      <c r="S75" s="208">
        <f t="shared" si="29"/>
        <v>0</v>
      </c>
      <c r="T75" s="208">
        <f t="shared" si="29"/>
        <v>0</v>
      </c>
      <c r="U75" s="208">
        <f t="shared" si="29"/>
        <v>0</v>
      </c>
      <c r="V75" s="208">
        <f t="shared" si="29"/>
        <v>0</v>
      </c>
      <c r="W75" s="208">
        <f t="shared" si="29"/>
        <v>0</v>
      </c>
      <c r="X75" s="208">
        <f t="shared" si="29"/>
        <v>0</v>
      </c>
    </row>
    <row r="76" spans="2:24">
      <c r="B76" s="209" t="s">
        <v>478</v>
      </c>
      <c r="C76" s="210"/>
      <c r="D76" s="210"/>
      <c r="E76" s="210"/>
      <c r="F76" s="210"/>
      <c r="G76" s="210"/>
      <c r="H76" s="210"/>
      <c r="I76" s="210"/>
      <c r="J76" s="210"/>
      <c r="K76" s="211" t="str">
        <f>IF(ISBLANK(Założenia!K43),"",Założenia!K43)</f>
        <v/>
      </c>
      <c r="L76" s="211" t="str">
        <f>IF(ISBLANK(Założenia!L43),"",Założenia!L43)</f>
        <v/>
      </c>
      <c r="M76" s="211" t="str">
        <f>IF(ISBLANK(Założenia!M43),"",Założenia!M43)</f>
        <v/>
      </c>
      <c r="N76" s="211" t="str">
        <f>IF(ISBLANK(Założenia!N43),"",Założenia!N43)</f>
        <v/>
      </c>
      <c r="O76" s="211" t="str">
        <f>IF(ISBLANK(Założenia!O43),"",Założenia!O43)</f>
        <v/>
      </c>
      <c r="P76" s="211" t="str">
        <f>IF(ISBLANK(Założenia!P43),"",Założenia!P43)</f>
        <v/>
      </c>
      <c r="Q76" s="211" t="str">
        <f>IF(ISBLANK(Założenia!Q43),"",Założenia!Q43)</f>
        <v/>
      </c>
      <c r="R76" s="211" t="str">
        <f>IF(ISBLANK(Założenia!R43),"",Założenia!R43)</f>
        <v/>
      </c>
      <c r="S76" s="211" t="str">
        <f>IF(ISBLANK(Założenia!S43),"",Założenia!S43)</f>
        <v/>
      </c>
      <c r="T76" s="211" t="str">
        <f>IF(ISBLANK(Założenia!T43),"",Założenia!T43)</f>
        <v/>
      </c>
      <c r="U76" s="211" t="str">
        <f>IF(ISBLANK(Założenia!U43),"",Założenia!U43)</f>
        <v/>
      </c>
      <c r="V76" s="211" t="str">
        <f>IF(ISBLANK(Założenia!V43),"",Założenia!V43)</f>
        <v/>
      </c>
      <c r="W76" s="211" t="str">
        <f>IF(ISBLANK(Założenia!W43),"",Założenia!W43)</f>
        <v/>
      </c>
      <c r="X76" s="211" t="str">
        <f>IF(ISBLANK(Założenia!X43),"",Założenia!X43)</f>
        <v/>
      </c>
    </row>
    <row r="77" spans="2:24">
      <c r="B77" s="37" t="s">
        <v>474</v>
      </c>
      <c r="C77" s="52"/>
      <c r="D77" s="52"/>
      <c r="E77" s="52"/>
      <c r="F77" s="52"/>
      <c r="G77" s="52"/>
      <c r="H77" s="52"/>
      <c r="I77" s="52"/>
      <c r="J77" s="52"/>
      <c r="K77" s="52" t="str">
        <f t="shared" ref="K77:X77" si="30">dni</f>
        <v/>
      </c>
      <c r="L77" s="52" t="str">
        <f t="shared" si="30"/>
        <v/>
      </c>
      <c r="M77" s="52" t="str">
        <f t="shared" si="30"/>
        <v/>
      </c>
      <c r="N77" s="52" t="str">
        <f t="shared" si="30"/>
        <v/>
      </c>
      <c r="O77" s="52" t="str">
        <f t="shared" si="30"/>
        <v/>
      </c>
      <c r="P77" s="52" t="str">
        <f t="shared" si="30"/>
        <v/>
      </c>
      <c r="Q77" s="52" t="str">
        <f t="shared" si="30"/>
        <v/>
      </c>
      <c r="R77" s="52" t="str">
        <f t="shared" si="30"/>
        <v/>
      </c>
      <c r="S77" s="52" t="str">
        <f t="shared" si="30"/>
        <v/>
      </c>
      <c r="T77" s="52" t="str">
        <f t="shared" si="30"/>
        <v/>
      </c>
      <c r="U77" s="52" t="str">
        <f t="shared" si="30"/>
        <v/>
      </c>
      <c r="V77" s="52" t="str">
        <f t="shared" si="30"/>
        <v/>
      </c>
      <c r="W77" s="52" t="str">
        <f t="shared" si="30"/>
        <v/>
      </c>
      <c r="X77" s="52" t="str">
        <f t="shared" si="30"/>
        <v/>
      </c>
    </row>
    <row r="78" spans="2:24">
      <c r="B78" s="37" t="s">
        <v>479</v>
      </c>
      <c r="C78" s="212"/>
      <c r="D78" s="212"/>
      <c r="E78" s="212"/>
      <c r="F78" s="212"/>
      <c r="G78" s="33"/>
      <c r="H78" s="33"/>
      <c r="I78" s="33"/>
      <c r="J78" s="33"/>
      <c r="K78" s="33">
        <f>ROUND('Ocena kondycji finansowej'!K159,0)</f>
        <v>0</v>
      </c>
      <c r="L78" s="33">
        <f>ROUND('Ocena kondycji finansowej'!L159,0)</f>
        <v>0</v>
      </c>
      <c r="M78" s="33">
        <f>ROUND('Ocena kondycji finansowej'!M159,0)</f>
        <v>0</v>
      </c>
      <c r="N78" s="33">
        <f>ROUND('Ocena kondycji finansowej'!N159,0)</f>
        <v>0</v>
      </c>
      <c r="O78" s="33">
        <f>ROUND('Ocena kondycji finansowej'!O159,0)</f>
        <v>0</v>
      </c>
      <c r="P78" s="33">
        <f>ROUND('Ocena kondycji finansowej'!P159,0)</f>
        <v>0</v>
      </c>
      <c r="Q78" s="33">
        <f>ROUND('Ocena kondycji finansowej'!Q159,0)</f>
        <v>0</v>
      </c>
      <c r="R78" s="33">
        <f>ROUND('Ocena kondycji finansowej'!R159,0)</f>
        <v>0</v>
      </c>
      <c r="S78" s="33">
        <f>ROUND('Ocena kondycji finansowej'!S159,0)</f>
        <v>0</v>
      </c>
      <c r="T78" s="33">
        <f>ROUND('Ocena kondycji finansowej'!T159,0)</f>
        <v>0</v>
      </c>
      <c r="U78" s="33">
        <f>ROUND('Ocena kondycji finansowej'!U159,0)</f>
        <v>0</v>
      </c>
      <c r="V78" s="33">
        <f>ROUND('Ocena kondycji finansowej'!V159,0)</f>
        <v>0</v>
      </c>
      <c r="W78" s="33">
        <f>ROUND('Ocena kondycji finansowej'!W159,0)</f>
        <v>0</v>
      </c>
      <c r="X78" s="33">
        <f>ROUND('Ocena kondycji finansowej'!X159,0)</f>
        <v>0</v>
      </c>
    </row>
    <row r="79" spans="2:24"/>
    <row r="80" spans="2:24">
      <c r="B80" s="29" t="s">
        <v>480</v>
      </c>
      <c r="C80" s="30"/>
      <c r="D80" s="30"/>
      <c r="E80" s="30"/>
      <c r="F80" s="30"/>
      <c r="G80" s="31"/>
      <c r="H80" s="31"/>
      <c r="I80" s="31"/>
      <c r="J80" s="31"/>
      <c r="K80" s="31">
        <f>ROUND(K75,0)</f>
        <v>0</v>
      </c>
      <c r="L80" s="31">
        <f t="shared" ref="L80:X80" si="31">ROUND(L75,0)</f>
        <v>0</v>
      </c>
      <c r="M80" s="31">
        <f t="shared" si="31"/>
        <v>0</v>
      </c>
      <c r="N80" s="31">
        <f t="shared" si="31"/>
        <v>0</v>
      </c>
      <c r="O80" s="31">
        <f t="shared" si="31"/>
        <v>0</v>
      </c>
      <c r="P80" s="31">
        <f t="shared" si="31"/>
        <v>0</v>
      </c>
      <c r="Q80" s="31">
        <f t="shared" si="31"/>
        <v>0</v>
      </c>
      <c r="R80" s="31">
        <f t="shared" si="31"/>
        <v>0</v>
      </c>
      <c r="S80" s="31">
        <f t="shared" si="31"/>
        <v>0</v>
      </c>
      <c r="T80" s="31">
        <f t="shared" si="31"/>
        <v>0</v>
      </c>
      <c r="U80" s="31">
        <f t="shared" si="31"/>
        <v>0</v>
      </c>
      <c r="V80" s="31">
        <f t="shared" si="31"/>
        <v>0</v>
      </c>
      <c r="W80" s="31">
        <f t="shared" si="31"/>
        <v>0</v>
      </c>
      <c r="X80" s="31">
        <f t="shared" si="31"/>
        <v>0</v>
      </c>
    </row>
    <row r="81" spans="2:24">
      <c r="L81" s="5"/>
    </row>
    <row r="82" spans="2:24"/>
    <row r="83" spans="2:24">
      <c r="B83" s="236" t="s">
        <v>481</v>
      </c>
      <c r="C83" s="231"/>
      <c r="D83" s="231"/>
      <c r="E83" s="231"/>
      <c r="F83" s="231"/>
      <c r="G83" s="232">
        <f t="shared" ref="G83:X83" ca="1" si="32">LataProjekcji</f>
        <v>0</v>
      </c>
      <c r="H83" s="232">
        <f t="shared" ca="1" si="32"/>
        <v>0</v>
      </c>
      <c r="I83" s="232">
        <f t="shared" ca="1" si="32"/>
        <v>0</v>
      </c>
      <c r="J83" s="238" t="str">
        <f t="shared" si="32"/>
        <v/>
      </c>
      <c r="K83" s="232" t="str">
        <f t="shared" si="32"/>
        <v>Uzupełnij dane</v>
      </c>
      <c r="L83" s="232" t="str">
        <f t="shared" si="32"/>
        <v/>
      </c>
      <c r="M83" s="232" t="str">
        <f t="shared" si="32"/>
        <v/>
      </c>
      <c r="N83" s="232" t="str">
        <f t="shared" si="32"/>
        <v/>
      </c>
      <c r="O83" s="232" t="str">
        <f t="shared" si="32"/>
        <v/>
      </c>
      <c r="P83" s="232" t="str">
        <f t="shared" si="32"/>
        <v/>
      </c>
      <c r="Q83" s="232" t="str">
        <f t="shared" si="32"/>
        <v/>
      </c>
      <c r="R83" s="232" t="str">
        <f t="shared" si="32"/>
        <v/>
      </c>
      <c r="S83" s="232" t="str">
        <f t="shared" si="32"/>
        <v/>
      </c>
      <c r="T83" s="232" t="str">
        <f t="shared" si="32"/>
        <v/>
      </c>
      <c r="U83" s="232" t="str">
        <f t="shared" si="32"/>
        <v/>
      </c>
      <c r="V83" s="232" t="str">
        <f t="shared" si="32"/>
        <v/>
      </c>
      <c r="W83" s="232" t="str">
        <f t="shared" si="32"/>
        <v/>
      </c>
      <c r="X83" s="232" t="str">
        <f t="shared" si="32"/>
        <v/>
      </c>
    </row>
    <row r="84" spans="2:24">
      <c r="B84" s="205" t="s">
        <v>472</v>
      </c>
      <c r="C84" s="206"/>
      <c r="D84" s="206"/>
      <c r="E84" s="206"/>
      <c r="F84" s="206"/>
      <c r="G84" s="207"/>
      <c r="H84" s="207"/>
      <c r="I84" s="207"/>
      <c r="J84" s="207"/>
      <c r="K84" s="208">
        <f ca="1">IFERROR(ROUND((K85/K86)*K87,0),0)</f>
        <v>0</v>
      </c>
      <c r="L84" s="208">
        <f t="shared" ref="L84:X84" ca="1" si="33">IFERROR(ROUND((L85/L86)*L87,0),0)</f>
        <v>0</v>
      </c>
      <c r="M84" s="208">
        <f t="shared" ca="1" si="33"/>
        <v>0</v>
      </c>
      <c r="N84" s="208">
        <f t="shared" ca="1" si="33"/>
        <v>0</v>
      </c>
      <c r="O84" s="208">
        <f t="shared" ca="1" si="33"/>
        <v>0</v>
      </c>
      <c r="P84" s="208">
        <f t="shared" ca="1" si="33"/>
        <v>0</v>
      </c>
      <c r="Q84" s="208">
        <f t="shared" ca="1" si="33"/>
        <v>0</v>
      </c>
      <c r="R84" s="208">
        <f t="shared" ca="1" si="33"/>
        <v>0</v>
      </c>
      <c r="S84" s="208">
        <f t="shared" ca="1" si="33"/>
        <v>0</v>
      </c>
      <c r="T84" s="208">
        <f t="shared" ca="1" si="33"/>
        <v>0</v>
      </c>
      <c r="U84" s="208">
        <f t="shared" ca="1" si="33"/>
        <v>0</v>
      </c>
      <c r="V84" s="208">
        <f t="shared" ca="1" si="33"/>
        <v>0</v>
      </c>
      <c r="W84" s="208">
        <f t="shared" ca="1" si="33"/>
        <v>0</v>
      </c>
      <c r="X84" s="208">
        <f t="shared" ca="1" si="33"/>
        <v>0</v>
      </c>
    </row>
    <row r="85" spans="2:24">
      <c r="B85" s="209" t="s">
        <v>482</v>
      </c>
      <c r="C85" s="210"/>
      <c r="D85" s="210"/>
      <c r="E85" s="210"/>
      <c r="F85" s="210"/>
      <c r="G85" s="210"/>
      <c r="H85" s="210"/>
      <c r="I85" s="210"/>
      <c r="J85" s="210"/>
      <c r="K85" s="211" t="str">
        <f>IF(ISBLANK(Założenia!K45),"",Założenia!K45)</f>
        <v/>
      </c>
      <c r="L85" s="211" t="str">
        <f>IF(ISBLANK(Założenia!L45),"",Założenia!L45)</f>
        <v/>
      </c>
      <c r="M85" s="211" t="str">
        <f>IF(ISBLANK(Założenia!M45),"",Założenia!M45)</f>
        <v/>
      </c>
      <c r="N85" s="211" t="str">
        <f>IF(ISBLANK(Założenia!N45),"",Założenia!N45)</f>
        <v/>
      </c>
      <c r="O85" s="211" t="str">
        <f>IF(ISBLANK(Założenia!O45),"",Założenia!O45)</f>
        <v/>
      </c>
      <c r="P85" s="211" t="str">
        <f>IF(ISBLANK(Założenia!P45),"",Założenia!P45)</f>
        <v/>
      </c>
      <c r="Q85" s="211" t="str">
        <f>IF(ISBLANK(Założenia!Q45),"",Założenia!Q45)</f>
        <v/>
      </c>
      <c r="R85" s="211" t="str">
        <f>IF(ISBLANK(Założenia!R45),"",Założenia!R45)</f>
        <v/>
      </c>
      <c r="S85" s="211" t="str">
        <f>IF(ISBLANK(Założenia!S45),"",Założenia!S45)</f>
        <v/>
      </c>
      <c r="T85" s="211" t="str">
        <f>IF(ISBLANK(Założenia!T45),"",Założenia!T45)</f>
        <v/>
      </c>
      <c r="U85" s="211" t="str">
        <f>IF(ISBLANK(Założenia!U45),"",Założenia!U45)</f>
        <v/>
      </c>
      <c r="V85" s="211" t="str">
        <f>IF(ISBLANK(Założenia!V45),"",Założenia!V45)</f>
        <v/>
      </c>
      <c r="W85" s="211" t="str">
        <f>IF(ISBLANK(Założenia!W45),"",Założenia!W45)</f>
        <v/>
      </c>
      <c r="X85" s="211" t="str">
        <f>IF(ISBLANK(Założenia!X45),"",Założenia!X45)</f>
        <v/>
      </c>
    </row>
    <row r="86" spans="2:24">
      <c r="B86" s="37" t="s">
        <v>474</v>
      </c>
      <c r="C86" s="52"/>
      <c r="D86" s="52"/>
      <c r="E86" s="52"/>
      <c r="F86" s="52"/>
      <c r="G86" s="52"/>
      <c r="H86" s="52"/>
      <c r="I86" s="52"/>
      <c r="J86" s="52"/>
      <c r="K86" s="52" t="str">
        <f t="shared" ref="K86:X86" si="34">dni</f>
        <v/>
      </c>
      <c r="L86" s="52" t="str">
        <f t="shared" si="34"/>
        <v/>
      </c>
      <c r="M86" s="52" t="str">
        <f t="shared" si="34"/>
        <v/>
      </c>
      <c r="N86" s="52" t="str">
        <f t="shared" si="34"/>
        <v/>
      </c>
      <c r="O86" s="52" t="str">
        <f t="shared" si="34"/>
        <v/>
      </c>
      <c r="P86" s="52" t="str">
        <f t="shared" si="34"/>
        <v/>
      </c>
      <c r="Q86" s="52" t="str">
        <f t="shared" si="34"/>
        <v/>
      </c>
      <c r="R86" s="52" t="str">
        <f t="shared" si="34"/>
        <v/>
      </c>
      <c r="S86" s="52" t="str">
        <f t="shared" si="34"/>
        <v/>
      </c>
      <c r="T86" s="52" t="str">
        <f t="shared" si="34"/>
        <v/>
      </c>
      <c r="U86" s="52" t="str">
        <f t="shared" si="34"/>
        <v/>
      </c>
      <c r="V86" s="52" t="str">
        <f t="shared" si="34"/>
        <v/>
      </c>
      <c r="W86" s="52" t="str">
        <f t="shared" si="34"/>
        <v/>
      </c>
      <c r="X86" s="52" t="str">
        <f t="shared" si="34"/>
        <v/>
      </c>
    </row>
    <row r="87" spans="2:24">
      <c r="B87" s="37" t="s">
        <v>667</v>
      </c>
      <c r="C87" s="212"/>
      <c r="D87" s="212"/>
      <c r="E87" s="212"/>
      <c r="F87" s="212"/>
      <c r="G87" s="33"/>
      <c r="H87" s="33"/>
      <c r="I87" s="33"/>
      <c r="J87" s="33"/>
      <c r="K87" s="33">
        <f ca="1">ROUND(('Ocena kondycji finansowej'!K164-'Ocena kondycji finansowej'!K165),0)</f>
        <v>0</v>
      </c>
      <c r="L87" s="33">
        <f ca="1">ROUND(('Ocena kondycji finansowej'!L164-'Ocena kondycji finansowej'!L165),0)</f>
        <v>0</v>
      </c>
      <c r="M87" s="33">
        <f ca="1">ROUND(('Ocena kondycji finansowej'!M164-'Ocena kondycji finansowej'!M165),0)</f>
        <v>0</v>
      </c>
      <c r="N87" s="33">
        <f ca="1">ROUND(('Ocena kondycji finansowej'!N164-'Ocena kondycji finansowej'!N165),0)</f>
        <v>0</v>
      </c>
      <c r="O87" s="33">
        <f ca="1">ROUND(('Ocena kondycji finansowej'!O164-'Ocena kondycji finansowej'!O165),0)</f>
        <v>0</v>
      </c>
      <c r="P87" s="33">
        <f ca="1">ROUND(('Ocena kondycji finansowej'!P164-'Ocena kondycji finansowej'!P165),0)</f>
        <v>0</v>
      </c>
      <c r="Q87" s="33">
        <f ca="1">ROUND(('Ocena kondycji finansowej'!Q164-'Ocena kondycji finansowej'!Q165),0)</f>
        <v>0</v>
      </c>
      <c r="R87" s="33">
        <f ca="1">ROUND(('Ocena kondycji finansowej'!R164-'Ocena kondycji finansowej'!R165),0)</f>
        <v>0</v>
      </c>
      <c r="S87" s="33">
        <f ca="1">ROUND(('Ocena kondycji finansowej'!S164-'Ocena kondycji finansowej'!S165),0)</f>
        <v>0</v>
      </c>
      <c r="T87" s="33">
        <f ca="1">ROUND(('Ocena kondycji finansowej'!T164-'Ocena kondycji finansowej'!T165),0)</f>
        <v>0</v>
      </c>
      <c r="U87" s="33">
        <f ca="1">ROUND(('Ocena kondycji finansowej'!U164-'Ocena kondycji finansowej'!U165),0)</f>
        <v>0</v>
      </c>
      <c r="V87" s="33">
        <f ca="1">ROUND(('Ocena kondycji finansowej'!V164-'Ocena kondycji finansowej'!V165),0)</f>
        <v>0</v>
      </c>
      <c r="W87" s="33">
        <f ca="1">ROUND(('Ocena kondycji finansowej'!W164-'Ocena kondycji finansowej'!W165),0)</f>
        <v>0</v>
      </c>
      <c r="X87" s="33">
        <f ca="1">ROUND(('Ocena kondycji finansowej'!X164-'Ocena kondycji finansowej'!X165),0)</f>
        <v>0</v>
      </c>
    </row>
    <row r="88" spans="2:24">
      <c r="B88" s="8"/>
    </row>
    <row r="89" spans="2:24">
      <c r="B89" s="29" t="s">
        <v>483</v>
      </c>
      <c r="C89" s="30"/>
      <c r="D89" s="30"/>
      <c r="E89" s="30"/>
      <c r="F89" s="30"/>
      <c r="G89" s="31"/>
      <c r="H89" s="31"/>
      <c r="I89" s="31"/>
      <c r="J89" s="31"/>
      <c r="K89" s="31">
        <f ca="1">ROUND(K84,0)</f>
        <v>0</v>
      </c>
      <c r="L89" s="31">
        <f t="shared" ref="L89:X89" ca="1" si="35">ROUND(L84,0)</f>
        <v>0</v>
      </c>
      <c r="M89" s="31">
        <f t="shared" ca="1" si="35"/>
        <v>0</v>
      </c>
      <c r="N89" s="31">
        <f t="shared" ca="1" si="35"/>
        <v>0</v>
      </c>
      <c r="O89" s="31">
        <f t="shared" ca="1" si="35"/>
        <v>0</v>
      </c>
      <c r="P89" s="31">
        <f t="shared" ca="1" si="35"/>
        <v>0</v>
      </c>
      <c r="Q89" s="31">
        <f t="shared" ca="1" si="35"/>
        <v>0</v>
      </c>
      <c r="R89" s="31">
        <f t="shared" ca="1" si="35"/>
        <v>0</v>
      </c>
      <c r="S89" s="31">
        <f t="shared" ca="1" si="35"/>
        <v>0</v>
      </c>
      <c r="T89" s="31">
        <f t="shared" ca="1" si="35"/>
        <v>0</v>
      </c>
      <c r="U89" s="31">
        <f t="shared" ca="1" si="35"/>
        <v>0</v>
      </c>
      <c r="V89" s="31">
        <f t="shared" ca="1" si="35"/>
        <v>0</v>
      </c>
      <c r="W89" s="31">
        <f t="shared" ca="1" si="35"/>
        <v>0</v>
      </c>
      <c r="X89" s="31">
        <f t="shared" ca="1" si="35"/>
        <v>0</v>
      </c>
    </row>
    <row r="90" spans="2:24">
      <c r="L90" s="5"/>
    </row>
    <row r="91" spans="2:24"/>
    <row r="92" spans="2:24">
      <c r="B92" s="29" t="s">
        <v>484</v>
      </c>
      <c r="C92" s="30"/>
      <c r="D92" s="30"/>
      <c r="E92" s="30"/>
      <c r="F92" s="30"/>
      <c r="G92" s="31"/>
      <c r="H92" s="31"/>
      <c r="I92" s="31"/>
      <c r="J92" s="31"/>
      <c r="K92" s="31">
        <f ca="1">ROUND(K71+K80-K89,0)</f>
        <v>0</v>
      </c>
      <c r="L92" s="31">
        <f t="shared" ref="L92:W92" ca="1" si="36">ROUND(L71+L80-L89,0)</f>
        <v>0</v>
      </c>
      <c r="M92" s="31">
        <f t="shared" ca="1" si="36"/>
        <v>0</v>
      </c>
      <c r="N92" s="31">
        <f t="shared" ca="1" si="36"/>
        <v>0</v>
      </c>
      <c r="O92" s="31">
        <f t="shared" ca="1" si="36"/>
        <v>0</v>
      </c>
      <c r="P92" s="31">
        <f t="shared" ca="1" si="36"/>
        <v>0</v>
      </c>
      <c r="Q92" s="31">
        <f t="shared" ca="1" si="36"/>
        <v>0</v>
      </c>
      <c r="R92" s="31">
        <f t="shared" ca="1" si="36"/>
        <v>0</v>
      </c>
      <c r="S92" s="31">
        <f t="shared" ca="1" si="36"/>
        <v>0</v>
      </c>
      <c r="T92" s="31">
        <f t="shared" ca="1" si="36"/>
        <v>0</v>
      </c>
      <c r="U92" s="31">
        <f t="shared" ca="1" si="36"/>
        <v>0</v>
      </c>
      <c r="V92" s="31">
        <f t="shared" ca="1" si="36"/>
        <v>0</v>
      </c>
      <c r="W92" s="31">
        <f t="shared" ca="1" si="36"/>
        <v>0</v>
      </c>
      <c r="X92" s="31">
        <f ca="1">ROUND(X71+X80-X89,0)</f>
        <v>0</v>
      </c>
    </row>
    <row r="93" spans="2:24">
      <c r="B93" s="102" t="s">
        <v>485</v>
      </c>
      <c r="C93" s="102"/>
      <c r="D93" s="102"/>
      <c r="E93" s="102"/>
      <c r="F93" s="102"/>
      <c r="G93" s="102"/>
      <c r="H93" s="102"/>
      <c r="I93" s="102"/>
      <c r="J93" s="102"/>
      <c r="K93" s="103">
        <f t="shared" ref="K93:X93" ca="1" si="37">ROUND(J92-K92,0)</f>
        <v>0</v>
      </c>
      <c r="L93" s="103">
        <f t="shared" ca="1" si="37"/>
        <v>0</v>
      </c>
      <c r="M93" s="103">
        <f t="shared" ca="1" si="37"/>
        <v>0</v>
      </c>
      <c r="N93" s="103">
        <f t="shared" ca="1" si="37"/>
        <v>0</v>
      </c>
      <c r="O93" s="103">
        <f t="shared" ca="1" si="37"/>
        <v>0</v>
      </c>
      <c r="P93" s="103">
        <f t="shared" ca="1" si="37"/>
        <v>0</v>
      </c>
      <c r="Q93" s="103">
        <f t="shared" ca="1" si="37"/>
        <v>0</v>
      </c>
      <c r="R93" s="103">
        <f t="shared" ca="1" si="37"/>
        <v>0</v>
      </c>
      <c r="S93" s="103">
        <f t="shared" ca="1" si="37"/>
        <v>0</v>
      </c>
      <c r="T93" s="103">
        <f t="shared" ca="1" si="37"/>
        <v>0</v>
      </c>
      <c r="U93" s="103">
        <f t="shared" ca="1" si="37"/>
        <v>0</v>
      </c>
      <c r="V93" s="103">
        <f t="shared" ca="1" si="37"/>
        <v>0</v>
      </c>
      <c r="W93" s="103">
        <f t="shared" ca="1" si="37"/>
        <v>0</v>
      </c>
      <c r="X93" s="103">
        <f t="shared" ca="1" si="37"/>
        <v>0</v>
      </c>
    </row>
    <row r="94" spans="2:24"/>
    <row r="95" spans="2:24"/>
    <row r="96" spans="2:24" ht="14.4">
      <c r="B96" s="34" t="s">
        <v>486</v>
      </c>
      <c r="C96" s="34"/>
      <c r="D96" s="34"/>
      <c r="E96" s="34"/>
      <c r="F96" s="34"/>
      <c r="G96" s="34">
        <f t="shared" ref="G96:X96" ca="1" si="38">LataProjekcji</f>
        <v>0</v>
      </c>
      <c r="H96" s="34">
        <f t="shared" ca="1" si="38"/>
        <v>0</v>
      </c>
      <c r="I96" s="34">
        <f t="shared" ca="1" si="38"/>
        <v>0</v>
      </c>
      <c r="J96" s="45" t="str">
        <f t="shared" si="38"/>
        <v/>
      </c>
      <c r="K96" s="34" t="str">
        <f t="shared" si="38"/>
        <v>Uzupełnij dane</v>
      </c>
      <c r="L96" s="34" t="str">
        <f t="shared" si="38"/>
        <v/>
      </c>
      <c r="M96" s="34" t="str">
        <f t="shared" si="38"/>
        <v/>
      </c>
      <c r="N96" s="34" t="str">
        <f t="shared" si="38"/>
        <v/>
      </c>
      <c r="O96" s="34" t="str">
        <f t="shared" si="38"/>
        <v/>
      </c>
      <c r="P96" s="34" t="str">
        <f t="shared" si="38"/>
        <v/>
      </c>
      <c r="Q96" s="34" t="str">
        <f t="shared" si="38"/>
        <v/>
      </c>
      <c r="R96" s="34" t="str">
        <f t="shared" si="38"/>
        <v/>
      </c>
      <c r="S96" s="34" t="str">
        <f t="shared" si="38"/>
        <v/>
      </c>
      <c r="T96" s="34" t="str">
        <f t="shared" si="38"/>
        <v/>
      </c>
      <c r="U96" s="34" t="str">
        <f t="shared" si="38"/>
        <v/>
      </c>
      <c r="V96" s="34" t="str">
        <f t="shared" si="38"/>
        <v/>
      </c>
      <c r="W96" s="34" t="str">
        <f t="shared" si="38"/>
        <v/>
      </c>
      <c r="X96" s="34" t="str">
        <f t="shared" si="38"/>
        <v/>
      </c>
    </row>
    <row r="97" spans="2:24"/>
    <row r="98" spans="2:24">
      <c r="B98" s="239" t="s">
        <v>471</v>
      </c>
      <c r="C98" s="240"/>
      <c r="D98" s="240"/>
      <c r="E98" s="240"/>
      <c r="F98" s="240"/>
      <c r="G98" s="240"/>
      <c r="H98" s="240"/>
      <c r="I98" s="240"/>
      <c r="J98" s="240"/>
      <c r="K98" s="240"/>
      <c r="L98" s="240"/>
      <c r="M98" s="240"/>
      <c r="N98" s="240"/>
      <c r="O98" s="240"/>
      <c r="P98" s="240"/>
      <c r="Q98" s="240"/>
      <c r="R98" s="240"/>
      <c r="S98" s="240"/>
      <c r="T98" s="240"/>
      <c r="U98" s="240"/>
      <c r="V98" s="240"/>
      <c r="W98" s="240"/>
      <c r="X98" s="240"/>
    </row>
    <row r="99" spans="2:24">
      <c r="B99" s="205" t="s">
        <v>472</v>
      </c>
      <c r="C99" s="206"/>
      <c r="D99" s="206"/>
      <c r="E99" s="206"/>
      <c r="F99" s="206"/>
      <c r="G99" s="207"/>
      <c r="H99" s="207"/>
      <c r="I99" s="207"/>
      <c r="J99" s="207"/>
      <c r="K99" s="208">
        <f ca="1">IFERROR(ROUND(K71+K26,0),0)</f>
        <v>0</v>
      </c>
      <c r="L99" s="208">
        <f t="shared" ref="L99:X99" ca="1" si="39">IFERROR(ROUND(L71+L26,0),0)</f>
        <v>0</v>
      </c>
      <c r="M99" s="208">
        <f t="shared" ca="1" si="39"/>
        <v>0</v>
      </c>
      <c r="N99" s="208">
        <f t="shared" ca="1" si="39"/>
        <v>0</v>
      </c>
      <c r="O99" s="208">
        <f t="shared" ca="1" si="39"/>
        <v>0</v>
      </c>
      <c r="P99" s="208">
        <f t="shared" ca="1" si="39"/>
        <v>0</v>
      </c>
      <c r="Q99" s="208">
        <f t="shared" ca="1" si="39"/>
        <v>0</v>
      </c>
      <c r="R99" s="208">
        <f t="shared" ca="1" si="39"/>
        <v>0</v>
      </c>
      <c r="S99" s="208">
        <f t="shared" ca="1" si="39"/>
        <v>0</v>
      </c>
      <c r="T99" s="208">
        <f t="shared" ca="1" si="39"/>
        <v>0</v>
      </c>
      <c r="U99" s="208">
        <f t="shared" ca="1" si="39"/>
        <v>0</v>
      </c>
      <c r="V99" s="208">
        <f t="shared" ca="1" si="39"/>
        <v>0</v>
      </c>
      <c r="W99" s="208">
        <f t="shared" ca="1" si="39"/>
        <v>0</v>
      </c>
      <c r="X99" s="208">
        <f t="shared" ca="1" si="39"/>
        <v>0</v>
      </c>
    </row>
    <row r="100" spans="2:24">
      <c r="B100" s="209" t="s">
        <v>473</v>
      </c>
      <c r="C100" s="210"/>
      <c r="D100" s="210"/>
      <c r="E100" s="210"/>
      <c r="F100" s="210"/>
      <c r="G100" s="210"/>
      <c r="H100" s="210"/>
      <c r="I100" s="210"/>
      <c r="J100" s="210"/>
      <c r="K100" s="211">
        <f ca="1">IFERROR((K99/K102)*K101,0)</f>
        <v>0</v>
      </c>
      <c r="L100" s="211">
        <f t="shared" ref="L100:X100" ca="1" si="40">IFERROR((L99/L102)*L101,0)</f>
        <v>0</v>
      </c>
      <c r="M100" s="211">
        <f t="shared" ca="1" si="40"/>
        <v>0</v>
      </c>
      <c r="N100" s="211">
        <f t="shared" ca="1" si="40"/>
        <v>0</v>
      </c>
      <c r="O100" s="211">
        <f t="shared" ca="1" si="40"/>
        <v>0</v>
      </c>
      <c r="P100" s="211">
        <f t="shared" ca="1" si="40"/>
        <v>0</v>
      </c>
      <c r="Q100" s="211">
        <f t="shared" ca="1" si="40"/>
        <v>0</v>
      </c>
      <c r="R100" s="211">
        <f t="shared" ca="1" si="40"/>
        <v>0</v>
      </c>
      <c r="S100" s="211">
        <f t="shared" ca="1" si="40"/>
        <v>0</v>
      </c>
      <c r="T100" s="211">
        <f t="shared" ca="1" si="40"/>
        <v>0</v>
      </c>
      <c r="U100" s="211">
        <f t="shared" ca="1" si="40"/>
        <v>0</v>
      </c>
      <c r="V100" s="211">
        <f t="shared" ca="1" si="40"/>
        <v>0</v>
      </c>
      <c r="W100" s="211">
        <f t="shared" ca="1" si="40"/>
        <v>0</v>
      </c>
      <c r="X100" s="211">
        <f t="shared" ca="1" si="40"/>
        <v>0</v>
      </c>
    </row>
    <row r="101" spans="2:24">
      <c r="B101" s="37" t="s">
        <v>474</v>
      </c>
      <c r="C101" s="52"/>
      <c r="D101" s="52"/>
      <c r="E101" s="52"/>
      <c r="F101" s="52"/>
      <c r="G101" s="52"/>
      <c r="H101" s="52"/>
      <c r="I101" s="52"/>
      <c r="J101" s="52"/>
      <c r="K101" s="52" t="str">
        <f t="shared" ref="K101:X101" si="41">dni</f>
        <v/>
      </c>
      <c r="L101" s="52" t="str">
        <f t="shared" si="41"/>
        <v/>
      </c>
      <c r="M101" s="52" t="str">
        <f t="shared" si="41"/>
        <v/>
      </c>
      <c r="N101" s="52" t="str">
        <f t="shared" si="41"/>
        <v/>
      </c>
      <c r="O101" s="52" t="str">
        <f t="shared" si="41"/>
        <v/>
      </c>
      <c r="P101" s="52" t="str">
        <f t="shared" si="41"/>
        <v/>
      </c>
      <c r="Q101" s="52" t="str">
        <f t="shared" si="41"/>
        <v/>
      </c>
      <c r="R101" s="52" t="str">
        <f t="shared" si="41"/>
        <v/>
      </c>
      <c r="S101" s="52" t="str">
        <f t="shared" si="41"/>
        <v/>
      </c>
      <c r="T101" s="52" t="str">
        <f t="shared" si="41"/>
        <v/>
      </c>
      <c r="U101" s="52" t="str">
        <f t="shared" si="41"/>
        <v/>
      </c>
      <c r="V101" s="52" t="str">
        <f t="shared" si="41"/>
        <v/>
      </c>
      <c r="W101" s="52" t="str">
        <f t="shared" si="41"/>
        <v/>
      </c>
      <c r="X101" s="52" t="str">
        <f t="shared" si="41"/>
        <v/>
      </c>
    </row>
    <row r="102" spans="2:24">
      <c r="B102" s="37" t="s">
        <v>667</v>
      </c>
      <c r="C102" s="212"/>
      <c r="D102" s="212"/>
      <c r="E102" s="212"/>
      <c r="F102" s="212"/>
      <c r="G102" s="33"/>
      <c r="H102" s="33"/>
      <c r="I102" s="33"/>
      <c r="J102" s="33"/>
      <c r="K102" s="33">
        <f t="shared" ref="K102:X102" ca="1" si="42">ROUND(IFERROR(IF($G$193=1,(K69+K19),(K24+K69)),0),0)</f>
        <v>0</v>
      </c>
      <c r="L102" s="33">
        <f t="shared" ca="1" si="42"/>
        <v>0</v>
      </c>
      <c r="M102" s="33">
        <f t="shared" ca="1" si="42"/>
        <v>0</v>
      </c>
      <c r="N102" s="33">
        <f t="shared" ca="1" si="42"/>
        <v>0</v>
      </c>
      <c r="O102" s="33">
        <f t="shared" ca="1" si="42"/>
        <v>0</v>
      </c>
      <c r="P102" s="33">
        <f t="shared" ca="1" si="42"/>
        <v>0</v>
      </c>
      <c r="Q102" s="33">
        <f t="shared" ca="1" si="42"/>
        <v>0</v>
      </c>
      <c r="R102" s="33">
        <f t="shared" ca="1" si="42"/>
        <v>0</v>
      </c>
      <c r="S102" s="33">
        <f t="shared" ca="1" si="42"/>
        <v>0</v>
      </c>
      <c r="T102" s="33">
        <f t="shared" ca="1" si="42"/>
        <v>0</v>
      </c>
      <c r="U102" s="33">
        <f t="shared" ca="1" si="42"/>
        <v>0</v>
      </c>
      <c r="V102" s="33">
        <f t="shared" ca="1" si="42"/>
        <v>0</v>
      </c>
      <c r="W102" s="33">
        <f t="shared" ca="1" si="42"/>
        <v>0</v>
      </c>
      <c r="X102" s="33">
        <f t="shared" ca="1" si="42"/>
        <v>0</v>
      </c>
    </row>
    <row r="103" spans="2:24"/>
    <row r="104" spans="2:24">
      <c r="B104" s="29" t="s">
        <v>476</v>
      </c>
      <c r="C104" s="30"/>
      <c r="D104" s="30"/>
      <c r="E104" s="30"/>
      <c r="F104" s="30"/>
      <c r="G104" s="31">
        <f>G26</f>
        <v>0</v>
      </c>
      <c r="H104" s="31">
        <f>H26</f>
        <v>0</v>
      </c>
      <c r="I104" s="31">
        <f>I26</f>
        <v>0</v>
      </c>
      <c r="J104" s="31">
        <f>J26</f>
        <v>0</v>
      </c>
      <c r="K104" s="31">
        <f t="shared" ref="K104:X104" ca="1" si="43">K99</f>
        <v>0</v>
      </c>
      <c r="L104" s="31">
        <f t="shared" ca="1" si="43"/>
        <v>0</v>
      </c>
      <c r="M104" s="31">
        <f t="shared" ca="1" si="43"/>
        <v>0</v>
      </c>
      <c r="N104" s="31">
        <f t="shared" ca="1" si="43"/>
        <v>0</v>
      </c>
      <c r="O104" s="31">
        <f t="shared" ca="1" si="43"/>
        <v>0</v>
      </c>
      <c r="P104" s="31">
        <f t="shared" ca="1" si="43"/>
        <v>0</v>
      </c>
      <c r="Q104" s="31">
        <f t="shared" ca="1" si="43"/>
        <v>0</v>
      </c>
      <c r="R104" s="31">
        <f t="shared" ca="1" si="43"/>
        <v>0</v>
      </c>
      <c r="S104" s="31">
        <f t="shared" ca="1" si="43"/>
        <v>0</v>
      </c>
      <c r="T104" s="31">
        <f t="shared" ca="1" si="43"/>
        <v>0</v>
      </c>
      <c r="U104" s="31">
        <f t="shared" ca="1" si="43"/>
        <v>0</v>
      </c>
      <c r="V104" s="31">
        <f t="shared" ca="1" si="43"/>
        <v>0</v>
      </c>
      <c r="W104" s="31">
        <f t="shared" ca="1" si="43"/>
        <v>0</v>
      </c>
      <c r="X104" s="31">
        <f t="shared" ca="1" si="43"/>
        <v>0</v>
      </c>
    </row>
    <row r="105" spans="2:24">
      <c r="L105" s="5"/>
    </row>
    <row r="106" spans="2:24"/>
    <row r="107" spans="2:24">
      <c r="B107" s="239" t="s">
        <v>477</v>
      </c>
      <c r="C107" s="240"/>
      <c r="D107" s="240"/>
      <c r="E107" s="240"/>
      <c r="F107" s="240"/>
      <c r="G107" s="241">
        <f t="shared" ref="G107:X107" ca="1" si="44">LataProjekcji</f>
        <v>0</v>
      </c>
      <c r="H107" s="241">
        <f t="shared" ca="1" si="44"/>
        <v>0</v>
      </c>
      <c r="I107" s="241">
        <f t="shared" ca="1" si="44"/>
        <v>0</v>
      </c>
      <c r="J107" s="242" t="str">
        <f t="shared" si="44"/>
        <v/>
      </c>
      <c r="K107" s="241" t="str">
        <f t="shared" si="44"/>
        <v>Uzupełnij dane</v>
      </c>
      <c r="L107" s="241" t="str">
        <f t="shared" si="44"/>
        <v/>
      </c>
      <c r="M107" s="241" t="str">
        <f t="shared" si="44"/>
        <v/>
      </c>
      <c r="N107" s="241" t="str">
        <f t="shared" si="44"/>
        <v/>
      </c>
      <c r="O107" s="241" t="str">
        <f t="shared" si="44"/>
        <v/>
      </c>
      <c r="P107" s="241" t="str">
        <f t="shared" si="44"/>
        <v/>
      </c>
      <c r="Q107" s="241" t="str">
        <f t="shared" si="44"/>
        <v/>
      </c>
      <c r="R107" s="241" t="str">
        <f t="shared" si="44"/>
        <v/>
      </c>
      <c r="S107" s="241" t="str">
        <f t="shared" si="44"/>
        <v/>
      </c>
      <c r="T107" s="241" t="str">
        <f t="shared" si="44"/>
        <v/>
      </c>
      <c r="U107" s="241" t="str">
        <f t="shared" si="44"/>
        <v/>
      </c>
      <c r="V107" s="241" t="str">
        <f t="shared" si="44"/>
        <v/>
      </c>
      <c r="W107" s="241" t="str">
        <f t="shared" si="44"/>
        <v/>
      </c>
      <c r="X107" s="241" t="str">
        <f t="shared" si="44"/>
        <v/>
      </c>
    </row>
    <row r="108" spans="2:24">
      <c r="B108" s="205" t="s">
        <v>472</v>
      </c>
      <c r="C108" s="206"/>
      <c r="D108" s="206"/>
      <c r="E108" s="206"/>
      <c r="F108" s="206"/>
      <c r="G108" s="207"/>
      <c r="H108" s="207"/>
      <c r="I108" s="207"/>
      <c r="J108" s="207"/>
      <c r="K108" s="208">
        <f ca="1">IFERROR(K80+K41,0)</f>
        <v>0</v>
      </c>
      <c r="L108" s="208">
        <f t="shared" ref="L108:X108" ca="1" si="45">IFERROR(L80+L41,0)</f>
        <v>0</v>
      </c>
      <c r="M108" s="208">
        <f t="shared" ca="1" si="45"/>
        <v>0</v>
      </c>
      <c r="N108" s="208">
        <f t="shared" ca="1" si="45"/>
        <v>0</v>
      </c>
      <c r="O108" s="208">
        <f t="shared" ca="1" si="45"/>
        <v>0</v>
      </c>
      <c r="P108" s="208">
        <f t="shared" ca="1" si="45"/>
        <v>0</v>
      </c>
      <c r="Q108" s="208">
        <f t="shared" ca="1" si="45"/>
        <v>0</v>
      </c>
      <c r="R108" s="208">
        <f t="shared" ca="1" si="45"/>
        <v>0</v>
      </c>
      <c r="S108" s="208">
        <f t="shared" ca="1" si="45"/>
        <v>0</v>
      </c>
      <c r="T108" s="208">
        <f t="shared" ca="1" si="45"/>
        <v>0</v>
      </c>
      <c r="U108" s="208">
        <f t="shared" ca="1" si="45"/>
        <v>0</v>
      </c>
      <c r="V108" s="208">
        <f t="shared" ca="1" si="45"/>
        <v>0</v>
      </c>
      <c r="W108" s="208">
        <f t="shared" ca="1" si="45"/>
        <v>0</v>
      </c>
      <c r="X108" s="208">
        <f t="shared" ca="1" si="45"/>
        <v>0</v>
      </c>
    </row>
    <row r="109" spans="2:24">
      <c r="B109" s="209" t="s">
        <v>478</v>
      </c>
      <c r="C109" s="210"/>
      <c r="D109" s="210"/>
      <c r="E109" s="210"/>
      <c r="F109" s="210"/>
      <c r="G109" s="210"/>
      <c r="H109" s="210"/>
      <c r="I109" s="210"/>
      <c r="J109" s="210"/>
      <c r="K109" s="211">
        <f ca="1">IFERROR((K108/K111)*K110,0)</f>
        <v>0</v>
      </c>
      <c r="L109" s="211">
        <f t="shared" ref="L109:X109" ca="1" si="46">IFERROR((L108/L111)*L110,0)</f>
        <v>0</v>
      </c>
      <c r="M109" s="211">
        <f t="shared" ca="1" si="46"/>
        <v>0</v>
      </c>
      <c r="N109" s="211">
        <f t="shared" ca="1" si="46"/>
        <v>0</v>
      </c>
      <c r="O109" s="211">
        <f t="shared" ca="1" si="46"/>
        <v>0</v>
      </c>
      <c r="P109" s="211">
        <f t="shared" ca="1" si="46"/>
        <v>0</v>
      </c>
      <c r="Q109" s="211">
        <f t="shared" ca="1" si="46"/>
        <v>0</v>
      </c>
      <c r="R109" s="211">
        <f t="shared" ca="1" si="46"/>
        <v>0</v>
      </c>
      <c r="S109" s="211">
        <f t="shared" ca="1" si="46"/>
        <v>0</v>
      </c>
      <c r="T109" s="211">
        <f t="shared" ca="1" si="46"/>
        <v>0</v>
      </c>
      <c r="U109" s="211">
        <f t="shared" ca="1" si="46"/>
        <v>0</v>
      </c>
      <c r="V109" s="211">
        <f t="shared" ca="1" si="46"/>
        <v>0</v>
      </c>
      <c r="W109" s="211">
        <f t="shared" ca="1" si="46"/>
        <v>0</v>
      </c>
      <c r="X109" s="211">
        <f t="shared" ca="1" si="46"/>
        <v>0</v>
      </c>
    </row>
    <row r="110" spans="2:24">
      <c r="B110" s="37" t="s">
        <v>474</v>
      </c>
      <c r="C110" s="52"/>
      <c r="D110" s="52"/>
      <c r="E110" s="52"/>
      <c r="F110" s="52"/>
      <c r="G110" s="52"/>
      <c r="H110" s="52"/>
      <c r="I110" s="52"/>
      <c r="J110" s="52"/>
      <c r="K110" s="52" t="str">
        <f t="shared" ref="K110:X110" si="47">dni</f>
        <v/>
      </c>
      <c r="L110" s="52" t="str">
        <f t="shared" si="47"/>
        <v/>
      </c>
      <c r="M110" s="52" t="str">
        <f t="shared" si="47"/>
        <v/>
      </c>
      <c r="N110" s="52" t="str">
        <f t="shared" si="47"/>
        <v/>
      </c>
      <c r="O110" s="52" t="str">
        <f t="shared" si="47"/>
        <v/>
      </c>
      <c r="P110" s="52" t="str">
        <f t="shared" si="47"/>
        <v/>
      </c>
      <c r="Q110" s="52" t="str">
        <f t="shared" si="47"/>
        <v/>
      </c>
      <c r="R110" s="52" t="str">
        <f t="shared" si="47"/>
        <v/>
      </c>
      <c r="S110" s="52" t="str">
        <f t="shared" si="47"/>
        <v/>
      </c>
      <c r="T110" s="52" t="str">
        <f t="shared" si="47"/>
        <v/>
      </c>
      <c r="U110" s="52" t="str">
        <f t="shared" si="47"/>
        <v/>
      </c>
      <c r="V110" s="52" t="str">
        <f t="shared" si="47"/>
        <v/>
      </c>
      <c r="W110" s="52" t="str">
        <f t="shared" si="47"/>
        <v/>
      </c>
      <c r="X110" s="52" t="str">
        <f t="shared" si="47"/>
        <v/>
      </c>
    </row>
    <row r="111" spans="2:24">
      <c r="B111" s="37" t="s">
        <v>487</v>
      </c>
      <c r="C111" s="212"/>
      <c r="D111" s="212"/>
      <c r="E111" s="212"/>
      <c r="F111" s="212"/>
      <c r="G111" s="33"/>
      <c r="H111" s="33"/>
      <c r="I111" s="33"/>
      <c r="J111" s="33"/>
      <c r="K111" s="33">
        <f>ROUND(IF($G$194=1,K78+K34,K78+K39),0)</f>
        <v>0</v>
      </c>
      <c r="L111" s="33">
        <f t="shared" ref="L111:X111" si="48">ROUND(IF($G$194=1,L78+L34,L78+L39),0)</f>
        <v>0</v>
      </c>
      <c r="M111" s="33">
        <f t="shared" si="48"/>
        <v>0</v>
      </c>
      <c r="N111" s="33">
        <f t="shared" si="48"/>
        <v>0</v>
      </c>
      <c r="O111" s="33">
        <f t="shared" si="48"/>
        <v>0</v>
      </c>
      <c r="P111" s="33">
        <f t="shared" si="48"/>
        <v>0</v>
      </c>
      <c r="Q111" s="33">
        <f t="shared" si="48"/>
        <v>0</v>
      </c>
      <c r="R111" s="33">
        <f t="shared" si="48"/>
        <v>0</v>
      </c>
      <c r="S111" s="33">
        <f t="shared" si="48"/>
        <v>0</v>
      </c>
      <c r="T111" s="33">
        <f t="shared" si="48"/>
        <v>0</v>
      </c>
      <c r="U111" s="33">
        <f t="shared" si="48"/>
        <v>0</v>
      </c>
      <c r="V111" s="33">
        <f t="shared" si="48"/>
        <v>0</v>
      </c>
      <c r="W111" s="33">
        <f t="shared" si="48"/>
        <v>0</v>
      </c>
      <c r="X111" s="33">
        <f t="shared" si="48"/>
        <v>0</v>
      </c>
    </row>
    <row r="112" spans="2:24"/>
    <row r="113" spans="2:24">
      <c r="B113" s="29" t="s">
        <v>480</v>
      </c>
      <c r="C113" s="30"/>
      <c r="D113" s="30"/>
      <c r="E113" s="30"/>
      <c r="F113" s="30"/>
      <c r="G113" s="31">
        <f>G41</f>
        <v>0</v>
      </c>
      <c r="H113" s="31">
        <f>H41</f>
        <v>0</v>
      </c>
      <c r="I113" s="31">
        <f>I41</f>
        <v>0</v>
      </c>
      <c r="J113" s="31">
        <f>J41</f>
        <v>0</v>
      </c>
      <c r="K113" s="31">
        <f ca="1">ROUND(K108,0)</f>
        <v>0</v>
      </c>
      <c r="L113" s="31">
        <f t="shared" ref="L113:X113" ca="1" si="49">ROUND(L108,0)</f>
        <v>0</v>
      </c>
      <c r="M113" s="31">
        <f t="shared" ca="1" si="49"/>
        <v>0</v>
      </c>
      <c r="N113" s="31">
        <f t="shared" ca="1" si="49"/>
        <v>0</v>
      </c>
      <c r="O113" s="31">
        <f t="shared" ca="1" si="49"/>
        <v>0</v>
      </c>
      <c r="P113" s="31">
        <f t="shared" ca="1" si="49"/>
        <v>0</v>
      </c>
      <c r="Q113" s="31">
        <f t="shared" ca="1" si="49"/>
        <v>0</v>
      </c>
      <c r="R113" s="31">
        <f t="shared" ca="1" si="49"/>
        <v>0</v>
      </c>
      <c r="S113" s="31">
        <f t="shared" ca="1" si="49"/>
        <v>0</v>
      </c>
      <c r="T113" s="31">
        <f t="shared" ca="1" si="49"/>
        <v>0</v>
      </c>
      <c r="U113" s="31">
        <f t="shared" ca="1" si="49"/>
        <v>0</v>
      </c>
      <c r="V113" s="31">
        <f t="shared" ca="1" si="49"/>
        <v>0</v>
      </c>
      <c r="W113" s="31">
        <f t="shared" ca="1" si="49"/>
        <v>0</v>
      </c>
      <c r="X113" s="31">
        <f t="shared" ca="1" si="49"/>
        <v>0</v>
      </c>
    </row>
    <row r="114" spans="2:24">
      <c r="L114" s="5"/>
    </row>
    <row r="115" spans="2:24"/>
    <row r="116" spans="2:24">
      <c r="B116" s="239" t="s">
        <v>481</v>
      </c>
      <c r="C116" s="240"/>
      <c r="D116" s="240"/>
      <c r="E116" s="240"/>
      <c r="F116" s="240"/>
      <c r="G116" s="241">
        <f t="shared" ref="G116:X116" ca="1" si="50">LataProjekcji</f>
        <v>0</v>
      </c>
      <c r="H116" s="241">
        <f t="shared" ca="1" si="50"/>
        <v>0</v>
      </c>
      <c r="I116" s="241">
        <f t="shared" ca="1" si="50"/>
        <v>0</v>
      </c>
      <c r="J116" s="242" t="str">
        <f t="shared" si="50"/>
        <v/>
      </c>
      <c r="K116" s="241" t="str">
        <f t="shared" si="50"/>
        <v>Uzupełnij dane</v>
      </c>
      <c r="L116" s="241" t="str">
        <f t="shared" si="50"/>
        <v/>
      </c>
      <c r="M116" s="241" t="str">
        <f t="shared" si="50"/>
        <v/>
      </c>
      <c r="N116" s="241" t="str">
        <f t="shared" si="50"/>
        <v/>
      </c>
      <c r="O116" s="241" t="str">
        <f t="shared" si="50"/>
        <v/>
      </c>
      <c r="P116" s="241" t="str">
        <f t="shared" si="50"/>
        <v/>
      </c>
      <c r="Q116" s="241" t="str">
        <f t="shared" si="50"/>
        <v/>
      </c>
      <c r="R116" s="241" t="str">
        <f t="shared" si="50"/>
        <v/>
      </c>
      <c r="S116" s="241" t="str">
        <f t="shared" si="50"/>
        <v/>
      </c>
      <c r="T116" s="241" t="str">
        <f t="shared" si="50"/>
        <v/>
      </c>
      <c r="U116" s="241" t="str">
        <f t="shared" si="50"/>
        <v/>
      </c>
      <c r="V116" s="241" t="str">
        <f t="shared" si="50"/>
        <v/>
      </c>
      <c r="W116" s="241" t="str">
        <f t="shared" si="50"/>
        <v/>
      </c>
      <c r="X116" s="241" t="str">
        <f t="shared" si="50"/>
        <v/>
      </c>
    </row>
    <row r="117" spans="2:24">
      <c r="B117" s="205" t="s">
        <v>472</v>
      </c>
      <c r="C117" s="206"/>
      <c r="D117" s="206"/>
      <c r="E117" s="206"/>
      <c r="F117" s="206"/>
      <c r="G117" s="207"/>
      <c r="H117" s="207"/>
      <c r="I117" s="207"/>
      <c r="J117" s="207"/>
      <c r="K117" s="208">
        <f ca="1">IFERROR(ROUND(K89+K56,0),0)</f>
        <v>0</v>
      </c>
      <c r="L117" s="208">
        <f t="shared" ref="L117:X117" ca="1" si="51">IFERROR(ROUND(L89+L56,0),0)</f>
        <v>0</v>
      </c>
      <c r="M117" s="208">
        <f t="shared" ca="1" si="51"/>
        <v>0</v>
      </c>
      <c r="N117" s="208">
        <f t="shared" ca="1" si="51"/>
        <v>0</v>
      </c>
      <c r="O117" s="208">
        <f t="shared" ca="1" si="51"/>
        <v>0</v>
      </c>
      <c r="P117" s="208">
        <f t="shared" ca="1" si="51"/>
        <v>0</v>
      </c>
      <c r="Q117" s="208">
        <f t="shared" ca="1" si="51"/>
        <v>0</v>
      </c>
      <c r="R117" s="208">
        <f t="shared" ca="1" si="51"/>
        <v>0</v>
      </c>
      <c r="S117" s="208">
        <f t="shared" ca="1" si="51"/>
        <v>0</v>
      </c>
      <c r="T117" s="208">
        <f t="shared" ca="1" si="51"/>
        <v>0</v>
      </c>
      <c r="U117" s="208">
        <f t="shared" ca="1" si="51"/>
        <v>0</v>
      </c>
      <c r="V117" s="208">
        <f t="shared" ca="1" si="51"/>
        <v>0</v>
      </c>
      <c r="W117" s="208">
        <f t="shared" ca="1" si="51"/>
        <v>0</v>
      </c>
      <c r="X117" s="208">
        <f t="shared" ca="1" si="51"/>
        <v>0</v>
      </c>
    </row>
    <row r="118" spans="2:24">
      <c r="B118" s="209" t="s">
        <v>482</v>
      </c>
      <c r="C118" s="210"/>
      <c r="D118" s="210"/>
      <c r="E118" s="210"/>
      <c r="F118" s="210"/>
      <c r="G118" s="210"/>
      <c r="H118" s="210"/>
      <c r="I118" s="210"/>
      <c r="J118" s="210"/>
      <c r="K118" s="211">
        <f ca="1">IFERROR((K117/K120)*K119,0)</f>
        <v>0</v>
      </c>
      <c r="L118" s="211">
        <f t="shared" ref="L118:X118" ca="1" si="52">IFERROR((L117/L120)*L119,0)</f>
        <v>0</v>
      </c>
      <c r="M118" s="211">
        <f t="shared" ca="1" si="52"/>
        <v>0</v>
      </c>
      <c r="N118" s="211">
        <f t="shared" ca="1" si="52"/>
        <v>0</v>
      </c>
      <c r="O118" s="211">
        <f t="shared" ca="1" si="52"/>
        <v>0</v>
      </c>
      <c r="P118" s="211">
        <f t="shared" ca="1" si="52"/>
        <v>0</v>
      </c>
      <c r="Q118" s="211">
        <f t="shared" ca="1" si="52"/>
        <v>0</v>
      </c>
      <c r="R118" s="211">
        <f t="shared" ca="1" si="52"/>
        <v>0</v>
      </c>
      <c r="S118" s="211">
        <f t="shared" ca="1" si="52"/>
        <v>0</v>
      </c>
      <c r="T118" s="211">
        <f t="shared" ca="1" si="52"/>
        <v>0</v>
      </c>
      <c r="U118" s="211">
        <f t="shared" ca="1" si="52"/>
        <v>0</v>
      </c>
      <c r="V118" s="211">
        <f t="shared" ca="1" si="52"/>
        <v>0</v>
      </c>
      <c r="W118" s="211">
        <f t="shared" ca="1" si="52"/>
        <v>0</v>
      </c>
      <c r="X118" s="211">
        <f t="shared" ca="1" si="52"/>
        <v>0</v>
      </c>
    </row>
    <row r="119" spans="2:24">
      <c r="B119" s="37" t="s">
        <v>474</v>
      </c>
      <c r="C119" s="52"/>
      <c r="D119" s="52"/>
      <c r="E119" s="52"/>
      <c r="F119" s="52"/>
      <c r="G119" s="52"/>
      <c r="H119" s="52"/>
      <c r="I119" s="52"/>
      <c r="J119" s="52"/>
      <c r="K119" s="52" t="str">
        <f t="shared" ref="K119:X119" si="53">dni</f>
        <v/>
      </c>
      <c r="L119" s="52" t="str">
        <f t="shared" si="53"/>
        <v/>
      </c>
      <c r="M119" s="52" t="str">
        <f t="shared" si="53"/>
        <v/>
      </c>
      <c r="N119" s="52" t="str">
        <f t="shared" si="53"/>
        <v/>
      </c>
      <c r="O119" s="52" t="str">
        <f t="shared" si="53"/>
        <v/>
      </c>
      <c r="P119" s="52" t="str">
        <f t="shared" si="53"/>
        <v/>
      </c>
      <c r="Q119" s="52" t="str">
        <f t="shared" si="53"/>
        <v/>
      </c>
      <c r="R119" s="52" t="str">
        <f t="shared" si="53"/>
        <v/>
      </c>
      <c r="S119" s="52" t="str">
        <f t="shared" si="53"/>
        <v/>
      </c>
      <c r="T119" s="52" t="str">
        <f t="shared" si="53"/>
        <v/>
      </c>
      <c r="U119" s="52" t="str">
        <f t="shared" si="53"/>
        <v/>
      </c>
      <c r="V119" s="52" t="str">
        <f t="shared" si="53"/>
        <v/>
      </c>
      <c r="W119" s="52" t="str">
        <f t="shared" si="53"/>
        <v/>
      </c>
      <c r="X119" s="52" t="str">
        <f t="shared" si="53"/>
        <v/>
      </c>
    </row>
    <row r="120" spans="2:24">
      <c r="B120" s="37" t="s">
        <v>667</v>
      </c>
      <c r="C120" s="212"/>
      <c r="D120" s="212"/>
      <c r="E120" s="212"/>
      <c r="F120" s="212"/>
      <c r="G120" s="33"/>
      <c r="H120" s="33"/>
      <c r="I120" s="33"/>
      <c r="J120" s="33"/>
      <c r="K120" s="33">
        <f ca="1">ROUND(IFERROR(IF($G$195=1,K87+K49,K87+K54),0),0)</f>
        <v>0</v>
      </c>
      <c r="L120" s="33">
        <f t="shared" ref="L120:X120" ca="1" si="54">ROUND(IFERROR(IF($G$195=1,L87+L49,L87+L54),0),0)</f>
        <v>0</v>
      </c>
      <c r="M120" s="33">
        <f t="shared" ca="1" si="54"/>
        <v>0</v>
      </c>
      <c r="N120" s="33">
        <f t="shared" ca="1" si="54"/>
        <v>0</v>
      </c>
      <c r="O120" s="33">
        <f t="shared" ca="1" si="54"/>
        <v>0</v>
      </c>
      <c r="P120" s="33">
        <f t="shared" ca="1" si="54"/>
        <v>0</v>
      </c>
      <c r="Q120" s="33">
        <f t="shared" ca="1" si="54"/>
        <v>0</v>
      </c>
      <c r="R120" s="33">
        <f t="shared" ca="1" si="54"/>
        <v>0</v>
      </c>
      <c r="S120" s="33">
        <f t="shared" ca="1" si="54"/>
        <v>0</v>
      </c>
      <c r="T120" s="33">
        <f t="shared" ca="1" si="54"/>
        <v>0</v>
      </c>
      <c r="U120" s="33">
        <f t="shared" ca="1" si="54"/>
        <v>0</v>
      </c>
      <c r="V120" s="33">
        <f t="shared" ca="1" si="54"/>
        <v>0</v>
      </c>
      <c r="W120" s="33">
        <f t="shared" ca="1" si="54"/>
        <v>0</v>
      </c>
      <c r="X120" s="33">
        <f t="shared" ca="1" si="54"/>
        <v>0</v>
      </c>
    </row>
    <row r="121" spans="2:24">
      <c r="B121" s="8"/>
    </row>
    <row r="122" spans="2:24">
      <c r="B122" s="29" t="s">
        <v>483</v>
      </c>
      <c r="C122" s="30"/>
      <c r="D122" s="30"/>
      <c r="E122" s="30"/>
      <c r="F122" s="30"/>
      <c r="G122" s="31">
        <f>G56</f>
        <v>0</v>
      </c>
      <c r="H122" s="31">
        <f>H56</f>
        <v>0</v>
      </c>
      <c r="I122" s="31">
        <f>I56</f>
        <v>0</v>
      </c>
      <c r="J122" s="31">
        <f>J56</f>
        <v>0</v>
      </c>
      <c r="K122" s="31">
        <f ca="1">K117</f>
        <v>0</v>
      </c>
      <c r="L122" s="31">
        <f t="shared" ref="L122:X122" ca="1" si="55">L117</f>
        <v>0</v>
      </c>
      <c r="M122" s="31">
        <f t="shared" ca="1" si="55"/>
        <v>0</v>
      </c>
      <c r="N122" s="31">
        <f t="shared" ca="1" si="55"/>
        <v>0</v>
      </c>
      <c r="O122" s="31">
        <f t="shared" ca="1" si="55"/>
        <v>0</v>
      </c>
      <c r="P122" s="31">
        <f t="shared" ca="1" si="55"/>
        <v>0</v>
      </c>
      <c r="Q122" s="31">
        <f t="shared" ca="1" si="55"/>
        <v>0</v>
      </c>
      <c r="R122" s="31">
        <f t="shared" ca="1" si="55"/>
        <v>0</v>
      </c>
      <c r="S122" s="31">
        <f t="shared" ca="1" si="55"/>
        <v>0</v>
      </c>
      <c r="T122" s="31">
        <f t="shared" ca="1" si="55"/>
        <v>0</v>
      </c>
      <c r="U122" s="31">
        <f t="shared" ca="1" si="55"/>
        <v>0</v>
      </c>
      <c r="V122" s="31">
        <f t="shared" ca="1" si="55"/>
        <v>0</v>
      </c>
      <c r="W122" s="31">
        <f t="shared" ca="1" si="55"/>
        <v>0</v>
      </c>
      <c r="X122" s="31">
        <f t="shared" ca="1" si="55"/>
        <v>0</v>
      </c>
    </row>
    <row r="123" spans="2:24">
      <c r="L123" s="5"/>
    </row>
    <row r="124" spans="2:24"/>
    <row r="125" spans="2:24">
      <c r="B125" s="29" t="s">
        <v>484</v>
      </c>
      <c r="C125" s="30"/>
      <c r="D125" s="30"/>
      <c r="E125" s="30"/>
      <c r="F125" s="30"/>
      <c r="G125" s="31">
        <f>ROUND(G104+G113-G122,0)</f>
        <v>0</v>
      </c>
      <c r="H125" s="31">
        <f>ROUND(H104+H113-H122,0)</f>
        <v>0</v>
      </c>
      <c r="I125" s="31">
        <f>ROUND(I104+I113-I122,0)</f>
        <v>0</v>
      </c>
      <c r="J125" s="31">
        <f>ROUND(J104+J113-J122,0)</f>
        <v>0</v>
      </c>
      <c r="K125" s="31">
        <f ca="1">ROUND(K104+K113-K122,0)</f>
        <v>0</v>
      </c>
      <c r="L125" s="31">
        <f t="shared" ref="L125:X125" ca="1" si="56">ROUND(L104+L113-L122,0)</f>
        <v>0</v>
      </c>
      <c r="M125" s="31">
        <f t="shared" ca="1" si="56"/>
        <v>0</v>
      </c>
      <c r="N125" s="31">
        <f t="shared" ca="1" si="56"/>
        <v>0</v>
      </c>
      <c r="O125" s="31">
        <f t="shared" ca="1" si="56"/>
        <v>0</v>
      </c>
      <c r="P125" s="31">
        <f t="shared" ca="1" si="56"/>
        <v>0</v>
      </c>
      <c r="Q125" s="31">
        <f t="shared" ca="1" si="56"/>
        <v>0</v>
      </c>
      <c r="R125" s="31">
        <f t="shared" ca="1" si="56"/>
        <v>0</v>
      </c>
      <c r="S125" s="31">
        <f t="shared" ca="1" si="56"/>
        <v>0</v>
      </c>
      <c r="T125" s="31">
        <f t="shared" ca="1" si="56"/>
        <v>0</v>
      </c>
      <c r="U125" s="31">
        <f t="shared" ca="1" si="56"/>
        <v>0</v>
      </c>
      <c r="V125" s="31">
        <f t="shared" ca="1" si="56"/>
        <v>0</v>
      </c>
      <c r="W125" s="31">
        <f t="shared" ca="1" si="56"/>
        <v>0</v>
      </c>
      <c r="X125" s="31">
        <f t="shared" ca="1" si="56"/>
        <v>0</v>
      </c>
    </row>
    <row r="126" spans="2:24">
      <c r="B126" s="102" t="s">
        <v>485</v>
      </c>
      <c r="C126" s="102"/>
      <c r="D126" s="102"/>
      <c r="E126" s="102"/>
      <c r="F126" s="102"/>
      <c r="G126" s="103">
        <f>ROUND(F125-G125,0)</f>
        <v>0</v>
      </c>
      <c r="H126" s="103">
        <f>ROUND(G125-H125,0)</f>
        <v>0</v>
      </c>
      <c r="I126" s="103">
        <f>ROUND(H125-I125,0)</f>
        <v>0</v>
      </c>
      <c r="J126" s="103">
        <f>IF(Rok_n="",0,ROUND(I125-J125,0))</f>
        <v>0</v>
      </c>
      <c r="K126" s="103">
        <f ca="1">ROUND(I125-K125,0)</f>
        <v>0</v>
      </c>
      <c r="L126" s="103">
        <f t="shared" ref="L126:X126" ca="1" si="57">ROUND(K125-L125,0)</f>
        <v>0</v>
      </c>
      <c r="M126" s="103">
        <f t="shared" ca="1" si="57"/>
        <v>0</v>
      </c>
      <c r="N126" s="103">
        <f t="shared" ca="1" si="57"/>
        <v>0</v>
      </c>
      <c r="O126" s="103">
        <f t="shared" ca="1" si="57"/>
        <v>0</v>
      </c>
      <c r="P126" s="103">
        <f t="shared" ca="1" si="57"/>
        <v>0</v>
      </c>
      <c r="Q126" s="103">
        <f t="shared" ca="1" si="57"/>
        <v>0</v>
      </c>
      <c r="R126" s="103">
        <f t="shared" ca="1" si="57"/>
        <v>0</v>
      </c>
      <c r="S126" s="103">
        <f t="shared" ca="1" si="57"/>
        <v>0</v>
      </c>
      <c r="T126" s="103">
        <f t="shared" ca="1" si="57"/>
        <v>0</v>
      </c>
      <c r="U126" s="103">
        <f t="shared" ca="1" si="57"/>
        <v>0</v>
      </c>
      <c r="V126" s="103">
        <f t="shared" ca="1" si="57"/>
        <v>0</v>
      </c>
      <c r="W126" s="103">
        <f t="shared" ca="1" si="57"/>
        <v>0</v>
      </c>
      <c r="X126" s="103">
        <f t="shared" ca="1" si="57"/>
        <v>0</v>
      </c>
    </row>
    <row r="127" spans="2:24"/>
    <row r="128" spans="2:24"/>
    <row r="129" spans="2:2" ht="14.4">
      <c r="B129" s="11" t="s">
        <v>51</v>
      </c>
    </row>
    <row r="130" spans="2:2">
      <c r="B130" s="7"/>
    </row>
    <row r="131" spans="2:2"/>
    <row r="132" spans="2:2"/>
    <row r="133" spans="2:2"/>
    <row r="134" spans="2:2"/>
    <row r="135" spans="2:2"/>
    <row r="136" spans="2:2"/>
    <row r="137" spans="2:2"/>
    <row r="138" spans="2:2"/>
    <row r="139" spans="2:2"/>
    <row r="140" spans="2:2"/>
    <row r="141" spans="2:2"/>
    <row r="142" spans="2:2"/>
    <row r="143" spans="2:2"/>
    <row r="144" spans="2: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93" spans="2:24" hidden="1">
      <c r="B193" s="21" t="s">
        <v>471</v>
      </c>
      <c r="C193" s="21"/>
      <c r="D193" s="21"/>
      <c r="E193" s="21"/>
      <c r="F193" s="21"/>
      <c r="G193" s="303">
        <v>1</v>
      </c>
    </row>
    <row r="194" spans="2:24" hidden="1">
      <c r="B194" s="21" t="s">
        <v>477</v>
      </c>
      <c r="C194" s="21"/>
      <c r="D194" s="21"/>
      <c r="E194" s="21"/>
      <c r="F194" s="21"/>
      <c r="G194" s="303">
        <v>1</v>
      </c>
    </row>
    <row r="195" spans="2:24" hidden="1">
      <c r="B195" s="21" t="s">
        <v>481</v>
      </c>
      <c r="C195" s="21"/>
      <c r="D195" s="21"/>
      <c r="E195" s="21"/>
      <c r="F195" s="21"/>
      <c r="G195" s="303">
        <v>1</v>
      </c>
    </row>
    <row r="198" spans="2:24" hidden="1">
      <c r="B198" s="1" t="s">
        <v>488</v>
      </c>
    </row>
    <row r="199" spans="2:24" hidden="1">
      <c r="B199" s="1" t="s">
        <v>489</v>
      </c>
      <c r="G199" s="1" t="str">
        <f ca="1">G17</f>
        <v>bd.</v>
      </c>
      <c r="H199" s="1" t="str">
        <f ca="1">H17</f>
        <v>bd.</v>
      </c>
      <c r="I199" s="1" t="str">
        <f ca="1">I17</f>
        <v>bd.</v>
      </c>
      <c r="J199" s="1" t="str">
        <f>J17</f>
        <v>bd.</v>
      </c>
      <c r="K199" s="1">
        <f ca="1">IFERROR(ROUND(AVERAGE(G199:I199),0),0)</f>
        <v>0</v>
      </c>
      <c r="L199" s="1">
        <f ca="1">IFERROR(ROUND(AVERAGE(H199:I199,K199),0),0)</f>
        <v>0</v>
      </c>
      <c r="M199" s="1">
        <f ca="1">IFERROR(ROUND(AVERAGE(I199,K199:L199),0),0)</f>
        <v>0</v>
      </c>
      <c r="N199" s="1">
        <f ca="1">IFERROR(ROUND(AVERAGE(K199:M199),0),0)</f>
        <v>0</v>
      </c>
      <c r="O199" s="1">
        <f t="shared" ref="O199:X199" ca="1" si="58">IFERROR(ROUND(AVERAGE(L199:N199),0),0)</f>
        <v>0</v>
      </c>
      <c r="P199" s="1">
        <f t="shared" ca="1" si="58"/>
        <v>0</v>
      </c>
      <c r="Q199" s="1">
        <f t="shared" ca="1" si="58"/>
        <v>0</v>
      </c>
      <c r="R199" s="1">
        <f t="shared" ca="1" si="58"/>
        <v>0</v>
      </c>
      <c r="S199" s="1">
        <f t="shared" ca="1" si="58"/>
        <v>0</v>
      </c>
      <c r="T199" s="1">
        <f t="shared" ca="1" si="58"/>
        <v>0</v>
      </c>
      <c r="U199" s="1">
        <f t="shared" ca="1" si="58"/>
        <v>0</v>
      </c>
      <c r="V199" s="1">
        <f t="shared" ca="1" si="58"/>
        <v>0</v>
      </c>
      <c r="W199" s="1">
        <f t="shared" ca="1" si="58"/>
        <v>0</v>
      </c>
      <c r="X199" s="1">
        <f t="shared" ca="1" si="58"/>
        <v>0</v>
      </c>
    </row>
    <row r="200" spans="2:24" hidden="1">
      <c r="B200" s="1" t="s">
        <v>490</v>
      </c>
      <c r="G200" s="1" t="str">
        <f ca="1">G32</f>
        <v>bd.</v>
      </c>
      <c r="H200" s="1" t="str">
        <f ca="1">H32</f>
        <v>bd.</v>
      </c>
      <c r="I200" s="1" t="str">
        <f ca="1">I32</f>
        <v>bd.</v>
      </c>
      <c r="J200" s="1" t="str">
        <f>J32</f>
        <v>bd.</v>
      </c>
      <c r="K200" s="1">
        <f ca="1">IFERROR(ROUND(AVERAGE(G200:I200),0),0)</f>
        <v>0</v>
      </c>
      <c r="L200" s="1">
        <f ca="1">IFERROR(ROUND(AVERAGE(H200:I200,K200),0),0)</f>
        <v>0</v>
      </c>
      <c r="M200" s="1">
        <f ca="1">IFERROR(ROUND(AVERAGE(I200,K200:L200),0),0)</f>
        <v>0</v>
      </c>
      <c r="N200" s="1">
        <f ca="1">IFERROR(ROUND(AVERAGE(K200:M200),0),0)</f>
        <v>0</v>
      </c>
      <c r="O200" s="1">
        <f t="shared" ref="O200:X201" ca="1" si="59">IFERROR(ROUND(AVERAGE(L200:N200),0),0)</f>
        <v>0</v>
      </c>
      <c r="P200" s="1">
        <f t="shared" ca="1" si="59"/>
        <v>0</v>
      </c>
      <c r="Q200" s="1">
        <f t="shared" ca="1" si="59"/>
        <v>0</v>
      </c>
      <c r="R200" s="1">
        <f t="shared" ca="1" si="59"/>
        <v>0</v>
      </c>
      <c r="S200" s="1">
        <f t="shared" ca="1" si="59"/>
        <v>0</v>
      </c>
      <c r="T200" s="1">
        <f t="shared" ca="1" si="59"/>
        <v>0</v>
      </c>
      <c r="U200" s="1">
        <f t="shared" ca="1" si="59"/>
        <v>0</v>
      </c>
      <c r="V200" s="1">
        <f t="shared" ca="1" si="59"/>
        <v>0</v>
      </c>
      <c r="W200" s="1">
        <f t="shared" ca="1" si="59"/>
        <v>0</v>
      </c>
      <c r="X200" s="1">
        <f t="shared" ca="1" si="59"/>
        <v>0</v>
      </c>
    </row>
    <row r="201" spans="2:24" hidden="1">
      <c r="B201" s="1" t="s">
        <v>491</v>
      </c>
      <c r="G201" s="1" t="str">
        <f ca="1">G47</f>
        <v>bd.</v>
      </c>
      <c r="H201" s="1" t="str">
        <f ca="1">H47</f>
        <v>bd.</v>
      </c>
      <c r="I201" s="1" t="str">
        <f ca="1">I47</f>
        <v>bd.</v>
      </c>
      <c r="J201" s="1" t="str">
        <f>J47</f>
        <v>bd.</v>
      </c>
      <c r="K201" s="1">
        <f ca="1">IFERROR(ROUND(AVERAGE(G201:I201),0),0)</f>
        <v>0</v>
      </c>
      <c r="L201" s="1">
        <f ca="1">IFERROR(ROUND(AVERAGE(H201:I201,K201),0),0)</f>
        <v>0</v>
      </c>
      <c r="M201" s="1">
        <f ca="1">IFERROR(ROUND(AVERAGE(I201,K201:L201),0),0)</f>
        <v>0</v>
      </c>
      <c r="N201" s="1">
        <f ca="1">IFERROR(ROUND(AVERAGE(K201:M201),0),0)</f>
        <v>0</v>
      </c>
      <c r="O201" s="1">
        <f t="shared" ca="1" si="59"/>
        <v>0</v>
      </c>
      <c r="P201" s="1">
        <f t="shared" ca="1" si="59"/>
        <v>0</v>
      </c>
      <c r="Q201" s="1">
        <f t="shared" ca="1" si="59"/>
        <v>0</v>
      </c>
      <c r="R201" s="1">
        <f t="shared" ca="1" si="59"/>
        <v>0</v>
      </c>
      <c r="S201" s="1">
        <f t="shared" ca="1" si="59"/>
        <v>0</v>
      </c>
      <c r="T201" s="1">
        <f t="shared" ca="1" si="59"/>
        <v>0</v>
      </c>
      <c r="U201" s="1">
        <f t="shared" ca="1" si="59"/>
        <v>0</v>
      </c>
      <c r="V201" s="1">
        <f t="shared" ca="1" si="59"/>
        <v>0</v>
      </c>
      <c r="W201" s="1">
        <f t="shared" ca="1" si="59"/>
        <v>0</v>
      </c>
      <c r="X201" s="1">
        <f t="shared" ca="1" si="59"/>
        <v>0</v>
      </c>
    </row>
  </sheetData>
  <sheetProtection algorithmName="SHA-512" hashValue="239SYAbXA98O0wvkm592M52Bjf1bciPPJEAJxivZ8ziqPYP+f39ChoU7EjdVl+QLOqTaHr6p3U8Pe6QL0h102w==" saltValue="fe5LKgAjTZP2nDrIz4y8qA==" spinCount="100000" sheet="1" objects="1" scenarios="1"/>
  <mergeCells count="1">
    <mergeCell ref="B2:K3"/>
  </mergeCells>
  <conditionalFormatting sqref="K22:X22 K37:X37 K52:X52">
    <cfRule type="expression" dxfId="368" priority="2">
      <formula>K$12&lt;=Koniec</formula>
    </cfRule>
  </conditionalFormatting>
  <conditionalFormatting sqref="K22:U22 K37:U37 K52:U52">
    <cfRule type="expression" dxfId="367" priority="1">
      <formula>AND(K$12&gt;Koniec_Projekt,K$12&lt;=Koniec)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9" orientation="landscape" r:id="rId1"/>
  <headerFooter>
    <oddHeader>&amp;A</oddHeader>
    <oddFooter>&amp;L&amp;F&amp;CStrona &amp;P z &amp;N&amp;RData i godzina wydruku: &amp;D &amp;T</oddFooter>
  </headerFooter>
  <rowBreaks count="2" manualBreakCount="2">
    <brk id="62" min="1" max="23" man="1"/>
    <brk id="12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52" r:id="rId4" name="Option Button 20">
              <controlPr defaultSize="0" autoFill="0" autoLine="0" autoPict="0">
                <anchor moveWithCells="1">
                  <from>
                    <xdr:col>1</xdr:col>
                    <xdr:colOff>167640</xdr:colOff>
                    <xdr:row>14</xdr:row>
                    <xdr:rowOff>160020</xdr:rowOff>
                  </from>
                  <to>
                    <xdr:col>1</xdr:col>
                    <xdr:colOff>1104900</xdr:colOff>
                    <xdr:row>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5" name="Option Button 21">
              <controlPr defaultSize="0" autoFill="0" autoLine="0" autoPict="0">
                <anchor moveWithCells="1">
                  <from>
                    <xdr:col>1</xdr:col>
                    <xdr:colOff>1363980</xdr:colOff>
                    <xdr:row>14</xdr:row>
                    <xdr:rowOff>160020</xdr:rowOff>
                  </from>
                  <to>
                    <xdr:col>1</xdr:col>
                    <xdr:colOff>2179320</xdr:colOff>
                    <xdr:row>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6" name="Option Button 24">
              <controlPr defaultSize="0" autoFill="0" autoLine="0" autoPict="0">
                <anchor moveWithCells="1">
                  <from>
                    <xdr:col>1</xdr:col>
                    <xdr:colOff>167640</xdr:colOff>
                    <xdr:row>29</xdr:row>
                    <xdr:rowOff>167640</xdr:rowOff>
                  </from>
                  <to>
                    <xdr:col>1</xdr:col>
                    <xdr:colOff>1104900</xdr:colOff>
                    <xdr:row>29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7" name="Option Button 25">
              <controlPr defaultSize="0" autoFill="0" autoLine="0" autoPict="0">
                <anchor moveWithCells="1">
                  <from>
                    <xdr:col>1</xdr:col>
                    <xdr:colOff>1371600</xdr:colOff>
                    <xdr:row>29</xdr:row>
                    <xdr:rowOff>167640</xdr:rowOff>
                  </from>
                  <to>
                    <xdr:col>1</xdr:col>
                    <xdr:colOff>2179320</xdr:colOff>
                    <xdr:row>29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2" r:id="rId8" name="Group Box 30">
              <controlPr defaultSize="0" autoFill="0" autoPict="0">
                <anchor moveWithCells="1">
                  <from>
                    <xdr:col>1</xdr:col>
                    <xdr:colOff>106680</xdr:colOff>
                    <xdr:row>14</xdr:row>
                    <xdr:rowOff>38100</xdr:rowOff>
                  </from>
                  <to>
                    <xdr:col>1</xdr:col>
                    <xdr:colOff>2438400</xdr:colOff>
                    <xdr:row>14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3" r:id="rId9" name="Group Box 31">
              <controlPr defaultSize="0" autoFill="0" autoPict="0">
                <anchor moveWithCells="1">
                  <from>
                    <xdr:col>1</xdr:col>
                    <xdr:colOff>106680</xdr:colOff>
                    <xdr:row>29</xdr:row>
                    <xdr:rowOff>38100</xdr:rowOff>
                  </from>
                  <to>
                    <xdr:col>1</xdr:col>
                    <xdr:colOff>2438400</xdr:colOff>
                    <xdr:row>29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10" name="Option Button 32">
              <controlPr defaultSize="0" autoFill="0" autoLine="0" autoPict="0">
                <anchor moveWithCells="1">
                  <from>
                    <xdr:col>1</xdr:col>
                    <xdr:colOff>167640</xdr:colOff>
                    <xdr:row>44</xdr:row>
                    <xdr:rowOff>182880</xdr:rowOff>
                  </from>
                  <to>
                    <xdr:col>1</xdr:col>
                    <xdr:colOff>1104900</xdr:colOff>
                    <xdr:row>44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11" name="Option Button 33">
              <controlPr defaultSize="0" autoFill="0" autoLine="0" autoPict="0">
                <anchor moveWithCells="1">
                  <from>
                    <xdr:col>1</xdr:col>
                    <xdr:colOff>1371600</xdr:colOff>
                    <xdr:row>44</xdr:row>
                    <xdr:rowOff>182880</xdr:rowOff>
                  </from>
                  <to>
                    <xdr:col>1</xdr:col>
                    <xdr:colOff>2179320</xdr:colOff>
                    <xdr:row>44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12" name="Group Box 34">
              <controlPr defaultSize="0" autoFill="0" autoPict="0">
                <anchor moveWithCells="1">
                  <from>
                    <xdr:col>1</xdr:col>
                    <xdr:colOff>106680</xdr:colOff>
                    <xdr:row>44</xdr:row>
                    <xdr:rowOff>45720</xdr:rowOff>
                  </from>
                  <to>
                    <xdr:col>1</xdr:col>
                    <xdr:colOff>2438400</xdr:colOff>
                    <xdr:row>44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13" name="Group Box 3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91440</xdr:rowOff>
                  </from>
                  <to>
                    <xdr:col>16</xdr:col>
                    <xdr:colOff>403860</xdr:colOff>
                    <xdr:row>10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>
    <pageSetUpPr fitToPage="1"/>
  </sheetPr>
  <dimension ref="A1:Y197"/>
  <sheetViews>
    <sheetView showGridLines="0" workbookViewId="0"/>
  </sheetViews>
  <sheetFormatPr defaultColWidth="0" defaultRowHeight="12" zeroHeight="1"/>
  <cols>
    <col min="1" max="1" width="2.85546875" style="1" customWidth="1"/>
    <col min="2" max="2" width="73.85546875" style="1" bestFit="1" customWidth="1"/>
    <col min="3" max="8" width="9.140625" style="1" hidden="1" customWidth="1"/>
    <col min="9" max="9" width="9.140625" style="255" hidden="1" customWidth="1"/>
    <col min="10" max="24" width="12.85546875" style="1" customWidth="1"/>
    <col min="25" max="25" width="2.85546875" style="1" customWidth="1"/>
    <col min="26" max="16384" width="9.140625" style="1" hidden="1"/>
  </cols>
  <sheetData>
    <row r="1" spans="2:24"/>
    <row r="2" spans="2:24">
      <c r="B2" s="543" t="str">
        <f>IF(ISBLANK(Firma),"Wstaw nazwę firmy w zakładce Dane Firmy",Firma)</f>
        <v>Wstaw nazwę firmy w zakładce Dane Firmy</v>
      </c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</row>
    <row r="3" spans="2:24"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4">
      <c r="B12" s="23" t="s">
        <v>265</v>
      </c>
      <c r="C12" s="24"/>
      <c r="D12" s="24"/>
      <c r="E12" s="24"/>
      <c r="F12" s="23"/>
      <c r="G12" s="23"/>
      <c r="H12" s="23"/>
      <c r="I12" s="312"/>
      <c r="J12" s="44" t="str">
        <f t="shared" ref="J12:X12" si="0">LataProjekcji</f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3" t="s">
        <v>492</v>
      </c>
      <c r="C14" s="234"/>
      <c r="D14" s="234"/>
      <c r="E14" s="234"/>
      <c r="F14" s="234"/>
      <c r="G14" s="234"/>
      <c r="H14" s="234"/>
      <c r="I14" s="313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</row>
    <row r="15" spans="2:24">
      <c r="B15" s="19" t="s">
        <v>493</v>
      </c>
      <c r="C15" s="19"/>
      <c r="D15" s="19"/>
      <c r="E15" s="19"/>
      <c r="F15" s="19"/>
      <c r="G15" s="19"/>
      <c r="H15" s="19"/>
      <c r="I15" s="314"/>
      <c r="J15" s="19"/>
      <c r="K15" s="95">
        <f t="shared" ref="K15:X15" si="1">J17</f>
        <v>0</v>
      </c>
      <c r="L15" s="95">
        <f t="shared" si="1"/>
        <v>0</v>
      </c>
      <c r="M15" s="95">
        <f t="shared" si="1"/>
        <v>0</v>
      </c>
      <c r="N15" s="95">
        <f t="shared" si="1"/>
        <v>0</v>
      </c>
      <c r="O15" s="95">
        <f t="shared" si="1"/>
        <v>0</v>
      </c>
      <c r="P15" s="95">
        <f t="shared" si="1"/>
        <v>0</v>
      </c>
      <c r="Q15" s="95">
        <f t="shared" si="1"/>
        <v>0</v>
      </c>
      <c r="R15" s="95">
        <f t="shared" si="1"/>
        <v>0</v>
      </c>
      <c r="S15" s="95">
        <f t="shared" si="1"/>
        <v>0</v>
      </c>
      <c r="T15" s="95">
        <f t="shared" si="1"/>
        <v>0</v>
      </c>
      <c r="U15" s="95">
        <f t="shared" si="1"/>
        <v>0</v>
      </c>
      <c r="V15" s="95">
        <f t="shared" si="1"/>
        <v>0</v>
      </c>
      <c r="W15" s="95">
        <f t="shared" si="1"/>
        <v>0</v>
      </c>
      <c r="X15" s="95">
        <f t="shared" si="1"/>
        <v>0</v>
      </c>
    </row>
    <row r="16" spans="2:24" ht="12.6" thickBot="1">
      <c r="B16" s="52" t="s">
        <v>494</v>
      </c>
      <c r="C16" s="52"/>
      <c r="D16" s="52"/>
      <c r="E16" s="52"/>
      <c r="F16" s="52"/>
      <c r="G16" s="52"/>
      <c r="H16" s="52"/>
      <c r="I16" s="315"/>
      <c r="J16" s="90"/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6"/>
      <c r="X16" s="346"/>
    </row>
    <row r="17" spans="2:24" ht="12.6" thickBot="1">
      <c r="B17" s="52" t="s">
        <v>495</v>
      </c>
      <c r="C17" s="52"/>
      <c r="D17" s="52"/>
      <c r="E17" s="52"/>
      <c r="F17" s="52"/>
      <c r="G17" s="52"/>
      <c r="H17" s="52"/>
      <c r="J17" s="287">
        <f>IF(OR(ISBLANK(DaneBiezace),Rok_n=""),'Ocena kondycji finansowej'!I77,'Ocena kondycji finansowej'!J77)</f>
        <v>0</v>
      </c>
      <c r="K17" s="33">
        <f>K15+K16</f>
        <v>0</v>
      </c>
      <c r="L17" s="33">
        <f t="shared" ref="L17:X17" si="2">L15+L16</f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33">
        <f t="shared" si="2"/>
        <v>0</v>
      </c>
      <c r="R17" s="33">
        <f t="shared" si="2"/>
        <v>0</v>
      </c>
      <c r="S17" s="33">
        <f t="shared" si="2"/>
        <v>0</v>
      </c>
      <c r="T17" s="33">
        <f t="shared" si="2"/>
        <v>0</v>
      </c>
      <c r="U17" s="33">
        <f t="shared" si="2"/>
        <v>0</v>
      </c>
      <c r="V17" s="33">
        <f t="shared" si="2"/>
        <v>0</v>
      </c>
      <c r="W17" s="33">
        <f t="shared" si="2"/>
        <v>0</v>
      </c>
      <c r="X17" s="33">
        <f t="shared" si="2"/>
        <v>0</v>
      </c>
    </row>
    <row r="18" spans="2:24"/>
    <row r="19" spans="2:24"/>
    <row r="20" spans="2:24">
      <c r="B20" s="233" t="s">
        <v>496</v>
      </c>
      <c r="C20" s="234"/>
      <c r="D20" s="234"/>
      <c r="E20" s="234"/>
      <c r="F20" s="234"/>
      <c r="G20" s="234"/>
      <c r="H20" s="234"/>
      <c r="I20" s="313"/>
      <c r="J20" s="234"/>
      <c r="K20" s="235" t="str">
        <f t="shared" ref="K20:X20" si="3">LataProjekcji</f>
        <v>Uzupełnij dane</v>
      </c>
      <c r="L20" s="235" t="str">
        <f t="shared" si="3"/>
        <v/>
      </c>
      <c r="M20" s="235" t="str">
        <f t="shared" si="3"/>
        <v/>
      </c>
      <c r="N20" s="235" t="str">
        <f t="shared" si="3"/>
        <v/>
      </c>
      <c r="O20" s="235" t="str">
        <f t="shared" si="3"/>
        <v/>
      </c>
      <c r="P20" s="235" t="str">
        <f t="shared" si="3"/>
        <v/>
      </c>
      <c r="Q20" s="235" t="str">
        <f t="shared" si="3"/>
        <v/>
      </c>
      <c r="R20" s="235" t="str">
        <f t="shared" si="3"/>
        <v/>
      </c>
      <c r="S20" s="235" t="str">
        <f t="shared" si="3"/>
        <v/>
      </c>
      <c r="T20" s="235" t="str">
        <f t="shared" si="3"/>
        <v/>
      </c>
      <c r="U20" s="235" t="str">
        <f t="shared" si="3"/>
        <v/>
      </c>
      <c r="V20" s="235" t="str">
        <f t="shared" si="3"/>
        <v/>
      </c>
      <c r="W20" s="235" t="str">
        <f t="shared" si="3"/>
        <v/>
      </c>
      <c r="X20" s="235" t="str">
        <f t="shared" si="3"/>
        <v/>
      </c>
    </row>
    <row r="21" spans="2:24">
      <c r="B21" s="19" t="s">
        <v>497</v>
      </c>
      <c r="C21" s="19"/>
      <c r="D21" s="19"/>
      <c r="E21" s="19"/>
      <c r="F21" s="19"/>
      <c r="G21" s="19"/>
      <c r="H21" s="19"/>
      <c r="I21" s="314"/>
      <c r="J21" s="19"/>
      <c r="K21" s="95">
        <f>IF(Rok_n="",'Ocena kondycji finansowej'!I81,IF(Założenia!J32=12,'Ocena kondycji finansowej'!J81+'Ocena kondycji finansowej'!J80,'Ocena kondycji finansowej'!J80))</f>
        <v>0</v>
      </c>
      <c r="L21" s="95">
        <f ca="1">K23+'Ocena kondycji finansowej'!K81</f>
        <v>0</v>
      </c>
      <c r="M21" s="95">
        <f ca="1">L23+'Ocena kondycji finansowej'!L81</f>
        <v>0</v>
      </c>
      <c r="N21" s="95">
        <f ca="1">M23+'Ocena kondycji finansowej'!M81</f>
        <v>0</v>
      </c>
      <c r="O21" s="95">
        <f ca="1">N23+'Ocena kondycji finansowej'!N81</f>
        <v>0</v>
      </c>
      <c r="P21" s="95">
        <f ca="1">O23+'Ocena kondycji finansowej'!O81</f>
        <v>0</v>
      </c>
      <c r="Q21" s="95">
        <f ca="1">P23+'Ocena kondycji finansowej'!P81</f>
        <v>0</v>
      </c>
      <c r="R21" s="95">
        <f ca="1">Q23+'Ocena kondycji finansowej'!Q81</f>
        <v>0</v>
      </c>
      <c r="S21" s="95">
        <f ca="1">R23+'Ocena kondycji finansowej'!R81</f>
        <v>0</v>
      </c>
      <c r="T21" s="95">
        <f ca="1">S23+'Ocena kondycji finansowej'!S81</f>
        <v>0</v>
      </c>
      <c r="U21" s="95">
        <f ca="1">T23+'Ocena kondycji finansowej'!T81</f>
        <v>0</v>
      </c>
      <c r="V21" s="95">
        <f ca="1">U23+'Ocena kondycji finansowej'!U81</f>
        <v>0</v>
      </c>
      <c r="W21" s="95">
        <f ca="1">V23+'Ocena kondycji finansowej'!V81</f>
        <v>0</v>
      </c>
      <c r="X21" s="95">
        <f ca="1">W23+'Ocena kondycji finansowej'!W81</f>
        <v>0</v>
      </c>
    </row>
    <row r="22" spans="2:24">
      <c r="B22" s="52" t="s">
        <v>498</v>
      </c>
      <c r="C22" s="52"/>
      <c r="D22" s="52"/>
      <c r="E22" s="52"/>
      <c r="F22" s="52"/>
      <c r="G22" s="52"/>
      <c r="H22" s="52"/>
      <c r="I22" s="316"/>
      <c r="J22" s="52"/>
      <c r="K22" s="346"/>
      <c r="L22" s="346"/>
      <c r="M22" s="346"/>
      <c r="N22" s="346"/>
      <c r="O22" s="346"/>
      <c r="P22" s="346"/>
      <c r="Q22" s="346"/>
      <c r="R22" s="346"/>
      <c r="S22" s="346"/>
      <c r="T22" s="346"/>
      <c r="U22" s="346"/>
      <c r="V22" s="346"/>
      <c r="W22" s="346"/>
      <c r="X22" s="346"/>
    </row>
    <row r="23" spans="2:24">
      <c r="B23" s="52" t="s">
        <v>499</v>
      </c>
      <c r="C23" s="52"/>
      <c r="D23" s="52"/>
      <c r="E23" s="52"/>
      <c r="F23" s="52"/>
      <c r="G23" s="52"/>
      <c r="H23" s="52"/>
      <c r="I23" s="316"/>
      <c r="J23" s="52"/>
      <c r="K23" s="33">
        <f>K21-K22</f>
        <v>0</v>
      </c>
      <c r="L23" s="33">
        <f t="shared" ref="L23:X23" ca="1" si="4">L21-L22</f>
        <v>0</v>
      </c>
      <c r="M23" s="33">
        <f t="shared" ca="1" si="4"/>
        <v>0</v>
      </c>
      <c r="N23" s="33">
        <f t="shared" ca="1" si="4"/>
        <v>0</v>
      </c>
      <c r="O23" s="33">
        <f t="shared" ca="1" si="4"/>
        <v>0</v>
      </c>
      <c r="P23" s="33">
        <f t="shared" ca="1" si="4"/>
        <v>0</v>
      </c>
      <c r="Q23" s="33">
        <f t="shared" ca="1" si="4"/>
        <v>0</v>
      </c>
      <c r="R23" s="33">
        <f t="shared" ca="1" si="4"/>
        <v>0</v>
      </c>
      <c r="S23" s="33">
        <f t="shared" ca="1" si="4"/>
        <v>0</v>
      </c>
      <c r="T23" s="33">
        <f t="shared" ca="1" si="4"/>
        <v>0</v>
      </c>
      <c r="U23" s="33">
        <f t="shared" ca="1" si="4"/>
        <v>0</v>
      </c>
      <c r="V23" s="33">
        <f t="shared" ca="1" si="4"/>
        <v>0</v>
      </c>
      <c r="W23" s="33">
        <f t="shared" ca="1" si="4"/>
        <v>0</v>
      </c>
      <c r="X23" s="33">
        <f t="shared" ca="1" si="4"/>
        <v>0</v>
      </c>
    </row>
    <row r="24" spans="2:24"/>
    <row r="25" spans="2:24"/>
    <row r="26" spans="2:24">
      <c r="B26" s="233" t="s">
        <v>500</v>
      </c>
      <c r="C26" s="234"/>
      <c r="D26" s="234"/>
      <c r="E26" s="234"/>
      <c r="F26" s="234"/>
      <c r="G26" s="234"/>
      <c r="H26" s="234"/>
      <c r="I26" s="313"/>
      <c r="J26" s="234"/>
      <c r="K26" s="235" t="str">
        <f t="shared" ref="K26:X26" si="5">LataProjekcji</f>
        <v>Uzupełnij dane</v>
      </c>
      <c r="L26" s="235" t="str">
        <f t="shared" si="5"/>
        <v/>
      </c>
      <c r="M26" s="235" t="str">
        <f t="shared" si="5"/>
        <v/>
      </c>
      <c r="N26" s="235" t="str">
        <f t="shared" si="5"/>
        <v/>
      </c>
      <c r="O26" s="235" t="str">
        <f t="shared" si="5"/>
        <v/>
      </c>
      <c r="P26" s="235" t="str">
        <f t="shared" si="5"/>
        <v/>
      </c>
      <c r="Q26" s="235" t="str">
        <f t="shared" si="5"/>
        <v/>
      </c>
      <c r="R26" s="235" t="str">
        <f t="shared" si="5"/>
        <v/>
      </c>
      <c r="S26" s="235" t="str">
        <f t="shared" si="5"/>
        <v/>
      </c>
      <c r="T26" s="235" t="str">
        <f t="shared" si="5"/>
        <v/>
      </c>
      <c r="U26" s="235" t="str">
        <f t="shared" si="5"/>
        <v/>
      </c>
      <c r="V26" s="235" t="str">
        <f t="shared" si="5"/>
        <v/>
      </c>
      <c r="W26" s="235" t="str">
        <f t="shared" si="5"/>
        <v/>
      </c>
      <c r="X26" s="235" t="str">
        <f t="shared" si="5"/>
        <v/>
      </c>
    </row>
    <row r="27" spans="2:24">
      <c r="B27" s="102" t="s">
        <v>501</v>
      </c>
      <c r="C27" s="102"/>
      <c r="D27" s="102"/>
      <c r="E27" s="102"/>
      <c r="F27" s="102"/>
      <c r="G27" s="102"/>
      <c r="H27" s="102"/>
      <c r="I27" s="317"/>
      <c r="J27" s="102"/>
      <c r="K27" s="103">
        <f>IF(ISBLANK(DaneBiezace),IF('Ocena kondycji finansowej'!I70&gt;0,'Ocena kondycji finansowej'!I70,0),IF('Ocena kondycji finansowej'!J70&gt;0,'Ocena kondycji finansowej'!J70,0))</f>
        <v>0</v>
      </c>
      <c r="L27" s="103">
        <f ca="1">IF('Ocena kondycji finansowej'!K70&gt;0,'Ocena kondycji finansowej'!K70,0)</f>
        <v>0</v>
      </c>
      <c r="M27" s="103">
        <f ca="1">IF('Ocena kondycji finansowej'!L70&gt;0,'Ocena kondycji finansowej'!L70,0)</f>
        <v>0</v>
      </c>
      <c r="N27" s="103">
        <f ca="1">IF('Ocena kondycji finansowej'!M70&gt;0,'Ocena kondycji finansowej'!M70,0)</f>
        <v>0</v>
      </c>
      <c r="O27" s="103">
        <f ca="1">IF('Ocena kondycji finansowej'!N70&gt;0,'Ocena kondycji finansowej'!N70,0)</f>
        <v>0</v>
      </c>
      <c r="P27" s="103">
        <f ca="1">IF('Ocena kondycji finansowej'!O70&gt;0,'Ocena kondycji finansowej'!O70,0)</f>
        <v>0</v>
      </c>
      <c r="Q27" s="103">
        <f ca="1">IF('Ocena kondycji finansowej'!P70&gt;0,'Ocena kondycji finansowej'!P70,0)</f>
        <v>0</v>
      </c>
      <c r="R27" s="103">
        <f ca="1">IF('Ocena kondycji finansowej'!Q70&gt;0,'Ocena kondycji finansowej'!Q70,0)</f>
        <v>0</v>
      </c>
      <c r="S27" s="103">
        <f ca="1">IF('Ocena kondycji finansowej'!R70&gt;0,'Ocena kondycji finansowej'!R70,0)</f>
        <v>0</v>
      </c>
      <c r="T27" s="103">
        <f ca="1">IF('Ocena kondycji finansowej'!S70&gt;0,'Ocena kondycji finansowej'!S70,0)</f>
        <v>0</v>
      </c>
      <c r="U27" s="103">
        <f ca="1">IF('Ocena kondycji finansowej'!T70&gt;0,'Ocena kondycji finansowej'!T70,0)</f>
        <v>0</v>
      </c>
      <c r="V27" s="103">
        <f ca="1">IF('Ocena kondycji finansowej'!U70&gt;0,'Ocena kondycji finansowej'!U70,0)</f>
        <v>0</v>
      </c>
      <c r="W27" s="103">
        <f ca="1">IF('Ocena kondycji finansowej'!V70&gt;0,'Ocena kondycji finansowej'!V70,0)</f>
        <v>0</v>
      </c>
      <c r="X27" s="103">
        <f ca="1">IF('Ocena kondycji finansowej'!W70&gt;0,'Ocena kondycji finansowej'!W70,0)</f>
        <v>0</v>
      </c>
    </row>
    <row r="28" spans="2:24">
      <c r="B28" s="52" t="s">
        <v>502</v>
      </c>
      <c r="C28" s="52"/>
      <c r="D28" s="52"/>
      <c r="E28" s="52"/>
      <c r="F28" s="52"/>
      <c r="G28" s="52"/>
      <c r="H28" s="52"/>
      <c r="I28" s="316"/>
      <c r="J28" s="52"/>
      <c r="K28" s="79">
        <f>Założenia!K$62</f>
        <v>0</v>
      </c>
      <c r="L28" s="79">
        <f>Założenia!L$62</f>
        <v>0</v>
      </c>
      <c r="M28" s="79">
        <f>Założenia!M$62</f>
        <v>0</v>
      </c>
      <c r="N28" s="79">
        <f>Założenia!N$62</f>
        <v>0</v>
      </c>
      <c r="O28" s="79">
        <f>Założenia!O$62</f>
        <v>0</v>
      </c>
      <c r="P28" s="79">
        <f>Założenia!P$62</f>
        <v>0</v>
      </c>
      <c r="Q28" s="79">
        <f>Założenia!Q$62</f>
        <v>0</v>
      </c>
      <c r="R28" s="79">
        <f>Założenia!R$62</f>
        <v>0</v>
      </c>
      <c r="S28" s="79">
        <f>Założenia!S$62</f>
        <v>0</v>
      </c>
      <c r="T28" s="79">
        <f>Założenia!T$62</f>
        <v>0</v>
      </c>
      <c r="U28" s="79">
        <f>Założenia!U$62</f>
        <v>0</v>
      </c>
      <c r="V28" s="79">
        <f>Założenia!V$62</f>
        <v>0</v>
      </c>
      <c r="W28" s="79">
        <f>Założenia!W$62</f>
        <v>0</v>
      </c>
      <c r="X28" s="79">
        <f>Założenia!X$62</f>
        <v>0</v>
      </c>
    </row>
    <row r="29" spans="2:24">
      <c r="B29" s="88" t="s">
        <v>284</v>
      </c>
      <c r="C29" s="88"/>
      <c r="D29" s="88"/>
      <c r="E29" s="88"/>
      <c r="F29" s="88"/>
      <c r="G29" s="88"/>
      <c r="H29" s="88"/>
      <c r="I29" s="318"/>
      <c r="J29" s="88"/>
      <c r="K29" s="87">
        <f>ROUND(K28*K27,0)</f>
        <v>0</v>
      </c>
      <c r="L29" s="87">
        <f ca="1">ROUND((L28*((L27+K27)/2)),0)</f>
        <v>0</v>
      </c>
      <c r="M29" s="87">
        <f t="shared" ref="M29:X29" ca="1" si="6">ROUND((M28*((M27+L27)/2)),0)</f>
        <v>0</v>
      </c>
      <c r="N29" s="87">
        <f t="shared" ca="1" si="6"/>
        <v>0</v>
      </c>
      <c r="O29" s="87">
        <f t="shared" ca="1" si="6"/>
        <v>0</v>
      </c>
      <c r="P29" s="87">
        <f t="shared" ca="1" si="6"/>
        <v>0</v>
      </c>
      <c r="Q29" s="87">
        <f t="shared" ca="1" si="6"/>
        <v>0</v>
      </c>
      <c r="R29" s="87">
        <f t="shared" ca="1" si="6"/>
        <v>0</v>
      </c>
      <c r="S29" s="87">
        <f t="shared" ca="1" si="6"/>
        <v>0</v>
      </c>
      <c r="T29" s="87">
        <f t="shared" ca="1" si="6"/>
        <v>0</v>
      </c>
      <c r="U29" s="87">
        <f t="shared" ca="1" si="6"/>
        <v>0</v>
      </c>
      <c r="V29" s="87">
        <f t="shared" ca="1" si="6"/>
        <v>0</v>
      </c>
      <c r="W29" s="87">
        <f t="shared" ca="1" si="6"/>
        <v>0</v>
      </c>
      <c r="X29" s="87">
        <f t="shared" ca="1" si="6"/>
        <v>0</v>
      </c>
    </row>
    <row r="30" spans="2:24"/>
    <row r="31" spans="2:24"/>
    <row r="32" spans="2:24">
      <c r="B32" s="233" t="s">
        <v>503</v>
      </c>
      <c r="C32" s="234"/>
      <c r="D32" s="234"/>
      <c r="E32" s="234"/>
      <c r="F32" s="234"/>
      <c r="G32" s="234"/>
      <c r="H32" s="234"/>
      <c r="I32" s="313"/>
      <c r="J32" s="234"/>
      <c r="K32" s="235" t="str">
        <f t="shared" ref="K32:X32" si="7">LataProjekcji</f>
        <v>Uzupełnij dane</v>
      </c>
      <c r="L32" s="235" t="str">
        <f t="shared" si="7"/>
        <v/>
      </c>
      <c r="M32" s="235" t="str">
        <f t="shared" si="7"/>
        <v/>
      </c>
      <c r="N32" s="235" t="str">
        <f t="shared" si="7"/>
        <v/>
      </c>
      <c r="O32" s="235" t="str">
        <f t="shared" si="7"/>
        <v/>
      </c>
      <c r="P32" s="235" t="str">
        <f t="shared" si="7"/>
        <v/>
      </c>
      <c r="Q32" s="235" t="str">
        <f t="shared" si="7"/>
        <v/>
      </c>
      <c r="R32" s="235" t="str">
        <f t="shared" si="7"/>
        <v/>
      </c>
      <c r="S32" s="235" t="str">
        <f t="shared" si="7"/>
        <v/>
      </c>
      <c r="T32" s="235" t="str">
        <f t="shared" si="7"/>
        <v/>
      </c>
      <c r="U32" s="235" t="str">
        <f t="shared" si="7"/>
        <v/>
      </c>
      <c r="V32" s="235" t="str">
        <f t="shared" si="7"/>
        <v/>
      </c>
      <c r="W32" s="235" t="str">
        <f t="shared" si="7"/>
        <v/>
      </c>
      <c r="X32" s="235" t="str">
        <f t="shared" si="7"/>
        <v/>
      </c>
    </row>
    <row r="33" spans="2:24">
      <c r="B33" s="102" t="s">
        <v>504</v>
      </c>
      <c r="C33" s="102"/>
      <c r="D33" s="102"/>
      <c r="E33" s="102"/>
      <c r="F33" s="102"/>
      <c r="G33" s="102"/>
      <c r="H33" s="102"/>
      <c r="I33" s="317"/>
      <c r="J33" s="102"/>
      <c r="K33" s="103">
        <f>IF(ISBLANK(DaneBiezace),'Ocena kondycji finansowej'!I71,'Ocena kondycji finansowej'!J71)</f>
        <v>0</v>
      </c>
      <c r="L33" s="103">
        <f t="shared" ref="L33:X33" si="8">K37</f>
        <v>0</v>
      </c>
      <c r="M33" s="103">
        <f t="shared" si="8"/>
        <v>0</v>
      </c>
      <c r="N33" s="103">
        <f t="shared" si="8"/>
        <v>0</v>
      </c>
      <c r="O33" s="103">
        <f t="shared" si="8"/>
        <v>0</v>
      </c>
      <c r="P33" s="103">
        <f t="shared" si="8"/>
        <v>0</v>
      </c>
      <c r="Q33" s="103">
        <f t="shared" si="8"/>
        <v>0</v>
      </c>
      <c r="R33" s="103">
        <f t="shared" si="8"/>
        <v>0</v>
      </c>
      <c r="S33" s="103">
        <f t="shared" si="8"/>
        <v>0</v>
      </c>
      <c r="T33" s="103">
        <f t="shared" si="8"/>
        <v>0</v>
      </c>
      <c r="U33" s="103">
        <f t="shared" si="8"/>
        <v>0</v>
      </c>
      <c r="V33" s="103">
        <f t="shared" si="8"/>
        <v>0</v>
      </c>
      <c r="W33" s="103">
        <f t="shared" si="8"/>
        <v>0</v>
      </c>
      <c r="X33" s="103">
        <f t="shared" si="8"/>
        <v>0</v>
      </c>
    </row>
    <row r="34" spans="2:24">
      <c r="B34" s="52" t="s">
        <v>505</v>
      </c>
      <c r="C34" s="52"/>
      <c r="D34" s="52"/>
      <c r="E34" s="52"/>
      <c r="F34" s="52"/>
      <c r="G34" s="52"/>
      <c r="H34" s="52"/>
      <c r="I34" s="316"/>
      <c r="J34" s="52"/>
      <c r="K34" s="346"/>
      <c r="L34" s="346"/>
      <c r="M34" s="346"/>
      <c r="N34" s="346"/>
      <c r="O34" s="346"/>
      <c r="P34" s="346"/>
      <c r="Q34" s="346"/>
      <c r="R34" s="346"/>
      <c r="S34" s="346"/>
      <c r="T34" s="346"/>
      <c r="U34" s="346"/>
      <c r="V34" s="346"/>
      <c r="W34" s="346"/>
      <c r="X34" s="346"/>
    </row>
    <row r="35" spans="2:24">
      <c r="B35" s="52" t="s">
        <v>506</v>
      </c>
      <c r="C35" s="52"/>
      <c r="D35" s="52"/>
      <c r="E35" s="52"/>
      <c r="F35" s="52"/>
      <c r="G35" s="52"/>
      <c r="H35" s="52"/>
      <c r="I35" s="316"/>
      <c r="J35" s="52"/>
      <c r="K35" s="346"/>
      <c r="L35" s="346"/>
      <c r="M35" s="346"/>
      <c r="N35" s="346"/>
      <c r="O35" s="346"/>
      <c r="P35" s="346"/>
      <c r="Q35" s="346"/>
      <c r="R35" s="346"/>
      <c r="S35" s="346"/>
      <c r="T35" s="346"/>
      <c r="U35" s="346"/>
      <c r="V35" s="346"/>
      <c r="W35" s="346"/>
      <c r="X35" s="346"/>
    </row>
    <row r="36" spans="2:24">
      <c r="B36" s="52" t="s">
        <v>507</v>
      </c>
      <c r="C36" s="52"/>
      <c r="D36" s="52"/>
      <c r="E36" s="52"/>
      <c r="F36" s="52"/>
      <c r="G36" s="52"/>
      <c r="H36" s="52"/>
      <c r="I36" s="316"/>
      <c r="J36" s="52"/>
      <c r="K36" s="79">
        <f>Założenia!K$63</f>
        <v>0</v>
      </c>
      <c r="L36" s="79">
        <f>Założenia!L$63</f>
        <v>0</v>
      </c>
      <c r="M36" s="79">
        <f>Założenia!M$63</f>
        <v>0</v>
      </c>
      <c r="N36" s="79">
        <f>Założenia!N$63</f>
        <v>0</v>
      </c>
      <c r="O36" s="79">
        <f>Założenia!O$63</f>
        <v>0</v>
      </c>
      <c r="P36" s="79">
        <f>Założenia!P$63</f>
        <v>0</v>
      </c>
      <c r="Q36" s="79">
        <f>Założenia!Q$63</f>
        <v>0</v>
      </c>
      <c r="R36" s="79">
        <f>Założenia!R$63</f>
        <v>0</v>
      </c>
      <c r="S36" s="79">
        <f>Założenia!S$63</f>
        <v>0</v>
      </c>
      <c r="T36" s="79">
        <f>Założenia!T$63</f>
        <v>0</v>
      </c>
      <c r="U36" s="79">
        <f>Założenia!U$63</f>
        <v>0</v>
      </c>
      <c r="V36" s="79">
        <f>Założenia!V$63</f>
        <v>0</v>
      </c>
      <c r="W36" s="79">
        <f>Założenia!W$63</f>
        <v>0</v>
      </c>
      <c r="X36" s="79">
        <f>Założenia!X$63</f>
        <v>0</v>
      </c>
    </row>
    <row r="37" spans="2:24">
      <c r="B37" s="52" t="s">
        <v>508</v>
      </c>
      <c r="C37" s="52"/>
      <c r="D37" s="52"/>
      <c r="E37" s="52"/>
      <c r="F37" s="52"/>
      <c r="G37" s="52"/>
      <c r="H37" s="52"/>
      <c r="I37" s="316"/>
      <c r="J37" s="52"/>
      <c r="K37" s="33">
        <f>K33+K34-K35</f>
        <v>0</v>
      </c>
      <c r="L37" s="33">
        <f t="shared" ref="L37:X37" si="9">L33+L34-L35</f>
        <v>0</v>
      </c>
      <c r="M37" s="33">
        <f t="shared" si="9"/>
        <v>0</v>
      </c>
      <c r="N37" s="33">
        <f t="shared" si="9"/>
        <v>0</v>
      </c>
      <c r="O37" s="33">
        <f t="shared" si="9"/>
        <v>0</v>
      </c>
      <c r="P37" s="33">
        <f t="shared" si="9"/>
        <v>0</v>
      </c>
      <c r="Q37" s="33">
        <f t="shared" si="9"/>
        <v>0</v>
      </c>
      <c r="R37" s="33">
        <f t="shared" si="9"/>
        <v>0</v>
      </c>
      <c r="S37" s="33">
        <f t="shared" si="9"/>
        <v>0</v>
      </c>
      <c r="T37" s="33">
        <f t="shared" si="9"/>
        <v>0</v>
      </c>
      <c r="U37" s="33">
        <f t="shared" si="9"/>
        <v>0</v>
      </c>
      <c r="V37" s="33">
        <f t="shared" si="9"/>
        <v>0</v>
      </c>
      <c r="W37" s="33">
        <f t="shared" si="9"/>
        <v>0</v>
      </c>
      <c r="X37" s="33">
        <f t="shared" si="9"/>
        <v>0</v>
      </c>
    </row>
    <row r="38" spans="2:24">
      <c r="B38" s="88" t="s">
        <v>284</v>
      </c>
      <c r="C38" s="88"/>
      <c r="D38" s="88"/>
      <c r="E38" s="88"/>
      <c r="F38" s="88"/>
      <c r="G38" s="88"/>
      <c r="H38" s="88"/>
      <c r="I38" s="318"/>
      <c r="J38" s="88"/>
      <c r="K38" s="87">
        <f>ROUND(((K37+K33)/2)*K36,0)</f>
        <v>0</v>
      </c>
      <c r="L38" s="87">
        <f t="shared" ref="L38:X38" si="10">ROUND(((L37+K37)/2)*L36,0)</f>
        <v>0</v>
      </c>
      <c r="M38" s="87">
        <f t="shared" si="10"/>
        <v>0</v>
      </c>
      <c r="N38" s="87">
        <f t="shared" si="10"/>
        <v>0</v>
      </c>
      <c r="O38" s="87">
        <f t="shared" si="10"/>
        <v>0</v>
      </c>
      <c r="P38" s="87">
        <f t="shared" si="10"/>
        <v>0</v>
      </c>
      <c r="Q38" s="87">
        <f t="shared" si="10"/>
        <v>0</v>
      </c>
      <c r="R38" s="87">
        <f t="shared" si="10"/>
        <v>0</v>
      </c>
      <c r="S38" s="87">
        <f t="shared" si="10"/>
        <v>0</v>
      </c>
      <c r="T38" s="87">
        <f t="shared" si="10"/>
        <v>0</v>
      </c>
      <c r="U38" s="87">
        <f t="shared" si="10"/>
        <v>0</v>
      </c>
      <c r="V38" s="87">
        <f t="shared" si="10"/>
        <v>0</v>
      </c>
      <c r="W38" s="87">
        <f t="shared" si="10"/>
        <v>0</v>
      </c>
      <c r="X38" s="87">
        <f t="shared" si="10"/>
        <v>0</v>
      </c>
    </row>
    <row r="39" spans="2:24"/>
    <row r="40" spans="2:24"/>
    <row r="41" spans="2:24">
      <c r="B41" s="233" t="s">
        <v>509</v>
      </c>
      <c r="C41" s="234"/>
      <c r="D41" s="234"/>
      <c r="E41" s="234"/>
      <c r="F41" s="234"/>
      <c r="G41" s="234"/>
      <c r="H41" s="234"/>
      <c r="I41" s="313"/>
      <c r="J41" s="234"/>
      <c r="K41" s="235" t="str">
        <f t="shared" ref="K41:X41" si="11">LataProjekcji</f>
        <v>Uzupełnij dane</v>
      </c>
      <c r="L41" s="235" t="str">
        <f t="shared" si="11"/>
        <v/>
      </c>
      <c r="M41" s="235" t="str">
        <f t="shared" si="11"/>
        <v/>
      </c>
      <c r="N41" s="235" t="str">
        <f t="shared" si="11"/>
        <v/>
      </c>
      <c r="O41" s="235" t="str">
        <f t="shared" si="11"/>
        <v/>
      </c>
      <c r="P41" s="235" t="str">
        <f t="shared" si="11"/>
        <v/>
      </c>
      <c r="Q41" s="235" t="str">
        <f t="shared" si="11"/>
        <v/>
      </c>
      <c r="R41" s="235" t="str">
        <f t="shared" si="11"/>
        <v/>
      </c>
      <c r="S41" s="235" t="str">
        <f t="shared" si="11"/>
        <v/>
      </c>
      <c r="T41" s="235" t="str">
        <f t="shared" si="11"/>
        <v/>
      </c>
      <c r="U41" s="235" t="str">
        <f t="shared" si="11"/>
        <v/>
      </c>
      <c r="V41" s="235" t="str">
        <f t="shared" si="11"/>
        <v/>
      </c>
      <c r="W41" s="235" t="str">
        <f t="shared" si="11"/>
        <v/>
      </c>
      <c r="X41" s="235" t="str">
        <f t="shared" si="11"/>
        <v/>
      </c>
    </row>
    <row r="42" spans="2:24">
      <c r="B42" s="102" t="s">
        <v>504</v>
      </c>
      <c r="C42" s="102"/>
      <c r="D42" s="102"/>
      <c r="E42" s="102"/>
      <c r="F42" s="102"/>
      <c r="G42" s="102"/>
      <c r="H42" s="102"/>
      <c r="I42" s="317"/>
      <c r="J42" s="102"/>
      <c r="K42" s="103">
        <f>J42</f>
        <v>0</v>
      </c>
      <c r="L42" s="103">
        <f>IF(K46&lt;0,0,K46)</f>
        <v>0</v>
      </c>
      <c r="M42" s="103">
        <f t="shared" ref="M42:X42" si="12">IF(L46&lt;0,0,L46)</f>
        <v>0</v>
      </c>
      <c r="N42" s="103">
        <f t="shared" si="12"/>
        <v>0</v>
      </c>
      <c r="O42" s="103">
        <f t="shared" si="12"/>
        <v>0</v>
      </c>
      <c r="P42" s="103">
        <f t="shared" si="12"/>
        <v>0</v>
      </c>
      <c r="Q42" s="103">
        <f t="shared" si="12"/>
        <v>0</v>
      </c>
      <c r="R42" s="103">
        <f t="shared" si="12"/>
        <v>0</v>
      </c>
      <c r="S42" s="103">
        <f t="shared" si="12"/>
        <v>0</v>
      </c>
      <c r="T42" s="103">
        <f t="shared" si="12"/>
        <v>0</v>
      </c>
      <c r="U42" s="103">
        <f t="shared" si="12"/>
        <v>0</v>
      </c>
      <c r="V42" s="103">
        <f t="shared" si="12"/>
        <v>0</v>
      </c>
      <c r="W42" s="103">
        <f t="shared" si="12"/>
        <v>0</v>
      </c>
      <c r="X42" s="103">
        <f t="shared" si="12"/>
        <v>0</v>
      </c>
    </row>
    <row r="43" spans="2:24">
      <c r="B43" s="52" t="s">
        <v>505</v>
      </c>
      <c r="C43" s="52"/>
      <c r="D43" s="52"/>
      <c r="E43" s="52"/>
      <c r="F43" s="52"/>
      <c r="G43" s="52"/>
      <c r="H43" s="52"/>
      <c r="I43" s="314"/>
      <c r="J43" s="19"/>
      <c r="K43" s="346"/>
      <c r="L43" s="346"/>
      <c r="M43" s="346"/>
      <c r="N43" s="346"/>
      <c r="O43" s="346"/>
      <c r="P43" s="346"/>
      <c r="Q43" s="346"/>
      <c r="R43" s="346"/>
      <c r="S43" s="346"/>
      <c r="T43" s="346"/>
      <c r="U43" s="346"/>
      <c r="V43" s="346"/>
      <c r="W43" s="346"/>
      <c r="X43" s="346"/>
    </row>
    <row r="44" spans="2:24">
      <c r="B44" s="52" t="s">
        <v>510</v>
      </c>
      <c r="C44" s="52"/>
      <c r="D44" s="52"/>
      <c r="E44" s="52"/>
      <c r="F44" s="52"/>
      <c r="G44" s="52"/>
      <c r="H44" s="52"/>
      <c r="I44" s="316"/>
      <c r="J44" s="52"/>
      <c r="K44" s="346"/>
      <c r="L44" s="346"/>
      <c r="M44" s="346"/>
      <c r="N44" s="346"/>
      <c r="O44" s="346"/>
      <c r="P44" s="346"/>
      <c r="Q44" s="346"/>
      <c r="R44" s="346"/>
      <c r="S44" s="346"/>
      <c r="T44" s="346"/>
      <c r="U44" s="346"/>
      <c r="V44" s="346"/>
      <c r="W44" s="346"/>
      <c r="X44" s="346"/>
    </row>
    <row r="45" spans="2:24">
      <c r="B45" s="52" t="s">
        <v>507</v>
      </c>
      <c r="C45" s="52"/>
      <c r="D45" s="52"/>
      <c r="E45" s="52"/>
      <c r="F45" s="52"/>
      <c r="G45" s="52"/>
      <c r="H45" s="52"/>
      <c r="I45" s="316"/>
      <c r="J45" s="52"/>
      <c r="K45" s="79">
        <f>Założenia!K$59</f>
        <v>0</v>
      </c>
      <c r="L45" s="79">
        <f>Założenia!L$59</f>
        <v>0</v>
      </c>
      <c r="M45" s="79">
        <f>Założenia!M$59</f>
        <v>0</v>
      </c>
      <c r="N45" s="79">
        <f>Założenia!N$59</f>
        <v>0</v>
      </c>
      <c r="O45" s="79">
        <f>Założenia!O$59</f>
        <v>0</v>
      </c>
      <c r="P45" s="79">
        <f>Założenia!P$59</f>
        <v>0</v>
      </c>
      <c r="Q45" s="79">
        <f>Założenia!Q$59</f>
        <v>0</v>
      </c>
      <c r="R45" s="79">
        <f>Założenia!R$59</f>
        <v>0</v>
      </c>
      <c r="S45" s="79">
        <f>Założenia!S$59</f>
        <v>0</v>
      </c>
      <c r="T45" s="79">
        <f>Założenia!T$59</f>
        <v>0</v>
      </c>
      <c r="U45" s="79">
        <f>Założenia!U$59</f>
        <v>0</v>
      </c>
      <c r="V45" s="79">
        <f>Założenia!V$59</f>
        <v>0</v>
      </c>
      <c r="W45" s="79">
        <f>Założenia!W$59</f>
        <v>0</v>
      </c>
      <c r="X45" s="79">
        <f>Założenia!X$59</f>
        <v>0</v>
      </c>
    </row>
    <row r="46" spans="2:24">
      <c r="B46" s="52" t="s">
        <v>508</v>
      </c>
      <c r="C46" s="52"/>
      <c r="D46" s="52"/>
      <c r="E46" s="52"/>
      <c r="F46" s="52"/>
      <c r="G46" s="52"/>
      <c r="H46" s="52"/>
      <c r="I46" s="316"/>
      <c r="J46" s="52"/>
      <c r="K46" s="33">
        <f>K42+K43-K44</f>
        <v>0</v>
      </c>
      <c r="L46" s="33">
        <f t="shared" ref="L46:X46" si="13">L42+L43-L44</f>
        <v>0</v>
      </c>
      <c r="M46" s="33">
        <f t="shared" si="13"/>
        <v>0</v>
      </c>
      <c r="N46" s="33">
        <f t="shared" si="13"/>
        <v>0</v>
      </c>
      <c r="O46" s="33">
        <f t="shared" si="13"/>
        <v>0</v>
      </c>
      <c r="P46" s="33">
        <f t="shared" si="13"/>
        <v>0</v>
      </c>
      <c r="Q46" s="33">
        <f t="shared" si="13"/>
        <v>0</v>
      </c>
      <c r="R46" s="33">
        <f t="shared" si="13"/>
        <v>0</v>
      </c>
      <c r="S46" s="33">
        <f t="shared" si="13"/>
        <v>0</v>
      </c>
      <c r="T46" s="33">
        <f t="shared" si="13"/>
        <v>0</v>
      </c>
      <c r="U46" s="33">
        <f t="shared" si="13"/>
        <v>0</v>
      </c>
      <c r="V46" s="33">
        <f t="shared" si="13"/>
        <v>0</v>
      </c>
      <c r="W46" s="33">
        <f t="shared" si="13"/>
        <v>0</v>
      </c>
      <c r="X46" s="33">
        <f t="shared" si="13"/>
        <v>0</v>
      </c>
    </row>
    <row r="47" spans="2:24">
      <c r="B47" s="88" t="s">
        <v>327</v>
      </c>
      <c r="C47" s="88"/>
      <c r="D47" s="88"/>
      <c r="E47" s="88"/>
      <c r="F47" s="88"/>
      <c r="G47" s="88"/>
      <c r="H47" s="88"/>
      <c r="I47" s="318"/>
      <c r="J47" s="88"/>
      <c r="K47" s="87">
        <f>ROUND(((K46+J42)/2)*K45,0)</f>
        <v>0</v>
      </c>
      <c r="L47" s="87">
        <f t="shared" ref="L47:X47" si="14">ROUND(((L46+K46)/2)*L45,0)</f>
        <v>0</v>
      </c>
      <c r="M47" s="87">
        <f t="shared" si="14"/>
        <v>0</v>
      </c>
      <c r="N47" s="87">
        <f t="shared" si="14"/>
        <v>0</v>
      </c>
      <c r="O47" s="87">
        <f t="shared" si="14"/>
        <v>0</v>
      </c>
      <c r="P47" s="87">
        <f t="shared" si="14"/>
        <v>0</v>
      </c>
      <c r="Q47" s="87">
        <f t="shared" si="14"/>
        <v>0</v>
      </c>
      <c r="R47" s="87">
        <f t="shared" si="14"/>
        <v>0</v>
      </c>
      <c r="S47" s="87">
        <f t="shared" si="14"/>
        <v>0</v>
      </c>
      <c r="T47" s="87">
        <f t="shared" si="14"/>
        <v>0</v>
      </c>
      <c r="U47" s="87">
        <f t="shared" si="14"/>
        <v>0</v>
      </c>
      <c r="V47" s="87">
        <f t="shared" si="14"/>
        <v>0</v>
      </c>
      <c r="W47" s="87">
        <f t="shared" si="14"/>
        <v>0</v>
      </c>
      <c r="X47" s="87">
        <f t="shared" si="14"/>
        <v>0</v>
      </c>
    </row>
    <row r="48" spans="2:24"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6"/>
    </row>
    <row r="49" spans="2:24"/>
    <row r="50" spans="2:24" ht="12.6" thickBot="1">
      <c r="B50" s="233" t="s">
        <v>511</v>
      </c>
      <c r="C50" s="234"/>
      <c r="D50" s="234"/>
      <c r="E50" s="234"/>
      <c r="F50" s="234"/>
      <c r="G50" s="234"/>
      <c r="H50" s="234"/>
      <c r="I50" s="313"/>
      <c r="J50" s="234"/>
      <c r="K50" s="235" t="str">
        <f t="shared" ref="K50:X50" si="15">LataProjekcji</f>
        <v>Uzupełnij dane</v>
      </c>
      <c r="L50" s="235" t="str">
        <f t="shared" si="15"/>
        <v/>
      </c>
      <c r="M50" s="235" t="str">
        <f t="shared" si="15"/>
        <v/>
      </c>
      <c r="N50" s="235" t="str">
        <f t="shared" si="15"/>
        <v/>
      </c>
      <c r="O50" s="235" t="str">
        <f t="shared" si="15"/>
        <v/>
      </c>
      <c r="P50" s="235" t="str">
        <f t="shared" si="15"/>
        <v/>
      </c>
      <c r="Q50" s="235" t="str">
        <f t="shared" si="15"/>
        <v/>
      </c>
      <c r="R50" s="235" t="str">
        <f t="shared" si="15"/>
        <v/>
      </c>
      <c r="S50" s="235" t="str">
        <f t="shared" si="15"/>
        <v/>
      </c>
      <c r="T50" s="235" t="str">
        <f t="shared" si="15"/>
        <v/>
      </c>
      <c r="U50" s="235" t="str">
        <f t="shared" si="15"/>
        <v/>
      </c>
      <c r="V50" s="235" t="str">
        <f t="shared" si="15"/>
        <v/>
      </c>
      <c r="W50" s="235" t="str">
        <f t="shared" si="15"/>
        <v/>
      </c>
      <c r="X50" s="235" t="str">
        <f t="shared" si="15"/>
        <v/>
      </c>
    </row>
    <row r="51" spans="2:24" ht="12.6" thickBot="1">
      <c r="B51" s="102" t="s">
        <v>504</v>
      </c>
      <c r="C51" s="102"/>
      <c r="D51" s="102"/>
      <c r="E51" s="102"/>
      <c r="F51" s="102"/>
      <c r="G51" s="102"/>
      <c r="H51" s="102"/>
      <c r="J51" s="287">
        <f>IF(ISBLANK(DaneBiezace),'Ocena kondycji finansowej'!I85,'Ocena kondycji finansowej'!J85)</f>
        <v>0</v>
      </c>
      <c r="K51" s="103">
        <f>J51</f>
        <v>0</v>
      </c>
      <c r="L51" s="103">
        <f>IF(K55&lt;0,0,K55)</f>
        <v>0</v>
      </c>
      <c r="M51" s="103">
        <f t="shared" ref="M51:X51" si="16">IF(L55&lt;0,0,L55)</f>
        <v>0</v>
      </c>
      <c r="N51" s="103">
        <f t="shared" si="16"/>
        <v>0</v>
      </c>
      <c r="O51" s="103">
        <f t="shared" si="16"/>
        <v>0</v>
      </c>
      <c r="P51" s="103">
        <f t="shared" si="16"/>
        <v>0</v>
      </c>
      <c r="Q51" s="103">
        <f t="shared" si="16"/>
        <v>0</v>
      </c>
      <c r="R51" s="103">
        <f t="shared" si="16"/>
        <v>0</v>
      </c>
      <c r="S51" s="103">
        <f t="shared" si="16"/>
        <v>0</v>
      </c>
      <c r="T51" s="103">
        <f t="shared" si="16"/>
        <v>0</v>
      </c>
      <c r="U51" s="103">
        <f t="shared" si="16"/>
        <v>0</v>
      </c>
      <c r="V51" s="103">
        <f t="shared" si="16"/>
        <v>0</v>
      </c>
      <c r="W51" s="103">
        <f t="shared" si="16"/>
        <v>0</v>
      </c>
      <c r="X51" s="103">
        <f t="shared" si="16"/>
        <v>0</v>
      </c>
    </row>
    <row r="52" spans="2:24">
      <c r="B52" s="52" t="s">
        <v>505</v>
      </c>
      <c r="C52" s="52"/>
      <c r="D52" s="52"/>
      <c r="E52" s="52"/>
      <c r="F52" s="52"/>
      <c r="G52" s="52"/>
      <c r="H52" s="52"/>
      <c r="I52" s="314"/>
      <c r="J52" s="19"/>
      <c r="K52" s="346"/>
      <c r="L52" s="346"/>
      <c r="M52" s="346"/>
      <c r="N52" s="346"/>
      <c r="O52" s="346"/>
      <c r="P52" s="346"/>
      <c r="Q52" s="346"/>
      <c r="R52" s="346"/>
      <c r="S52" s="346"/>
      <c r="T52" s="346"/>
      <c r="U52" s="346"/>
      <c r="V52" s="346"/>
      <c r="W52" s="346"/>
      <c r="X52" s="346"/>
    </row>
    <row r="53" spans="2:24">
      <c r="B53" s="52" t="s">
        <v>510</v>
      </c>
      <c r="C53" s="52"/>
      <c r="D53" s="52"/>
      <c r="E53" s="52"/>
      <c r="F53" s="52"/>
      <c r="G53" s="52"/>
      <c r="H53" s="52"/>
      <c r="I53" s="316"/>
      <c r="J53" s="52"/>
      <c r="K53" s="346"/>
      <c r="L53" s="346"/>
      <c r="M53" s="346"/>
      <c r="N53" s="346"/>
      <c r="O53" s="346"/>
      <c r="P53" s="346"/>
      <c r="Q53" s="346"/>
      <c r="R53" s="346"/>
      <c r="S53" s="346"/>
      <c r="T53" s="346"/>
      <c r="U53" s="346"/>
      <c r="V53" s="346"/>
      <c r="W53" s="346"/>
      <c r="X53" s="346"/>
    </row>
    <row r="54" spans="2:24">
      <c r="B54" s="52" t="s">
        <v>507</v>
      </c>
      <c r="C54" s="52"/>
      <c r="D54" s="52"/>
      <c r="E54" s="52"/>
      <c r="F54" s="52"/>
      <c r="G54" s="52"/>
      <c r="H54" s="52"/>
      <c r="I54" s="316"/>
      <c r="J54" s="52"/>
      <c r="K54" s="79">
        <f>Założenia!K$61</f>
        <v>0</v>
      </c>
      <c r="L54" s="79">
        <f>Założenia!L$61</f>
        <v>0</v>
      </c>
      <c r="M54" s="79">
        <f>Założenia!M$61</f>
        <v>0</v>
      </c>
      <c r="N54" s="79">
        <f>Założenia!N$61</f>
        <v>0</v>
      </c>
      <c r="O54" s="79">
        <f>Założenia!O$61</f>
        <v>0</v>
      </c>
      <c r="P54" s="79">
        <f>Założenia!P$61</f>
        <v>0</v>
      </c>
      <c r="Q54" s="79">
        <f>Założenia!Q$61</f>
        <v>0</v>
      </c>
      <c r="R54" s="79">
        <f>Założenia!R$61</f>
        <v>0</v>
      </c>
      <c r="S54" s="79">
        <f>Założenia!S$61</f>
        <v>0</v>
      </c>
      <c r="T54" s="79">
        <f>Założenia!T$61</f>
        <v>0</v>
      </c>
      <c r="U54" s="79">
        <f>Założenia!U$61</f>
        <v>0</v>
      </c>
      <c r="V54" s="79">
        <f>Założenia!V$61</f>
        <v>0</v>
      </c>
      <c r="W54" s="79">
        <f>Założenia!W$61</f>
        <v>0</v>
      </c>
      <c r="X54" s="79">
        <f>Założenia!X$61</f>
        <v>0</v>
      </c>
    </row>
    <row r="55" spans="2:24">
      <c r="B55" s="52" t="s">
        <v>508</v>
      </c>
      <c r="C55" s="52"/>
      <c r="D55" s="52"/>
      <c r="E55" s="52"/>
      <c r="F55" s="52"/>
      <c r="G55" s="52"/>
      <c r="H55" s="52"/>
      <c r="I55" s="316"/>
      <c r="J55" s="52"/>
      <c r="K55" s="33">
        <f>K51+K52-K53</f>
        <v>0</v>
      </c>
      <c r="L55" s="33">
        <f t="shared" ref="L55:X55" si="17">L51+L52-L53</f>
        <v>0</v>
      </c>
      <c r="M55" s="33">
        <f t="shared" si="17"/>
        <v>0</v>
      </c>
      <c r="N55" s="33">
        <f t="shared" si="17"/>
        <v>0</v>
      </c>
      <c r="O55" s="33">
        <f t="shared" si="17"/>
        <v>0</v>
      </c>
      <c r="P55" s="33">
        <f t="shared" si="17"/>
        <v>0</v>
      </c>
      <c r="Q55" s="33">
        <f t="shared" si="17"/>
        <v>0</v>
      </c>
      <c r="R55" s="33">
        <f t="shared" si="17"/>
        <v>0</v>
      </c>
      <c r="S55" s="33">
        <f t="shared" si="17"/>
        <v>0</v>
      </c>
      <c r="T55" s="33">
        <f t="shared" si="17"/>
        <v>0</v>
      </c>
      <c r="U55" s="33">
        <f t="shared" si="17"/>
        <v>0</v>
      </c>
      <c r="V55" s="33">
        <f t="shared" si="17"/>
        <v>0</v>
      </c>
      <c r="W55" s="33">
        <f t="shared" si="17"/>
        <v>0</v>
      </c>
      <c r="X55" s="33">
        <f t="shared" si="17"/>
        <v>0</v>
      </c>
    </row>
    <row r="56" spans="2:24">
      <c r="B56" s="88" t="s">
        <v>327</v>
      </c>
      <c r="C56" s="88"/>
      <c r="D56" s="88"/>
      <c r="E56" s="88"/>
      <c r="F56" s="88"/>
      <c r="G56" s="88"/>
      <c r="H56" s="88"/>
      <c r="I56" s="318"/>
      <c r="J56" s="88"/>
      <c r="K56" s="87">
        <f>ROUND(((K55+J51)/2)*K54,0)</f>
        <v>0</v>
      </c>
      <c r="L56" s="87">
        <f>ROUND(((L55+K55)/2)*L54,0)</f>
        <v>0</v>
      </c>
      <c r="M56" s="87">
        <f t="shared" ref="M56:X56" si="18">ROUND(((M55+L55)/2)*M54,0)</f>
        <v>0</v>
      </c>
      <c r="N56" s="87">
        <f t="shared" si="18"/>
        <v>0</v>
      </c>
      <c r="O56" s="87">
        <f t="shared" si="18"/>
        <v>0</v>
      </c>
      <c r="P56" s="87">
        <f t="shared" si="18"/>
        <v>0</v>
      </c>
      <c r="Q56" s="87">
        <f t="shared" si="18"/>
        <v>0</v>
      </c>
      <c r="R56" s="87">
        <f t="shared" si="18"/>
        <v>0</v>
      </c>
      <c r="S56" s="87">
        <f t="shared" si="18"/>
        <v>0</v>
      </c>
      <c r="T56" s="87">
        <f t="shared" si="18"/>
        <v>0</v>
      </c>
      <c r="U56" s="87">
        <f t="shared" si="18"/>
        <v>0</v>
      </c>
      <c r="V56" s="87">
        <f t="shared" si="18"/>
        <v>0</v>
      </c>
      <c r="W56" s="87">
        <f t="shared" si="18"/>
        <v>0</v>
      </c>
      <c r="X56" s="87">
        <f t="shared" si="18"/>
        <v>0</v>
      </c>
    </row>
    <row r="57" spans="2:24"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</row>
    <row r="58" spans="2:24"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</row>
    <row r="59" spans="2:24" ht="12.6" thickBot="1">
      <c r="B59" s="233" t="s">
        <v>512</v>
      </c>
      <c r="C59" s="234"/>
      <c r="D59" s="234"/>
      <c r="E59" s="234"/>
      <c r="F59" s="234"/>
      <c r="G59" s="234"/>
      <c r="H59" s="234"/>
      <c r="I59" s="313"/>
      <c r="J59" s="234"/>
      <c r="K59" s="235" t="str">
        <f t="shared" ref="K59:X59" si="19">LataProjekcji</f>
        <v>Uzupełnij dane</v>
      </c>
      <c r="L59" s="235" t="str">
        <f t="shared" si="19"/>
        <v/>
      </c>
      <c r="M59" s="235" t="str">
        <f t="shared" si="19"/>
        <v/>
      </c>
      <c r="N59" s="235" t="str">
        <f t="shared" si="19"/>
        <v/>
      </c>
      <c r="O59" s="235" t="str">
        <f t="shared" si="19"/>
        <v/>
      </c>
      <c r="P59" s="235" t="str">
        <f t="shared" si="19"/>
        <v/>
      </c>
      <c r="Q59" s="235" t="str">
        <f t="shared" si="19"/>
        <v/>
      </c>
      <c r="R59" s="235" t="str">
        <f t="shared" si="19"/>
        <v/>
      </c>
      <c r="S59" s="235" t="str">
        <f t="shared" si="19"/>
        <v/>
      </c>
      <c r="T59" s="235" t="str">
        <f t="shared" si="19"/>
        <v/>
      </c>
      <c r="U59" s="235" t="str">
        <f t="shared" si="19"/>
        <v/>
      </c>
      <c r="V59" s="235" t="str">
        <f t="shared" si="19"/>
        <v/>
      </c>
      <c r="W59" s="235" t="str">
        <f t="shared" si="19"/>
        <v/>
      </c>
      <c r="X59" s="235" t="str">
        <f t="shared" si="19"/>
        <v/>
      </c>
    </row>
    <row r="60" spans="2:24" ht="12.6" thickBot="1">
      <c r="B60" s="102" t="s">
        <v>504</v>
      </c>
      <c r="C60" s="102"/>
      <c r="D60" s="102"/>
      <c r="E60" s="102"/>
      <c r="F60" s="102"/>
      <c r="G60" s="102"/>
      <c r="H60" s="102"/>
      <c r="J60" s="287">
        <f>IF(ISBLANK(DaneBiezace),'Ocena kondycji finansowej'!I89,'Ocena kondycji finansowej'!J89)</f>
        <v>0</v>
      </c>
      <c r="K60" s="103">
        <f>J60</f>
        <v>0</v>
      </c>
      <c r="L60" s="103">
        <f>IF(K60+K61-K62&lt;0,0,K60+K61-K62)</f>
        <v>0</v>
      </c>
      <c r="M60" s="103">
        <f t="shared" ref="M60:X60" si="20">IF(L60+L61-L62&lt;0,0,L60+L61-L62)</f>
        <v>0</v>
      </c>
      <c r="N60" s="103">
        <f t="shared" si="20"/>
        <v>0</v>
      </c>
      <c r="O60" s="103">
        <f t="shared" si="20"/>
        <v>0</v>
      </c>
      <c r="P60" s="103">
        <f t="shared" si="20"/>
        <v>0</v>
      </c>
      <c r="Q60" s="103">
        <f t="shared" si="20"/>
        <v>0</v>
      </c>
      <c r="R60" s="103">
        <f t="shared" si="20"/>
        <v>0</v>
      </c>
      <c r="S60" s="103">
        <f t="shared" si="20"/>
        <v>0</v>
      </c>
      <c r="T60" s="103">
        <f t="shared" si="20"/>
        <v>0</v>
      </c>
      <c r="U60" s="103">
        <f t="shared" si="20"/>
        <v>0</v>
      </c>
      <c r="V60" s="103">
        <f t="shared" si="20"/>
        <v>0</v>
      </c>
      <c r="W60" s="103">
        <f t="shared" si="20"/>
        <v>0</v>
      </c>
      <c r="X60" s="103">
        <f t="shared" si="20"/>
        <v>0</v>
      </c>
    </row>
    <row r="61" spans="2:24">
      <c r="B61" s="52" t="s">
        <v>505</v>
      </c>
      <c r="C61" s="52"/>
      <c r="D61" s="52"/>
      <c r="E61" s="52"/>
      <c r="F61" s="52"/>
      <c r="G61" s="52"/>
      <c r="H61" s="52"/>
      <c r="I61" s="316"/>
      <c r="J61" s="52"/>
      <c r="K61" s="346"/>
      <c r="L61" s="346"/>
      <c r="M61" s="346"/>
      <c r="N61" s="346"/>
      <c r="O61" s="346"/>
      <c r="P61" s="346"/>
      <c r="Q61" s="346"/>
      <c r="R61" s="346"/>
      <c r="S61" s="346"/>
      <c r="T61" s="346"/>
      <c r="U61" s="346"/>
      <c r="V61" s="346"/>
      <c r="W61" s="346"/>
      <c r="X61" s="346"/>
    </row>
    <row r="62" spans="2:24">
      <c r="B62" s="52" t="s">
        <v>510</v>
      </c>
      <c r="C62" s="52"/>
      <c r="D62" s="52"/>
      <c r="E62" s="52"/>
      <c r="F62" s="52"/>
      <c r="G62" s="52"/>
      <c r="H62" s="52"/>
      <c r="I62" s="316"/>
      <c r="J62" s="52"/>
      <c r="K62" s="346"/>
      <c r="L62" s="346"/>
      <c r="M62" s="346"/>
      <c r="N62" s="346"/>
      <c r="O62" s="346"/>
      <c r="P62" s="346"/>
      <c r="Q62" s="346"/>
      <c r="R62" s="346"/>
      <c r="S62" s="346"/>
      <c r="T62" s="346"/>
      <c r="U62" s="346"/>
      <c r="V62" s="346"/>
      <c r="W62" s="346"/>
      <c r="X62" s="346"/>
    </row>
    <row r="63" spans="2:24">
      <c r="B63" s="52" t="s">
        <v>507</v>
      </c>
      <c r="C63" s="52"/>
      <c r="D63" s="52"/>
      <c r="E63" s="52"/>
      <c r="F63" s="52"/>
      <c r="G63" s="52"/>
      <c r="H63" s="52"/>
      <c r="I63" s="316"/>
      <c r="J63" s="52"/>
      <c r="K63" s="79">
        <f>Założenia!K$60</f>
        <v>0</v>
      </c>
      <c r="L63" s="79">
        <f>Założenia!L$60</f>
        <v>0</v>
      </c>
      <c r="M63" s="79">
        <f>Założenia!M$60</f>
        <v>0</v>
      </c>
      <c r="N63" s="79">
        <f>Założenia!N$60</f>
        <v>0</v>
      </c>
      <c r="O63" s="79">
        <f>Założenia!O$60</f>
        <v>0</v>
      </c>
      <c r="P63" s="79">
        <f>Założenia!P$60</f>
        <v>0</v>
      </c>
      <c r="Q63" s="79">
        <f>Założenia!Q$60</f>
        <v>0</v>
      </c>
      <c r="R63" s="79">
        <f>Założenia!R$60</f>
        <v>0</v>
      </c>
      <c r="S63" s="79">
        <f>Założenia!S$60</f>
        <v>0</v>
      </c>
      <c r="T63" s="79">
        <f>Założenia!T$60</f>
        <v>0</v>
      </c>
      <c r="U63" s="79">
        <f>Założenia!U$60</f>
        <v>0</v>
      </c>
      <c r="V63" s="79">
        <f>Założenia!V$60</f>
        <v>0</v>
      </c>
      <c r="W63" s="79">
        <f>Założenia!W$60</f>
        <v>0</v>
      </c>
      <c r="X63" s="79">
        <f>Założenia!X$60</f>
        <v>0</v>
      </c>
    </row>
    <row r="64" spans="2:24">
      <c r="B64" s="52" t="s">
        <v>508</v>
      </c>
      <c r="C64" s="52"/>
      <c r="D64" s="52"/>
      <c r="E64" s="52"/>
      <c r="F64" s="52"/>
      <c r="G64" s="52"/>
      <c r="H64" s="52"/>
      <c r="I64" s="316"/>
      <c r="J64" s="52"/>
      <c r="K64" s="33">
        <f t="shared" ref="K64:X64" si="21">K60+K61-K62+L53+L44</f>
        <v>0</v>
      </c>
      <c r="L64" s="33">
        <f t="shared" si="21"/>
        <v>0</v>
      </c>
      <c r="M64" s="33">
        <f t="shared" si="21"/>
        <v>0</v>
      </c>
      <c r="N64" s="33">
        <f t="shared" si="21"/>
        <v>0</v>
      </c>
      <c r="O64" s="33">
        <f t="shared" si="21"/>
        <v>0</v>
      </c>
      <c r="P64" s="33">
        <f t="shared" si="21"/>
        <v>0</v>
      </c>
      <c r="Q64" s="33">
        <f t="shared" si="21"/>
        <v>0</v>
      </c>
      <c r="R64" s="33">
        <f t="shared" si="21"/>
        <v>0</v>
      </c>
      <c r="S64" s="33">
        <f t="shared" si="21"/>
        <v>0</v>
      </c>
      <c r="T64" s="33">
        <f t="shared" si="21"/>
        <v>0</v>
      </c>
      <c r="U64" s="33">
        <f t="shared" si="21"/>
        <v>0</v>
      </c>
      <c r="V64" s="33">
        <f t="shared" si="21"/>
        <v>0</v>
      </c>
      <c r="W64" s="33">
        <f t="shared" si="21"/>
        <v>0</v>
      </c>
      <c r="X64" s="33">
        <f t="shared" si="21"/>
        <v>0</v>
      </c>
    </row>
    <row r="65" spans="2:24">
      <c r="B65" s="88" t="s">
        <v>327</v>
      </c>
      <c r="C65" s="88"/>
      <c r="D65" s="88"/>
      <c r="E65" s="88"/>
      <c r="F65" s="88"/>
      <c r="G65" s="88"/>
      <c r="H65" s="88"/>
      <c r="I65" s="318"/>
      <c r="J65" s="88"/>
      <c r="K65" s="87">
        <f>ROUND(((K64+J60)/2)*K63,0)</f>
        <v>0</v>
      </c>
      <c r="L65" s="87">
        <f t="shared" ref="L65:X65" si="22">ROUND(((L64+K64)/2)*L63,0)</f>
        <v>0</v>
      </c>
      <c r="M65" s="87">
        <f t="shared" si="22"/>
        <v>0</v>
      </c>
      <c r="N65" s="87">
        <f t="shared" si="22"/>
        <v>0</v>
      </c>
      <c r="O65" s="87">
        <f t="shared" si="22"/>
        <v>0</v>
      </c>
      <c r="P65" s="87">
        <f t="shared" si="22"/>
        <v>0</v>
      </c>
      <c r="Q65" s="87">
        <f t="shared" si="22"/>
        <v>0</v>
      </c>
      <c r="R65" s="87">
        <f t="shared" si="22"/>
        <v>0</v>
      </c>
      <c r="S65" s="87">
        <f t="shared" si="22"/>
        <v>0</v>
      </c>
      <c r="T65" s="87">
        <f t="shared" si="22"/>
        <v>0</v>
      </c>
      <c r="U65" s="87">
        <f t="shared" si="22"/>
        <v>0</v>
      </c>
      <c r="V65" s="87">
        <f t="shared" si="22"/>
        <v>0</v>
      </c>
      <c r="W65" s="87">
        <f t="shared" si="22"/>
        <v>0</v>
      </c>
      <c r="X65" s="87">
        <f t="shared" si="22"/>
        <v>0</v>
      </c>
    </row>
    <row r="66" spans="2:24"/>
    <row r="67" spans="2:24"/>
    <row r="68" spans="2:24" ht="14.4">
      <c r="B68" s="32" t="s">
        <v>294</v>
      </c>
      <c r="C68" s="32"/>
      <c r="D68" s="32"/>
      <c r="E68" s="32"/>
      <c r="F68" s="32">
        <f ca="1">'Kapitał pracujący'!G$63</f>
        <v>0</v>
      </c>
      <c r="G68" s="32">
        <f ca="1">'Kapitał pracujący'!H$63</f>
        <v>0</v>
      </c>
      <c r="H68" s="32">
        <f ca="1">'Kapitał pracujący'!I$63</f>
        <v>0</v>
      </c>
      <c r="I68" s="312"/>
      <c r="J68" s="47"/>
      <c r="K68" s="32" t="str">
        <f t="shared" ref="K68:X68" si="23">LataProjekcji</f>
        <v>Uzupełnij dane</v>
      </c>
      <c r="L68" s="32" t="str">
        <f t="shared" si="23"/>
        <v/>
      </c>
      <c r="M68" s="32" t="str">
        <f t="shared" si="23"/>
        <v/>
      </c>
      <c r="N68" s="32" t="str">
        <f t="shared" si="23"/>
        <v/>
      </c>
      <c r="O68" s="32" t="str">
        <f t="shared" si="23"/>
        <v/>
      </c>
      <c r="P68" s="32" t="str">
        <f t="shared" si="23"/>
        <v/>
      </c>
      <c r="Q68" s="32" t="str">
        <f t="shared" si="23"/>
        <v/>
      </c>
      <c r="R68" s="32" t="str">
        <f t="shared" si="23"/>
        <v/>
      </c>
      <c r="S68" s="32" t="str">
        <f t="shared" si="23"/>
        <v/>
      </c>
      <c r="T68" s="32" t="str">
        <f t="shared" si="23"/>
        <v/>
      </c>
      <c r="U68" s="32" t="str">
        <f t="shared" si="23"/>
        <v/>
      </c>
      <c r="V68" s="32" t="str">
        <f t="shared" si="23"/>
        <v/>
      </c>
      <c r="W68" s="32" t="str">
        <f t="shared" si="23"/>
        <v/>
      </c>
      <c r="X68" s="32" t="str">
        <f t="shared" si="23"/>
        <v/>
      </c>
    </row>
    <row r="69" spans="2:24"/>
    <row r="70" spans="2:24">
      <c r="B70" s="236" t="s">
        <v>492</v>
      </c>
      <c r="C70" s="231"/>
      <c r="D70" s="231"/>
      <c r="E70" s="231"/>
      <c r="F70" s="231"/>
      <c r="G70" s="231"/>
      <c r="H70" s="231"/>
      <c r="I70" s="313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</row>
    <row r="71" spans="2:24">
      <c r="B71" s="19" t="s">
        <v>493</v>
      </c>
      <c r="C71" s="19"/>
      <c r="D71" s="19"/>
      <c r="E71" s="19"/>
      <c r="F71" s="19"/>
      <c r="G71" s="19"/>
      <c r="H71" s="19"/>
      <c r="I71" s="314"/>
      <c r="J71" s="19"/>
      <c r="K71" s="95"/>
      <c r="L71" s="95">
        <f t="shared" ref="L71:X71" si="24">K73</f>
        <v>0</v>
      </c>
      <c r="M71" s="95">
        <f t="shared" si="24"/>
        <v>0</v>
      </c>
      <c r="N71" s="95">
        <f t="shared" si="24"/>
        <v>0</v>
      </c>
      <c r="O71" s="95">
        <f t="shared" si="24"/>
        <v>0</v>
      </c>
      <c r="P71" s="95">
        <f t="shared" si="24"/>
        <v>0</v>
      </c>
      <c r="Q71" s="95">
        <f t="shared" si="24"/>
        <v>0</v>
      </c>
      <c r="R71" s="95">
        <f t="shared" si="24"/>
        <v>0</v>
      </c>
      <c r="S71" s="95">
        <f t="shared" si="24"/>
        <v>0</v>
      </c>
      <c r="T71" s="95">
        <f t="shared" si="24"/>
        <v>0</v>
      </c>
      <c r="U71" s="95">
        <f t="shared" si="24"/>
        <v>0</v>
      </c>
      <c r="V71" s="95">
        <f t="shared" si="24"/>
        <v>0</v>
      </c>
      <c r="W71" s="95">
        <f t="shared" si="24"/>
        <v>0</v>
      </c>
      <c r="X71" s="95">
        <f t="shared" si="24"/>
        <v>0</v>
      </c>
    </row>
    <row r="72" spans="2:24">
      <c r="B72" s="52" t="s">
        <v>494</v>
      </c>
      <c r="C72" s="52"/>
      <c r="D72" s="52"/>
      <c r="E72" s="52"/>
      <c r="F72" s="52"/>
      <c r="G72" s="52"/>
      <c r="H72" s="52"/>
      <c r="I72" s="316"/>
      <c r="J72" s="52"/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  <c r="V72" s="346"/>
      <c r="W72" s="346"/>
      <c r="X72" s="346"/>
    </row>
    <row r="73" spans="2:24">
      <c r="B73" s="52" t="s">
        <v>495</v>
      </c>
      <c r="C73" s="52"/>
      <c r="D73" s="52"/>
      <c r="E73" s="52"/>
      <c r="F73" s="52"/>
      <c r="G73" s="52"/>
      <c r="H73" s="52"/>
      <c r="I73" s="316"/>
      <c r="J73" s="52"/>
      <c r="K73" s="33">
        <f>K71+K72</f>
        <v>0</v>
      </c>
      <c r="L73" s="33">
        <f t="shared" ref="L73:X73" si="25">L71+L72</f>
        <v>0</v>
      </c>
      <c r="M73" s="33">
        <f t="shared" si="25"/>
        <v>0</v>
      </c>
      <c r="N73" s="33">
        <f t="shared" si="25"/>
        <v>0</v>
      </c>
      <c r="O73" s="33">
        <f t="shared" si="25"/>
        <v>0</v>
      </c>
      <c r="P73" s="33">
        <f t="shared" si="25"/>
        <v>0</v>
      </c>
      <c r="Q73" s="33">
        <f t="shared" si="25"/>
        <v>0</v>
      </c>
      <c r="R73" s="33">
        <f t="shared" si="25"/>
        <v>0</v>
      </c>
      <c r="S73" s="33">
        <f t="shared" si="25"/>
        <v>0</v>
      </c>
      <c r="T73" s="33">
        <f t="shared" si="25"/>
        <v>0</v>
      </c>
      <c r="U73" s="33">
        <f t="shared" si="25"/>
        <v>0</v>
      </c>
      <c r="V73" s="33">
        <f t="shared" si="25"/>
        <v>0</v>
      </c>
      <c r="W73" s="33">
        <f t="shared" si="25"/>
        <v>0</v>
      </c>
      <c r="X73" s="33">
        <f t="shared" si="25"/>
        <v>0</v>
      </c>
    </row>
    <row r="74" spans="2:24"/>
    <row r="75" spans="2:24"/>
    <row r="76" spans="2:24">
      <c r="B76" s="236" t="s">
        <v>513</v>
      </c>
      <c r="C76" s="231"/>
      <c r="D76" s="231"/>
      <c r="E76" s="231"/>
      <c r="F76" s="231"/>
      <c r="G76" s="231"/>
      <c r="H76" s="231"/>
      <c r="I76" s="313"/>
      <c r="J76" s="231"/>
      <c r="K76" s="231"/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31"/>
    </row>
    <row r="77" spans="2:24">
      <c r="B77" s="19" t="s">
        <v>514</v>
      </c>
      <c r="C77" s="19"/>
      <c r="D77" s="19"/>
      <c r="E77" s="19"/>
      <c r="F77" s="19"/>
      <c r="G77" s="19"/>
      <c r="H77" s="19"/>
      <c r="I77" s="314"/>
      <c r="J77" s="19"/>
      <c r="K77" s="95">
        <f>IF(LataProjekcji&lt;=Koniec,IF(Rok_n="",'Ocena kondycji finansowej'!I70+K17,'Ocena kondycji finansowej'!J70+K17),0)</f>
        <v>0</v>
      </c>
      <c r="L77" s="95">
        <f ca="1">IF(LataProjekcji&lt;=Koniec,'Ocena kondycji finansowej'!K70,0)</f>
        <v>0</v>
      </c>
      <c r="M77" s="95">
        <f ca="1">IF(LataProjekcji&lt;=Koniec,'Ocena kondycji finansowej'!L70,0)</f>
        <v>0</v>
      </c>
      <c r="N77" s="95">
        <f ca="1">IF(LataProjekcji&lt;=Koniec,'Ocena kondycji finansowej'!M70,0)</f>
        <v>0</v>
      </c>
      <c r="O77" s="95">
        <f ca="1">IF(LataProjekcji&lt;=Koniec,'Ocena kondycji finansowej'!N70,0)</f>
        <v>0</v>
      </c>
      <c r="P77" s="95">
        <f ca="1">IF(LataProjekcji&lt;=Koniec,'Ocena kondycji finansowej'!O70,0)</f>
        <v>0</v>
      </c>
      <c r="Q77" s="95">
        <f ca="1">IF(LataProjekcji&lt;=Koniec,'Ocena kondycji finansowej'!P70,0)</f>
        <v>0</v>
      </c>
      <c r="R77" s="95">
        <f ca="1">IF(LataProjekcji&lt;=Koniec,'Ocena kondycji finansowej'!Q70,0)</f>
        <v>0</v>
      </c>
      <c r="S77" s="95">
        <f ca="1">IF(LataProjekcji&lt;=Koniec,'Ocena kondycji finansowej'!R70,0)</f>
        <v>0</v>
      </c>
      <c r="T77" s="95">
        <f ca="1">IF(LataProjekcji&lt;=Koniec,'Ocena kondycji finansowej'!S70,0)</f>
        <v>0</v>
      </c>
      <c r="U77" s="95">
        <f ca="1">IF(LataProjekcji&lt;=Koniec,'Ocena kondycji finansowej'!T70,0)</f>
        <v>0</v>
      </c>
      <c r="V77" s="95">
        <f ca="1">IF(LataProjekcji&lt;=Koniec,'Ocena kondycji finansowej'!U70,0)</f>
        <v>0</v>
      </c>
      <c r="W77" s="95">
        <f ca="1">IF(LataProjekcji&lt;=Koniec,'Ocena kondycji finansowej'!V70,0)</f>
        <v>0</v>
      </c>
      <c r="X77" s="95">
        <f ca="1">IF(LataProjekcji&lt;=Koniec,'Ocena kondycji finansowej'!W70,0)</f>
        <v>0</v>
      </c>
    </row>
    <row r="78" spans="2:24">
      <c r="B78" s="52" t="s">
        <v>666</v>
      </c>
      <c r="C78" s="52"/>
      <c r="D78" s="52"/>
      <c r="E78" s="52"/>
      <c r="F78" s="52"/>
      <c r="G78" s="52"/>
      <c r="H78" s="52"/>
      <c r="I78" s="316"/>
      <c r="J78" s="52"/>
      <c r="K78" s="346"/>
      <c r="L78" s="346"/>
      <c r="M78" s="346"/>
      <c r="N78" s="346"/>
      <c r="O78" s="346"/>
      <c r="P78" s="346"/>
      <c r="Q78" s="346"/>
      <c r="R78" s="346"/>
      <c r="S78" s="346"/>
      <c r="T78" s="346"/>
      <c r="U78" s="346"/>
      <c r="V78" s="346"/>
      <c r="W78" s="346"/>
      <c r="X78" s="346"/>
    </row>
    <row r="79" spans="2:24">
      <c r="B79" s="52" t="s">
        <v>515</v>
      </c>
      <c r="C79" s="52"/>
      <c r="D79" s="52"/>
      <c r="E79" s="52"/>
      <c r="F79" s="52"/>
      <c r="G79" s="52"/>
      <c r="H79" s="52"/>
      <c r="I79" s="316"/>
      <c r="J79" s="52"/>
      <c r="K79" s="33">
        <f>IF((K77-K78)&gt;=0,K78,0)</f>
        <v>0</v>
      </c>
      <c r="L79" s="33">
        <f ca="1">IF((L77-L78)&gt;=0,K79+L78,0)</f>
        <v>0</v>
      </c>
      <c r="M79" s="33">
        <f ca="1">L79+M78</f>
        <v>0</v>
      </c>
      <c r="N79" s="33">
        <f t="shared" ref="N79:X79" ca="1" si="26">M79+N78</f>
        <v>0</v>
      </c>
      <c r="O79" s="33">
        <f t="shared" ca="1" si="26"/>
        <v>0</v>
      </c>
      <c r="P79" s="33">
        <f t="shared" ca="1" si="26"/>
        <v>0</v>
      </c>
      <c r="Q79" s="33">
        <f t="shared" ca="1" si="26"/>
        <v>0</v>
      </c>
      <c r="R79" s="33">
        <f t="shared" ca="1" si="26"/>
        <v>0</v>
      </c>
      <c r="S79" s="33">
        <f t="shared" ca="1" si="26"/>
        <v>0</v>
      </c>
      <c r="T79" s="33">
        <f t="shared" ca="1" si="26"/>
        <v>0</v>
      </c>
      <c r="U79" s="33">
        <f t="shared" ca="1" si="26"/>
        <v>0</v>
      </c>
      <c r="V79" s="33">
        <f t="shared" ca="1" si="26"/>
        <v>0</v>
      </c>
      <c r="W79" s="33">
        <f t="shared" ca="1" si="26"/>
        <v>0</v>
      </c>
      <c r="X79" s="33">
        <f t="shared" ca="1" si="26"/>
        <v>0</v>
      </c>
    </row>
    <row r="80" spans="2:24"/>
    <row r="81" spans="2:24"/>
    <row r="82" spans="2:24">
      <c r="B82" s="236" t="s">
        <v>496</v>
      </c>
      <c r="C82" s="231"/>
      <c r="D82" s="231"/>
      <c r="E82" s="231"/>
      <c r="F82" s="231"/>
      <c r="G82" s="231"/>
      <c r="H82" s="231"/>
      <c r="I82" s="313"/>
      <c r="J82" s="231"/>
      <c r="K82" s="232" t="str">
        <f t="shared" ref="K82:X82" si="27">LataProjekcji</f>
        <v>Uzupełnij dane</v>
      </c>
      <c r="L82" s="232" t="str">
        <f t="shared" si="27"/>
        <v/>
      </c>
      <c r="M82" s="232" t="str">
        <f t="shared" si="27"/>
        <v/>
      </c>
      <c r="N82" s="232" t="str">
        <f t="shared" si="27"/>
        <v/>
      </c>
      <c r="O82" s="232" t="str">
        <f t="shared" si="27"/>
        <v/>
      </c>
      <c r="P82" s="232" t="str">
        <f t="shared" si="27"/>
        <v/>
      </c>
      <c r="Q82" s="232" t="str">
        <f t="shared" si="27"/>
        <v/>
      </c>
      <c r="R82" s="232" t="str">
        <f t="shared" si="27"/>
        <v/>
      </c>
      <c r="S82" s="232" t="str">
        <f t="shared" si="27"/>
        <v/>
      </c>
      <c r="T82" s="232" t="str">
        <f t="shared" si="27"/>
        <v/>
      </c>
      <c r="U82" s="232" t="str">
        <f t="shared" si="27"/>
        <v/>
      </c>
      <c r="V82" s="232" t="str">
        <f t="shared" si="27"/>
        <v/>
      </c>
      <c r="W82" s="232" t="str">
        <f t="shared" si="27"/>
        <v/>
      </c>
      <c r="X82" s="232" t="str">
        <f t="shared" si="27"/>
        <v/>
      </c>
    </row>
    <row r="83" spans="2:24">
      <c r="B83" s="19" t="s">
        <v>497</v>
      </c>
      <c r="C83" s="19"/>
      <c r="D83" s="19"/>
      <c r="E83" s="19"/>
      <c r="F83" s="19"/>
      <c r="G83" s="19"/>
      <c r="H83" s="19"/>
      <c r="I83" s="314"/>
      <c r="J83" s="19"/>
      <c r="K83" s="95">
        <f>'Ocena kondycji finansowej'!J225</f>
        <v>0</v>
      </c>
      <c r="L83" s="95">
        <f ca="1">'Ocena kondycji finansowej'!K225</f>
        <v>0</v>
      </c>
      <c r="M83" s="95">
        <f ca="1">'Ocena kondycji finansowej'!L225</f>
        <v>0</v>
      </c>
      <c r="N83" s="95">
        <f ca="1">'Ocena kondycji finansowej'!M225</f>
        <v>0</v>
      </c>
      <c r="O83" s="95">
        <f ca="1">'Ocena kondycji finansowej'!N225</f>
        <v>0</v>
      </c>
      <c r="P83" s="95">
        <f ca="1">'Ocena kondycji finansowej'!O225</f>
        <v>0</v>
      </c>
      <c r="Q83" s="95">
        <f ca="1">'Ocena kondycji finansowej'!P225</f>
        <v>0</v>
      </c>
      <c r="R83" s="95">
        <f ca="1">'Ocena kondycji finansowej'!Q225</f>
        <v>0</v>
      </c>
      <c r="S83" s="95">
        <f ca="1">'Ocena kondycji finansowej'!R225</f>
        <v>0</v>
      </c>
      <c r="T83" s="95">
        <f ca="1">'Ocena kondycji finansowej'!S225</f>
        <v>0</v>
      </c>
      <c r="U83" s="95">
        <f ca="1">'Ocena kondycji finansowej'!T225</f>
        <v>0</v>
      </c>
      <c r="V83" s="95">
        <f ca="1">'Ocena kondycji finansowej'!U225</f>
        <v>0</v>
      </c>
      <c r="W83" s="95">
        <f ca="1">'Ocena kondycji finansowej'!V225</f>
        <v>0</v>
      </c>
      <c r="X83" s="95">
        <f ca="1">'Ocena kondycji finansowej'!W225</f>
        <v>0</v>
      </c>
    </row>
    <row r="84" spans="2:24">
      <c r="B84" s="52" t="s">
        <v>498</v>
      </c>
      <c r="C84" s="52"/>
      <c r="D84" s="52"/>
      <c r="E84" s="52"/>
      <c r="F84" s="52"/>
      <c r="G84" s="52"/>
      <c r="H84" s="52"/>
      <c r="I84" s="316"/>
      <c r="J84" s="52"/>
      <c r="K84" s="346"/>
      <c r="L84" s="346"/>
      <c r="M84" s="346"/>
      <c r="N84" s="346"/>
      <c r="O84" s="346"/>
      <c r="P84" s="346"/>
      <c r="Q84" s="346"/>
      <c r="R84" s="346"/>
      <c r="S84" s="346"/>
      <c r="T84" s="346"/>
      <c r="U84" s="346"/>
      <c r="V84" s="346"/>
      <c r="W84" s="346"/>
      <c r="X84" s="346"/>
    </row>
    <row r="85" spans="2:24">
      <c r="B85" s="52" t="s">
        <v>499</v>
      </c>
      <c r="C85" s="52"/>
      <c r="D85" s="52"/>
      <c r="E85" s="52"/>
      <c r="F85" s="52"/>
      <c r="G85" s="52"/>
      <c r="H85" s="52"/>
      <c r="I85" s="316"/>
      <c r="J85" s="52"/>
      <c r="K85" s="33">
        <f>K83-K84</f>
        <v>0</v>
      </c>
      <c r="L85" s="33">
        <f ca="1">K85+L83-L84</f>
        <v>0</v>
      </c>
      <c r="M85" s="33">
        <f t="shared" ref="M85:X85" ca="1" si="28">L85+M83-M84</f>
        <v>0</v>
      </c>
      <c r="N85" s="33">
        <f t="shared" ca="1" si="28"/>
        <v>0</v>
      </c>
      <c r="O85" s="33">
        <f t="shared" ca="1" si="28"/>
        <v>0</v>
      </c>
      <c r="P85" s="33">
        <f t="shared" ca="1" si="28"/>
        <v>0</v>
      </c>
      <c r="Q85" s="33">
        <f t="shared" ca="1" si="28"/>
        <v>0</v>
      </c>
      <c r="R85" s="33">
        <f t="shared" ca="1" si="28"/>
        <v>0</v>
      </c>
      <c r="S85" s="33">
        <f t="shared" ca="1" si="28"/>
        <v>0</v>
      </c>
      <c r="T85" s="33">
        <f t="shared" ca="1" si="28"/>
        <v>0</v>
      </c>
      <c r="U85" s="33">
        <f t="shared" ca="1" si="28"/>
        <v>0</v>
      </c>
      <c r="V85" s="33">
        <f t="shared" ca="1" si="28"/>
        <v>0</v>
      </c>
      <c r="W85" s="33">
        <f t="shared" ca="1" si="28"/>
        <v>0</v>
      </c>
      <c r="X85" s="33">
        <f t="shared" ca="1" si="28"/>
        <v>0</v>
      </c>
    </row>
    <row r="86" spans="2:24"/>
    <row r="87" spans="2:24"/>
    <row r="88" spans="2:24">
      <c r="B88" s="236" t="s">
        <v>500</v>
      </c>
      <c r="C88" s="231"/>
      <c r="D88" s="231"/>
      <c r="E88" s="231"/>
      <c r="F88" s="231"/>
      <c r="G88" s="231"/>
      <c r="H88" s="231"/>
      <c r="I88" s="313"/>
      <c r="J88" s="231"/>
      <c r="K88" s="232" t="str">
        <f t="shared" ref="K88:X88" si="29">LataProjekcji</f>
        <v>Uzupełnij dane</v>
      </c>
      <c r="L88" s="232" t="str">
        <f t="shared" si="29"/>
        <v/>
      </c>
      <c r="M88" s="232" t="str">
        <f t="shared" si="29"/>
        <v/>
      </c>
      <c r="N88" s="232" t="str">
        <f t="shared" si="29"/>
        <v/>
      </c>
      <c r="O88" s="232" t="str">
        <f t="shared" si="29"/>
        <v/>
      </c>
      <c r="P88" s="232" t="str">
        <f t="shared" si="29"/>
        <v/>
      </c>
      <c r="Q88" s="232" t="str">
        <f t="shared" si="29"/>
        <v/>
      </c>
      <c r="R88" s="232" t="str">
        <f t="shared" si="29"/>
        <v/>
      </c>
      <c r="S88" s="232" t="str">
        <f t="shared" si="29"/>
        <v/>
      </c>
      <c r="T88" s="232" t="str">
        <f t="shared" si="29"/>
        <v/>
      </c>
      <c r="U88" s="232" t="str">
        <f t="shared" si="29"/>
        <v/>
      </c>
      <c r="V88" s="232" t="str">
        <f t="shared" si="29"/>
        <v/>
      </c>
      <c r="W88" s="232" t="str">
        <f t="shared" si="29"/>
        <v/>
      </c>
      <c r="X88" s="232" t="str">
        <f t="shared" si="29"/>
        <v/>
      </c>
    </row>
    <row r="89" spans="2:24">
      <c r="B89" s="102" t="s">
        <v>501</v>
      </c>
      <c r="C89" s="102"/>
      <c r="D89" s="102"/>
      <c r="E89" s="102"/>
      <c r="F89" s="102"/>
      <c r="G89" s="102"/>
      <c r="H89" s="102"/>
      <c r="I89" s="317"/>
      <c r="J89" s="102"/>
      <c r="K89" s="103">
        <f>IF('Ocena kondycji finansowej'!J214&gt;0,'Ocena kondycji finansowej'!J214,0)</f>
        <v>0</v>
      </c>
      <c r="L89" s="103">
        <f ca="1">IF('Ocena kondycji finansowej'!K214&gt;0,'Ocena kondycji finansowej'!K214,0)</f>
        <v>0</v>
      </c>
      <c r="M89" s="103">
        <f ca="1">IF('Ocena kondycji finansowej'!L214&gt;0,'Ocena kondycji finansowej'!L214,0)</f>
        <v>0</v>
      </c>
      <c r="N89" s="103">
        <f ca="1">IF('Ocena kondycji finansowej'!M214&gt;0,'Ocena kondycji finansowej'!M214,0)</f>
        <v>0</v>
      </c>
      <c r="O89" s="103">
        <f ca="1">IF('Ocena kondycji finansowej'!N214&gt;0,'Ocena kondycji finansowej'!N214,0)</f>
        <v>0</v>
      </c>
      <c r="P89" s="103">
        <f ca="1">IF('Ocena kondycji finansowej'!O214&gt;0,'Ocena kondycji finansowej'!O214,0)</f>
        <v>0</v>
      </c>
      <c r="Q89" s="103">
        <f ca="1">IF('Ocena kondycji finansowej'!P214&gt;0,'Ocena kondycji finansowej'!P214,0)</f>
        <v>0</v>
      </c>
      <c r="R89" s="103">
        <f ca="1">IF('Ocena kondycji finansowej'!Q214&gt;0,'Ocena kondycji finansowej'!Q214,0)</f>
        <v>0</v>
      </c>
      <c r="S89" s="103">
        <f ca="1">IF('Ocena kondycji finansowej'!R214&gt;0,'Ocena kondycji finansowej'!R214,0)</f>
        <v>0</v>
      </c>
      <c r="T89" s="103">
        <f ca="1">IF('Ocena kondycji finansowej'!S214&gt;0,'Ocena kondycji finansowej'!S214,0)</f>
        <v>0</v>
      </c>
      <c r="U89" s="103">
        <f ca="1">IF('Ocena kondycji finansowej'!T214&gt;0,'Ocena kondycji finansowej'!T214,0)</f>
        <v>0</v>
      </c>
      <c r="V89" s="103">
        <f ca="1">IF('Ocena kondycji finansowej'!U214&gt;0,'Ocena kondycji finansowej'!U214,0)</f>
        <v>0</v>
      </c>
      <c r="W89" s="103">
        <f ca="1">IF('Ocena kondycji finansowej'!V214&gt;0,'Ocena kondycji finansowej'!V214,0)</f>
        <v>0</v>
      </c>
      <c r="X89" s="103">
        <f ca="1">IF('Ocena kondycji finansowej'!W214&gt;0,'Ocena kondycji finansowej'!W214,0)</f>
        <v>0</v>
      </c>
    </row>
    <row r="90" spans="2:24">
      <c r="B90" s="52" t="s">
        <v>502</v>
      </c>
      <c r="C90" s="52"/>
      <c r="D90" s="52"/>
      <c r="E90" s="52"/>
      <c r="F90" s="52"/>
      <c r="G90" s="52"/>
      <c r="H90" s="52"/>
      <c r="I90" s="316"/>
      <c r="J90" s="52"/>
      <c r="K90" s="300">
        <f>Założenia!K$62</f>
        <v>0</v>
      </c>
      <c r="L90" s="300">
        <f>Założenia!L$62</f>
        <v>0</v>
      </c>
      <c r="M90" s="300">
        <f>Założenia!M$62</f>
        <v>0</v>
      </c>
      <c r="N90" s="300">
        <f>Założenia!N$62</f>
        <v>0</v>
      </c>
      <c r="O90" s="300">
        <f>Założenia!O$62</f>
        <v>0</v>
      </c>
      <c r="P90" s="300">
        <f>Założenia!P$62</f>
        <v>0</v>
      </c>
      <c r="Q90" s="300">
        <f>Założenia!Q$62</f>
        <v>0</v>
      </c>
      <c r="R90" s="300">
        <f>Założenia!R$62</f>
        <v>0</v>
      </c>
      <c r="S90" s="300">
        <f>Założenia!S$62</f>
        <v>0</v>
      </c>
      <c r="T90" s="300">
        <f>Założenia!T$62</f>
        <v>0</v>
      </c>
      <c r="U90" s="300">
        <f>Założenia!U$62</f>
        <v>0</v>
      </c>
      <c r="V90" s="300">
        <f>Założenia!V$62</f>
        <v>0</v>
      </c>
      <c r="W90" s="300">
        <f>Założenia!W$62</f>
        <v>0</v>
      </c>
      <c r="X90" s="300">
        <f>Założenia!X$62</f>
        <v>0</v>
      </c>
    </row>
    <row r="91" spans="2:24">
      <c r="B91" s="88" t="s">
        <v>284</v>
      </c>
      <c r="C91" s="88"/>
      <c r="D91" s="88"/>
      <c r="E91" s="88"/>
      <c r="F91" s="88"/>
      <c r="G91" s="88"/>
      <c r="H91" s="88"/>
      <c r="I91" s="318"/>
      <c r="J91" s="88"/>
      <c r="K91" s="301">
        <f>ROUND(K90*K89,0)</f>
        <v>0</v>
      </c>
      <c r="L91" s="301">
        <f ca="1">ROUND(L90*((L89+K89)/2),0)</f>
        <v>0</v>
      </c>
      <c r="M91" s="301">
        <f t="shared" ref="M91:X91" ca="1" si="30">ROUND(M90*((M89+L89)/2),0)</f>
        <v>0</v>
      </c>
      <c r="N91" s="301">
        <f t="shared" ca="1" si="30"/>
        <v>0</v>
      </c>
      <c r="O91" s="301">
        <f t="shared" ca="1" si="30"/>
        <v>0</v>
      </c>
      <c r="P91" s="301">
        <f t="shared" ca="1" si="30"/>
        <v>0</v>
      </c>
      <c r="Q91" s="301">
        <f t="shared" ca="1" si="30"/>
        <v>0</v>
      </c>
      <c r="R91" s="301">
        <f t="shared" ca="1" si="30"/>
        <v>0</v>
      </c>
      <c r="S91" s="301">
        <f t="shared" ca="1" si="30"/>
        <v>0</v>
      </c>
      <c r="T91" s="301">
        <f t="shared" ca="1" si="30"/>
        <v>0</v>
      </c>
      <c r="U91" s="301">
        <f t="shared" ca="1" si="30"/>
        <v>0</v>
      </c>
      <c r="V91" s="301">
        <f t="shared" ca="1" si="30"/>
        <v>0</v>
      </c>
      <c r="W91" s="301">
        <f t="shared" ca="1" si="30"/>
        <v>0</v>
      </c>
      <c r="X91" s="301">
        <f t="shared" ca="1" si="30"/>
        <v>0</v>
      </c>
    </row>
    <row r="92" spans="2:24"/>
    <row r="93" spans="2:24"/>
    <row r="94" spans="2:24">
      <c r="B94" s="236" t="s">
        <v>503</v>
      </c>
      <c r="C94" s="231"/>
      <c r="D94" s="231"/>
      <c r="E94" s="231"/>
      <c r="F94" s="231"/>
      <c r="G94" s="231"/>
      <c r="H94" s="231"/>
      <c r="I94" s="313"/>
      <c r="J94" s="231"/>
      <c r="K94" s="232" t="str">
        <f t="shared" ref="K94:X94" si="31">LataProjekcji</f>
        <v>Uzupełnij dane</v>
      </c>
      <c r="L94" s="232" t="str">
        <f t="shared" si="31"/>
        <v/>
      </c>
      <c r="M94" s="232" t="str">
        <f t="shared" si="31"/>
        <v/>
      </c>
      <c r="N94" s="232" t="str">
        <f t="shared" si="31"/>
        <v/>
      </c>
      <c r="O94" s="232" t="str">
        <f t="shared" si="31"/>
        <v/>
      </c>
      <c r="P94" s="232" t="str">
        <f t="shared" si="31"/>
        <v/>
      </c>
      <c r="Q94" s="232" t="str">
        <f t="shared" si="31"/>
        <v/>
      </c>
      <c r="R94" s="232" t="str">
        <f t="shared" si="31"/>
        <v/>
      </c>
      <c r="S94" s="232" t="str">
        <f t="shared" si="31"/>
        <v/>
      </c>
      <c r="T94" s="232" t="str">
        <f t="shared" si="31"/>
        <v/>
      </c>
      <c r="U94" s="232" t="str">
        <f t="shared" si="31"/>
        <v/>
      </c>
      <c r="V94" s="232" t="str">
        <f t="shared" si="31"/>
        <v/>
      </c>
      <c r="W94" s="232" t="str">
        <f t="shared" si="31"/>
        <v/>
      </c>
      <c r="X94" s="232" t="str">
        <f t="shared" si="31"/>
        <v/>
      </c>
    </row>
    <row r="95" spans="2:24">
      <c r="B95" s="102" t="s">
        <v>504</v>
      </c>
      <c r="C95" s="102"/>
      <c r="D95" s="102"/>
      <c r="E95" s="102"/>
      <c r="F95" s="102"/>
      <c r="G95" s="102"/>
      <c r="H95" s="102"/>
      <c r="I95" s="317"/>
      <c r="J95" s="102"/>
      <c r="K95" s="103"/>
      <c r="L95" s="103">
        <f t="shared" ref="L95:X95" si="32">K99</f>
        <v>0</v>
      </c>
      <c r="M95" s="103">
        <f t="shared" si="32"/>
        <v>0</v>
      </c>
      <c r="N95" s="103">
        <f t="shared" si="32"/>
        <v>0</v>
      </c>
      <c r="O95" s="103">
        <f t="shared" si="32"/>
        <v>0</v>
      </c>
      <c r="P95" s="103">
        <f t="shared" si="32"/>
        <v>0</v>
      </c>
      <c r="Q95" s="103">
        <f t="shared" si="32"/>
        <v>0</v>
      </c>
      <c r="R95" s="103">
        <f t="shared" si="32"/>
        <v>0</v>
      </c>
      <c r="S95" s="103">
        <f t="shared" si="32"/>
        <v>0</v>
      </c>
      <c r="T95" s="103">
        <f t="shared" si="32"/>
        <v>0</v>
      </c>
      <c r="U95" s="103">
        <f t="shared" si="32"/>
        <v>0</v>
      </c>
      <c r="V95" s="103">
        <f t="shared" si="32"/>
        <v>0</v>
      </c>
      <c r="W95" s="103">
        <f t="shared" si="32"/>
        <v>0</v>
      </c>
      <c r="X95" s="103">
        <f t="shared" si="32"/>
        <v>0</v>
      </c>
    </row>
    <row r="96" spans="2:24">
      <c r="B96" s="52" t="s">
        <v>505</v>
      </c>
      <c r="C96" s="52"/>
      <c r="D96" s="52"/>
      <c r="E96" s="52"/>
      <c r="F96" s="52"/>
      <c r="G96" s="52"/>
      <c r="H96" s="52"/>
      <c r="I96" s="316"/>
      <c r="J96" s="52"/>
      <c r="K96" s="346"/>
      <c r="L96" s="346"/>
      <c r="M96" s="346"/>
      <c r="N96" s="346"/>
      <c r="O96" s="346"/>
      <c r="P96" s="346"/>
      <c r="Q96" s="346"/>
      <c r="R96" s="346"/>
      <c r="S96" s="346"/>
      <c r="T96" s="346"/>
      <c r="U96" s="346"/>
      <c r="V96" s="346"/>
      <c r="W96" s="346"/>
      <c r="X96" s="346"/>
    </row>
    <row r="97" spans="2:24">
      <c r="B97" s="52" t="s">
        <v>506</v>
      </c>
      <c r="C97" s="52"/>
      <c r="D97" s="52"/>
      <c r="E97" s="52"/>
      <c r="F97" s="52"/>
      <c r="G97" s="52"/>
      <c r="H97" s="52"/>
      <c r="I97" s="316"/>
      <c r="J97" s="52"/>
      <c r="K97" s="346"/>
      <c r="L97" s="346"/>
      <c r="M97" s="346"/>
      <c r="N97" s="346"/>
      <c r="O97" s="346"/>
      <c r="P97" s="346"/>
      <c r="Q97" s="346"/>
      <c r="R97" s="346"/>
      <c r="S97" s="346"/>
      <c r="T97" s="346"/>
      <c r="U97" s="346"/>
      <c r="V97" s="346"/>
      <c r="W97" s="346"/>
      <c r="X97" s="346"/>
    </row>
    <row r="98" spans="2:24">
      <c r="B98" s="52" t="s">
        <v>507</v>
      </c>
      <c r="C98" s="52"/>
      <c r="D98" s="52"/>
      <c r="E98" s="52"/>
      <c r="F98" s="52"/>
      <c r="G98" s="52"/>
      <c r="H98" s="52"/>
      <c r="I98" s="316"/>
      <c r="J98" s="52"/>
      <c r="K98" s="79">
        <f>Założenia!K$63</f>
        <v>0</v>
      </c>
      <c r="L98" s="79">
        <f>Założenia!L$63</f>
        <v>0</v>
      </c>
      <c r="M98" s="79">
        <f>Założenia!M$63</f>
        <v>0</v>
      </c>
      <c r="N98" s="79">
        <f>Założenia!N$63</f>
        <v>0</v>
      </c>
      <c r="O98" s="79">
        <f>Założenia!O$63</f>
        <v>0</v>
      </c>
      <c r="P98" s="79">
        <f>Założenia!P$63</f>
        <v>0</v>
      </c>
      <c r="Q98" s="79">
        <f>Założenia!Q$63</f>
        <v>0</v>
      </c>
      <c r="R98" s="79">
        <f>Założenia!R$63</f>
        <v>0</v>
      </c>
      <c r="S98" s="79">
        <f>Założenia!S$63</f>
        <v>0</v>
      </c>
      <c r="T98" s="79">
        <f>Założenia!T$63</f>
        <v>0</v>
      </c>
      <c r="U98" s="79">
        <f>Założenia!U$63</f>
        <v>0</v>
      </c>
      <c r="V98" s="79">
        <f>Założenia!V$63</f>
        <v>0</v>
      </c>
      <c r="W98" s="79">
        <f>Założenia!W$63</f>
        <v>0</v>
      </c>
      <c r="X98" s="79">
        <f>Założenia!X$63</f>
        <v>0</v>
      </c>
    </row>
    <row r="99" spans="2:24">
      <c r="B99" s="52" t="s">
        <v>508</v>
      </c>
      <c r="C99" s="52"/>
      <c r="D99" s="52"/>
      <c r="E99" s="52"/>
      <c r="F99" s="52"/>
      <c r="G99" s="52"/>
      <c r="H99" s="52"/>
      <c r="I99" s="316"/>
      <c r="J99" s="52"/>
      <c r="K99" s="184">
        <f>K95+K96-K97</f>
        <v>0</v>
      </c>
      <c r="L99" s="184">
        <f t="shared" ref="L99:X99" si="33">L95+L96-L97</f>
        <v>0</v>
      </c>
      <c r="M99" s="184">
        <f t="shared" si="33"/>
        <v>0</v>
      </c>
      <c r="N99" s="184">
        <f t="shared" si="33"/>
        <v>0</v>
      </c>
      <c r="O99" s="184">
        <f t="shared" si="33"/>
        <v>0</v>
      </c>
      <c r="P99" s="184">
        <f t="shared" si="33"/>
        <v>0</v>
      </c>
      <c r="Q99" s="184">
        <f t="shared" si="33"/>
        <v>0</v>
      </c>
      <c r="R99" s="184">
        <f t="shared" si="33"/>
        <v>0</v>
      </c>
      <c r="S99" s="184">
        <f t="shared" si="33"/>
        <v>0</v>
      </c>
      <c r="T99" s="184">
        <f t="shared" si="33"/>
        <v>0</v>
      </c>
      <c r="U99" s="184">
        <f t="shared" si="33"/>
        <v>0</v>
      </c>
      <c r="V99" s="184">
        <f t="shared" si="33"/>
        <v>0</v>
      </c>
      <c r="W99" s="184">
        <f t="shared" si="33"/>
        <v>0</v>
      </c>
      <c r="X99" s="184">
        <f t="shared" si="33"/>
        <v>0</v>
      </c>
    </row>
    <row r="100" spans="2:24">
      <c r="B100" s="88" t="s">
        <v>284</v>
      </c>
      <c r="C100" s="88"/>
      <c r="D100" s="88"/>
      <c r="E100" s="88"/>
      <c r="F100" s="88"/>
      <c r="G100" s="88"/>
      <c r="H100" s="88"/>
      <c r="I100" s="318"/>
      <c r="J100" s="88"/>
      <c r="K100" s="301">
        <f>ROUND(((K99+K96)/2)*K98,0)</f>
        <v>0</v>
      </c>
      <c r="L100" s="301">
        <f>ROUND(((L99+K99)/2)*L98,0)</f>
        <v>0</v>
      </c>
      <c r="M100" s="301">
        <f t="shared" ref="M100:X100" si="34">ROUND(((M99+L99)/2)*M98,0)</f>
        <v>0</v>
      </c>
      <c r="N100" s="301">
        <f t="shared" si="34"/>
        <v>0</v>
      </c>
      <c r="O100" s="301">
        <f t="shared" si="34"/>
        <v>0</v>
      </c>
      <c r="P100" s="301">
        <f t="shared" si="34"/>
        <v>0</v>
      </c>
      <c r="Q100" s="301">
        <f t="shared" si="34"/>
        <v>0</v>
      </c>
      <c r="R100" s="301">
        <f t="shared" si="34"/>
        <v>0</v>
      </c>
      <c r="S100" s="301">
        <f t="shared" si="34"/>
        <v>0</v>
      </c>
      <c r="T100" s="301">
        <f t="shared" si="34"/>
        <v>0</v>
      </c>
      <c r="U100" s="301">
        <f t="shared" si="34"/>
        <v>0</v>
      </c>
      <c r="V100" s="301">
        <f t="shared" si="34"/>
        <v>0</v>
      </c>
      <c r="W100" s="301">
        <f t="shared" si="34"/>
        <v>0</v>
      </c>
      <c r="X100" s="301">
        <f t="shared" si="34"/>
        <v>0</v>
      </c>
    </row>
    <row r="101" spans="2:24"/>
    <row r="102" spans="2:24"/>
    <row r="103" spans="2:24">
      <c r="B103" s="236" t="s">
        <v>509</v>
      </c>
      <c r="C103" s="231"/>
      <c r="D103" s="231"/>
      <c r="E103" s="231"/>
      <c r="F103" s="231"/>
      <c r="G103" s="231"/>
      <c r="H103" s="231"/>
      <c r="I103" s="313"/>
      <c r="J103" s="231"/>
      <c r="K103" s="232" t="str">
        <f t="shared" ref="K103:X103" si="35">LataProjekcji</f>
        <v>Uzupełnij dane</v>
      </c>
      <c r="L103" s="232" t="str">
        <f t="shared" si="35"/>
        <v/>
      </c>
      <c r="M103" s="232" t="str">
        <f t="shared" si="35"/>
        <v/>
      </c>
      <c r="N103" s="232" t="str">
        <f t="shared" si="35"/>
        <v/>
      </c>
      <c r="O103" s="232" t="str">
        <f t="shared" si="35"/>
        <v/>
      </c>
      <c r="P103" s="232" t="str">
        <f t="shared" si="35"/>
        <v/>
      </c>
      <c r="Q103" s="232" t="str">
        <f t="shared" si="35"/>
        <v/>
      </c>
      <c r="R103" s="232" t="str">
        <f t="shared" si="35"/>
        <v/>
      </c>
      <c r="S103" s="232" t="str">
        <f t="shared" si="35"/>
        <v/>
      </c>
      <c r="T103" s="232" t="str">
        <f t="shared" si="35"/>
        <v/>
      </c>
      <c r="U103" s="232" t="str">
        <f t="shared" si="35"/>
        <v/>
      </c>
      <c r="V103" s="232" t="str">
        <f t="shared" si="35"/>
        <v/>
      </c>
      <c r="W103" s="232" t="str">
        <f t="shared" si="35"/>
        <v/>
      </c>
      <c r="X103" s="232" t="str">
        <f t="shared" si="35"/>
        <v/>
      </c>
    </row>
    <row r="104" spans="2:24">
      <c r="B104" s="102" t="s">
        <v>504</v>
      </c>
      <c r="C104" s="102"/>
      <c r="D104" s="102"/>
      <c r="E104" s="102"/>
      <c r="F104" s="102"/>
      <c r="G104" s="102"/>
      <c r="H104" s="102"/>
      <c r="I104" s="317"/>
      <c r="J104" s="102"/>
      <c r="K104" s="103"/>
      <c r="L104" s="103">
        <f>IF(K108&lt;0,0,K108)</f>
        <v>0</v>
      </c>
      <c r="M104" s="103">
        <f t="shared" ref="M104:X104" si="36">IF(L108&lt;0,0,L108)</f>
        <v>0</v>
      </c>
      <c r="N104" s="103">
        <f t="shared" si="36"/>
        <v>0</v>
      </c>
      <c r="O104" s="103">
        <f t="shared" si="36"/>
        <v>0</v>
      </c>
      <c r="P104" s="103">
        <f t="shared" si="36"/>
        <v>0</v>
      </c>
      <c r="Q104" s="103">
        <f t="shared" si="36"/>
        <v>0</v>
      </c>
      <c r="R104" s="103">
        <f t="shared" si="36"/>
        <v>0</v>
      </c>
      <c r="S104" s="103">
        <f t="shared" si="36"/>
        <v>0</v>
      </c>
      <c r="T104" s="103">
        <f t="shared" si="36"/>
        <v>0</v>
      </c>
      <c r="U104" s="103">
        <f t="shared" si="36"/>
        <v>0</v>
      </c>
      <c r="V104" s="103">
        <f t="shared" si="36"/>
        <v>0</v>
      </c>
      <c r="W104" s="103">
        <f t="shared" si="36"/>
        <v>0</v>
      </c>
      <c r="X104" s="103">
        <f t="shared" si="36"/>
        <v>0</v>
      </c>
    </row>
    <row r="105" spans="2:24">
      <c r="B105" s="52" t="s">
        <v>505</v>
      </c>
      <c r="C105" s="52"/>
      <c r="D105" s="52"/>
      <c r="E105" s="52"/>
      <c r="F105" s="52"/>
      <c r="G105" s="52"/>
      <c r="H105" s="52"/>
      <c r="I105" s="316"/>
      <c r="J105" s="52"/>
      <c r="K105" s="346"/>
      <c r="L105" s="346"/>
      <c r="M105" s="346"/>
      <c r="N105" s="346"/>
      <c r="O105" s="346"/>
      <c r="P105" s="346"/>
      <c r="Q105" s="346"/>
      <c r="R105" s="346"/>
      <c r="S105" s="346"/>
      <c r="T105" s="346"/>
      <c r="U105" s="346"/>
      <c r="V105" s="346"/>
      <c r="W105" s="346"/>
      <c r="X105" s="346"/>
    </row>
    <row r="106" spans="2:24">
      <c r="B106" s="52" t="s">
        <v>510</v>
      </c>
      <c r="C106" s="52"/>
      <c r="D106" s="52"/>
      <c r="E106" s="52"/>
      <c r="F106" s="52"/>
      <c r="G106" s="52"/>
      <c r="H106" s="52"/>
      <c r="I106" s="316"/>
      <c r="J106" s="52"/>
      <c r="K106" s="346"/>
      <c r="L106" s="346"/>
      <c r="M106" s="346"/>
      <c r="N106" s="346"/>
      <c r="O106" s="346"/>
      <c r="P106" s="346"/>
      <c r="Q106" s="346"/>
      <c r="R106" s="346"/>
      <c r="S106" s="346"/>
      <c r="T106" s="346"/>
      <c r="U106" s="346"/>
      <c r="V106" s="346"/>
      <c r="W106" s="346"/>
      <c r="X106" s="346"/>
    </row>
    <row r="107" spans="2:24">
      <c r="B107" s="52" t="s">
        <v>507</v>
      </c>
      <c r="C107" s="52"/>
      <c r="D107" s="52"/>
      <c r="E107" s="52"/>
      <c r="F107" s="52"/>
      <c r="G107" s="52"/>
      <c r="H107" s="52"/>
      <c r="I107" s="316"/>
      <c r="J107" s="52"/>
      <c r="K107" s="79">
        <f>Założenia!K$59</f>
        <v>0</v>
      </c>
      <c r="L107" s="79">
        <f>Założenia!L$59</f>
        <v>0</v>
      </c>
      <c r="M107" s="79">
        <f>Założenia!M$59</f>
        <v>0</v>
      </c>
      <c r="N107" s="79">
        <f>Założenia!N$59</f>
        <v>0</v>
      </c>
      <c r="O107" s="79">
        <f>Założenia!O$59</f>
        <v>0</v>
      </c>
      <c r="P107" s="79">
        <f>Założenia!P$59</f>
        <v>0</v>
      </c>
      <c r="Q107" s="79">
        <f>Założenia!Q$59</f>
        <v>0</v>
      </c>
      <c r="R107" s="79">
        <f>Założenia!R$59</f>
        <v>0</v>
      </c>
      <c r="S107" s="79">
        <f>Założenia!S$59</f>
        <v>0</v>
      </c>
      <c r="T107" s="79">
        <f>Założenia!T$59</f>
        <v>0</v>
      </c>
      <c r="U107" s="79">
        <f>Założenia!U$59</f>
        <v>0</v>
      </c>
      <c r="V107" s="79">
        <f>Założenia!V$59</f>
        <v>0</v>
      </c>
      <c r="W107" s="79">
        <f>Założenia!W$59</f>
        <v>0</v>
      </c>
      <c r="X107" s="79">
        <f>Założenia!X$59</f>
        <v>0</v>
      </c>
    </row>
    <row r="108" spans="2:24">
      <c r="B108" s="52" t="s">
        <v>508</v>
      </c>
      <c r="C108" s="52"/>
      <c r="D108" s="52"/>
      <c r="E108" s="52"/>
      <c r="F108" s="52"/>
      <c r="G108" s="52"/>
      <c r="H108" s="52"/>
      <c r="I108" s="316"/>
      <c r="J108" s="52"/>
      <c r="K108" s="184">
        <f>K104+K105-K106</f>
        <v>0</v>
      </c>
      <c r="L108" s="184">
        <f t="shared" ref="L108:X108" si="37">L104+L105-L106</f>
        <v>0</v>
      </c>
      <c r="M108" s="184">
        <f t="shared" si="37"/>
        <v>0</v>
      </c>
      <c r="N108" s="184">
        <f t="shared" si="37"/>
        <v>0</v>
      </c>
      <c r="O108" s="184">
        <f t="shared" si="37"/>
        <v>0</v>
      </c>
      <c r="P108" s="184">
        <f t="shared" si="37"/>
        <v>0</v>
      </c>
      <c r="Q108" s="184">
        <f t="shared" si="37"/>
        <v>0</v>
      </c>
      <c r="R108" s="184">
        <f t="shared" si="37"/>
        <v>0</v>
      </c>
      <c r="S108" s="184">
        <f t="shared" si="37"/>
        <v>0</v>
      </c>
      <c r="T108" s="184">
        <f t="shared" si="37"/>
        <v>0</v>
      </c>
      <c r="U108" s="184">
        <f t="shared" si="37"/>
        <v>0</v>
      </c>
      <c r="V108" s="184">
        <f t="shared" si="37"/>
        <v>0</v>
      </c>
      <c r="W108" s="184">
        <f t="shared" si="37"/>
        <v>0</v>
      </c>
      <c r="X108" s="184">
        <f t="shared" si="37"/>
        <v>0</v>
      </c>
    </row>
    <row r="109" spans="2:24">
      <c r="B109" s="88" t="s">
        <v>327</v>
      </c>
      <c r="C109" s="88"/>
      <c r="D109" s="88"/>
      <c r="E109" s="88"/>
      <c r="F109" s="88"/>
      <c r="G109" s="88"/>
      <c r="H109" s="88"/>
      <c r="I109" s="318"/>
      <c r="J109" s="88"/>
      <c r="K109" s="301">
        <f>ROUND(((K105))*K107,0)</f>
        <v>0</v>
      </c>
      <c r="L109" s="301">
        <f>ROUND(((L108+K108)/2)*L107,0)</f>
        <v>0</v>
      </c>
      <c r="M109" s="301">
        <f t="shared" ref="M109:X109" si="38">ROUND(((M108+L108)/2)*M107,0)</f>
        <v>0</v>
      </c>
      <c r="N109" s="301">
        <f t="shared" si="38"/>
        <v>0</v>
      </c>
      <c r="O109" s="301">
        <f t="shared" si="38"/>
        <v>0</v>
      </c>
      <c r="P109" s="301">
        <f t="shared" si="38"/>
        <v>0</v>
      </c>
      <c r="Q109" s="301">
        <f t="shared" si="38"/>
        <v>0</v>
      </c>
      <c r="R109" s="301">
        <f t="shared" si="38"/>
        <v>0</v>
      </c>
      <c r="S109" s="301">
        <f t="shared" si="38"/>
        <v>0</v>
      </c>
      <c r="T109" s="301">
        <f t="shared" si="38"/>
        <v>0</v>
      </c>
      <c r="U109" s="301">
        <f t="shared" si="38"/>
        <v>0</v>
      </c>
      <c r="V109" s="301">
        <f t="shared" si="38"/>
        <v>0</v>
      </c>
      <c r="W109" s="301">
        <f t="shared" si="38"/>
        <v>0</v>
      </c>
      <c r="X109" s="301">
        <f t="shared" si="38"/>
        <v>0</v>
      </c>
    </row>
    <row r="110" spans="2:24">
      <c r="K110" s="276"/>
      <c r="L110" s="276"/>
      <c r="M110" s="276"/>
      <c r="N110" s="276"/>
      <c r="O110" s="276"/>
      <c r="P110" s="276"/>
      <c r="Q110" s="276"/>
      <c r="R110" s="276"/>
      <c r="S110" s="276"/>
      <c r="T110" s="276"/>
      <c r="U110" s="276"/>
      <c r="V110" s="276"/>
      <c r="W110" s="276"/>
      <c r="X110" s="276"/>
    </row>
    <row r="111" spans="2:24"/>
    <row r="112" spans="2:24">
      <c r="B112" s="236" t="s">
        <v>511</v>
      </c>
      <c r="C112" s="231"/>
      <c r="D112" s="231"/>
      <c r="E112" s="231"/>
      <c r="F112" s="231"/>
      <c r="G112" s="231"/>
      <c r="H112" s="231"/>
      <c r="I112" s="313"/>
      <c r="J112" s="231"/>
      <c r="K112" s="232" t="str">
        <f t="shared" ref="K112:X112" si="39">LataProjekcji</f>
        <v>Uzupełnij dane</v>
      </c>
      <c r="L112" s="232" t="str">
        <f t="shared" si="39"/>
        <v/>
      </c>
      <c r="M112" s="232" t="str">
        <f t="shared" si="39"/>
        <v/>
      </c>
      <c r="N112" s="232" t="str">
        <f t="shared" si="39"/>
        <v/>
      </c>
      <c r="O112" s="232" t="str">
        <f t="shared" si="39"/>
        <v/>
      </c>
      <c r="P112" s="232" t="str">
        <f t="shared" si="39"/>
        <v/>
      </c>
      <c r="Q112" s="232" t="str">
        <f t="shared" si="39"/>
        <v/>
      </c>
      <c r="R112" s="232" t="str">
        <f t="shared" si="39"/>
        <v/>
      </c>
      <c r="S112" s="232" t="str">
        <f t="shared" si="39"/>
        <v/>
      </c>
      <c r="T112" s="232" t="str">
        <f t="shared" si="39"/>
        <v/>
      </c>
      <c r="U112" s="232" t="str">
        <f t="shared" si="39"/>
        <v/>
      </c>
      <c r="V112" s="232" t="str">
        <f t="shared" si="39"/>
        <v/>
      </c>
      <c r="W112" s="232" t="str">
        <f t="shared" si="39"/>
        <v/>
      </c>
      <c r="X112" s="232" t="str">
        <f t="shared" si="39"/>
        <v/>
      </c>
    </row>
    <row r="113" spans="2:24">
      <c r="B113" s="102" t="s">
        <v>504</v>
      </c>
      <c r="C113" s="102"/>
      <c r="D113" s="102"/>
      <c r="E113" s="102"/>
      <c r="F113" s="102"/>
      <c r="G113" s="102"/>
      <c r="H113" s="102"/>
      <c r="I113" s="317"/>
      <c r="J113" s="102"/>
      <c r="K113" s="103"/>
      <c r="L113" s="103">
        <f>IF(K117&lt;0,0,K117)</f>
        <v>0</v>
      </c>
      <c r="M113" s="103">
        <f t="shared" ref="M113:X113" si="40">IF(L117&lt;0,0,L117)</f>
        <v>0</v>
      </c>
      <c r="N113" s="103">
        <f t="shared" si="40"/>
        <v>0</v>
      </c>
      <c r="O113" s="103">
        <f t="shared" si="40"/>
        <v>0</v>
      </c>
      <c r="P113" s="103">
        <f t="shared" si="40"/>
        <v>0</v>
      </c>
      <c r="Q113" s="103">
        <f t="shared" si="40"/>
        <v>0</v>
      </c>
      <c r="R113" s="103">
        <f t="shared" si="40"/>
        <v>0</v>
      </c>
      <c r="S113" s="103">
        <f t="shared" si="40"/>
        <v>0</v>
      </c>
      <c r="T113" s="103">
        <f t="shared" si="40"/>
        <v>0</v>
      </c>
      <c r="U113" s="103">
        <f t="shared" si="40"/>
        <v>0</v>
      </c>
      <c r="V113" s="103">
        <f t="shared" si="40"/>
        <v>0</v>
      </c>
      <c r="W113" s="103">
        <f t="shared" si="40"/>
        <v>0</v>
      </c>
      <c r="X113" s="103">
        <f t="shared" si="40"/>
        <v>0</v>
      </c>
    </row>
    <row r="114" spans="2:24">
      <c r="B114" s="52" t="s">
        <v>505</v>
      </c>
      <c r="C114" s="52"/>
      <c r="D114" s="52"/>
      <c r="E114" s="52"/>
      <c r="F114" s="52"/>
      <c r="G114" s="52"/>
      <c r="H114" s="52"/>
      <c r="I114" s="316"/>
      <c r="J114" s="52"/>
      <c r="K114" s="346"/>
      <c r="L114" s="346"/>
      <c r="M114" s="346"/>
      <c r="N114" s="346"/>
      <c r="O114" s="346"/>
      <c r="P114" s="346"/>
      <c r="Q114" s="346"/>
      <c r="R114" s="346"/>
      <c r="S114" s="346"/>
      <c r="T114" s="346"/>
      <c r="U114" s="346"/>
      <c r="V114" s="346"/>
      <c r="W114" s="346"/>
      <c r="X114" s="346"/>
    </row>
    <row r="115" spans="2:24">
      <c r="B115" s="52" t="s">
        <v>510</v>
      </c>
      <c r="C115" s="52"/>
      <c r="D115" s="52"/>
      <c r="E115" s="52"/>
      <c r="F115" s="52"/>
      <c r="G115" s="52"/>
      <c r="H115" s="52"/>
      <c r="I115" s="316"/>
      <c r="J115" s="52"/>
      <c r="K115" s="346"/>
      <c r="L115" s="346"/>
      <c r="M115" s="346"/>
      <c r="N115" s="346"/>
      <c r="O115" s="346"/>
      <c r="P115" s="346"/>
      <c r="Q115" s="346"/>
      <c r="R115" s="346"/>
      <c r="S115" s="346"/>
      <c r="T115" s="346"/>
      <c r="U115" s="346"/>
      <c r="V115" s="346"/>
      <c r="W115" s="346"/>
      <c r="X115" s="346"/>
    </row>
    <row r="116" spans="2:24">
      <c r="B116" s="52" t="s">
        <v>507</v>
      </c>
      <c r="C116" s="52"/>
      <c r="D116" s="52"/>
      <c r="E116" s="52"/>
      <c r="F116" s="52"/>
      <c r="G116" s="52"/>
      <c r="H116" s="52"/>
      <c r="I116" s="316"/>
      <c r="J116" s="52"/>
      <c r="K116" s="79">
        <f>Założenia!K$61</f>
        <v>0</v>
      </c>
      <c r="L116" s="79">
        <f>Założenia!L$61</f>
        <v>0</v>
      </c>
      <c r="M116" s="79">
        <f>Założenia!M$61</f>
        <v>0</v>
      </c>
      <c r="N116" s="79">
        <f>Założenia!N$61</f>
        <v>0</v>
      </c>
      <c r="O116" s="79">
        <f>Założenia!O$61</f>
        <v>0</v>
      </c>
      <c r="P116" s="79">
        <f>Założenia!P$61</f>
        <v>0</v>
      </c>
      <c r="Q116" s="79">
        <f>Założenia!Q$61</f>
        <v>0</v>
      </c>
      <c r="R116" s="79">
        <f>Założenia!R$61</f>
        <v>0</v>
      </c>
      <c r="S116" s="79">
        <f>Założenia!S$61</f>
        <v>0</v>
      </c>
      <c r="T116" s="79">
        <f>Założenia!T$61</f>
        <v>0</v>
      </c>
      <c r="U116" s="79">
        <f>Założenia!U$61</f>
        <v>0</v>
      </c>
      <c r="V116" s="79">
        <f>Założenia!V$61</f>
        <v>0</v>
      </c>
      <c r="W116" s="79">
        <f>Założenia!W$61</f>
        <v>0</v>
      </c>
      <c r="X116" s="79">
        <f>Założenia!X$61</f>
        <v>0</v>
      </c>
    </row>
    <row r="117" spans="2:24">
      <c r="B117" s="52" t="s">
        <v>508</v>
      </c>
      <c r="C117" s="52"/>
      <c r="D117" s="52"/>
      <c r="E117" s="52"/>
      <c r="F117" s="52"/>
      <c r="G117" s="52"/>
      <c r="H117" s="52"/>
      <c r="I117" s="316"/>
      <c r="J117" s="52"/>
      <c r="K117" s="184">
        <f>K113+K114-K115</f>
        <v>0</v>
      </c>
      <c r="L117" s="184">
        <f t="shared" ref="L117:X117" si="41">L113+L114-L115</f>
        <v>0</v>
      </c>
      <c r="M117" s="184">
        <f t="shared" si="41"/>
        <v>0</v>
      </c>
      <c r="N117" s="184">
        <f t="shared" si="41"/>
        <v>0</v>
      </c>
      <c r="O117" s="184">
        <f t="shared" si="41"/>
        <v>0</v>
      </c>
      <c r="P117" s="184">
        <f t="shared" si="41"/>
        <v>0</v>
      </c>
      <c r="Q117" s="184">
        <f t="shared" si="41"/>
        <v>0</v>
      </c>
      <c r="R117" s="184">
        <f t="shared" si="41"/>
        <v>0</v>
      </c>
      <c r="S117" s="184">
        <f t="shared" si="41"/>
        <v>0</v>
      </c>
      <c r="T117" s="184">
        <f t="shared" si="41"/>
        <v>0</v>
      </c>
      <c r="U117" s="184">
        <f t="shared" si="41"/>
        <v>0</v>
      </c>
      <c r="V117" s="184">
        <f t="shared" si="41"/>
        <v>0</v>
      </c>
      <c r="W117" s="184">
        <f t="shared" si="41"/>
        <v>0</v>
      </c>
      <c r="X117" s="184">
        <f t="shared" si="41"/>
        <v>0</v>
      </c>
    </row>
    <row r="118" spans="2:24">
      <c r="B118" s="88" t="s">
        <v>327</v>
      </c>
      <c r="C118" s="88"/>
      <c r="D118" s="88"/>
      <c r="E118" s="88"/>
      <c r="F118" s="88"/>
      <c r="G118" s="88"/>
      <c r="H118" s="88"/>
      <c r="I118" s="318"/>
      <c r="J118" s="88"/>
      <c r="K118" s="301">
        <f>ROUND(((K117+K114)/2)*K116,0)</f>
        <v>0</v>
      </c>
      <c r="L118" s="301">
        <f>ROUND(((L117+K117)/2)*L116,0)</f>
        <v>0</v>
      </c>
      <c r="M118" s="301">
        <f t="shared" ref="M118:X118" si="42">ROUND(((M117+L117)/2)*M116,0)</f>
        <v>0</v>
      </c>
      <c r="N118" s="301">
        <f t="shared" si="42"/>
        <v>0</v>
      </c>
      <c r="O118" s="301">
        <f t="shared" si="42"/>
        <v>0</v>
      </c>
      <c r="P118" s="301">
        <f t="shared" si="42"/>
        <v>0</v>
      </c>
      <c r="Q118" s="301">
        <f t="shared" si="42"/>
        <v>0</v>
      </c>
      <c r="R118" s="301">
        <f t="shared" si="42"/>
        <v>0</v>
      </c>
      <c r="S118" s="301">
        <f t="shared" si="42"/>
        <v>0</v>
      </c>
      <c r="T118" s="301">
        <f t="shared" si="42"/>
        <v>0</v>
      </c>
      <c r="U118" s="301">
        <f t="shared" si="42"/>
        <v>0</v>
      </c>
      <c r="V118" s="301">
        <f t="shared" si="42"/>
        <v>0</v>
      </c>
      <c r="W118" s="301">
        <f t="shared" si="42"/>
        <v>0</v>
      </c>
      <c r="X118" s="301">
        <f t="shared" si="42"/>
        <v>0</v>
      </c>
    </row>
    <row r="119" spans="2:24">
      <c r="K119" s="276"/>
      <c r="L119" s="276"/>
      <c r="M119" s="276"/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</row>
    <row r="120" spans="2:24">
      <c r="K120" s="277"/>
      <c r="L120" s="277"/>
      <c r="M120" s="277"/>
      <c r="N120" s="277"/>
      <c r="O120" s="277"/>
      <c r="P120" s="277"/>
      <c r="Q120" s="277"/>
      <c r="R120" s="277"/>
      <c r="S120" s="277"/>
      <c r="T120" s="277"/>
      <c r="U120" s="277"/>
      <c r="V120" s="277"/>
      <c r="W120" s="277"/>
      <c r="X120" s="277"/>
    </row>
    <row r="121" spans="2:24">
      <c r="B121" s="236" t="s">
        <v>512</v>
      </c>
      <c r="C121" s="231"/>
      <c r="D121" s="231"/>
      <c r="E121" s="231"/>
      <c r="F121" s="231"/>
      <c r="G121" s="231"/>
      <c r="H121" s="231"/>
      <c r="I121" s="313"/>
      <c r="J121" s="231"/>
      <c r="K121" s="232" t="str">
        <f t="shared" ref="K121:X121" si="43">LataProjekcji</f>
        <v>Uzupełnij dane</v>
      </c>
      <c r="L121" s="232" t="str">
        <f t="shared" si="43"/>
        <v/>
      </c>
      <c r="M121" s="232" t="str">
        <f t="shared" si="43"/>
        <v/>
      </c>
      <c r="N121" s="232" t="str">
        <f t="shared" si="43"/>
        <v/>
      </c>
      <c r="O121" s="232" t="str">
        <f t="shared" si="43"/>
        <v/>
      </c>
      <c r="P121" s="232" t="str">
        <f t="shared" si="43"/>
        <v/>
      </c>
      <c r="Q121" s="232" t="str">
        <f t="shared" si="43"/>
        <v/>
      </c>
      <c r="R121" s="232" t="str">
        <f t="shared" si="43"/>
        <v/>
      </c>
      <c r="S121" s="232" t="str">
        <f t="shared" si="43"/>
        <v/>
      </c>
      <c r="T121" s="232" t="str">
        <f t="shared" si="43"/>
        <v/>
      </c>
      <c r="U121" s="232" t="str">
        <f t="shared" si="43"/>
        <v/>
      </c>
      <c r="V121" s="232" t="str">
        <f t="shared" si="43"/>
        <v/>
      </c>
      <c r="W121" s="232" t="str">
        <f t="shared" si="43"/>
        <v/>
      </c>
      <c r="X121" s="232" t="str">
        <f t="shared" si="43"/>
        <v/>
      </c>
    </row>
    <row r="122" spans="2:24">
      <c r="B122" s="102" t="s">
        <v>504</v>
      </c>
      <c r="C122" s="102"/>
      <c r="D122" s="102"/>
      <c r="E122" s="102"/>
      <c r="F122" s="102"/>
      <c r="G122" s="102"/>
      <c r="H122" s="102"/>
      <c r="I122" s="317"/>
      <c r="J122" s="102"/>
      <c r="K122" s="103"/>
      <c r="L122" s="103">
        <f>IF(K123-K124&lt;0,0,K123-K124)</f>
        <v>0</v>
      </c>
      <c r="M122" s="103">
        <f>IF(L122+L123-L124&lt;0,0,L122+L123-L124)</f>
        <v>0</v>
      </c>
      <c r="N122" s="103">
        <f t="shared" ref="N122:X122" si="44">IF(M122+M123-M124&lt;0,0,M122+M123-M124)</f>
        <v>0</v>
      </c>
      <c r="O122" s="103">
        <f t="shared" si="44"/>
        <v>0</v>
      </c>
      <c r="P122" s="103">
        <f t="shared" si="44"/>
        <v>0</v>
      </c>
      <c r="Q122" s="103">
        <f t="shared" si="44"/>
        <v>0</v>
      </c>
      <c r="R122" s="103">
        <f t="shared" si="44"/>
        <v>0</v>
      </c>
      <c r="S122" s="103">
        <f t="shared" si="44"/>
        <v>0</v>
      </c>
      <c r="T122" s="103">
        <f t="shared" si="44"/>
        <v>0</v>
      </c>
      <c r="U122" s="103">
        <f t="shared" si="44"/>
        <v>0</v>
      </c>
      <c r="V122" s="103">
        <f t="shared" si="44"/>
        <v>0</v>
      </c>
      <c r="W122" s="103">
        <f t="shared" si="44"/>
        <v>0</v>
      </c>
      <c r="X122" s="103">
        <f t="shared" si="44"/>
        <v>0</v>
      </c>
    </row>
    <row r="123" spans="2:24">
      <c r="B123" s="52" t="s">
        <v>505</v>
      </c>
      <c r="C123" s="52"/>
      <c r="D123" s="52"/>
      <c r="E123" s="52"/>
      <c r="F123" s="52"/>
      <c r="G123" s="52"/>
      <c r="H123" s="52"/>
      <c r="I123" s="316"/>
      <c r="J123" s="52"/>
      <c r="K123" s="346"/>
      <c r="L123" s="346"/>
      <c r="M123" s="346"/>
      <c r="N123" s="346"/>
      <c r="O123" s="346"/>
      <c r="P123" s="346"/>
      <c r="Q123" s="346"/>
      <c r="R123" s="346"/>
      <c r="S123" s="346"/>
      <c r="T123" s="346"/>
      <c r="U123" s="346"/>
      <c r="V123" s="346"/>
      <c r="W123" s="346"/>
      <c r="X123" s="346"/>
    </row>
    <row r="124" spans="2:24">
      <c r="B124" s="52" t="s">
        <v>510</v>
      </c>
      <c r="C124" s="52"/>
      <c r="D124" s="52"/>
      <c r="E124" s="52"/>
      <c r="F124" s="52"/>
      <c r="G124" s="52"/>
      <c r="H124" s="52"/>
      <c r="I124" s="316"/>
      <c r="J124" s="52"/>
      <c r="K124" s="346"/>
      <c r="L124" s="346"/>
      <c r="M124" s="346"/>
      <c r="N124" s="346"/>
      <c r="O124" s="346"/>
      <c r="P124" s="346"/>
      <c r="Q124" s="346"/>
      <c r="R124" s="346"/>
      <c r="S124" s="346"/>
      <c r="T124" s="346"/>
      <c r="U124" s="346"/>
      <c r="V124" s="346"/>
      <c r="W124" s="346"/>
      <c r="X124" s="346"/>
    </row>
    <row r="125" spans="2:24">
      <c r="B125" s="52" t="s">
        <v>507</v>
      </c>
      <c r="C125" s="52"/>
      <c r="D125" s="52"/>
      <c r="E125" s="52"/>
      <c r="F125" s="52"/>
      <c r="G125" s="52"/>
      <c r="H125" s="52"/>
      <c r="I125" s="316"/>
      <c r="J125" s="52"/>
      <c r="K125" s="79">
        <f>Założenia!K$60</f>
        <v>0</v>
      </c>
      <c r="L125" s="79">
        <f>Założenia!L$60</f>
        <v>0</v>
      </c>
      <c r="M125" s="79">
        <f>Założenia!M$60</f>
        <v>0</v>
      </c>
      <c r="N125" s="79">
        <f>Założenia!N$60</f>
        <v>0</v>
      </c>
      <c r="O125" s="79">
        <f>Założenia!O$60</f>
        <v>0</v>
      </c>
      <c r="P125" s="79">
        <f>Założenia!P$60</f>
        <v>0</v>
      </c>
      <c r="Q125" s="79">
        <f>Założenia!Q$60</f>
        <v>0</v>
      </c>
      <c r="R125" s="79">
        <f>Założenia!R$60</f>
        <v>0</v>
      </c>
      <c r="S125" s="79">
        <f>Założenia!S$60</f>
        <v>0</v>
      </c>
      <c r="T125" s="79">
        <f>Założenia!T$60</f>
        <v>0</v>
      </c>
      <c r="U125" s="79">
        <f>Założenia!U$60</f>
        <v>0</v>
      </c>
      <c r="V125" s="79">
        <f>Założenia!V$60</f>
        <v>0</v>
      </c>
      <c r="W125" s="79">
        <f>Założenia!W$60</f>
        <v>0</v>
      </c>
      <c r="X125" s="79">
        <f>Założenia!X$60</f>
        <v>0</v>
      </c>
    </row>
    <row r="126" spans="2:24">
      <c r="B126" s="52" t="s">
        <v>508</v>
      </c>
      <c r="C126" s="52"/>
      <c r="D126" s="52"/>
      <c r="E126" s="52"/>
      <c r="F126" s="52"/>
      <c r="G126" s="52"/>
      <c r="H126" s="52"/>
      <c r="I126" s="316"/>
      <c r="J126" s="52"/>
      <c r="K126" s="184">
        <f t="shared" ref="K126:X126" si="45">K122+K123-K124+L115+L106</f>
        <v>0</v>
      </c>
      <c r="L126" s="184">
        <f t="shared" si="45"/>
        <v>0</v>
      </c>
      <c r="M126" s="184">
        <f t="shared" si="45"/>
        <v>0</v>
      </c>
      <c r="N126" s="184">
        <f t="shared" si="45"/>
        <v>0</v>
      </c>
      <c r="O126" s="184">
        <f t="shared" si="45"/>
        <v>0</v>
      </c>
      <c r="P126" s="184">
        <f t="shared" si="45"/>
        <v>0</v>
      </c>
      <c r="Q126" s="184">
        <f t="shared" si="45"/>
        <v>0</v>
      </c>
      <c r="R126" s="184">
        <f t="shared" si="45"/>
        <v>0</v>
      </c>
      <c r="S126" s="184">
        <f t="shared" si="45"/>
        <v>0</v>
      </c>
      <c r="T126" s="184">
        <f t="shared" si="45"/>
        <v>0</v>
      </c>
      <c r="U126" s="184">
        <f t="shared" si="45"/>
        <v>0</v>
      </c>
      <c r="V126" s="184">
        <f t="shared" si="45"/>
        <v>0</v>
      </c>
      <c r="W126" s="184">
        <f t="shared" si="45"/>
        <v>0</v>
      </c>
      <c r="X126" s="184">
        <f t="shared" si="45"/>
        <v>0</v>
      </c>
    </row>
    <row r="127" spans="2:24">
      <c r="B127" s="88" t="s">
        <v>327</v>
      </c>
      <c r="C127" s="88"/>
      <c r="D127" s="88"/>
      <c r="E127" s="88"/>
      <c r="F127" s="88"/>
      <c r="G127" s="88"/>
      <c r="H127" s="88"/>
      <c r="I127" s="318"/>
      <c r="J127" s="88"/>
      <c r="K127" s="301">
        <f>ROUND(((K126+K123)/2)*K125,0)</f>
        <v>0</v>
      </c>
      <c r="L127" s="301">
        <f>ROUND(((L126+K126)/2)*L125,0)</f>
        <v>0</v>
      </c>
      <c r="M127" s="301">
        <f t="shared" ref="M127:X127" si="46">ROUND(((M126+L126)/2)*M125,0)</f>
        <v>0</v>
      </c>
      <c r="N127" s="301">
        <f t="shared" si="46"/>
        <v>0</v>
      </c>
      <c r="O127" s="301">
        <f t="shared" si="46"/>
        <v>0</v>
      </c>
      <c r="P127" s="301">
        <f t="shared" si="46"/>
        <v>0</v>
      </c>
      <c r="Q127" s="301">
        <f t="shared" si="46"/>
        <v>0</v>
      </c>
      <c r="R127" s="301">
        <f t="shared" si="46"/>
        <v>0</v>
      </c>
      <c r="S127" s="301">
        <f t="shared" si="46"/>
        <v>0</v>
      </c>
      <c r="T127" s="301">
        <f t="shared" si="46"/>
        <v>0</v>
      </c>
      <c r="U127" s="301">
        <f t="shared" si="46"/>
        <v>0</v>
      </c>
      <c r="V127" s="301">
        <f t="shared" si="46"/>
        <v>0</v>
      </c>
      <c r="W127" s="301">
        <f t="shared" si="46"/>
        <v>0</v>
      </c>
      <c r="X127" s="301">
        <f t="shared" si="46"/>
        <v>0</v>
      </c>
    </row>
    <row r="128" spans="2:24"/>
    <row r="129" spans="2:24"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</row>
    <row r="130" spans="2:24">
      <c r="B130" s="236" t="s">
        <v>516</v>
      </c>
      <c r="C130" s="231"/>
      <c r="D130" s="231"/>
      <c r="E130" s="231"/>
      <c r="F130" s="231"/>
      <c r="G130" s="231"/>
      <c r="H130" s="231"/>
      <c r="I130" s="313"/>
      <c r="J130" s="231"/>
      <c r="K130" s="232" t="str">
        <f t="shared" ref="K130:X130" si="47">LataProjekcji</f>
        <v>Uzupełnij dane</v>
      </c>
      <c r="L130" s="232" t="str">
        <f t="shared" si="47"/>
        <v/>
      </c>
      <c r="M130" s="232" t="str">
        <f t="shared" si="47"/>
        <v/>
      </c>
      <c r="N130" s="232" t="str">
        <f t="shared" si="47"/>
        <v/>
      </c>
      <c r="O130" s="232" t="str">
        <f t="shared" si="47"/>
        <v/>
      </c>
      <c r="P130" s="232" t="str">
        <f t="shared" si="47"/>
        <v/>
      </c>
      <c r="Q130" s="232" t="str">
        <f t="shared" si="47"/>
        <v/>
      </c>
      <c r="R130" s="232" t="str">
        <f t="shared" si="47"/>
        <v/>
      </c>
      <c r="S130" s="232" t="str">
        <f t="shared" si="47"/>
        <v/>
      </c>
      <c r="T130" s="232" t="str">
        <f t="shared" si="47"/>
        <v/>
      </c>
      <c r="U130" s="232" t="str">
        <f t="shared" si="47"/>
        <v/>
      </c>
      <c r="V130" s="232" t="str">
        <f t="shared" si="47"/>
        <v/>
      </c>
      <c r="W130" s="232" t="str">
        <f t="shared" si="47"/>
        <v/>
      </c>
      <c r="X130" s="232" t="str">
        <f t="shared" si="47"/>
        <v/>
      </c>
    </row>
    <row r="131" spans="2:24">
      <c r="B131" s="102" t="s">
        <v>504</v>
      </c>
      <c r="C131" s="102"/>
      <c r="D131" s="102"/>
      <c r="E131" s="102"/>
      <c r="F131" s="102"/>
      <c r="G131" s="102"/>
      <c r="H131" s="102"/>
      <c r="I131" s="317"/>
      <c r="J131" s="102"/>
      <c r="K131" s="103"/>
      <c r="L131" s="103">
        <f>IF(K134&lt;0,0,K134)</f>
        <v>0</v>
      </c>
      <c r="M131" s="103">
        <f t="shared" ref="M131:X131" si="48">IF(L134&lt;0,0,L134)</f>
        <v>0</v>
      </c>
      <c r="N131" s="103">
        <f t="shared" si="48"/>
        <v>0</v>
      </c>
      <c r="O131" s="103">
        <f t="shared" si="48"/>
        <v>0</v>
      </c>
      <c r="P131" s="103">
        <f t="shared" si="48"/>
        <v>0</v>
      </c>
      <c r="Q131" s="103">
        <f t="shared" si="48"/>
        <v>0</v>
      </c>
      <c r="R131" s="103">
        <f t="shared" si="48"/>
        <v>0</v>
      </c>
      <c r="S131" s="103">
        <f t="shared" si="48"/>
        <v>0</v>
      </c>
      <c r="T131" s="103">
        <f t="shared" si="48"/>
        <v>0</v>
      </c>
      <c r="U131" s="103">
        <f t="shared" si="48"/>
        <v>0</v>
      </c>
      <c r="V131" s="103">
        <f t="shared" si="48"/>
        <v>0</v>
      </c>
      <c r="W131" s="103">
        <f t="shared" si="48"/>
        <v>0</v>
      </c>
      <c r="X131" s="103">
        <f t="shared" si="48"/>
        <v>0</v>
      </c>
    </row>
    <row r="132" spans="2:24">
      <c r="B132" s="52" t="s">
        <v>505</v>
      </c>
      <c r="C132" s="52"/>
      <c r="D132" s="52"/>
      <c r="E132" s="52"/>
      <c r="F132" s="52"/>
      <c r="G132" s="52"/>
      <c r="H132" s="52"/>
      <c r="I132" s="316"/>
      <c r="J132" s="52"/>
      <c r="K132" s="346"/>
      <c r="L132" s="346"/>
      <c r="M132" s="346"/>
      <c r="N132" s="346"/>
      <c r="O132" s="346"/>
      <c r="P132" s="346"/>
      <c r="Q132" s="346"/>
      <c r="R132" s="346"/>
      <c r="S132" s="346"/>
      <c r="T132" s="346"/>
      <c r="U132" s="346"/>
      <c r="V132" s="346"/>
      <c r="W132" s="346"/>
      <c r="X132" s="346"/>
    </row>
    <row r="133" spans="2:24">
      <c r="B133" s="52" t="s">
        <v>510</v>
      </c>
      <c r="C133" s="52"/>
      <c r="D133" s="52"/>
      <c r="E133" s="52"/>
      <c r="F133" s="52"/>
      <c r="G133" s="52"/>
      <c r="H133" s="52"/>
      <c r="I133" s="316"/>
      <c r="J133" s="52"/>
      <c r="K133" s="346"/>
      <c r="L133" s="346"/>
      <c r="M133" s="346"/>
      <c r="N133" s="346"/>
      <c r="O133" s="346"/>
      <c r="P133" s="346"/>
      <c r="Q133" s="346"/>
      <c r="R133" s="346"/>
      <c r="S133" s="346"/>
      <c r="T133" s="346"/>
      <c r="U133" s="346"/>
      <c r="V133" s="346"/>
      <c r="W133" s="346"/>
      <c r="X133" s="346"/>
    </row>
    <row r="134" spans="2:24">
      <c r="B134" s="52" t="s">
        <v>508</v>
      </c>
      <c r="C134" s="52"/>
      <c r="D134" s="52"/>
      <c r="E134" s="52"/>
      <c r="F134" s="52"/>
      <c r="G134" s="52"/>
      <c r="H134" s="52"/>
      <c r="I134" s="316"/>
      <c r="J134" s="52"/>
      <c r="K134" s="33">
        <f>K131+K132-K133</f>
        <v>0</v>
      </c>
      <c r="L134" s="33">
        <f t="shared" ref="L134:X134" si="49">L131+L132-L133</f>
        <v>0</v>
      </c>
      <c r="M134" s="33">
        <f t="shared" si="49"/>
        <v>0</v>
      </c>
      <c r="N134" s="33">
        <f t="shared" si="49"/>
        <v>0</v>
      </c>
      <c r="O134" s="33">
        <f t="shared" si="49"/>
        <v>0</v>
      </c>
      <c r="P134" s="33">
        <f t="shared" si="49"/>
        <v>0</v>
      </c>
      <c r="Q134" s="33">
        <f t="shared" si="49"/>
        <v>0</v>
      </c>
      <c r="R134" s="33">
        <f t="shared" si="49"/>
        <v>0</v>
      </c>
      <c r="S134" s="33">
        <f t="shared" si="49"/>
        <v>0</v>
      </c>
      <c r="T134" s="33">
        <f t="shared" si="49"/>
        <v>0</v>
      </c>
      <c r="U134" s="33">
        <f t="shared" si="49"/>
        <v>0</v>
      </c>
      <c r="V134" s="33">
        <f t="shared" si="49"/>
        <v>0</v>
      </c>
      <c r="W134" s="33">
        <f t="shared" si="49"/>
        <v>0</v>
      </c>
      <c r="X134" s="33">
        <f t="shared" si="49"/>
        <v>0</v>
      </c>
    </row>
    <row r="135" spans="2:24">
      <c r="B135" s="88" t="s">
        <v>327</v>
      </c>
      <c r="C135" s="88"/>
      <c r="D135" s="88"/>
      <c r="E135" s="88"/>
      <c r="F135" s="88"/>
      <c r="G135" s="88"/>
      <c r="H135" s="88"/>
      <c r="I135" s="318"/>
      <c r="J135" s="88"/>
      <c r="K135" s="422"/>
      <c r="L135" s="422"/>
      <c r="M135" s="422"/>
      <c r="N135" s="422"/>
      <c r="O135" s="422"/>
      <c r="P135" s="422"/>
      <c r="Q135" s="422"/>
      <c r="R135" s="422"/>
      <c r="S135" s="422"/>
      <c r="T135" s="422"/>
      <c r="U135" s="422"/>
      <c r="V135" s="422"/>
      <c r="W135" s="422"/>
      <c r="X135" s="422"/>
    </row>
    <row r="136" spans="2:24">
      <c r="L136" s="5"/>
    </row>
    <row r="137" spans="2:24"/>
    <row r="138" spans="2:24" ht="14.4">
      <c r="B138" s="11" t="s">
        <v>51</v>
      </c>
    </row>
    <row r="139" spans="2:24"/>
    <row r="140" spans="2:24"/>
    <row r="141" spans="2:24"/>
    <row r="142" spans="2:24"/>
    <row r="143" spans="2:24"/>
    <row r="144" spans="2:2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</sheetData>
  <sheetProtection algorithmName="SHA-512" hashValue="nPa0McMDP789ea+P74htfK8uYNLFDwsFBDCFNUfnBVmxbhGKm5PV+Z3lKwkA2S0DOUEtDtFZzl8Y+BAvlIZpYw==" saltValue="tQRHNEPA6vG67OMdJujV8w==" spinCount="100000" sheet="1" objects="1" scenarios="1"/>
  <mergeCells count="1">
    <mergeCell ref="B2:M3"/>
  </mergeCells>
  <conditionalFormatting sqref="K117:X117">
    <cfRule type="cellIs" dxfId="366" priority="11" operator="lessThan">
      <formula>0</formula>
    </cfRule>
  </conditionalFormatting>
  <conditionalFormatting sqref="K108:X108 K99:X99 K55:X55 K46:X46 K37:X37 K64:X64 K126:X126">
    <cfRule type="cellIs" dxfId="365" priority="10" operator="lessThan">
      <formula>0</formula>
    </cfRule>
  </conditionalFormatting>
  <conditionalFormatting sqref="K134:X134">
    <cfRule type="cellIs" dxfId="364" priority="9" operator="lessThan">
      <formula>0</formula>
    </cfRule>
  </conditionalFormatting>
  <conditionalFormatting sqref="L78">
    <cfRule type="expression" dxfId="363" priority="8">
      <formula>L78&gt;L77</formula>
    </cfRule>
  </conditionalFormatting>
  <conditionalFormatting sqref="M78:X78 K78">
    <cfRule type="expression" dxfId="362" priority="7">
      <formula>K78&gt;K77</formula>
    </cfRule>
  </conditionalFormatting>
  <conditionalFormatting sqref="K61:X62 K52:X53 K43:X44 K34:X35 K22:X22 K16:X16">
    <cfRule type="expression" dxfId="361" priority="6">
      <formula>K$12&lt;=Koniec_Projekt</formula>
    </cfRule>
  </conditionalFormatting>
  <conditionalFormatting sqref="K16:U16 K22:U22 K34:U35 K43:U44 K52:U53 K61:U62">
    <cfRule type="expression" dxfId="360" priority="4">
      <formula>AND(K$12&gt;Koniec_Projekt,K$12&lt;=Koniec)</formula>
    </cfRule>
  </conditionalFormatting>
  <conditionalFormatting sqref="K72:X72 K78:X78 K84:X84 K96:X97 K105:X106 K114:X115 K123:X124 K132:X133 K135:X135">
    <cfRule type="expression" dxfId="359" priority="1">
      <formula>AND(K$12&gt;Koniec_Projekt,K$12&lt;=Koniec)</formula>
    </cfRule>
    <cfRule type="expression" dxfId="358" priority="2">
      <formula>AND(K$12&gt;=Poczatek,K$12&lt;=Koniec_Projekt)</formula>
    </cfRule>
  </conditionalFormatting>
  <dataValidations count="1">
    <dataValidation type="custom" allowBlank="1" showErrorMessage="1" errorTitle="Nieprawidłowa wartość" error="Wprowadzona wartość dopłaty jest zbyt wysoka!" sqref="K78:X78" xr:uid="{00000000-0002-0000-0900-000000000000}">
      <formula1>K78&lt;=K77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6" fitToHeight="0" orientation="landscape" r:id="rId1"/>
  <headerFooter>
    <oddHeader>&amp;A</oddHeader>
    <oddFooter>&amp;L&amp;F&amp;CStrona &amp;P z &amp;N&amp;RData i godzina wydruku: &amp;D &amp;T</oddFooter>
  </headerFooter>
  <rowBreaks count="4" manualBreakCount="4">
    <brk id="40" min="1" max="23" man="1"/>
    <brk id="67" min="1" max="23" man="1"/>
    <brk id="102" min="1" max="23" man="1"/>
    <brk id="137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1" r:id="rId4" name="Group Box 9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99060</xdr:rowOff>
                  </from>
                  <to>
                    <xdr:col>17</xdr:col>
                    <xdr:colOff>99060</xdr:colOff>
                    <xdr:row>10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123</vt:i4>
      </vt:variant>
    </vt:vector>
  </HeadingPairs>
  <TitlesOfParts>
    <vt:vector size="134" baseType="lpstr">
      <vt:lpstr>Dane Firmy</vt:lpstr>
      <vt:lpstr>Założenia</vt:lpstr>
      <vt:lpstr>Sprawozdania finansowe</vt:lpstr>
      <vt:lpstr>Przychody</vt:lpstr>
      <vt:lpstr>Koszty operacyjne</vt:lpstr>
      <vt:lpstr>Środki trwałe</vt:lpstr>
      <vt:lpstr>Rozliczenie dotacji</vt:lpstr>
      <vt:lpstr>Kapitał pracujący</vt:lpstr>
      <vt:lpstr>Finansowanie</vt:lpstr>
      <vt:lpstr>Moduły</vt:lpstr>
      <vt:lpstr>Ocena kondycji finansowej</vt:lpstr>
      <vt:lpstr>am_budynki</vt:lpstr>
      <vt:lpstr>am_grunty</vt:lpstr>
      <vt:lpstr>am_inneST</vt:lpstr>
      <vt:lpstr>am_maszyny</vt:lpstr>
      <vt:lpstr>am_prace_rozwojowe</vt:lpstr>
      <vt:lpstr>am_transport</vt:lpstr>
      <vt:lpstr>am_wartosc_firmy</vt:lpstr>
      <vt:lpstr>am_wnip</vt:lpstr>
      <vt:lpstr>b_plus_r</vt:lpstr>
      <vt:lpstr>CIT</vt:lpstr>
      <vt:lpstr>DaneBiezace</vt:lpstr>
      <vt:lpstr>dni</vt:lpstr>
      <vt:lpstr>ebit</vt:lpstr>
      <vt:lpstr>Firma</vt:lpstr>
      <vt:lpstr>ko_pio</vt:lpstr>
      <vt:lpstr>ko_pio_kw</vt:lpstr>
      <vt:lpstr>ko_pkr</vt:lpstr>
      <vt:lpstr>ko_pkr_kw</vt:lpstr>
      <vt:lpstr>ko_uoe</vt:lpstr>
      <vt:lpstr>ko_uoe_kw</vt:lpstr>
      <vt:lpstr>ko_wyn</vt:lpstr>
      <vt:lpstr>ko_wyn_kw</vt:lpstr>
      <vt:lpstr>ko_zme</vt:lpstr>
      <vt:lpstr>ko_zme_kw</vt:lpstr>
      <vt:lpstr>ko_zus</vt:lpstr>
      <vt:lpstr>ko_zus_kw</vt:lpstr>
      <vt:lpstr>Koniec</vt:lpstr>
      <vt:lpstr>Koniec_PR</vt:lpstr>
      <vt:lpstr>Koniec_Projekt</vt:lpstr>
      <vt:lpstr>Koniec_Trwalosc</vt:lpstr>
      <vt:lpstr>LataProjekcji</vt:lpstr>
      <vt:lpstr>lista_modulow</vt:lpstr>
      <vt:lpstr>lista_st</vt:lpstr>
      <vt:lpstr>mod_dot</vt:lpstr>
      <vt:lpstr>mod_dot_am</vt:lpstr>
      <vt:lpstr>mod_dot_am_war</vt:lpstr>
      <vt:lpstr>mod_dot_ko</vt:lpstr>
      <vt:lpstr>mod_dot_ko_br</vt:lpstr>
      <vt:lpstr>mod_dot_ko_br_war</vt:lpstr>
      <vt:lpstr>mod_dot_ko_war</vt:lpstr>
      <vt:lpstr>mod_dot_st</vt:lpstr>
      <vt:lpstr>mod_dot_st_npv</vt:lpstr>
      <vt:lpstr>mod_dot_st_npv_war</vt:lpstr>
      <vt:lpstr>mod_ko_pio</vt:lpstr>
      <vt:lpstr>mod_ko_pkr</vt:lpstr>
      <vt:lpstr>mod_ko_uoe</vt:lpstr>
      <vt:lpstr>mod_ko_wyn</vt:lpstr>
      <vt:lpstr>mod_ko_zme</vt:lpstr>
      <vt:lpstr>mod_ko_zus</vt:lpstr>
      <vt:lpstr>mod_pp_ppu</vt:lpstr>
      <vt:lpstr>mod_pp_ptim</vt:lpstr>
      <vt:lpstr>mod_pp_ptim_wstim</vt:lpstr>
      <vt:lpstr>mod_st_am</vt:lpstr>
      <vt:lpstr>mod_st_bib</vt:lpstr>
      <vt:lpstr>mod_st_gry</vt:lpstr>
      <vt:lpstr>mod_st_ist</vt:lpstr>
      <vt:lpstr>mod_st_stu</vt:lpstr>
      <vt:lpstr>mod_st_utm</vt:lpstr>
      <vt:lpstr>mod_st_wnp</vt:lpstr>
      <vt:lpstr>mod_st_zpr</vt:lpstr>
      <vt:lpstr>Modul_badawczo_rozwojowy</vt:lpstr>
      <vt:lpstr>nie</vt:lpstr>
      <vt:lpstr>nie_b_plus_r</vt:lpstr>
      <vt:lpstr>nowy_wbudowie</vt:lpstr>
      <vt:lpstr>'Dane Firmy'!Obszar_wydruku</vt:lpstr>
      <vt:lpstr>Finansowanie!Obszar_wydruku</vt:lpstr>
      <vt:lpstr>'Kapitał pracujący'!Obszar_wydruku</vt:lpstr>
      <vt:lpstr>'Koszty operacyjne'!Obszar_wydruku</vt:lpstr>
      <vt:lpstr>Moduły!Obszar_wydruku</vt:lpstr>
      <vt:lpstr>'Ocena kondycji finansowej'!Obszar_wydruku</vt:lpstr>
      <vt:lpstr>Przychody!Obszar_wydruku</vt:lpstr>
      <vt:lpstr>'Rozliczenie dotacji'!Obszar_wydruku</vt:lpstr>
      <vt:lpstr>'Sprawozdania finansowe'!Obszar_wydruku</vt:lpstr>
      <vt:lpstr>'Środki trwałe'!Obszar_wydruku</vt:lpstr>
      <vt:lpstr>Założenia!Obszar_wydruku</vt:lpstr>
      <vt:lpstr>Poczatek</vt:lpstr>
      <vt:lpstr>pp_ppu</vt:lpstr>
      <vt:lpstr>pp_ptim</vt:lpstr>
      <vt:lpstr>pp_ptim_wstim</vt:lpstr>
      <vt:lpstr>przeniesiony</vt:lpstr>
      <vt:lpstr>Przychody_Lata</vt:lpstr>
      <vt:lpstr>Rok_n</vt:lpstr>
      <vt:lpstr>RokObrotowyPoczatek</vt:lpstr>
      <vt:lpstr>st_am</vt:lpstr>
      <vt:lpstr>st_bib</vt:lpstr>
      <vt:lpstr>st_bib_am</vt:lpstr>
      <vt:lpstr>st_bib_kw</vt:lpstr>
      <vt:lpstr>st_bib_kw_am</vt:lpstr>
      <vt:lpstr>st_gry</vt:lpstr>
      <vt:lpstr>st_gry_am</vt:lpstr>
      <vt:lpstr>st_gry_kw</vt:lpstr>
      <vt:lpstr>st_gry_kw_am</vt:lpstr>
      <vt:lpstr>st_ist</vt:lpstr>
      <vt:lpstr>st_ist_am</vt:lpstr>
      <vt:lpstr>st_ist_kw</vt:lpstr>
      <vt:lpstr>st_ist_kw_am</vt:lpstr>
      <vt:lpstr>st_stu</vt:lpstr>
      <vt:lpstr>st_stu_am</vt:lpstr>
      <vt:lpstr>st_stu_kw</vt:lpstr>
      <vt:lpstr>st_stu_kw_am</vt:lpstr>
      <vt:lpstr>st_utm</vt:lpstr>
      <vt:lpstr>st_utm_am</vt:lpstr>
      <vt:lpstr>st_utm_kw</vt:lpstr>
      <vt:lpstr>st_utm_kw_am</vt:lpstr>
      <vt:lpstr>st_wnp</vt:lpstr>
      <vt:lpstr>st_wnp_am</vt:lpstr>
      <vt:lpstr>st_wnp_kw</vt:lpstr>
      <vt:lpstr>st_wnp_kw_am</vt:lpstr>
      <vt:lpstr>st_zpr</vt:lpstr>
      <vt:lpstr>st_zpr_kw</vt:lpstr>
      <vt:lpstr>stwb_start</vt:lpstr>
      <vt:lpstr>stwb_stop</vt:lpstr>
      <vt:lpstr>tak</vt:lpstr>
      <vt:lpstr>tak_nie</vt:lpstr>
      <vt:lpstr>WACC</vt:lpstr>
      <vt:lpstr>Wdrozenie_KoniecPR</vt:lpstr>
      <vt:lpstr>wybor_BR</vt:lpstr>
      <vt:lpstr>wybor_modul</vt:lpstr>
      <vt:lpstr>Przychody!Wybrany_modul_Przychody</vt:lpstr>
      <vt:lpstr>'Środki trwałe'!Wybrany_modul_Srodki_Trwale</vt:lpstr>
      <vt:lpstr>wydatki_koniec</vt:lpstr>
      <vt:lpstr>wydatki_start</vt:lpstr>
      <vt:lpstr>ZUS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2021-2027</dc:title>
  <dc:subject/>
  <dc:creator/>
  <cp:keywords/>
  <dc:description/>
  <cp:lastModifiedBy/>
  <cp:revision/>
  <dcterms:created xsi:type="dcterms:W3CDTF">2016-07-29T02:09:26Z</dcterms:created>
  <dcterms:modified xsi:type="dcterms:W3CDTF">2023-02-06T01:33:06Z</dcterms:modified>
  <cp:category/>
  <cp:contentStatus/>
</cp:coreProperties>
</file>